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1xhoMSDfm1kPsrFUNnQ2FQiqL58p4w1qgvGZmO0i/HC3aBTe1CNe2ROnSuYrEVKsnUZsfrnCI+0/I9xtwAiV3w==" workbookSaltValue="oKFU3SGh7xnDHhR6fEX75A=="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D7" i="17"/>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BW3" i="17"/>
  <c r="CC3" i="17"/>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X8" i="17" l="1"/>
  <c r="BW4" i="17" s="1"/>
  <c r="EL4" i="17" s="1"/>
  <c r="AP8" i="17"/>
  <c r="BO4" i="17" s="1"/>
  <c r="ED4" i="17" s="1"/>
  <c r="AT8" i="17"/>
  <c r="BS4" i="17" s="1"/>
  <c r="BS5" i="17" s="1"/>
  <c r="AV8" i="17"/>
  <c r="BU4" i="17" s="1"/>
  <c r="EJ4" i="17" s="1"/>
  <c r="O14" i="18"/>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EP4" i="17"/>
  <c r="CY3" i="17"/>
  <c r="CZ6" i="17" s="1"/>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DB7" i="17" s="1"/>
  <c r="EI4" i="17"/>
  <c r="CW3" i="17"/>
  <c r="CX6" i="17" s="1"/>
  <c r="CU3" i="17"/>
  <c r="CV6" i="17" s="1"/>
  <c r="EC3" i="17"/>
  <c r="EC20" i="17" s="1"/>
  <c r="EQ3" i="17"/>
  <c r="EQ20" i="17" s="1"/>
  <c r="EN3" i="17"/>
  <c r="EN20" i="17" s="1"/>
  <c r="EP3" i="17"/>
  <c r="EP20" i="17" s="1"/>
  <c r="CT3" i="17"/>
  <c r="CU6" i="17" s="1"/>
  <c r="EB3"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DH4" i="17"/>
  <c r="DI7" i="17" s="1"/>
  <c r="CM3" i="17"/>
  <c r="DG3" i="17"/>
  <c r="CA6" i="17"/>
  <c r="CJ3" i="17"/>
  <c r="DF3" i="17"/>
  <c r="BZ6" i="17"/>
  <c r="DE3" i="17"/>
  <c r="BY6" i="17"/>
  <c r="CI3" i="17"/>
  <c r="DH3" i="17"/>
  <c r="CB6" i="17"/>
  <c r="CA5" i="17"/>
  <c r="BN6" i="17"/>
  <c r="BV6" i="17"/>
  <c r="BU7" i="17"/>
  <c r="BX6" i="17"/>
  <c r="BQ5" i="17"/>
  <c r="BP6" i="17"/>
  <c r="BT6" i="17"/>
  <c r="O42" i="18"/>
  <c r="O60" i="18"/>
  <c r="O52" i="18"/>
  <c r="O24" i="18"/>
  <c r="O34" i="18"/>
  <c r="O16" i="18"/>
  <c r="O75" i="18" l="1"/>
  <c r="CV4" i="17"/>
  <c r="CV5" i="17" s="1"/>
  <c r="CZ4" i="17"/>
  <c r="DA7" i="17" s="1"/>
  <c r="DA8" i="17" s="1"/>
  <c r="BW5" i="17"/>
  <c r="DD4" i="17"/>
  <c r="P81" i="18" s="1"/>
  <c r="BT7" i="17"/>
  <c r="BT8" i="17" s="1"/>
  <c r="CC5" i="17"/>
  <c r="BO5" i="17"/>
  <c r="DJ4" i="17"/>
  <c r="P87" i="18" s="1"/>
  <c r="EH4" i="17"/>
  <c r="EH5" i="17" s="1"/>
  <c r="EQ4" i="17"/>
  <c r="ER7" i="17" s="1"/>
  <c r="BU5" i="17"/>
  <c r="DB4" i="17"/>
  <c r="P79" i="18" s="1"/>
  <c r="DG4" i="17"/>
  <c r="DH7" i="17" s="1"/>
  <c r="P85" i="18"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DI4" i="17"/>
  <c r="DJ7" i="17" s="1"/>
  <c r="DK10" i="17" s="1"/>
  <c r="CC7" i="17"/>
  <c r="CC8" i="17" s="1"/>
  <c r="O73" i="18"/>
  <c r="E75" i="15"/>
  <c r="P89" i="18"/>
  <c r="CB7" i="17"/>
  <c r="CB8" i="17" s="1"/>
  <c r="P78" i="18"/>
  <c r="O77" i="18"/>
  <c r="CY7" i="17"/>
  <c r="O89" i="18"/>
  <c r="BV5" i="17"/>
  <c r="O81" i="18"/>
  <c r="O79" i="18"/>
  <c r="O78" i="18"/>
  <c r="O72" i="18"/>
  <c r="O74" i="18"/>
  <c r="CI4" i="17"/>
  <c r="BX5" i="17"/>
  <c r="EM4" i="17"/>
  <c r="EM21" i="17" s="1"/>
  <c r="EM22" i="17"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Q21" i="17"/>
  <c r="EQ22" i="17" s="1"/>
  <c r="EQ7" i="17"/>
  <c r="EP21" i="17"/>
  <c r="ET22" i="17"/>
  <c r="P34" i="18"/>
  <c r="C70" i="15"/>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DJ10" i="17"/>
  <c r="I86" i="18"/>
  <c r="I80" i="18"/>
  <c r="CE9" i="17"/>
  <c r="H137" i="18" s="1"/>
  <c r="H88" i="18"/>
  <c r="DL5" i="17"/>
  <c r="DA9" i="17"/>
  <c r="DO3" i="17"/>
  <c r="DC6" i="17"/>
  <c r="DD5" i="17"/>
  <c r="DC10" i="17"/>
  <c r="EQ6" i="17"/>
  <c r="EQ23" i="17" s="1"/>
  <c r="EP5" i="17"/>
  <c r="EC7" i="17"/>
  <c r="ED5" i="17"/>
  <c r="EL5" i="17"/>
  <c r="EM6" i="17"/>
  <c r="EM23" i="17" s="1"/>
  <c r="ER6" i="17"/>
  <c r="ER23" i="17" s="1"/>
  <c r="ER5" i="17"/>
  <c r="ES6" i="17"/>
  <c r="ES23" i="17" s="1"/>
  <c r="EP6" i="17"/>
  <c r="EP23" i="17" s="1"/>
  <c r="EY3" i="17"/>
  <c r="EO6" i="17"/>
  <c r="EO23" i="17" s="1"/>
  <c r="ED6" i="17"/>
  <c r="EL6" i="17"/>
  <c r="EL23" i="17" s="1"/>
  <c r="EI6" i="17"/>
  <c r="EI23" i="17" s="1"/>
  <c r="EJ5" i="17"/>
  <c r="EK6" i="17"/>
  <c r="EK23" i="17" s="1"/>
  <c r="EC6" i="17"/>
  <c r="EC23" i="17" s="1"/>
  <c r="EB5" i="17"/>
  <c r="EN6" i="17"/>
  <c r="EN23" i="17" s="1"/>
  <c r="EX3" i="17"/>
  <c r="EI5" i="17"/>
  <c r="EJ6" i="17"/>
  <c r="EJ23" i="17" s="1"/>
  <c r="ET5" i="17"/>
  <c r="DC9" i="17"/>
  <c r="DE10" i="17"/>
  <c r="CZ9" i="17"/>
  <c r="DB9" i="17"/>
  <c r="CW9" i="17"/>
  <c r="CY9" i="17"/>
  <c r="CV9" i="17"/>
  <c r="CX9" i="17"/>
  <c r="CU9" i="17"/>
  <c r="EB6" i="17"/>
  <c r="EB23" i="17" s="1"/>
  <c r="EV3" i="17"/>
  <c r="BN10" i="17"/>
  <c r="BO13" i="17" s="1"/>
  <c r="CT5" i="17"/>
  <c r="CX5" i="17"/>
  <c r="DT3" i="17"/>
  <c r="BU9" i="17"/>
  <c r="H127" i="18" s="1"/>
  <c r="BO9" i="17"/>
  <c r="H121" i="18" s="1"/>
  <c r="BZ9" i="17"/>
  <c r="H132" i="18" s="1"/>
  <c r="CJ5" i="17"/>
  <c r="BR9" i="17"/>
  <c r="BS12" i="17" s="1"/>
  <c r="H101" i="18" s="1"/>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M6" i="17"/>
  <c r="BP9" i="17"/>
  <c r="H122" i="18" s="1"/>
  <c r="BV9" i="17"/>
  <c r="BW12" i="17" s="1"/>
  <c r="H105" i="18" s="1"/>
  <c r="BU8" i="17"/>
  <c r="CZ5" i="17" l="1"/>
  <c r="DB10" i="17"/>
  <c r="DC13" i="17" s="1"/>
  <c r="DD16" i="17" s="1"/>
  <c r="EQ5" i="17"/>
  <c r="P77" i="18"/>
  <c r="EI7" i="17"/>
  <c r="DE7" i="17"/>
  <c r="P82" i="18" s="1"/>
  <c r="EH21" i="17"/>
  <c r="EH22" i="17" s="1"/>
  <c r="DG5" i="17"/>
  <c r="CD10" i="17"/>
  <c r="CE13" i="17" s="1"/>
  <c r="DJ5" i="17"/>
  <c r="DB5" i="17"/>
  <c r="DC7" i="17"/>
  <c r="P80" i="18" s="1"/>
  <c r="BS10" i="17"/>
  <c r="BT13" i="17" s="1"/>
  <c r="I150" i="18" s="1"/>
  <c r="DK5" i="17"/>
  <c r="CM5" i="17"/>
  <c r="I113" i="18"/>
  <c r="O234" i="18" s="1"/>
  <c r="P84" i="18"/>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BK4" i="17"/>
  <c r="DZ4" i="17" s="1"/>
  <c r="DZ21" i="17" s="1"/>
  <c r="BZ10" i="17"/>
  <c r="CA13" i="17" s="1"/>
  <c r="I109" i="18" s="1"/>
  <c r="BW8" i="17"/>
  <c r="I105" i="18"/>
  <c r="O226" i="18" s="1"/>
  <c r="BO8" i="17"/>
  <c r="I98" i="18"/>
  <c r="EK5" i="17"/>
  <c r="I149" i="18"/>
  <c r="I130" i="18"/>
  <c r="I159" i="18"/>
  <c r="I121" i="18"/>
  <c r="I153" i="18"/>
  <c r="I120" i="18"/>
  <c r="I161" i="18"/>
  <c r="H161" i="18"/>
  <c r="I127" i="18"/>
  <c r="I145" i="18"/>
  <c r="K4" i="18"/>
  <c r="R4" i="18" s="1"/>
  <c r="I158" i="18"/>
  <c r="I124" i="18"/>
  <c r="H136" i="18"/>
  <c r="I133" i="18"/>
  <c r="I122" i="18"/>
  <c r="H128" i="18"/>
  <c r="I125" i="18"/>
  <c r="H124" i="18"/>
  <c r="H153" i="18"/>
  <c r="I126" i="18"/>
  <c r="I128" i="18"/>
  <c r="I107" i="18"/>
  <c r="I135" i="18"/>
  <c r="I131" i="18"/>
  <c r="I134" i="18"/>
  <c r="I129" i="18"/>
  <c r="H149" i="18"/>
  <c r="I146" i="18"/>
  <c r="I13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BU16" i="17"/>
  <c r="I102" i="18"/>
  <c r="O84" i="18"/>
  <c r="I112" i="18"/>
  <c r="CA16" i="17"/>
  <c r="I108" i="18"/>
  <c r="BW16" i="17"/>
  <c r="I104" i="18"/>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D11" i="17"/>
  <c r="CW8" i="17"/>
  <c r="DQ7"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O257"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O247" i="18" s="1"/>
  <c r="BT11" i="17"/>
  <c r="BU12" i="17"/>
  <c r="H151" i="18" s="1"/>
  <c r="O248" i="18" s="1"/>
  <c r="CE14" i="17"/>
  <c r="BR12" i="17"/>
  <c r="H148" i="18" s="1"/>
  <c r="DE9" i="17"/>
  <c r="O130" i="18" s="1"/>
  <c r="DD8" i="17"/>
  <c r="DP7" i="17"/>
  <c r="BU11" i="17"/>
  <c r="BV12" i="17"/>
  <c r="H152" i="18" s="1"/>
  <c r="O249" i="18" s="1"/>
  <c r="DE8" i="17" l="1"/>
  <c r="DQ5" i="17"/>
  <c r="DE13" i="17"/>
  <c r="DF16" i="17" s="1"/>
  <c r="ET8" i="17"/>
  <c r="DC8" i="17"/>
  <c r="O256" i="18"/>
  <c r="EO8" i="17"/>
  <c r="BZ11" i="17"/>
  <c r="DP5"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CL4" i="17" s="1"/>
  <c r="O244" i="18"/>
  <c r="EL8" i="17"/>
  <c r="EL24" i="17"/>
  <c r="EL25" i="17" s="1"/>
  <c r="BK5" i="17"/>
  <c r="CF5" i="17" s="1"/>
  <c r="CL5" i="17" s="1"/>
  <c r="DC14" i="17"/>
  <c r="CZ11" i="17"/>
  <c r="EC10" i="17"/>
  <c r="EC27"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O258" i="18"/>
  <c r="P106" i="18"/>
  <c r="P154"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CC19" i="17" s="1"/>
  <c r="I207" i="18" s="1"/>
  <c r="I132" i="18"/>
  <c r="I45" i="18" s="1"/>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C28"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EY8" i="17" l="1"/>
  <c r="P226" i="18"/>
  <c r="P250" i="18"/>
  <c r="DB16" i="17"/>
  <c r="DC19" i="17" s="1"/>
  <c r="P200" i="18" s="1"/>
  <c r="EX8" i="17"/>
  <c r="EO11" i="17"/>
  <c r="CK5" i="17"/>
  <c r="CJ16" i="17"/>
  <c r="EP13" i="17"/>
  <c r="EP30" i="17" s="1"/>
  <c r="P248" i="18"/>
  <c r="P249" i="18"/>
  <c r="BL8" i="17"/>
  <c r="CG8" i="17" s="1"/>
  <c r="I18" i="18" s="1"/>
  <c r="DE14" i="17"/>
  <c r="P224" i="18"/>
  <c r="CJ11" i="17"/>
  <c r="CF7" i="17"/>
  <c r="CK7" i="17" s="1"/>
  <c r="CI16" i="17"/>
  <c r="EC11" i="17"/>
  <c r="I182" i="18"/>
  <c r="P150" i="18"/>
  <c r="P247" i="18" s="1"/>
  <c r="CG7" i="17"/>
  <c r="CI11" i="17"/>
  <c r="CR5" i="17"/>
  <c r="DM5" i="17" s="1"/>
  <c r="DS5" i="17" s="1"/>
  <c r="CS7" i="17"/>
  <c r="P70" i="18" s="1"/>
  <c r="I94" i="18"/>
  <c r="P69" i="18"/>
  <c r="I93" i="18"/>
  <c r="O214" i="18" s="1"/>
  <c r="CK4" i="17"/>
  <c r="DP13" i="17"/>
  <c r="BK8" i="17"/>
  <c r="ED13" i="17"/>
  <c r="ED30"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P45" i="18"/>
  <c r="BU20" i="17"/>
  <c r="H199" i="18"/>
  <c r="C104" i="19"/>
  <c r="I44" i="18"/>
  <c r="P44" i="18" s="1"/>
  <c r="I36" i="18"/>
  <c r="CJ19" i="17"/>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Y11" i="17" s="1"/>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14"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CI1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ED14" i="17" l="1"/>
  <c r="CS8" i="17"/>
  <c r="DM8" i="17" s="1"/>
  <c r="DR8" i="17" s="1"/>
  <c r="P175" i="18"/>
  <c r="DN7" i="17"/>
  <c r="DR5" i="17"/>
  <c r="DB17" i="17"/>
  <c r="DC20" i="17"/>
  <c r="CL7" i="17"/>
  <c r="EP31" i="17"/>
  <c r="CF8" i="17"/>
  <c r="CL8" i="17" s="1"/>
  <c r="EY30" i="17"/>
  <c r="H142" i="18"/>
  <c r="EX30" i="17"/>
  <c r="O215" i="18"/>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EX31" i="17" s="1"/>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N8" i="17" l="1"/>
  <c r="Q18" i="18" s="1"/>
  <c r="DW8" i="17"/>
  <c r="DW10" i="17"/>
  <c r="DW16" i="17" s="1"/>
  <c r="P144" i="18"/>
  <c r="CT11" i="17"/>
  <c r="DN11" i="17" s="1"/>
  <c r="Q19" i="18" s="1"/>
  <c r="CK8" i="17"/>
  <c r="DR7" i="17"/>
  <c r="O239" i="18"/>
  <c r="CF12" i="17"/>
  <c r="CK12" i="17" s="1"/>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DO11" i="17" l="1"/>
  <c r="Q27" i="18" s="1"/>
  <c r="T10" i="18"/>
  <c r="P241" i="18"/>
  <c r="DM11" i="17"/>
  <c r="DS11" i="17" s="1"/>
  <c r="CL12" i="17"/>
  <c r="DS10" i="17"/>
  <c r="DW9" i="17"/>
  <c r="DW17" i="17" s="1"/>
  <c r="DX1" i="17" s="1"/>
  <c r="Q63" i="18"/>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U10" i="18" s="1"/>
  <c r="D44" i="21" s="1"/>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l="1"/>
  <c r="G71" i="19"/>
  <c r="P191" i="18"/>
  <c r="C12" i="19"/>
  <c r="EE9" i="17"/>
  <c r="EF12" i="17" s="1"/>
  <c r="DX18" i="17"/>
  <c r="EE12" i="17"/>
  <c r="EF3" i="17"/>
  <c r="EE6" i="17"/>
  <c r="EF9" i="17" s="1"/>
  <c r="EE4" i="17"/>
  <c r="EF7" i="17" s="1"/>
  <c r="EF4" i="17"/>
  <c r="EF21" i="17" s="1"/>
  <c r="EE3" i="17"/>
  <c r="EG3" i="17"/>
  <c r="EE13" i="17"/>
  <c r="EE7" i="17"/>
  <c r="EF10" i="17" s="1"/>
  <c r="EF27" i="17" s="1"/>
  <c r="C37" i="21"/>
  <c r="EG4" i="17"/>
  <c r="EE10" i="17"/>
  <c r="DN17" i="17"/>
  <c r="P56" i="18"/>
  <c r="E116" i="21" s="1"/>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D10" i="19" l="1"/>
  <c r="D47" i="21" s="1"/>
  <c r="CH20" i="17"/>
  <c r="D38" i="21"/>
  <c r="C39" i="21"/>
  <c r="D39" i="21"/>
  <c r="D37" i="21"/>
  <c r="C38" i="21"/>
  <c r="EE24" i="17"/>
  <c r="EG10" i="17"/>
  <c r="EF24" i="17"/>
  <c r="EH6" i="17"/>
  <c r="EG20" i="17"/>
  <c r="EG5" i="17"/>
  <c r="EF6" i="17"/>
  <c r="EF8" i="17" s="1"/>
  <c r="EU3" i="17"/>
  <c r="FB3" i="17"/>
  <c r="EE5" i="17"/>
  <c r="EE20" i="17"/>
  <c r="D46" i="21"/>
  <c r="EG13" i="17"/>
  <c r="EG30" i="17" s="1"/>
  <c r="EE21" i="17"/>
  <c r="EU4" i="17"/>
  <c r="FB4" i="17"/>
  <c r="BK20" i="17"/>
  <c r="EG12" i="17"/>
  <c r="FB12" i="17" s="1"/>
  <c r="EF26" i="17"/>
  <c r="EF28" i="17" s="1"/>
  <c r="EF11" i="17"/>
  <c r="EE23" i="17"/>
  <c r="EE8" i="17"/>
  <c r="EF29" i="17"/>
  <c r="EG6" i="17"/>
  <c r="EF5" i="17"/>
  <c r="EF20" i="17"/>
  <c r="EF22" i="17" s="1"/>
  <c r="EG7" i="17"/>
  <c r="EE29" i="17"/>
  <c r="EE14" i="17"/>
  <c r="EF13" i="17"/>
  <c r="EF30" i="17" s="1"/>
  <c r="EE27" i="17"/>
  <c r="EE30" i="17"/>
  <c r="EG21" i="17"/>
  <c r="EH7" i="17"/>
  <c r="EE26" i="17"/>
  <c r="EE11" i="17"/>
  <c r="DR19" i="17"/>
  <c r="D11" i="19"/>
  <c r="DM18" i="17"/>
  <c r="DR18" i="17" s="1"/>
  <c r="O189" i="18"/>
  <c r="DS17" i="17"/>
  <c r="DM20" i="17"/>
  <c r="DR20" i="17" s="1"/>
  <c r="CF18" i="17"/>
  <c r="CL18" i="17" s="1"/>
  <c r="H190" i="18"/>
  <c r="CG19" i="17"/>
  <c r="I190" i="18"/>
  <c r="CF19" i="17"/>
  <c r="CK15" i="17"/>
  <c r="CL15" i="17"/>
  <c r="BL20" i="17"/>
  <c r="CG20" i="17" s="1"/>
  <c r="CG18" i="17"/>
  <c r="CL17" i="17"/>
  <c r="CK17" i="17"/>
  <c r="CK16" i="17"/>
  <c r="CL16" i="17"/>
  <c r="EF31" i="17" l="1"/>
  <c r="EG22" i="17"/>
  <c r="FB13" i="17"/>
  <c r="DZ12" i="17" s="1"/>
  <c r="EF14" i="17"/>
  <c r="EG8" i="17"/>
  <c r="EH10" i="17"/>
  <c r="EG24" i="17"/>
  <c r="EI9" i="17"/>
  <c r="EH23" i="17"/>
  <c r="EH8" i="17"/>
  <c r="FA4" i="17"/>
  <c r="EZ4" i="17"/>
  <c r="EI10" i="17"/>
  <c r="EH24" i="17"/>
  <c r="EG23" i="17"/>
  <c r="EH9" i="17"/>
  <c r="FB21" i="17"/>
  <c r="EU21" i="17"/>
  <c r="FB10" i="17"/>
  <c r="EH13" i="17"/>
  <c r="EG27" i="17"/>
  <c r="FB30" i="17"/>
  <c r="FB7" i="17"/>
  <c r="FB6" i="17"/>
  <c r="EE22" i="17"/>
  <c r="EU20" i="17"/>
  <c r="FB20" i="17"/>
  <c r="EE28" i="17"/>
  <c r="FB8" i="17"/>
  <c r="EU5" i="17"/>
  <c r="FB5" i="17"/>
  <c r="DZ13" i="17"/>
  <c r="DZ30" i="17" s="1"/>
  <c r="EE25" i="17"/>
  <c r="EZ3" i="17"/>
  <c r="FA3" i="17"/>
  <c r="EF23" i="17"/>
  <c r="EF25" i="17" s="1"/>
  <c r="EG9" i="17"/>
  <c r="EE31" i="17"/>
  <c r="EG29" i="17"/>
  <c r="EG14" i="17"/>
  <c r="CK18" i="17"/>
  <c r="DS20" i="17"/>
  <c r="DS18" i="17"/>
  <c r="CK19" i="17"/>
  <c r="CL19" i="17"/>
  <c r="CF20" i="17"/>
  <c r="FB14" i="17" l="1"/>
  <c r="FB23" i="17"/>
  <c r="EI27" i="17"/>
  <c r="EJ13" i="17"/>
  <c r="EJ30" i="17" s="1"/>
  <c r="DZ29" i="17"/>
  <c r="DZ31" i="17" s="1"/>
  <c r="DZ14" i="17"/>
  <c r="DZ7" i="17"/>
  <c r="DZ6" i="17"/>
  <c r="FB22" i="17"/>
  <c r="EU22" i="17"/>
  <c r="EH26" i="17"/>
  <c r="EI12" i="17"/>
  <c r="EH11" i="17"/>
  <c r="EH25" i="17"/>
  <c r="FB29" i="17"/>
  <c r="EG31" i="17"/>
  <c r="FB31" i="17" s="1"/>
  <c r="EH30" i="17"/>
  <c r="EI11" i="17"/>
  <c r="EJ12" i="17"/>
  <c r="EI26" i="17"/>
  <c r="EZ20" i="17"/>
  <c r="FA20" i="17"/>
  <c r="FA5" i="17"/>
  <c r="EZ5" i="17"/>
  <c r="FB27" i="17"/>
  <c r="DZ9" i="17"/>
  <c r="DZ10" i="17"/>
  <c r="EG25" i="17"/>
  <c r="FB25" i="17" s="1"/>
  <c r="EG26" i="17"/>
  <c r="FB26" i="17" s="1"/>
  <c r="EH12" i="17"/>
  <c r="EH29" i="17" s="1"/>
  <c r="EG11" i="17"/>
  <c r="FB11" i="17" s="1"/>
  <c r="FB9" i="17"/>
  <c r="FA21" i="17"/>
  <c r="EZ21" i="17"/>
  <c r="EH27" i="17"/>
  <c r="EI13" i="17"/>
  <c r="EI30" i="17" s="1"/>
  <c r="FB24" i="17"/>
  <c r="CK20" i="17"/>
  <c r="CL20" i="17"/>
  <c r="EI28" i="17" l="1"/>
  <c r="EG28" i="17"/>
  <c r="FB28" i="17" s="1"/>
  <c r="EH28" i="17"/>
  <c r="EJ29" i="17"/>
  <c r="EJ31" i="17" s="1"/>
  <c r="EJ14" i="17"/>
  <c r="H36" i="21"/>
  <c r="EZ22" i="17"/>
  <c r="FA22" i="17"/>
  <c r="EI29" i="17"/>
  <c r="EI31" i="17" s="1"/>
  <c r="EI14" i="17"/>
  <c r="EH31" i="17"/>
  <c r="EU6" i="17"/>
  <c r="EA9" i="17"/>
  <c r="DZ8" i="17"/>
  <c r="EU8" i="17" s="1"/>
  <c r="DZ23" i="17"/>
  <c r="EH14" i="17"/>
  <c r="DZ24" i="17"/>
  <c r="EU24" i="17" s="1"/>
  <c r="EA10" i="17"/>
  <c r="EU10" i="17" s="1"/>
  <c r="EU7" i="17"/>
  <c r="DZ27" i="17"/>
  <c r="EA13" i="17"/>
  <c r="DZ26" i="17"/>
  <c r="DZ11" i="17"/>
  <c r="EA12" i="17"/>
  <c r="FA8" i="17" l="1"/>
  <c r="EZ8" i="17"/>
  <c r="EA29" i="17"/>
  <c r="EA14" i="17"/>
  <c r="DZ28" i="17"/>
  <c r="EZ10" i="17"/>
  <c r="FA10" i="17"/>
  <c r="FA7" i="17"/>
  <c r="EZ7" i="17"/>
  <c r="EU9" i="17"/>
  <c r="EA11" i="17"/>
  <c r="EV11" i="17" s="1"/>
  <c r="EV9" i="17"/>
  <c r="EB12" i="17"/>
  <c r="EV12" i="17" s="1"/>
  <c r="EA26" i="17"/>
  <c r="EU26" i="17" s="1"/>
  <c r="DZ25" i="17"/>
  <c r="EU25" i="17" s="1"/>
  <c r="EU23" i="17"/>
  <c r="FA6" i="17"/>
  <c r="EZ6" i="17"/>
  <c r="FA24" i="17"/>
  <c r="EZ24" i="17"/>
  <c r="EA30" i="17"/>
  <c r="EA27" i="17"/>
  <c r="EV27" i="17" s="1"/>
  <c r="EB13" i="17"/>
  <c r="EV10" i="17"/>
  <c r="EU27" i="17" l="1"/>
  <c r="EZ27" i="17" s="1"/>
  <c r="EU12" i="17"/>
  <c r="FA12" i="17" s="1"/>
  <c r="EV26" i="17"/>
  <c r="EA28" i="17"/>
  <c r="EV28" i="17" s="1"/>
  <c r="EV13" i="17"/>
  <c r="EB30" i="17"/>
  <c r="EW30" i="17" s="1"/>
  <c r="EW13" i="17"/>
  <c r="H37" i="21"/>
  <c r="FA25" i="17"/>
  <c r="EZ25" i="17"/>
  <c r="EA31" i="17"/>
  <c r="EW12" i="17"/>
  <c r="EB29" i="17"/>
  <c r="EU29" i="17" s="1"/>
  <c r="EB14" i="17"/>
  <c r="EW14" i="17" s="1"/>
  <c r="EZ9" i="17"/>
  <c r="FA9" i="17"/>
  <c r="EU11" i="17"/>
  <c r="FA23" i="17"/>
  <c r="EZ23" i="17"/>
  <c r="EZ12" i="17"/>
  <c r="EZ26" i="17"/>
  <c r="FA26" i="17"/>
  <c r="EU13" i="17"/>
  <c r="EU14" i="17" l="1"/>
  <c r="FA27" i="17"/>
  <c r="EU28" i="17"/>
  <c r="H38" i="21" s="1"/>
  <c r="EV14" i="17"/>
  <c r="EV30" i="17"/>
  <c r="EZ29" i="17"/>
  <c r="FA29" i="17"/>
  <c r="FA11" i="17"/>
  <c r="EZ11" i="17"/>
  <c r="EZ13" i="17"/>
  <c r="FA13" i="17"/>
  <c r="FA14" i="17"/>
  <c r="EZ14" i="17"/>
  <c r="EW29" i="17"/>
  <c r="EB31" i="17"/>
  <c r="EW31" i="17" s="1"/>
  <c r="FA28" i="17"/>
  <c r="EU30" i="17"/>
  <c r="EV29" i="17"/>
  <c r="EZ28" i="17" l="1"/>
  <c r="FA30" i="17"/>
  <c r="EZ30" i="17"/>
  <c r="EV31" i="17"/>
  <c r="EU31" i="17"/>
  <c r="EZ31" i="17" l="1"/>
  <c r="FA31" i="17"/>
  <c r="H39" i="21"/>
</calcChain>
</file>

<file path=xl/sharedStrings.xml><?xml version="1.0" encoding="utf-8"?>
<sst xmlns="http://schemas.openxmlformats.org/spreadsheetml/2006/main" count="1405" uniqueCount="476">
  <si>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</si>
  <si>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</si>
  <si>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</si>
  <si>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</si>
  <si>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</si>
  <si>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</si>
  <si>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</si>
  <si>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</si>
  <si>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</si>
  <si>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</si>
  <si>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</si>
  <si>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</si>
  <si>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</si>
  <si>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</si>
  <si>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</si>
  <si>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</si>
  <si>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</si>
  <si>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</si>
  <si>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</si>
  <si>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</si>
  <si>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</si>
  <si>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</si>
  <si>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</si>
  <si>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</si>
  <si>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</si>
  <si>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</si>
  <si>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</si>
  <si>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</si>
  <si>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</si>
  <si>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</si>
  <si>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</si>
  <si>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</si>
  <si>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</si>
  <si>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</si>
  <si>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</si>
  <si>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</si>
  <si>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</si>
  <si>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</si>
  <si>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</si>
  <si>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</si>
  <si>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</si>
  <si>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</si>
  <si>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</si>
  <si>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</si>
  <si>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</si>
  <si>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</si>
  <si>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</si>
  <si>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</si>
  <si>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</si>
  <si>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</si>
  <si>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</si>
  <si>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</si>
  <si>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</si>
  <si>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</si>
  <si>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</si>
  <si>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</si>
  <si>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</si>
  <si>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</si>
  <si>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</si>
  <si>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</si>
  <si>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</si>
  <si>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</si>
  <si>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</si>
  <si>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</si>
  <si>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</si>
  <si>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</si>
  <si>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</si>
  <si>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</si>
  <si>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</si>
  <si>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</si>
  <si>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</si>
  <si>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</si>
  <si>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</si>
  <si>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</si>
  <si>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</si>
  <si>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</si>
  <si>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</si>
  <si>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</si>
  <si>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</si>
  <si>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</si>
  <si>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</si>
  <si>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</si>
  <si>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</si>
  <si>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</si>
  <si>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</si>
  <si>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</si>
  <si>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</si>
  <si>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</si>
  <si>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</si>
  <si>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</si>
  <si>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</si>
  <si>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</si>
  <si>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</si>
  <si>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</si>
  <si>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</si>
  <si>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</si>
  <si>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</si>
  <si>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</si>
  <si>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</si>
  <si>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</si>
  <si>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</si>
  <si>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</si>
  <si>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</si>
  <si>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</si>
  <si>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</si>
  <si>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</si>
  <si>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</si>
  <si>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</si>
  <si>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</si>
  <si>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</si>
  <si>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</si>
  <si>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</si>
  <si>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</si>
  <si>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</si>
  <si>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</si>
  <si>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</si>
  <si>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</si>
  <si>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</si>
  <si>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</si>
  <si>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</si>
  <si>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</si>
  <si>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</si>
  <si>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</si>
  <si>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</si>
  <si>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</si>
  <si>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</si>
  <si>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</si>
  <si>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</si>
  <si>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</si>
  <si>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</si>
  <si>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</si>
  <si>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</si>
  <si>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</si>
  <si>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</si>
  <si>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</si>
  <si>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</si>
  <si>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</si>
  <si>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</si>
  <si>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</si>
  <si>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</si>
  <si>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</si>
  <si>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</si>
  <si>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</si>
  <si>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</si>
  <si>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</si>
  <si>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</si>
  <si>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</si>
  <si>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</si>
  <si>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</si>
  <si>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</si>
  <si>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</si>
  <si>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</si>
  <si>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</si>
  <si>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</si>
  <si>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</si>
  <si>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</si>
  <si>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</si>
  <si>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</si>
  <si>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</si>
  <si>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</si>
  <si>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</si>
  <si>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</si>
  <si>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</si>
  <si>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</si>
  <si>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</si>
  <si>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</si>
  <si>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</si>
  <si>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</si>
  <si>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</si>
  <si>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</si>
  <si>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</si>
  <si>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</si>
  <si>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</si>
  <si>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</si>
  <si>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</si>
  <si>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</si>
  <si>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</si>
  <si>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</si>
  <si>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</si>
  <si>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</si>
  <si>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</si>
  <si>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</si>
  <si>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</si>
  <si>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</si>
  <si>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</si>
  <si>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</si>
  <si>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</si>
  <si>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</si>
  <si>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</si>
  <si>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</si>
  <si>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</si>
  <si>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</si>
  <si>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</si>
  <si>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</si>
  <si>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</si>
  <si>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</si>
  <si>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</si>
  <si>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</si>
  <si>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</si>
  <si>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</si>
  <si>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</si>
  <si>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</si>
  <si>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</si>
  <si>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</si>
  <si>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</si>
  <si>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</si>
  <si>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</si>
  <si>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</si>
  <si>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</si>
  <si>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</si>
  <si>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</si>
  <si>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</si>
  <si>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</si>
  <si>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</si>
  <si>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</si>
  <si>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</si>
  <si>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</si>
  <si>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</si>
  <si>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</si>
  <si>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</si>
  <si>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</si>
  <si>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</si>
  <si>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</si>
  <si>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</si>
  <si>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</si>
  <si>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</si>
  <si>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</si>
  <si>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</si>
  <si>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</si>
  <si>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</si>
  <si>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</si>
  <si>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</si>
  <si>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</si>
  <si>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</si>
  <si>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</si>
  <si>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</si>
  <si>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</si>
  <si>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</si>
  <si>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</si>
  <si>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</si>
  <si>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</si>
  <si>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</si>
  <si>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</si>
  <si>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</si>
  <si>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</si>
  <si>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</si>
  <si>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</si>
  <si>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</si>
  <si>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</si>
  <si>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</si>
  <si>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</si>
  <si>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</si>
  <si>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</si>
  <si>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</si>
  <si>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</si>
  <si>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</si>
  <si>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</si>
  <si>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</si>
  <si>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</si>
  <si>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</si>
  <si>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</si>
  <si>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</si>
  <si>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</si>
  <si>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</si>
  <si>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</si>
  <si>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</si>
  <si>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</si>
  <si>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</si>
  <si>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</si>
  <si>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</si>
  <si>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</si>
  <si>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</si>
  <si>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</si>
  <si>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</si>
  <si>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</si>
  <si>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</si>
  <si>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</si>
  <si>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</si>
  <si>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</si>
  <si>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</si>
  <si>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</si>
  <si>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</si>
  <si>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</si>
  <si>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</si>
  <si>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</si>
  <si>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</si>
  <si>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</si>
  <si>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</si>
  <si>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</si>
  <si>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</si>
  <si>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</si>
  <si>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</si>
  <si>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</si>
  <si>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</si>
  <si>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</si>
  <si>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</si>
  <si>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</si>
  <si>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</si>
  <si>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</si>
  <si>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</si>
  <si>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</si>
  <si>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</si>
  <si>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</si>
  <si>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</si>
  <si>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</si>
  <si>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</si>
  <si>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</si>
  <si>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</si>
  <si>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</si>
  <si>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</si>
  <si>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</si>
  <si>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</si>
  <si>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</si>
  <si>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</si>
  <si>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</si>
  <si>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</si>
  <si>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</si>
  <si>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</si>
  <si>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</si>
  <si>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</si>
  <si>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</si>
  <si>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</si>
  <si>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</si>
  <si>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</si>
  <si>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</si>
  <si>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</si>
  <si>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</si>
  <si>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</si>
  <si>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</si>
  <si>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</si>
  <si>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</si>
  <si>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</si>
  <si>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</si>
  <si>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</si>
  <si>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</si>
  <si>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</si>
  <si>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</si>
  <si>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</si>
  <si>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</si>
  <si>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</si>
  <si>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</si>
  <si>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</si>
  <si>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</si>
  <si>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</si>
  <si>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</si>
  <si>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</si>
  <si>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</si>
  <si>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</si>
  <si>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</si>
  <si>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</si>
  <si>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</si>
  <si>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</si>
  <si>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</si>
  <si>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</si>
  <si>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</si>
  <si>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</si>
  <si>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</si>
  <si>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</si>
  <si>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</si>
  <si>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</si>
  <si>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</si>
  <si>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</si>
  <si>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</si>
  <si>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</si>
  <si>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</si>
  <si>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</si>
  <si>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</si>
  <si>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</si>
  <si>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</si>
  <si>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</si>
  <si>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</si>
  <si>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</si>
  <si>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</si>
  <si>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</si>
  <si>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</si>
  <si>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</si>
  <si>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</si>
  <si>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</si>
  <si>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</si>
  <si>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</si>
  <si>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</si>
  <si>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</si>
  <si>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</si>
  <si>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</si>
  <si>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</si>
  <si>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</si>
  <si>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</si>
  <si>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</si>
  <si>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</si>
  <si>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</si>
  <si>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</si>
  <si>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</si>
  <si>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</si>
  <si>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</si>
  <si>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</si>
  <si>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</si>
  <si>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</si>
  <si>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</si>
  <si>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</si>
  <si>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</si>
  <si>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</si>
  <si>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</si>
  <si>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</si>
  <si>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</si>
  <si>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</si>
  <si>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</si>
  <si>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</si>
  <si>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</si>
  <si>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</si>
  <si>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</si>
  <si>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</si>
  <si>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</si>
  <si>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</si>
  <si>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</si>
  <si>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</si>
  <si>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</si>
  <si>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</si>
  <si>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</si>
  <si>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</si>
  <si>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</si>
  <si>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</si>
  <si>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</si>
  <si>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</si>
  <si>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</si>
  <si>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</si>
  <si>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</si>
  <si>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45201_1</t>
  </si>
  <si>
    <t>宮崎市</t>
    <rPh sb="0" eb="2">
      <t>ミヤザキ</t>
    </rPh>
    <rPh sb="2" eb="3">
      <t>シ</t>
    </rPh>
    <phoneticPr fontId="1"/>
  </si>
  <si>
    <t>中央東地域自治区</t>
  </si>
  <si>
    <t>45201_2</t>
  </si>
  <si>
    <t>中央西地域自治区</t>
  </si>
  <si>
    <t>45201_3</t>
  </si>
  <si>
    <t>小戸地域自治区</t>
  </si>
  <si>
    <t>45201_4</t>
  </si>
  <si>
    <t>大宮地域自治区</t>
  </si>
  <si>
    <t>45201_5</t>
  </si>
  <si>
    <t>東大宮地域自治区</t>
  </si>
  <si>
    <t>45201_6</t>
  </si>
  <si>
    <t>大淀地域自治区</t>
  </si>
  <si>
    <t>45201_7</t>
  </si>
  <si>
    <t>大塚地域自治区</t>
  </si>
  <si>
    <t>45201_8</t>
  </si>
  <si>
    <t>檍地域自治区</t>
  </si>
  <si>
    <t>45201_9</t>
  </si>
  <si>
    <t>大塚台地域自治区</t>
  </si>
  <si>
    <t>45201_10</t>
  </si>
  <si>
    <t>生目台地域自治区</t>
  </si>
  <si>
    <t>45201_11</t>
  </si>
  <si>
    <t>小松台地域自治区</t>
  </si>
  <si>
    <t>45201_12</t>
  </si>
  <si>
    <t>赤江地域自治区</t>
  </si>
  <si>
    <t>45201_13</t>
  </si>
  <si>
    <t>本郷地域自治区</t>
  </si>
  <si>
    <t>45201_14</t>
  </si>
  <si>
    <t>木花地域自治区</t>
  </si>
  <si>
    <t>45201_15</t>
  </si>
  <si>
    <t>青島地域自治区</t>
  </si>
  <si>
    <t>45201_16</t>
  </si>
  <si>
    <t>住吉地域自治区</t>
  </si>
  <si>
    <t>45201_17</t>
  </si>
  <si>
    <t>生目地域自治区</t>
  </si>
  <si>
    <t>45201_18</t>
  </si>
  <si>
    <t>北地域自治区</t>
  </si>
  <si>
    <t>45201_19</t>
  </si>
  <si>
    <t>佐土原地域自治区</t>
  </si>
  <si>
    <t>45201_20</t>
  </si>
  <si>
    <t>田野地域自治区</t>
  </si>
  <si>
    <t>45201_21</t>
  </si>
  <si>
    <t>高岡地域自治区</t>
  </si>
  <si>
    <t>45201_22</t>
  </si>
  <si>
    <t>清武地域自治区</t>
  </si>
  <si>
    <t>45201_16</t>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</si>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</sst>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1235</c:v>
                </c:pt>
                <c:pt idx="1">
                  <c:v>1380</c:v>
                </c:pt>
                <c:pt idx="2">
                  <c:v>1464</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41503208"/>
        <c:axId val="341501248"/>
      </c:barChart>
      <c:catAx>
        <c:axId val="3415032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1501248"/>
        <c:crosses val="autoZero"/>
        <c:auto val="1"/>
        <c:lblAlgn val="ctr"/>
        <c:lblOffset val="100"/>
        <c:noMultiLvlLbl val="0"/>
      </c:catAx>
      <c:valAx>
        <c:axId val="3415012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15032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651</c:v>
                </c:pt>
                <c:pt idx="1">
                  <c:v>714</c:v>
                </c:pt>
                <c:pt idx="2">
                  <c:v>811</c:v>
                </c:pt>
                <c:pt idx="3">
                  <c:v>838</c:v>
                </c:pt>
                <c:pt idx="4">
                  <c:v>751</c:v>
                </c:pt>
                <c:pt idx="5">
                  <c:v>664</c:v>
                </c:pt>
                <c:pt idx="6">
                  <c:v>636</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41498896"/>
        <c:axId val="341498112"/>
      </c:barChart>
      <c:catAx>
        <c:axId val="3414988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1498112"/>
        <c:crosses val="autoZero"/>
        <c:auto val="1"/>
        <c:lblAlgn val="ctr"/>
        <c:lblOffset val="100"/>
        <c:noMultiLvlLbl val="0"/>
      </c:catAx>
      <c:valAx>
        <c:axId val="3414981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14988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0.21</c:v>
                </c:pt>
                <c:pt idx="1">
                  <c:v>0.25</c:v>
                </c:pt>
                <c:pt idx="2">
                  <c:v>0.28999999999999998</c:v>
                </c:pt>
                <c:pt idx="3">
                  <c:v>0.31</c:v>
                </c:pt>
                <c:pt idx="4">
                  <c:v>0.31</c:v>
                </c:pt>
                <c:pt idx="5">
                  <c:v>0.32</c:v>
                </c:pt>
                <c:pt idx="6">
                  <c:v>0.35</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3576792"/>
        <c:axId val="393581496"/>
      </c:barChart>
      <c:catAx>
        <c:axId val="3935767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581496"/>
        <c:crosses val="autoZero"/>
        <c:auto val="1"/>
        <c:lblAlgn val="ctr"/>
        <c:lblOffset val="100"/>
        <c:noMultiLvlLbl val="0"/>
      </c:catAx>
      <c:valAx>
        <c:axId val="3935814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5767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0.11</c:v>
                </c:pt>
                <c:pt idx="1">
                  <c:v>0.12</c:v>
                </c:pt>
                <c:pt idx="2">
                  <c:v>0.14000000000000001</c:v>
                </c:pt>
                <c:pt idx="3">
                  <c:v>0.18</c:v>
                </c:pt>
                <c:pt idx="4">
                  <c:v>0.21</c:v>
                </c:pt>
                <c:pt idx="5">
                  <c:v>0.22</c:v>
                </c:pt>
                <c:pt idx="6">
                  <c:v>0.21</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3579144"/>
        <c:axId val="393577576"/>
      </c:barChart>
      <c:catAx>
        <c:axId val="3935791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577576"/>
        <c:crosses val="autoZero"/>
        <c:auto val="1"/>
        <c:lblAlgn val="ctr"/>
        <c:lblOffset val="100"/>
        <c:noMultiLvlLbl val="0"/>
      </c:catAx>
      <c:valAx>
        <c:axId val="3935775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5791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033997289701672"/>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20"/>
              <c:layout>
                <c:manualLayout>
                  <c:x val="2.2873809283071174E-4"/>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BE3-4772-B85F-A68E1A79069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444</c:v>
                </c:pt>
                <c:pt idx="1">
                  <c:v>436</c:v>
                </c:pt>
                <c:pt idx="2">
                  <c:v>563</c:v>
                </c:pt>
                <c:pt idx="3">
                  <c:v>923</c:v>
                </c:pt>
                <c:pt idx="4">
                  <c:v>405</c:v>
                </c:pt>
                <c:pt idx="5">
                  <c:v>401</c:v>
                </c:pt>
                <c:pt idx="6">
                  <c:v>387</c:v>
                </c:pt>
                <c:pt idx="7">
                  <c:v>421</c:v>
                </c:pt>
                <c:pt idx="8">
                  <c:v>533</c:v>
                </c:pt>
                <c:pt idx="9">
                  <c:v>702</c:v>
                </c:pt>
                <c:pt idx="10">
                  <c:v>746</c:v>
                </c:pt>
                <c:pt idx="11">
                  <c:v>830</c:v>
                </c:pt>
                <c:pt idx="12">
                  <c:v>574</c:v>
                </c:pt>
                <c:pt idx="13">
                  <c:v>501</c:v>
                </c:pt>
                <c:pt idx="14">
                  <c:v>547</c:v>
                </c:pt>
                <c:pt idx="15">
                  <c:v>623</c:v>
                </c:pt>
                <c:pt idx="16">
                  <c:v>573</c:v>
                </c:pt>
                <c:pt idx="17">
                  <c:v>339</c:v>
                </c:pt>
                <c:pt idx="18">
                  <c:v>140</c:v>
                </c:pt>
                <c:pt idx="19">
                  <c:v>51</c:v>
                </c:pt>
                <c:pt idx="20">
                  <c:v>13</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3580712"/>
        <c:axId val="393583456"/>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411</c:v>
                </c:pt>
                <c:pt idx="1">
                  <c:v>440</c:v>
                </c:pt>
                <c:pt idx="2">
                  <c:v>508</c:v>
                </c:pt>
                <c:pt idx="3">
                  <c:v>693</c:v>
                </c:pt>
                <c:pt idx="4">
                  <c:v>500</c:v>
                </c:pt>
                <c:pt idx="5">
                  <c:v>459</c:v>
                </c:pt>
                <c:pt idx="6">
                  <c:v>456</c:v>
                </c:pt>
                <c:pt idx="7">
                  <c:v>466</c:v>
                </c:pt>
                <c:pt idx="8">
                  <c:v>568</c:v>
                </c:pt>
                <c:pt idx="9">
                  <c:v>726</c:v>
                </c:pt>
                <c:pt idx="10">
                  <c:v>858</c:v>
                </c:pt>
                <c:pt idx="11">
                  <c:v>907</c:v>
                </c:pt>
                <c:pt idx="12">
                  <c:v>629</c:v>
                </c:pt>
                <c:pt idx="13">
                  <c:v>582</c:v>
                </c:pt>
                <c:pt idx="14">
                  <c:v>656</c:v>
                </c:pt>
                <c:pt idx="15">
                  <c:v>823</c:v>
                </c:pt>
                <c:pt idx="16">
                  <c:v>928</c:v>
                </c:pt>
                <c:pt idx="17">
                  <c:v>531</c:v>
                </c:pt>
                <c:pt idx="18">
                  <c:v>339</c:v>
                </c:pt>
                <c:pt idx="19">
                  <c:v>192</c:v>
                </c:pt>
                <c:pt idx="20">
                  <c:v>48</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93579536"/>
        <c:axId val="393583848"/>
      </c:barChart>
      <c:catAx>
        <c:axId val="3935807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583456"/>
        <c:crosses val="autoZero"/>
        <c:auto val="1"/>
        <c:lblAlgn val="ctr"/>
        <c:lblOffset val="100"/>
        <c:noMultiLvlLbl val="0"/>
      </c:catAx>
      <c:valAx>
        <c:axId val="39358345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580712"/>
        <c:crosses val="autoZero"/>
        <c:crossBetween val="between"/>
        <c:majorUnit val="500"/>
      </c:valAx>
      <c:valAx>
        <c:axId val="393583848"/>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579536"/>
        <c:crosses val="max"/>
        <c:crossBetween val="between"/>
        <c:majorUnit val="500"/>
      </c:valAx>
      <c:catAx>
        <c:axId val="393579536"/>
        <c:scaling>
          <c:orientation val="minMax"/>
        </c:scaling>
        <c:delete val="1"/>
        <c:axPos val="l"/>
        <c:numFmt formatCode="General" sourceLinked="1"/>
        <c:majorTickMark val="out"/>
        <c:minorTickMark val="none"/>
        <c:tickLblPos val="nextTo"/>
        <c:crossAx val="39358384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20"/>
              <c:layout>
                <c:manualLayout>
                  <c:x val="-3.0067106270309095E-3"/>
                  <c:y val="-3.29862234008149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9B8-49D0-A280-2477C6ADE05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462</c:v>
                </c:pt>
                <c:pt idx="1">
                  <c:v>453</c:v>
                </c:pt>
                <c:pt idx="2">
                  <c:v>508</c:v>
                </c:pt>
                <c:pt idx="3">
                  <c:v>703</c:v>
                </c:pt>
                <c:pt idx="4">
                  <c:v>332</c:v>
                </c:pt>
                <c:pt idx="5">
                  <c:v>466</c:v>
                </c:pt>
                <c:pt idx="6">
                  <c:v>503</c:v>
                </c:pt>
                <c:pt idx="7">
                  <c:v>464</c:v>
                </c:pt>
                <c:pt idx="8">
                  <c:v>430</c:v>
                </c:pt>
                <c:pt idx="9">
                  <c:v>420</c:v>
                </c:pt>
                <c:pt idx="10">
                  <c:v>531</c:v>
                </c:pt>
                <c:pt idx="11">
                  <c:v>712</c:v>
                </c:pt>
                <c:pt idx="12">
                  <c:v>734</c:v>
                </c:pt>
                <c:pt idx="13">
                  <c:v>809</c:v>
                </c:pt>
                <c:pt idx="14">
                  <c:v>526</c:v>
                </c:pt>
                <c:pt idx="15">
                  <c:v>426</c:v>
                </c:pt>
                <c:pt idx="16">
                  <c:v>444</c:v>
                </c:pt>
                <c:pt idx="17">
                  <c:v>402</c:v>
                </c:pt>
                <c:pt idx="18">
                  <c:v>238</c:v>
                </c:pt>
                <c:pt idx="19">
                  <c:v>77</c:v>
                </c:pt>
                <c:pt idx="20">
                  <c:v>17</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393582672"/>
        <c:axId val="393579928"/>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428</c:v>
                </c:pt>
                <c:pt idx="1">
                  <c:v>457</c:v>
                </c:pt>
                <c:pt idx="2">
                  <c:v>458</c:v>
                </c:pt>
                <c:pt idx="3">
                  <c:v>546</c:v>
                </c:pt>
                <c:pt idx="4">
                  <c:v>408</c:v>
                </c:pt>
                <c:pt idx="5">
                  <c:v>496</c:v>
                </c:pt>
                <c:pt idx="6">
                  <c:v>553</c:v>
                </c:pt>
                <c:pt idx="7">
                  <c:v>503</c:v>
                </c:pt>
                <c:pt idx="8">
                  <c:v>477</c:v>
                </c:pt>
                <c:pt idx="9">
                  <c:v>480</c:v>
                </c:pt>
                <c:pt idx="10">
                  <c:v>591</c:v>
                </c:pt>
                <c:pt idx="11">
                  <c:v>747</c:v>
                </c:pt>
                <c:pt idx="12">
                  <c:v>859</c:v>
                </c:pt>
                <c:pt idx="13">
                  <c:v>863</c:v>
                </c:pt>
                <c:pt idx="14">
                  <c:v>609</c:v>
                </c:pt>
                <c:pt idx="15">
                  <c:v>588</c:v>
                </c:pt>
                <c:pt idx="16">
                  <c:v>653</c:v>
                </c:pt>
                <c:pt idx="17">
                  <c:v>733</c:v>
                </c:pt>
                <c:pt idx="18">
                  <c:v>652</c:v>
                </c:pt>
                <c:pt idx="19">
                  <c:v>226</c:v>
                </c:pt>
                <c:pt idx="20">
                  <c:v>54</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393581888"/>
        <c:axId val="393580320"/>
      </c:barChart>
      <c:catAx>
        <c:axId val="3935826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579928"/>
        <c:crosses val="autoZero"/>
        <c:auto val="1"/>
        <c:lblAlgn val="ctr"/>
        <c:lblOffset val="100"/>
        <c:noMultiLvlLbl val="0"/>
      </c:catAx>
      <c:valAx>
        <c:axId val="393579928"/>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582672"/>
        <c:crosses val="autoZero"/>
        <c:crossBetween val="between"/>
        <c:majorUnit val="500"/>
      </c:valAx>
      <c:valAx>
        <c:axId val="393580320"/>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581888"/>
        <c:crosses val="max"/>
        <c:crossBetween val="between"/>
        <c:majorUnit val="500"/>
      </c:valAx>
      <c:catAx>
        <c:axId val="393581888"/>
        <c:scaling>
          <c:orientation val="minMax"/>
        </c:scaling>
        <c:delete val="1"/>
        <c:axPos val="l"/>
        <c:numFmt formatCode="General" sourceLinked="1"/>
        <c:majorTickMark val="out"/>
        <c:minorTickMark val="none"/>
        <c:tickLblPos val="nextTo"/>
        <c:crossAx val="3935803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21042</c:v>
                </c:pt>
                <c:pt idx="1">
                  <c:v>21671</c:v>
                </c:pt>
                <c:pt idx="2">
                  <c:v>22026</c:v>
                </c:pt>
                <c:pt idx="3">
                  <c:v>22108</c:v>
                </c:pt>
                <c:pt idx="4">
                  <c:v>21872</c:v>
                </c:pt>
                <c:pt idx="5">
                  <c:v>21484</c:v>
                </c:pt>
                <c:pt idx="6">
                  <c:v>21038</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1A38-47FB-85AC-5FAD4BD08AAE}"/>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1A38-47FB-85AC-5FAD4BD08AAE}"/>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1A38-47FB-85AC-5FAD4BD08AAE}"/>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1A38-47FB-85AC-5FAD4BD08AA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22117</c:v>
                </c:pt>
                <c:pt idx="4" formatCode="#,##0_);[Red]\(#,##0\)">
                  <c:v>21892</c:v>
                </c:pt>
                <c:pt idx="5" formatCode="#,##0_);[Red]\(#,##0\)">
                  <c:v>21518</c:v>
                </c:pt>
                <c:pt idx="6" formatCode="#,##0_);[Red]\(#,##0\)">
                  <c:v>21084</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393582280"/>
        <c:axId val="393577968"/>
      </c:barChart>
      <c:catAx>
        <c:axId val="3935822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577968"/>
        <c:crosses val="autoZero"/>
        <c:auto val="1"/>
        <c:lblAlgn val="ctr"/>
        <c:lblOffset val="100"/>
        <c:noMultiLvlLbl val="0"/>
      </c:catAx>
      <c:valAx>
        <c:axId val="3935779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582280"/>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1235</c:v>
                </c:pt>
                <c:pt idx="1">
                  <c:v>1380</c:v>
                </c:pt>
                <c:pt idx="2">
                  <c:v>1464</c:v>
                </c:pt>
                <c:pt idx="3">
                  <c:v>1332</c:v>
                </c:pt>
                <c:pt idx="4">
                  <c:v>1168</c:v>
                </c:pt>
                <c:pt idx="5">
                  <c:v>1106</c:v>
                </c:pt>
                <c:pt idx="6">
                  <c:v>1126</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1333</c:v>
                </c:pt>
                <c:pt idx="4">
                  <c:v>1171</c:v>
                </c:pt>
                <c:pt idx="5">
                  <c:v>1111</c:v>
                </c:pt>
                <c:pt idx="6">
                  <c:v>1133</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393578752"/>
        <c:axId val="455127184"/>
      </c:barChart>
      <c:catAx>
        <c:axId val="393578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127184"/>
        <c:crosses val="autoZero"/>
        <c:auto val="1"/>
        <c:lblAlgn val="ctr"/>
        <c:lblOffset val="100"/>
        <c:noMultiLvlLbl val="0"/>
      </c:catAx>
      <c:valAx>
        <c:axId val="4551271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578752"/>
        <c:crosses val="autoZero"/>
        <c:crossBetween val="between"/>
      </c:valAx>
      <c:spPr>
        <a:noFill/>
        <a:ln>
          <a:noFill/>
        </a:ln>
        <a:effectLst/>
      </c:spPr>
    </c:plotArea>
    <c:legend>
      <c:legendPos val="t"/>
      <c:layout>
        <c:manualLayout>
          <c:xMode val="edge"/>
          <c:yMode val="edge"/>
          <c:x val="5.5207664058325827E-2"/>
          <c:y val="0.14774313634248487"/>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0.21</c:v>
                </c:pt>
                <c:pt idx="1">
                  <c:v>0.25</c:v>
                </c:pt>
                <c:pt idx="2">
                  <c:v>0.28999999999999998</c:v>
                </c:pt>
                <c:pt idx="3">
                  <c:v>0.31</c:v>
                </c:pt>
                <c:pt idx="4">
                  <c:v>0.31</c:v>
                </c:pt>
                <c:pt idx="5">
                  <c:v>0.32</c:v>
                </c:pt>
                <c:pt idx="6">
                  <c:v>0.35</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D47D-4867-B965-CEF7351CD592}"/>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D47D-4867-B965-CEF7351CD592}"/>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D47D-4867-B965-CEF7351CD592}"/>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D47D-4867-B965-CEF7351CD59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0.31</c:v>
                </c:pt>
                <c:pt idx="4" formatCode="0%">
                  <c:v>0.31</c:v>
                </c:pt>
                <c:pt idx="5" formatCode="0%">
                  <c:v>0.32</c:v>
                </c:pt>
                <c:pt idx="6" formatCode="0%">
                  <c:v>0.35</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5130712"/>
        <c:axId val="455125224"/>
      </c:barChart>
      <c:catAx>
        <c:axId val="4551307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125224"/>
        <c:crosses val="autoZero"/>
        <c:auto val="1"/>
        <c:lblAlgn val="ctr"/>
        <c:lblOffset val="100"/>
        <c:noMultiLvlLbl val="0"/>
      </c:catAx>
      <c:valAx>
        <c:axId val="4551252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13071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0.11</c:v>
                </c:pt>
                <c:pt idx="1">
                  <c:v>0.12</c:v>
                </c:pt>
                <c:pt idx="2">
                  <c:v>0.14000000000000001</c:v>
                </c:pt>
                <c:pt idx="3">
                  <c:v>0.18</c:v>
                </c:pt>
                <c:pt idx="4">
                  <c:v>0.21</c:v>
                </c:pt>
                <c:pt idx="5">
                  <c:v>0.22</c:v>
                </c:pt>
                <c:pt idx="6">
                  <c:v>0.21</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A4DF-4A01-8DCF-E416BE462239}"/>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A4DF-4A01-8DCF-E416BE462239}"/>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A4DF-4A01-8DCF-E416BE462239}"/>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DF-4A01-8DCF-E416BE46223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0.18</c:v>
                </c:pt>
                <c:pt idx="4" formatCode="0%">
                  <c:v>0.21</c:v>
                </c:pt>
                <c:pt idx="5" formatCode="0%">
                  <c:v>0.22</c:v>
                </c:pt>
                <c:pt idx="6" formatCode="0%">
                  <c:v>0.21</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5126400"/>
        <c:axId val="455127576"/>
      </c:barChart>
      <c:catAx>
        <c:axId val="4551264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127576"/>
        <c:crosses val="autoZero"/>
        <c:auto val="1"/>
        <c:lblAlgn val="ctr"/>
        <c:lblOffset val="100"/>
        <c:noMultiLvlLbl val="0"/>
      </c:catAx>
      <c:valAx>
        <c:axId val="4551275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12640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651</c:v>
                </c:pt>
                <c:pt idx="1">
                  <c:v>714</c:v>
                </c:pt>
                <c:pt idx="2">
                  <c:v>811</c:v>
                </c:pt>
                <c:pt idx="3">
                  <c:v>838</c:v>
                </c:pt>
                <c:pt idx="4">
                  <c:v>751</c:v>
                </c:pt>
                <c:pt idx="5">
                  <c:v>664</c:v>
                </c:pt>
                <c:pt idx="6">
                  <c:v>636</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839</c:v>
                </c:pt>
                <c:pt idx="4">
                  <c:v>753</c:v>
                </c:pt>
                <c:pt idx="5">
                  <c:v>666</c:v>
                </c:pt>
                <c:pt idx="6">
                  <c:v>640</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5132280"/>
        <c:axId val="455129144"/>
      </c:barChart>
      <c:catAx>
        <c:axId val="4551322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129144"/>
        <c:crosses val="autoZero"/>
        <c:auto val="1"/>
        <c:lblAlgn val="ctr"/>
        <c:lblOffset val="100"/>
        <c:noMultiLvlLbl val="0"/>
      </c:catAx>
      <c:valAx>
        <c:axId val="4551291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132280"/>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651</c:v>
                </c:pt>
                <c:pt idx="1">
                  <c:v>714</c:v>
                </c:pt>
                <c:pt idx="2">
                  <c:v>811</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41496152"/>
        <c:axId val="341498504"/>
      </c:barChart>
      <c:catAx>
        <c:axId val="341496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1498504"/>
        <c:crosses val="autoZero"/>
        <c:auto val="1"/>
        <c:lblAlgn val="ctr"/>
        <c:lblOffset val="100"/>
        <c:noMultiLvlLbl val="0"/>
      </c:catAx>
      <c:valAx>
        <c:axId val="3414985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14961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20"/>
              <c:layout>
                <c:manualLayout>
                  <c:x val="-2.6561641811360969E-3"/>
                  <c:y val="-1.2709136789074717E-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6ED-4205-BF13-899B03C5AD2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446</c:v>
                </c:pt>
                <c:pt idx="1">
                  <c:v>437</c:v>
                </c:pt>
                <c:pt idx="2">
                  <c:v>564</c:v>
                </c:pt>
                <c:pt idx="3">
                  <c:v>924</c:v>
                </c:pt>
                <c:pt idx="4">
                  <c:v>405</c:v>
                </c:pt>
                <c:pt idx="5">
                  <c:v>403</c:v>
                </c:pt>
                <c:pt idx="6">
                  <c:v>389</c:v>
                </c:pt>
                <c:pt idx="7">
                  <c:v>421</c:v>
                </c:pt>
                <c:pt idx="8">
                  <c:v>533</c:v>
                </c:pt>
                <c:pt idx="9">
                  <c:v>702</c:v>
                </c:pt>
                <c:pt idx="10">
                  <c:v>746</c:v>
                </c:pt>
                <c:pt idx="11">
                  <c:v>830</c:v>
                </c:pt>
                <c:pt idx="12">
                  <c:v>574</c:v>
                </c:pt>
                <c:pt idx="13">
                  <c:v>501</c:v>
                </c:pt>
                <c:pt idx="14">
                  <c:v>547</c:v>
                </c:pt>
                <c:pt idx="15">
                  <c:v>623</c:v>
                </c:pt>
                <c:pt idx="16">
                  <c:v>573</c:v>
                </c:pt>
                <c:pt idx="17">
                  <c:v>339</c:v>
                </c:pt>
                <c:pt idx="18">
                  <c:v>140</c:v>
                </c:pt>
                <c:pt idx="19">
                  <c:v>51</c:v>
                </c:pt>
                <c:pt idx="20">
                  <c:v>13</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5128752"/>
        <c:axId val="455131888"/>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413</c:v>
                </c:pt>
                <c:pt idx="1">
                  <c:v>441</c:v>
                </c:pt>
                <c:pt idx="2">
                  <c:v>509</c:v>
                </c:pt>
                <c:pt idx="3">
                  <c:v>694</c:v>
                </c:pt>
                <c:pt idx="4">
                  <c:v>500</c:v>
                </c:pt>
                <c:pt idx="5">
                  <c:v>461</c:v>
                </c:pt>
                <c:pt idx="6">
                  <c:v>458</c:v>
                </c:pt>
                <c:pt idx="7">
                  <c:v>466</c:v>
                </c:pt>
                <c:pt idx="8">
                  <c:v>569</c:v>
                </c:pt>
                <c:pt idx="9">
                  <c:v>727</c:v>
                </c:pt>
                <c:pt idx="10">
                  <c:v>858</c:v>
                </c:pt>
                <c:pt idx="11">
                  <c:v>907</c:v>
                </c:pt>
                <c:pt idx="12">
                  <c:v>629</c:v>
                </c:pt>
                <c:pt idx="13">
                  <c:v>582</c:v>
                </c:pt>
                <c:pt idx="14">
                  <c:v>656</c:v>
                </c:pt>
                <c:pt idx="15">
                  <c:v>823</c:v>
                </c:pt>
                <c:pt idx="16">
                  <c:v>928</c:v>
                </c:pt>
                <c:pt idx="17">
                  <c:v>531</c:v>
                </c:pt>
                <c:pt idx="18">
                  <c:v>339</c:v>
                </c:pt>
                <c:pt idx="19">
                  <c:v>192</c:v>
                </c:pt>
                <c:pt idx="20">
                  <c:v>48</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5129928"/>
        <c:axId val="455129536"/>
      </c:barChart>
      <c:catAx>
        <c:axId val="4551287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131888"/>
        <c:crosses val="autoZero"/>
        <c:auto val="1"/>
        <c:lblAlgn val="ctr"/>
        <c:lblOffset val="100"/>
        <c:noMultiLvlLbl val="0"/>
      </c:catAx>
      <c:valAx>
        <c:axId val="455131888"/>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128752"/>
        <c:crosses val="autoZero"/>
        <c:crossBetween val="between"/>
        <c:majorUnit val="500"/>
      </c:valAx>
      <c:valAx>
        <c:axId val="455129536"/>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129928"/>
        <c:crosses val="max"/>
        <c:crossBetween val="between"/>
        <c:majorUnit val="500"/>
      </c:valAx>
      <c:catAx>
        <c:axId val="455129928"/>
        <c:scaling>
          <c:orientation val="minMax"/>
        </c:scaling>
        <c:delete val="1"/>
        <c:axPos val="l"/>
        <c:numFmt formatCode="General" sourceLinked="1"/>
        <c:majorTickMark val="out"/>
        <c:minorTickMark val="none"/>
        <c:tickLblPos val="nextTo"/>
        <c:crossAx val="45512953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20"/>
              <c:layout>
                <c:manualLayout>
                  <c:x val="-2.6561641811360969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9FF-4D24-A952-3A987EE2543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465</c:v>
                </c:pt>
                <c:pt idx="1">
                  <c:v>456</c:v>
                </c:pt>
                <c:pt idx="2">
                  <c:v>511</c:v>
                </c:pt>
                <c:pt idx="3">
                  <c:v>706</c:v>
                </c:pt>
                <c:pt idx="4">
                  <c:v>333</c:v>
                </c:pt>
                <c:pt idx="5">
                  <c:v>468</c:v>
                </c:pt>
                <c:pt idx="6">
                  <c:v>505</c:v>
                </c:pt>
                <c:pt idx="7">
                  <c:v>466</c:v>
                </c:pt>
                <c:pt idx="8">
                  <c:v>432</c:v>
                </c:pt>
                <c:pt idx="9">
                  <c:v>420</c:v>
                </c:pt>
                <c:pt idx="10">
                  <c:v>531</c:v>
                </c:pt>
                <c:pt idx="11">
                  <c:v>712</c:v>
                </c:pt>
                <c:pt idx="12">
                  <c:v>734</c:v>
                </c:pt>
                <c:pt idx="13">
                  <c:v>809</c:v>
                </c:pt>
                <c:pt idx="14">
                  <c:v>526</c:v>
                </c:pt>
                <c:pt idx="15">
                  <c:v>426</c:v>
                </c:pt>
                <c:pt idx="16">
                  <c:v>444</c:v>
                </c:pt>
                <c:pt idx="17">
                  <c:v>402</c:v>
                </c:pt>
                <c:pt idx="18">
                  <c:v>238</c:v>
                </c:pt>
                <c:pt idx="19">
                  <c:v>77</c:v>
                </c:pt>
                <c:pt idx="20">
                  <c:v>17</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5131496"/>
        <c:axId val="455124832"/>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431</c:v>
                </c:pt>
                <c:pt idx="1">
                  <c:v>460</c:v>
                </c:pt>
                <c:pt idx="2">
                  <c:v>461</c:v>
                </c:pt>
                <c:pt idx="3">
                  <c:v>549</c:v>
                </c:pt>
                <c:pt idx="4">
                  <c:v>409</c:v>
                </c:pt>
                <c:pt idx="5">
                  <c:v>498</c:v>
                </c:pt>
                <c:pt idx="6">
                  <c:v>555</c:v>
                </c:pt>
                <c:pt idx="7">
                  <c:v>505</c:v>
                </c:pt>
                <c:pt idx="8">
                  <c:v>480</c:v>
                </c:pt>
                <c:pt idx="9">
                  <c:v>481</c:v>
                </c:pt>
                <c:pt idx="10">
                  <c:v>592</c:v>
                </c:pt>
                <c:pt idx="11">
                  <c:v>748</c:v>
                </c:pt>
                <c:pt idx="12">
                  <c:v>859</c:v>
                </c:pt>
                <c:pt idx="13">
                  <c:v>863</c:v>
                </c:pt>
                <c:pt idx="14">
                  <c:v>609</c:v>
                </c:pt>
                <c:pt idx="15">
                  <c:v>588</c:v>
                </c:pt>
                <c:pt idx="16">
                  <c:v>653</c:v>
                </c:pt>
                <c:pt idx="17">
                  <c:v>733</c:v>
                </c:pt>
                <c:pt idx="18">
                  <c:v>652</c:v>
                </c:pt>
                <c:pt idx="19">
                  <c:v>226</c:v>
                </c:pt>
                <c:pt idx="20">
                  <c:v>54</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5126008"/>
        <c:axId val="455125616"/>
      </c:barChart>
      <c:catAx>
        <c:axId val="4551314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124832"/>
        <c:crosses val="autoZero"/>
        <c:auto val="1"/>
        <c:lblAlgn val="ctr"/>
        <c:lblOffset val="100"/>
        <c:noMultiLvlLbl val="0"/>
      </c:catAx>
      <c:valAx>
        <c:axId val="455124832"/>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131496"/>
        <c:crosses val="autoZero"/>
        <c:crossBetween val="between"/>
        <c:majorUnit val="500"/>
      </c:valAx>
      <c:valAx>
        <c:axId val="455125616"/>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126008"/>
        <c:crosses val="max"/>
        <c:crossBetween val="between"/>
        <c:majorUnit val="500"/>
      </c:valAx>
      <c:catAx>
        <c:axId val="455126008"/>
        <c:scaling>
          <c:orientation val="minMax"/>
        </c:scaling>
        <c:delete val="1"/>
        <c:axPos val="l"/>
        <c:numFmt formatCode="General" sourceLinked="1"/>
        <c:majorTickMark val="out"/>
        <c:minorTickMark val="none"/>
        <c:tickLblPos val="nextTo"/>
        <c:crossAx val="4551256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855</c:v>
                </c:pt>
                <c:pt idx="1">
                  <c:v>876</c:v>
                </c:pt>
                <c:pt idx="2">
                  <c:v>1071</c:v>
                </c:pt>
                <c:pt idx="3">
                  <c:v>1616</c:v>
                </c:pt>
                <c:pt idx="4">
                  <c:v>905</c:v>
                </c:pt>
                <c:pt idx="5">
                  <c:v>860</c:v>
                </c:pt>
                <c:pt idx="6">
                  <c:v>843</c:v>
                </c:pt>
                <c:pt idx="7">
                  <c:v>887</c:v>
                </c:pt>
                <c:pt idx="8">
                  <c:v>1101</c:v>
                </c:pt>
                <c:pt idx="9">
                  <c:v>1428</c:v>
                </c:pt>
                <c:pt idx="10">
                  <c:v>1604</c:v>
                </c:pt>
                <c:pt idx="11">
                  <c:v>1737</c:v>
                </c:pt>
                <c:pt idx="12">
                  <c:v>1203</c:v>
                </c:pt>
                <c:pt idx="13">
                  <c:v>1083</c:v>
                </c:pt>
                <c:pt idx="14">
                  <c:v>1203</c:v>
                </c:pt>
                <c:pt idx="15">
                  <c:v>1446</c:v>
                </c:pt>
                <c:pt idx="16">
                  <c:v>1501</c:v>
                </c:pt>
                <c:pt idx="17">
                  <c:v>870</c:v>
                </c:pt>
                <c:pt idx="18">
                  <c:v>479</c:v>
                </c:pt>
                <c:pt idx="19">
                  <c:v>243</c:v>
                </c:pt>
                <c:pt idx="20">
                  <c:v>61</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5465656"/>
        <c:axId val="455466048"/>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859</c:v>
                </c:pt>
                <c:pt idx="1">
                  <c:v>878</c:v>
                </c:pt>
                <c:pt idx="2">
                  <c:v>1073</c:v>
                </c:pt>
                <c:pt idx="3">
                  <c:v>1618</c:v>
                </c:pt>
                <c:pt idx="4">
                  <c:v>905</c:v>
                </c:pt>
                <c:pt idx="5">
                  <c:v>864</c:v>
                </c:pt>
                <c:pt idx="6">
                  <c:v>847</c:v>
                </c:pt>
                <c:pt idx="7">
                  <c:v>887</c:v>
                </c:pt>
                <c:pt idx="8">
                  <c:v>1102</c:v>
                </c:pt>
                <c:pt idx="9">
                  <c:v>1429</c:v>
                </c:pt>
                <c:pt idx="10">
                  <c:v>1604</c:v>
                </c:pt>
                <c:pt idx="11">
                  <c:v>1737</c:v>
                </c:pt>
                <c:pt idx="12">
                  <c:v>1203</c:v>
                </c:pt>
                <c:pt idx="13">
                  <c:v>1083</c:v>
                </c:pt>
                <c:pt idx="14">
                  <c:v>1203</c:v>
                </c:pt>
                <c:pt idx="15">
                  <c:v>1446</c:v>
                </c:pt>
                <c:pt idx="16">
                  <c:v>1501</c:v>
                </c:pt>
                <c:pt idx="17">
                  <c:v>870</c:v>
                </c:pt>
                <c:pt idx="18">
                  <c:v>479</c:v>
                </c:pt>
                <c:pt idx="19">
                  <c:v>243</c:v>
                </c:pt>
                <c:pt idx="20">
                  <c:v>61</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5462128"/>
        <c:axId val="455460952"/>
      </c:barChart>
      <c:catAx>
        <c:axId val="45546565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66048"/>
        <c:crosses val="autoZero"/>
        <c:auto val="1"/>
        <c:lblAlgn val="ctr"/>
        <c:lblOffset val="100"/>
        <c:noMultiLvlLbl val="0"/>
      </c:catAx>
      <c:valAx>
        <c:axId val="455466048"/>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65656"/>
        <c:crosses val="autoZero"/>
        <c:crossBetween val="between"/>
        <c:majorUnit val="1000"/>
      </c:valAx>
      <c:valAx>
        <c:axId val="455460952"/>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62128"/>
        <c:crosses val="max"/>
        <c:crossBetween val="between"/>
        <c:majorUnit val="1000"/>
      </c:valAx>
      <c:catAx>
        <c:axId val="455462128"/>
        <c:scaling>
          <c:orientation val="minMax"/>
        </c:scaling>
        <c:delete val="1"/>
        <c:axPos val="l"/>
        <c:numFmt formatCode="General" sourceLinked="1"/>
        <c:majorTickMark val="out"/>
        <c:minorTickMark val="none"/>
        <c:tickLblPos val="nextTo"/>
        <c:crossAx val="455460952"/>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890</c:v>
                </c:pt>
                <c:pt idx="1">
                  <c:v>910</c:v>
                </c:pt>
                <c:pt idx="2">
                  <c:v>966</c:v>
                </c:pt>
                <c:pt idx="3">
                  <c:v>1249</c:v>
                </c:pt>
                <c:pt idx="4">
                  <c:v>740</c:v>
                </c:pt>
                <c:pt idx="5">
                  <c:v>962</c:v>
                </c:pt>
                <c:pt idx="6">
                  <c:v>1056</c:v>
                </c:pt>
                <c:pt idx="7">
                  <c:v>967</c:v>
                </c:pt>
                <c:pt idx="8">
                  <c:v>907</c:v>
                </c:pt>
                <c:pt idx="9">
                  <c:v>900</c:v>
                </c:pt>
                <c:pt idx="10">
                  <c:v>1122</c:v>
                </c:pt>
                <c:pt idx="11">
                  <c:v>1459</c:v>
                </c:pt>
                <c:pt idx="12">
                  <c:v>1593</c:v>
                </c:pt>
                <c:pt idx="13">
                  <c:v>1672</c:v>
                </c:pt>
                <c:pt idx="14">
                  <c:v>1135</c:v>
                </c:pt>
                <c:pt idx="15">
                  <c:v>1014</c:v>
                </c:pt>
                <c:pt idx="16">
                  <c:v>1097</c:v>
                </c:pt>
                <c:pt idx="17">
                  <c:v>1135</c:v>
                </c:pt>
                <c:pt idx="18">
                  <c:v>890</c:v>
                </c:pt>
                <c:pt idx="19">
                  <c:v>303</c:v>
                </c:pt>
                <c:pt idx="20">
                  <c:v>71</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5463304"/>
        <c:axId val="455460168"/>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896</c:v>
                </c:pt>
                <c:pt idx="1">
                  <c:v>916</c:v>
                </c:pt>
                <c:pt idx="2">
                  <c:v>972</c:v>
                </c:pt>
                <c:pt idx="3">
                  <c:v>1255</c:v>
                </c:pt>
                <c:pt idx="4">
                  <c:v>742</c:v>
                </c:pt>
                <c:pt idx="5">
                  <c:v>966</c:v>
                </c:pt>
                <c:pt idx="6">
                  <c:v>1060</c:v>
                </c:pt>
                <c:pt idx="7">
                  <c:v>971</c:v>
                </c:pt>
                <c:pt idx="8">
                  <c:v>912</c:v>
                </c:pt>
                <c:pt idx="9">
                  <c:v>901</c:v>
                </c:pt>
                <c:pt idx="10">
                  <c:v>1123</c:v>
                </c:pt>
                <c:pt idx="11">
                  <c:v>1460</c:v>
                </c:pt>
                <c:pt idx="12">
                  <c:v>1593</c:v>
                </c:pt>
                <c:pt idx="13">
                  <c:v>1672</c:v>
                </c:pt>
                <c:pt idx="14">
                  <c:v>1135</c:v>
                </c:pt>
                <c:pt idx="15">
                  <c:v>1014</c:v>
                </c:pt>
                <c:pt idx="16">
                  <c:v>1097</c:v>
                </c:pt>
                <c:pt idx="17">
                  <c:v>1135</c:v>
                </c:pt>
                <c:pt idx="18">
                  <c:v>890</c:v>
                </c:pt>
                <c:pt idx="19">
                  <c:v>303</c:v>
                </c:pt>
                <c:pt idx="20">
                  <c:v>71</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5460560"/>
        <c:axId val="455466440"/>
      </c:barChart>
      <c:catAx>
        <c:axId val="4554633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60168"/>
        <c:crosses val="autoZero"/>
        <c:auto val="1"/>
        <c:lblAlgn val="ctr"/>
        <c:lblOffset val="100"/>
        <c:noMultiLvlLbl val="0"/>
      </c:catAx>
      <c:valAx>
        <c:axId val="455460168"/>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63304"/>
        <c:crosses val="autoZero"/>
        <c:crossBetween val="between"/>
        <c:majorUnit val="1000"/>
      </c:valAx>
      <c:valAx>
        <c:axId val="455466440"/>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60560"/>
        <c:crosses val="max"/>
        <c:crossBetween val="between"/>
        <c:majorUnit val="1000"/>
      </c:valAx>
      <c:catAx>
        <c:axId val="455460560"/>
        <c:scaling>
          <c:orientation val="minMax"/>
        </c:scaling>
        <c:delete val="1"/>
        <c:axPos val="l"/>
        <c:numFmt formatCode="General" sourceLinked="1"/>
        <c:majorTickMark val="out"/>
        <c:minorTickMark val="none"/>
        <c:tickLblPos val="nextTo"/>
        <c:crossAx val="455466440"/>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住吉地域自治区</c:v>
                </c:pt>
              </c:strCache>
            </c:strRef>
          </c:cat>
          <c:val>
            <c:numRef>
              <c:f>管理者用地域特徴シート!$H$3:$H$5</c:f>
              <c:numCache>
                <c:formatCode>0.0%</c:formatCode>
                <c:ptCount val="3"/>
                <c:pt idx="0">
                  <c:v>0.46108733927332846</c:v>
                </c:pt>
                <c:pt idx="1">
                  <c:v>0.38017324874035541</c:v>
                </c:pt>
                <c:pt idx="2">
                  <c:v>0.41133203080105735</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5461344"/>
        <c:axId val="455462520"/>
      </c:barChart>
      <c:catAx>
        <c:axId val="4554613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62520"/>
        <c:crosses val="autoZero"/>
        <c:auto val="1"/>
        <c:lblAlgn val="ctr"/>
        <c:lblOffset val="100"/>
        <c:noMultiLvlLbl val="0"/>
      </c:catAx>
      <c:valAx>
        <c:axId val="45546252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613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住吉地域自治区</c:v>
                </c:pt>
              </c:strCache>
            </c:strRef>
          </c:cat>
          <c:val>
            <c:numRef>
              <c:f>管理者用地域特徴シート!$J$3:$J$5</c:f>
              <c:numCache>
                <c:formatCode>0.0%</c:formatCode>
                <c:ptCount val="3"/>
                <c:pt idx="0">
                  <c:v>0.15075281438403673</c:v>
                </c:pt>
                <c:pt idx="1">
                  <c:v>0.12415252853924759</c:v>
                </c:pt>
                <c:pt idx="2">
                  <c:v>0.11423974255832663</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5462912"/>
        <c:axId val="455463696"/>
      </c:barChart>
      <c:catAx>
        <c:axId val="4554629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63696"/>
        <c:crosses val="autoZero"/>
        <c:auto val="1"/>
        <c:lblAlgn val="ctr"/>
        <c:lblOffset val="100"/>
        <c:noMultiLvlLbl val="0"/>
      </c:catAx>
      <c:valAx>
        <c:axId val="45546369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629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住吉地域自治区</c:v>
                </c:pt>
              </c:strCache>
            </c:strRef>
          </c:cat>
          <c:val>
            <c:numRef>
              <c:f>管理者用地域特徴シート!$P$3:$P$5</c:f>
              <c:numCache>
                <c:formatCode>0.0%</c:formatCode>
                <c:ptCount val="3"/>
                <c:pt idx="0">
                  <c:v>0.34758352842621743</c:v>
                </c:pt>
                <c:pt idx="1">
                  <c:v>0.36739016143459768</c:v>
                </c:pt>
                <c:pt idx="2">
                  <c:v>0.37616345062429057</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5464480"/>
        <c:axId val="455464872"/>
      </c:barChart>
      <c:catAx>
        <c:axId val="4554644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64872"/>
        <c:crosses val="autoZero"/>
        <c:auto val="1"/>
        <c:lblAlgn val="ctr"/>
        <c:lblOffset val="100"/>
        <c:noMultiLvlLbl val="0"/>
      </c:catAx>
      <c:valAx>
        <c:axId val="45546487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644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住吉地域自治区</c:v>
                </c:pt>
              </c:strCache>
            </c:strRef>
          </c:cat>
          <c:val>
            <c:numRef>
              <c:f>管理者用地域特徴シート!$AO$3:$AO$5</c:f>
              <c:numCache>
                <c:formatCode>0.0%</c:formatCode>
                <c:ptCount val="3"/>
                <c:pt idx="0">
                  <c:v>0.5259093009439566</c:v>
                </c:pt>
                <c:pt idx="1">
                  <c:v>0.52382956571820971</c:v>
                </c:pt>
                <c:pt idx="2">
                  <c:v>0.53418632546981204</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6060728"/>
        <c:axId val="456061904"/>
      </c:barChart>
      <c:catAx>
        <c:axId val="4560607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061904"/>
        <c:crosses val="autoZero"/>
        <c:auto val="1"/>
        <c:lblAlgn val="ctr"/>
        <c:lblOffset val="100"/>
        <c:noMultiLvlLbl val="0"/>
      </c:catAx>
      <c:valAx>
        <c:axId val="45606190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06072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住吉地域自治区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6.8617455138662312E-2</c:v>
                </c:pt>
                <c:pt idx="1">
                  <c:v>1.5293637846655792E-3</c:v>
                </c:pt>
                <c:pt idx="2">
                  <c:v>2.0391517128874389E-4</c:v>
                </c:pt>
                <c:pt idx="3">
                  <c:v>7.8099510603588912E-2</c:v>
                </c:pt>
                <c:pt idx="4">
                  <c:v>8.7887438825448611E-2</c:v>
                </c:pt>
                <c:pt idx="5">
                  <c:v>4.2822185970636216E-3</c:v>
                </c:pt>
                <c:pt idx="6">
                  <c:v>1.6007340946166394E-2</c:v>
                </c:pt>
                <c:pt idx="7">
                  <c:v>4.5065252854812402E-2</c:v>
                </c:pt>
                <c:pt idx="8">
                  <c:v>0.1740415986949429</c:v>
                </c:pt>
                <c:pt idx="9">
                  <c:v>2.0289559543230015E-2</c:v>
                </c:pt>
                <c:pt idx="10">
                  <c:v>1.6823001631321371E-2</c:v>
                </c:pt>
                <c:pt idx="11">
                  <c:v>3.3646003262642742E-2</c:v>
                </c:pt>
                <c:pt idx="12">
                  <c:v>5.9951060358890702E-2</c:v>
                </c:pt>
                <c:pt idx="13">
                  <c:v>3.9049755301794456E-2</c:v>
                </c:pt>
                <c:pt idx="14">
                  <c:v>5.2508156606851548E-2</c:v>
                </c:pt>
                <c:pt idx="15">
                  <c:v>0.17098287112561175</c:v>
                </c:pt>
                <c:pt idx="16">
                  <c:v>7.34094616639478E-3</c:v>
                </c:pt>
                <c:pt idx="17">
                  <c:v>6.158238172920065E-2</c:v>
                </c:pt>
                <c:pt idx="18">
                  <c:v>3.2218597063621533E-2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宮崎市平均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4.5347317591813228E-2</c:v>
                </c:pt>
                <c:pt idx="1">
                  <c:v>1.6446639790900633E-3</c:v>
                </c:pt>
                <c:pt idx="2">
                  <c:v>1.6612767465556196E-4</c:v>
                </c:pt>
                <c:pt idx="3">
                  <c:v>7.3289992468878754E-2</c:v>
                </c:pt>
                <c:pt idx="4">
                  <c:v>7.8268285119390421E-2</c:v>
                </c:pt>
                <c:pt idx="5">
                  <c:v>6.0747353032383818E-3</c:v>
                </c:pt>
                <c:pt idx="6">
                  <c:v>2.374518229743499E-2</c:v>
                </c:pt>
                <c:pt idx="7">
                  <c:v>3.8768661675452974E-2</c:v>
                </c:pt>
                <c:pt idx="8">
                  <c:v>0.16309307579852036</c:v>
                </c:pt>
                <c:pt idx="9">
                  <c:v>2.857949762991184E-2</c:v>
                </c:pt>
                <c:pt idx="10">
                  <c:v>1.843463429761219E-2</c:v>
                </c:pt>
                <c:pt idx="11">
                  <c:v>3.4194613033269837E-2</c:v>
                </c:pt>
                <c:pt idx="12">
                  <c:v>6.1290036769591993E-2</c:v>
                </c:pt>
                <c:pt idx="13">
                  <c:v>3.6437336641119922E-2</c:v>
                </c:pt>
                <c:pt idx="14">
                  <c:v>6.6578434412794041E-2</c:v>
                </c:pt>
                <c:pt idx="15">
                  <c:v>0.17046914455322731</c:v>
                </c:pt>
                <c:pt idx="16">
                  <c:v>6.9164488548265624E-3</c:v>
                </c:pt>
                <c:pt idx="17">
                  <c:v>6.6500908164621453E-2</c:v>
                </c:pt>
                <c:pt idx="18">
                  <c:v>5.0441899614583792E-2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6058768"/>
        <c:axId val="456061120"/>
      </c:barChart>
      <c:catAx>
        <c:axId val="4560587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061120"/>
        <c:crosses val="autoZero"/>
        <c:auto val="1"/>
        <c:lblAlgn val="ctr"/>
        <c:lblOffset val="100"/>
        <c:noMultiLvlLbl val="0"/>
      </c:catAx>
      <c:valAx>
        <c:axId val="45606112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058768"/>
        <c:crosses val="autoZero"/>
        <c:crossBetween val="between"/>
      </c:valAx>
      <c:spPr>
        <a:noFill/>
        <a:ln>
          <a:noFill/>
        </a:ln>
        <a:effectLst/>
      </c:spPr>
    </c:plotArea>
    <c:legend>
      <c:legendPos val="b"/>
      <c:layout>
        <c:manualLayout>
          <c:xMode val="edge"/>
          <c:yMode val="edge"/>
          <c:x val="0.5420556726183875"/>
          <c:y val="9.103322298200318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住吉地域自治区</c:v>
                </c:pt>
              </c:strCache>
            </c:strRef>
          </c:cat>
          <c:val>
            <c:numRef>
              <c:f>管理者用地域特徴シート!$CK$3:$CK$5</c:f>
              <c:numCache>
                <c:formatCode>0.0%</c:formatCode>
                <c:ptCount val="3"/>
                <c:pt idx="0">
                  <c:v>0.82747216160708559</c:v>
                </c:pt>
                <c:pt idx="1">
                  <c:v>0.90316971603242813</c:v>
                </c:pt>
                <c:pt idx="2">
                  <c:v>0.89029363784665583</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6059552"/>
        <c:axId val="456061512"/>
      </c:barChart>
      <c:catAx>
        <c:axId val="4560595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061512"/>
        <c:crosses val="autoZero"/>
        <c:auto val="1"/>
        <c:lblAlgn val="ctr"/>
        <c:lblOffset val="100"/>
        <c:noMultiLvlLbl val="0"/>
      </c:catAx>
      <c:valAx>
        <c:axId val="45606151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0595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0.21</c:v>
                </c:pt>
                <c:pt idx="1">
                  <c:v>0.25</c:v>
                </c:pt>
                <c:pt idx="2">
                  <c:v>0.28999999999999998</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41502032"/>
        <c:axId val="341499680"/>
      </c:barChart>
      <c:catAx>
        <c:axId val="3415020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1499680"/>
        <c:crosses val="autoZero"/>
        <c:auto val="1"/>
        <c:lblAlgn val="ctr"/>
        <c:lblOffset val="100"/>
        <c:noMultiLvlLbl val="0"/>
      </c:catAx>
      <c:valAx>
        <c:axId val="3414996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150203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0.11</c:v>
                </c:pt>
                <c:pt idx="1">
                  <c:v>0.12</c:v>
                </c:pt>
                <c:pt idx="2">
                  <c:v>0.14000000000000001</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41502424"/>
        <c:axId val="341502816"/>
      </c:barChart>
      <c:catAx>
        <c:axId val="3415024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1502816"/>
        <c:crosses val="autoZero"/>
        <c:auto val="1"/>
        <c:lblAlgn val="ctr"/>
        <c:lblOffset val="100"/>
        <c:noMultiLvlLbl val="0"/>
      </c:catAx>
      <c:valAx>
        <c:axId val="3415028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150242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4.023536340898894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998-4EB0-9280-20DF40FDAC2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594</c:v>
                </c:pt>
                <c:pt idx="1">
                  <c:v>557</c:v>
                </c:pt>
                <c:pt idx="2">
                  <c:v>507</c:v>
                </c:pt>
                <c:pt idx="3">
                  <c:v>653</c:v>
                </c:pt>
                <c:pt idx="4">
                  <c:v>327</c:v>
                </c:pt>
                <c:pt idx="5">
                  <c:v>581</c:v>
                </c:pt>
                <c:pt idx="6">
                  <c:v>736</c:v>
                </c:pt>
                <c:pt idx="7">
                  <c:v>803</c:v>
                </c:pt>
                <c:pt idx="8">
                  <c:v>583</c:v>
                </c:pt>
                <c:pt idx="9">
                  <c:v>522</c:v>
                </c:pt>
                <c:pt idx="10">
                  <c:v>583</c:v>
                </c:pt>
                <c:pt idx="11">
                  <c:v>708</c:v>
                </c:pt>
                <c:pt idx="12">
                  <c:v>787</c:v>
                </c:pt>
                <c:pt idx="13">
                  <c:v>619</c:v>
                </c:pt>
                <c:pt idx="14">
                  <c:v>441</c:v>
                </c:pt>
                <c:pt idx="15">
                  <c:v>364</c:v>
                </c:pt>
                <c:pt idx="16">
                  <c:v>287</c:v>
                </c:pt>
                <c:pt idx="17">
                  <c:v>125</c:v>
                </c:pt>
                <c:pt idx="18">
                  <c:v>56</c:v>
                </c:pt>
                <c:pt idx="19">
                  <c:v>17</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2252592"/>
        <c:axId val="39224984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571</c:v>
                </c:pt>
                <c:pt idx="1">
                  <c:v>502</c:v>
                </c:pt>
                <c:pt idx="2">
                  <c:v>492</c:v>
                </c:pt>
                <c:pt idx="3">
                  <c:v>604</c:v>
                </c:pt>
                <c:pt idx="4">
                  <c:v>462</c:v>
                </c:pt>
                <c:pt idx="5">
                  <c:v>680</c:v>
                </c:pt>
                <c:pt idx="6">
                  <c:v>811</c:v>
                </c:pt>
                <c:pt idx="7">
                  <c:v>850</c:v>
                </c:pt>
                <c:pt idx="8">
                  <c:v>620</c:v>
                </c:pt>
                <c:pt idx="9">
                  <c:v>579</c:v>
                </c:pt>
                <c:pt idx="10">
                  <c:v>689</c:v>
                </c:pt>
                <c:pt idx="11">
                  <c:v>826</c:v>
                </c:pt>
                <c:pt idx="12">
                  <c:v>958</c:v>
                </c:pt>
                <c:pt idx="13">
                  <c:v>585</c:v>
                </c:pt>
                <c:pt idx="14">
                  <c:v>517</c:v>
                </c:pt>
                <c:pt idx="15">
                  <c:v>508</c:v>
                </c:pt>
                <c:pt idx="16">
                  <c:v>463</c:v>
                </c:pt>
                <c:pt idx="17">
                  <c:v>276</c:v>
                </c:pt>
                <c:pt idx="18">
                  <c:v>146</c:v>
                </c:pt>
                <c:pt idx="19">
                  <c:v>46</c:v>
                </c:pt>
                <c:pt idx="20">
                  <c:v>7</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2247888"/>
        <c:axId val="392247104"/>
      </c:barChart>
      <c:catAx>
        <c:axId val="3922525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49848"/>
        <c:crosses val="autoZero"/>
        <c:auto val="1"/>
        <c:lblAlgn val="ctr"/>
        <c:lblOffset val="100"/>
        <c:noMultiLvlLbl val="0"/>
      </c:catAx>
      <c:valAx>
        <c:axId val="392249848"/>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52592"/>
        <c:crosses val="autoZero"/>
        <c:crossBetween val="between"/>
        <c:majorUnit val="500"/>
      </c:valAx>
      <c:valAx>
        <c:axId val="392247104"/>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47888"/>
        <c:crosses val="max"/>
        <c:crossBetween val="between"/>
        <c:majorUnit val="500"/>
      </c:valAx>
      <c:catAx>
        <c:axId val="392247888"/>
        <c:scaling>
          <c:orientation val="minMax"/>
        </c:scaling>
        <c:delete val="1"/>
        <c:axPos val="l"/>
        <c:numFmt formatCode="General" sourceLinked="1"/>
        <c:majorTickMark val="out"/>
        <c:minorTickMark val="none"/>
        <c:tickLblPos val="nextTo"/>
        <c:crossAx val="39224710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9850</c:v>
                </c:pt>
                <c:pt idx="1">
                  <c:v>10188</c:v>
                </c:pt>
                <c:pt idx="2">
                  <c:v>10331</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11192</c:v>
                </c:pt>
                <c:pt idx="1">
                  <c:v>11483</c:v>
                </c:pt>
                <c:pt idx="2">
                  <c:v>11695</c:v>
                </c:pt>
              </c:numCache>
            </c:numRef>
          </c:val>
          <c:extLst xmlns:c16r2="http://schemas.microsoft.com/office/drawing/2015/06/chart">
            <c:ext xmlns:c16="http://schemas.microsoft.com/office/drawing/2014/chart" uri="{C3380CC4-5D6E-409C-BE32-E72D297353CC}">
              <c16:uniqueId val="{00000000-0DD0-4009-B0AB-9AA665BFD8EC}"/>
            </c:ext>
          </c:extLst>
        </c:ser>
        <c:dLbls>
          <c:showLegendKey val="0"/>
          <c:showVal val="0"/>
          <c:showCatName val="0"/>
          <c:showSerName val="0"/>
          <c:showPercent val="0"/>
          <c:showBubbleSize val="0"/>
        </c:dLbls>
        <c:gapWidth val="219"/>
        <c:overlap val="100"/>
        <c:axId val="392251808"/>
        <c:axId val="392250632"/>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21042</c:v>
                </c:pt>
                <c:pt idx="1">
                  <c:v>21671</c:v>
                </c:pt>
                <c:pt idx="2">
                  <c:v>22026</c:v>
                </c:pt>
              </c:numCache>
            </c:numRef>
          </c:val>
          <c:smooth val="0"/>
          <c:extLst xmlns:c16r2="http://schemas.microsoft.com/office/drawing/2015/06/chart">
            <c:ext xmlns:c16="http://schemas.microsoft.com/office/drawing/2014/chart" uri="{C3380CC4-5D6E-409C-BE32-E72D297353CC}">
              <c16:uniqueId val="{00000001-0DD0-4009-B0AB-9AA665BFD8EC}"/>
            </c:ext>
          </c:extLst>
        </c:ser>
        <c:dLbls>
          <c:showLegendKey val="0"/>
          <c:showVal val="0"/>
          <c:showCatName val="0"/>
          <c:showSerName val="0"/>
          <c:showPercent val="0"/>
          <c:showBubbleSize val="0"/>
        </c:dLbls>
        <c:marker val="1"/>
        <c:smooth val="0"/>
        <c:axId val="392251808"/>
        <c:axId val="392250632"/>
      </c:lineChart>
      <c:catAx>
        <c:axId val="392251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50632"/>
        <c:crosses val="autoZero"/>
        <c:auto val="1"/>
        <c:lblAlgn val="ctr"/>
        <c:lblOffset val="100"/>
        <c:noMultiLvlLbl val="0"/>
      </c:catAx>
      <c:valAx>
        <c:axId val="3922506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51808"/>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9.7084608747202163E-4"/>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AB0-435B-9610-C2A0096D0FD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492</c:v>
                </c:pt>
                <c:pt idx="1">
                  <c:v>573</c:v>
                </c:pt>
                <c:pt idx="2">
                  <c:v>687</c:v>
                </c:pt>
                <c:pt idx="3">
                  <c:v>795</c:v>
                </c:pt>
                <c:pt idx="4">
                  <c:v>312</c:v>
                </c:pt>
                <c:pt idx="5">
                  <c:v>364</c:v>
                </c:pt>
                <c:pt idx="6">
                  <c:v>480</c:v>
                </c:pt>
                <c:pt idx="7">
                  <c:v>703</c:v>
                </c:pt>
                <c:pt idx="8">
                  <c:v>749</c:v>
                </c:pt>
                <c:pt idx="9">
                  <c:v>818</c:v>
                </c:pt>
                <c:pt idx="10">
                  <c:v>583</c:v>
                </c:pt>
                <c:pt idx="11">
                  <c:v>514</c:v>
                </c:pt>
                <c:pt idx="12">
                  <c:v>597</c:v>
                </c:pt>
                <c:pt idx="13">
                  <c:v>731</c:v>
                </c:pt>
                <c:pt idx="14">
                  <c:v>707</c:v>
                </c:pt>
                <c:pt idx="15">
                  <c:v>526</c:v>
                </c:pt>
                <c:pt idx="16">
                  <c:v>338</c:v>
                </c:pt>
                <c:pt idx="17">
                  <c:v>225</c:v>
                </c:pt>
                <c:pt idx="18">
                  <c:v>107</c:v>
                </c:pt>
                <c:pt idx="19">
                  <c:v>25</c:v>
                </c:pt>
                <c:pt idx="20">
                  <c:v>5</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2249064"/>
        <c:axId val="39225337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455</c:v>
                </c:pt>
                <c:pt idx="1">
                  <c:v>558</c:v>
                </c:pt>
                <c:pt idx="2">
                  <c:v>623</c:v>
                </c:pt>
                <c:pt idx="3">
                  <c:v>641</c:v>
                </c:pt>
                <c:pt idx="4">
                  <c:v>412</c:v>
                </c:pt>
                <c:pt idx="5">
                  <c:v>425</c:v>
                </c:pt>
                <c:pt idx="6">
                  <c:v>543</c:v>
                </c:pt>
                <c:pt idx="7">
                  <c:v>704</c:v>
                </c:pt>
                <c:pt idx="8">
                  <c:v>824</c:v>
                </c:pt>
                <c:pt idx="9">
                  <c:v>881</c:v>
                </c:pt>
                <c:pt idx="10">
                  <c:v>629</c:v>
                </c:pt>
                <c:pt idx="11">
                  <c:v>611</c:v>
                </c:pt>
                <c:pt idx="12">
                  <c:v>678</c:v>
                </c:pt>
                <c:pt idx="13">
                  <c:v>815</c:v>
                </c:pt>
                <c:pt idx="14">
                  <c:v>932</c:v>
                </c:pt>
                <c:pt idx="15">
                  <c:v>596</c:v>
                </c:pt>
                <c:pt idx="16">
                  <c:v>483</c:v>
                </c:pt>
                <c:pt idx="17">
                  <c:v>449</c:v>
                </c:pt>
                <c:pt idx="18">
                  <c:v>298</c:v>
                </c:pt>
                <c:pt idx="19">
                  <c:v>119</c:v>
                </c:pt>
                <c:pt idx="20">
                  <c:v>19</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2249456"/>
        <c:axId val="392253768"/>
      </c:barChart>
      <c:catAx>
        <c:axId val="3922490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53376"/>
        <c:crosses val="autoZero"/>
        <c:auto val="1"/>
        <c:lblAlgn val="ctr"/>
        <c:lblOffset val="100"/>
        <c:noMultiLvlLbl val="0"/>
      </c:catAx>
      <c:valAx>
        <c:axId val="39225337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49064"/>
        <c:crosses val="autoZero"/>
        <c:crossBetween val="between"/>
        <c:majorUnit val="500"/>
      </c:valAx>
      <c:valAx>
        <c:axId val="392253768"/>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49456"/>
        <c:crosses val="max"/>
        <c:crossBetween val="between"/>
        <c:majorUnit val="500"/>
      </c:valAx>
      <c:catAx>
        <c:axId val="392249456"/>
        <c:scaling>
          <c:orientation val="minMax"/>
        </c:scaling>
        <c:delete val="1"/>
        <c:axPos val="l"/>
        <c:numFmt formatCode="General" sourceLinked="1"/>
        <c:majorTickMark val="out"/>
        <c:minorTickMark val="none"/>
        <c:tickLblPos val="nextTo"/>
        <c:crossAx val="39225376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AD4E-492F-BCB6-AD34B0075874}"/>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AD4E-492F-BCB6-AD34B0075874}"/>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AD4E-492F-BCB6-AD34B0075874}"/>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D4E-492F-BCB6-AD34B0075874}"/>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AD4E-492F-BCB6-AD34B0075874}"/>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9850</c:v>
                </c:pt>
                <c:pt idx="1">
                  <c:v>10188</c:v>
                </c:pt>
                <c:pt idx="2">
                  <c:v>10331</c:v>
                </c:pt>
                <c:pt idx="3">
                  <c:v>10335</c:v>
                </c:pt>
                <c:pt idx="4">
                  <c:v>10152</c:v>
                </c:pt>
                <c:pt idx="5">
                  <c:v>9895</c:v>
                </c:pt>
                <c:pt idx="6">
                  <c:v>9657</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AD4E-492F-BCB6-AD34B0075874}"/>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AD4E-492F-BCB6-AD34B0075874}"/>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AD4E-492F-BCB6-AD34B0075874}"/>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11192</c:v>
                </c:pt>
                <c:pt idx="1">
                  <c:v>11483</c:v>
                </c:pt>
                <c:pt idx="2">
                  <c:v>11695</c:v>
                </c:pt>
                <c:pt idx="3">
                  <c:v>11773</c:v>
                </c:pt>
                <c:pt idx="4">
                  <c:v>11720</c:v>
                </c:pt>
                <c:pt idx="5">
                  <c:v>11589</c:v>
                </c:pt>
                <c:pt idx="6">
                  <c:v>11381</c:v>
                </c:pt>
              </c:numCache>
            </c:numRef>
          </c:val>
          <c:extLst xmlns:c16r2="http://schemas.microsoft.com/office/drawing/2015/06/chart">
            <c:ext xmlns:c16="http://schemas.microsoft.com/office/drawing/2014/chart" uri="{C3380CC4-5D6E-409C-BE32-E72D297353CC}">
              <c16:uniqueId val="{00000010-AD4E-492F-BCB6-AD34B0075874}"/>
            </c:ext>
          </c:extLst>
        </c:ser>
        <c:dLbls>
          <c:showLegendKey val="0"/>
          <c:showVal val="0"/>
          <c:showCatName val="0"/>
          <c:showSerName val="0"/>
          <c:showPercent val="0"/>
          <c:showBubbleSize val="0"/>
        </c:dLbls>
        <c:gapWidth val="219"/>
        <c:overlap val="100"/>
        <c:axId val="392251024"/>
        <c:axId val="392252984"/>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21042</c:v>
                </c:pt>
                <c:pt idx="1">
                  <c:v>21671</c:v>
                </c:pt>
                <c:pt idx="2">
                  <c:v>22026</c:v>
                </c:pt>
                <c:pt idx="3">
                  <c:v>22108</c:v>
                </c:pt>
                <c:pt idx="4">
                  <c:v>21872</c:v>
                </c:pt>
                <c:pt idx="5">
                  <c:v>21484</c:v>
                </c:pt>
                <c:pt idx="6">
                  <c:v>21038</c:v>
                </c:pt>
              </c:numCache>
            </c:numRef>
          </c:val>
          <c:smooth val="0"/>
          <c:extLst xmlns:c16r2="http://schemas.microsoft.com/office/drawing/2015/06/chart">
            <c:ext xmlns:c16="http://schemas.microsoft.com/office/drawing/2014/chart" uri="{C3380CC4-5D6E-409C-BE32-E72D297353CC}">
              <c16:uniqueId val="{00000011-AD4E-492F-BCB6-AD34B0075874}"/>
            </c:ext>
          </c:extLst>
        </c:ser>
        <c:dLbls>
          <c:showLegendKey val="0"/>
          <c:showVal val="0"/>
          <c:showCatName val="0"/>
          <c:showSerName val="0"/>
          <c:showPercent val="0"/>
          <c:showBubbleSize val="0"/>
        </c:dLbls>
        <c:marker val="1"/>
        <c:smooth val="0"/>
        <c:axId val="392251024"/>
        <c:axId val="392252984"/>
      </c:lineChart>
      <c:catAx>
        <c:axId val="392251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52984"/>
        <c:crosses val="autoZero"/>
        <c:auto val="1"/>
        <c:lblAlgn val="ctr"/>
        <c:lblOffset val="100"/>
        <c:noMultiLvlLbl val="0"/>
      </c:catAx>
      <c:valAx>
        <c:axId val="3922529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51024"/>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1235</c:v>
                </c:pt>
                <c:pt idx="1">
                  <c:v>1380</c:v>
                </c:pt>
                <c:pt idx="2">
                  <c:v>1464</c:v>
                </c:pt>
                <c:pt idx="3">
                  <c:v>1332</c:v>
                </c:pt>
                <c:pt idx="4">
                  <c:v>1168</c:v>
                </c:pt>
                <c:pt idx="5">
                  <c:v>1106</c:v>
                </c:pt>
                <c:pt idx="6">
                  <c:v>1126</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2246712"/>
        <c:axId val="392248672"/>
      </c:barChart>
      <c:catAx>
        <c:axId val="3922467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48672"/>
        <c:crosses val="autoZero"/>
        <c:auto val="1"/>
        <c:lblAlgn val="ctr"/>
        <c:lblOffset val="100"/>
        <c:noMultiLvlLbl val="0"/>
      </c:catAx>
      <c:valAx>
        <c:axId val="3922486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467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住吉地域自治区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8"/>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296" t="s">
        <v>131</v>
      </c>
      <c r="L1" s="296"/>
      <c r="M1" s="296"/>
      <c r="N1" s="296"/>
      <c r="O1" s="296"/>
      <c r="P1" s="296"/>
      <c r="Q1" s="296"/>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宮崎市平均</v>
      </c>
      <c r="C4" s="88" t="str">
        <f>B4</f>
        <v>宮崎市平均</v>
      </c>
      <c r="D4" s="185">
        <f>SUM(D7:D70)</f>
        <v>183782</v>
      </c>
      <c r="E4" s="186">
        <f>SUM(E7:E70)</f>
        <v>69869</v>
      </c>
      <c r="F4" s="186">
        <f>SUM(F7:F70)</f>
        <v>24613</v>
      </c>
      <c r="G4" s="187">
        <f>SUM(G7:G70)</f>
        <v>22817</v>
      </c>
      <c r="H4" s="148">
        <f>E4/D4</f>
        <v>0.38017324874035541</v>
      </c>
      <c r="I4" s="149">
        <f>F4/D4</f>
        <v>0.13392497633065262</v>
      </c>
      <c r="J4" s="150">
        <f>G4/D4</f>
        <v>0.12415252853924759</v>
      </c>
      <c r="K4" s="185">
        <f>SUM(K7:K70)</f>
        <v>401339</v>
      </c>
      <c r="L4" s="186">
        <f>SUM(L7:L70)</f>
        <v>31336</v>
      </c>
      <c r="M4" s="186">
        <f>SUM(M7:M70)</f>
        <v>147448</v>
      </c>
      <c r="N4" s="187">
        <f>SUM(N7:N70)</f>
        <v>174291</v>
      </c>
      <c r="O4" s="148">
        <f>L4/K4</f>
        <v>7.8078631780116065E-2</v>
      </c>
      <c r="P4" s="149">
        <f>M4/K4</f>
        <v>0.36739016143459768</v>
      </c>
      <c r="Q4" s="150">
        <f>N4/K4</f>
        <v>0.43427376855974625</v>
      </c>
      <c r="R4" s="185">
        <f>SUM(R7:R70)</f>
        <v>401339</v>
      </c>
      <c r="S4" s="145">
        <f>SUM(S7:S70)</f>
        <v>56516</v>
      </c>
      <c r="T4" s="145">
        <f>SUM(T7:T70)</f>
        <v>12502</v>
      </c>
      <c r="U4" s="144">
        <f>SUM(U7:U70)</f>
        <v>20240</v>
      </c>
      <c r="V4" s="144">
        <f>SUM(V7:V70)</f>
        <v>1029</v>
      </c>
      <c r="W4" s="146">
        <f>S4+T4+U4+V4</f>
        <v>90287</v>
      </c>
      <c r="X4" s="143">
        <f>SUM(X7:X70)</f>
        <v>189342</v>
      </c>
      <c r="Y4" s="144">
        <f>SUM(Y7:Y70)</f>
        <v>25239</v>
      </c>
      <c r="Z4" s="144">
        <f>SUM(Z7:Z70)</f>
        <v>5697</v>
      </c>
      <c r="AA4" s="144">
        <f>SUM(AA7:AA70)</f>
        <v>11502</v>
      </c>
      <c r="AB4" s="144">
        <f>SUM(AB7:AB70)</f>
        <v>554</v>
      </c>
      <c r="AC4" s="146">
        <f>Y4+Z4+AA4+AB4</f>
        <v>42992</v>
      </c>
      <c r="AD4" s="143">
        <f>SUM(AD7:AD70)</f>
        <v>211997</v>
      </c>
      <c r="AE4" s="143">
        <f t="shared" ref="AE4:AH4" si="0">SUM(AE7:AE70)</f>
        <v>31277</v>
      </c>
      <c r="AF4" s="143">
        <f t="shared" si="0"/>
        <v>6805</v>
      </c>
      <c r="AG4" s="143">
        <f t="shared" si="0"/>
        <v>8738</v>
      </c>
      <c r="AH4" s="143">
        <f t="shared" si="0"/>
        <v>475</v>
      </c>
      <c r="AI4" s="146">
        <f>AE4+AF4+AG4+AH4</f>
        <v>47295</v>
      </c>
      <c r="AJ4" s="148">
        <f>W4/R4</f>
        <v>0.22496443156533505</v>
      </c>
      <c r="AK4" s="149">
        <f>T4/W4</f>
        <v>0.13846954711087975</v>
      </c>
      <c r="AL4" s="149">
        <f>U4/W4</f>
        <v>0.22417402283828236</v>
      </c>
      <c r="AM4" s="149">
        <f>V4/W4</f>
        <v>1.1396989599831648E-2</v>
      </c>
      <c r="AN4" s="147">
        <f>AC4/W4</f>
        <v>0.47617043428179029</v>
      </c>
      <c r="AO4" s="150">
        <f>AI4/W4</f>
        <v>0.52382956571820971</v>
      </c>
      <c r="AP4" s="143">
        <f>SUM(AP7:AP70)</f>
        <v>180584</v>
      </c>
      <c r="AQ4" s="144">
        <f t="shared" ref="AQ4:BI4" si="1">SUM(AQ7:AQ70)</f>
        <v>8189</v>
      </c>
      <c r="AR4" s="144">
        <f t="shared" si="1"/>
        <v>297</v>
      </c>
      <c r="AS4" s="144">
        <f t="shared" si="1"/>
        <v>30</v>
      </c>
      <c r="AT4" s="144">
        <f t="shared" si="1"/>
        <v>13235</v>
      </c>
      <c r="AU4" s="144">
        <f t="shared" si="1"/>
        <v>14134</v>
      </c>
      <c r="AV4" s="144">
        <f t="shared" si="1"/>
        <v>1097</v>
      </c>
      <c r="AW4" s="144">
        <f t="shared" si="1"/>
        <v>4288</v>
      </c>
      <c r="AX4" s="144">
        <f t="shared" si="1"/>
        <v>7001</v>
      </c>
      <c r="AY4" s="144">
        <f t="shared" si="1"/>
        <v>29452</v>
      </c>
      <c r="AZ4" s="144">
        <f t="shared" si="1"/>
        <v>5161</v>
      </c>
      <c r="BA4" s="144">
        <f t="shared" si="1"/>
        <v>3329</v>
      </c>
      <c r="BB4" s="144">
        <f t="shared" si="1"/>
        <v>6175</v>
      </c>
      <c r="BC4" s="144">
        <f t="shared" si="1"/>
        <v>11068</v>
      </c>
      <c r="BD4" s="144">
        <f t="shared" si="1"/>
        <v>6580</v>
      </c>
      <c r="BE4" s="144">
        <f t="shared" si="1"/>
        <v>12023</v>
      </c>
      <c r="BF4" s="144">
        <f t="shared" si="1"/>
        <v>30784</v>
      </c>
      <c r="BG4" s="144">
        <f t="shared" si="1"/>
        <v>1249</v>
      </c>
      <c r="BH4" s="144">
        <f t="shared" si="1"/>
        <v>12009</v>
      </c>
      <c r="BI4" s="146">
        <f t="shared" si="1"/>
        <v>9109</v>
      </c>
      <c r="BJ4" s="147">
        <f>IF($AP4=0,0,AQ4/$AP4)</f>
        <v>4.5347317591813228E-2</v>
      </c>
      <c r="BK4" s="149">
        <f t="shared" ref="BK4:CB4" si="2">IF($AP4=0,0,AR4/$AP4)</f>
        <v>1.6446639790900633E-3</v>
      </c>
      <c r="BL4" s="149">
        <f t="shared" si="2"/>
        <v>1.6612767465556196E-4</v>
      </c>
      <c r="BM4" s="149">
        <f t="shared" si="2"/>
        <v>7.3289992468878754E-2</v>
      </c>
      <c r="BN4" s="149">
        <f t="shared" si="2"/>
        <v>7.8268285119390421E-2</v>
      </c>
      <c r="BO4" s="149">
        <f t="shared" si="2"/>
        <v>6.0747353032383818E-3</v>
      </c>
      <c r="BP4" s="149">
        <f t="shared" si="2"/>
        <v>2.374518229743499E-2</v>
      </c>
      <c r="BQ4" s="149">
        <f t="shared" si="2"/>
        <v>3.8768661675452974E-2</v>
      </c>
      <c r="BR4" s="149">
        <f t="shared" si="2"/>
        <v>0.16309307579852036</v>
      </c>
      <c r="BS4" s="149">
        <f t="shared" si="2"/>
        <v>2.857949762991184E-2</v>
      </c>
      <c r="BT4" s="149">
        <f t="shared" si="2"/>
        <v>1.843463429761219E-2</v>
      </c>
      <c r="BU4" s="149">
        <f t="shared" si="2"/>
        <v>3.4194613033269837E-2</v>
      </c>
      <c r="BV4" s="149">
        <f t="shared" si="2"/>
        <v>6.1290036769591993E-2</v>
      </c>
      <c r="BW4" s="149">
        <f t="shared" si="2"/>
        <v>3.6437336641119922E-2</v>
      </c>
      <c r="BX4" s="149">
        <f t="shared" si="2"/>
        <v>6.6578434412794041E-2</v>
      </c>
      <c r="BY4" s="149">
        <f t="shared" si="2"/>
        <v>0.17046914455322731</v>
      </c>
      <c r="BZ4" s="149">
        <f t="shared" si="2"/>
        <v>6.9164488548265624E-3</v>
      </c>
      <c r="CA4" s="149">
        <f t="shared" si="2"/>
        <v>6.6500908164621453E-2</v>
      </c>
      <c r="CB4" s="150">
        <f t="shared" si="2"/>
        <v>5.0441899614583792E-2</v>
      </c>
      <c r="CC4" s="143">
        <f>SUM(CC7:CC70)</f>
        <v>180584</v>
      </c>
      <c r="CD4" s="144">
        <f t="shared" ref="CD4:CI4" si="3">SUM(CD7:CD70)</f>
        <v>163098</v>
      </c>
      <c r="CE4" s="144">
        <f t="shared" si="3"/>
        <v>12406</v>
      </c>
      <c r="CF4" s="144">
        <f t="shared" si="3"/>
        <v>835</v>
      </c>
      <c r="CG4" s="143">
        <f t="shared" si="3"/>
        <v>17718</v>
      </c>
      <c r="CH4" s="144">
        <f t="shared" si="3"/>
        <v>16426</v>
      </c>
      <c r="CI4" s="144">
        <f t="shared" si="3"/>
        <v>522</v>
      </c>
      <c r="CJ4" s="144">
        <f>SUM(CJ7:CJ70)</f>
        <v>261</v>
      </c>
      <c r="CK4" s="148">
        <f t="shared" ref="CK4:CM4" si="4">IF($CC4=0,0,CD4/$CC4)</f>
        <v>0.90316971603242813</v>
      </c>
      <c r="CL4" s="149">
        <f t="shared" si="4"/>
        <v>6.8699331059230054E-2</v>
      </c>
      <c r="CM4" s="150">
        <f t="shared" si="4"/>
        <v>4.6238869445798074E-3</v>
      </c>
      <c r="CN4" s="148">
        <f t="shared" ref="CN4:CP4" si="5">IF($CG4=0,0,CH4/$CG4)</f>
        <v>0.9270798058471611</v>
      </c>
      <c r="CO4" s="149">
        <f t="shared" si="5"/>
        <v>2.9461564510667119E-2</v>
      </c>
      <c r="CP4" s="150">
        <f t="shared" si="5"/>
        <v>1.4730782255333559E-2</v>
      </c>
    </row>
    <row r="5" spans="1:94" s="181" customFormat="1" x14ac:dyDescent="0.15">
      <c r="A5" s="183" t="str">
        <f>管理者入力シート!B2</f>
        <v>45201_16</v>
      </c>
      <c r="B5" s="201" t="str">
        <f>VLOOKUP($A$5,$A$7:$CP$50,2,FALSE)</f>
        <v>宮崎市</v>
      </c>
      <c r="C5" s="201" t="str">
        <f>VLOOKUP($A$5,$A$7:$CP$50,3,FALSE)</f>
        <v>住吉地域自治区</v>
      </c>
      <c r="D5" s="188">
        <f>VLOOKUP($A$5,$A$7:$CP$70,4,FALSE)</f>
        <v>8701</v>
      </c>
      <c r="E5" s="189">
        <f>VLOOKUP($A$5,$A$7:$CP$70,5,FALSE)</f>
        <v>3579</v>
      </c>
      <c r="F5" s="189">
        <f>VLOOKUP($A$5,$A$7:$CP$70,6,FALSE)</f>
        <v>1301</v>
      </c>
      <c r="G5" s="190">
        <f>VLOOKUP($A$5,$A$7:$CP$70,7,FALSE)</f>
        <v>994</v>
      </c>
      <c r="H5" s="178">
        <f>VLOOKUP($A$5,$A$7:$CP$70,8,FALSE)</f>
        <v>0.41133203080105735</v>
      </c>
      <c r="I5" s="179">
        <f>VLOOKUP($A$5,$A$7:$CP$70,9,FALSE)</f>
        <v>0.14952304332835306</v>
      </c>
      <c r="J5" s="180">
        <f>VLOOKUP($A$5,$A$7:$CP$70,10,FALSE)</f>
        <v>0.11423974255832663</v>
      </c>
      <c r="K5" s="188">
        <f>VLOOKUP($A$5,$A$7:$CP$70,11,FALSE)</f>
        <v>22025</v>
      </c>
      <c r="L5" s="189">
        <f>VLOOKUP($A$5,$A$7:$CP$70,12,FALSE)</f>
        <v>2032</v>
      </c>
      <c r="M5" s="189">
        <f>VLOOKUP($A$5,$A$7:$CP$70,13,FALSE)</f>
        <v>8285</v>
      </c>
      <c r="N5" s="190">
        <f>VLOOKUP($A$5,$A$7:$CP$70,14,FALSE)</f>
        <v>9622</v>
      </c>
      <c r="O5" s="178">
        <f>VLOOKUP($A$5,$A$7:$CP$70,15,FALSE)</f>
        <v>9.2258796821793415E-2</v>
      </c>
      <c r="P5" s="179">
        <f>VLOOKUP($A$5,$A$7:$CP$70,16,FALSE)</f>
        <v>0.37616345062429057</v>
      </c>
      <c r="Q5" s="180">
        <f>VLOOKUP($A$5,$A$7:$CP$70,17,FALSE)</f>
        <v>0.43686719636776389</v>
      </c>
      <c r="R5" s="188">
        <f>VLOOKUP($A$5,$A$7:$CP$70,18,FALSE)</f>
        <v>22025</v>
      </c>
      <c r="S5" s="189">
        <f>VLOOKUP($A$5,$A$7:$CP$70,19,FALSE)</f>
        <v>3301</v>
      </c>
      <c r="T5" s="189">
        <f>VLOOKUP($A$5,$A$7:$CP$70,20,FALSE)</f>
        <v>874</v>
      </c>
      <c r="U5" s="189">
        <f>VLOOKUP($A$5,$A$7:$CP$70,21,FALSE)</f>
        <v>779</v>
      </c>
      <c r="V5" s="189">
        <f>VLOOKUP($A$5,$A$7:$CP$70,22,FALSE)</f>
        <v>48</v>
      </c>
      <c r="W5" s="190">
        <f>VLOOKUP($A$5,$A$7:$CP$70,23,FALSE)</f>
        <v>5002</v>
      </c>
      <c r="X5" s="188">
        <f>VLOOKUP($A$5,$A$7:$CP$70,24,FALSE)</f>
        <v>10330</v>
      </c>
      <c r="Y5" s="189">
        <f>VLOOKUP($A$5,$A$7:$CP$70,25,FALSE)</f>
        <v>1434</v>
      </c>
      <c r="Z5" s="189">
        <f>VLOOKUP($A$5,$A$7:$CP$70,26,FALSE)</f>
        <v>410</v>
      </c>
      <c r="AA5" s="189">
        <f>VLOOKUP($A$5,$A$7:$CP$70,27,FALSE)</f>
        <v>465</v>
      </c>
      <c r="AB5" s="189">
        <f>VLOOKUP($A$5,$A$7:$CP$70,28,FALSE)</f>
        <v>21</v>
      </c>
      <c r="AC5" s="191">
        <f>VLOOKUP($A$5,$A$7:$CP$70,29,FALSE)</f>
        <v>2330</v>
      </c>
      <c r="AD5" s="188">
        <f>VLOOKUP($A$5,$A$7:$CP$70,30,FALSE)</f>
        <v>11695</v>
      </c>
      <c r="AE5" s="189">
        <f>VLOOKUP($A$5,$A$7:$CP$70,31,FALSE)</f>
        <v>1867</v>
      </c>
      <c r="AF5" s="189">
        <f>VLOOKUP($A$5,$A$7:$CP$70,32,FALSE)</f>
        <v>464</v>
      </c>
      <c r="AG5" s="189">
        <f>VLOOKUP($A$5,$A$7:$CP$70,33,FALSE)</f>
        <v>314</v>
      </c>
      <c r="AH5" s="189">
        <f>VLOOKUP($A$5,$A$7:$CP$70,34,FALSE)</f>
        <v>27</v>
      </c>
      <c r="AI5" s="191">
        <f>VLOOKUP($A$5,$A$7:$CP$70,35,FALSE)</f>
        <v>2672</v>
      </c>
      <c r="AJ5" s="178">
        <f>VLOOKUP($A$5,$A$7:$CP$70,36,FALSE)</f>
        <v>0.227105561861521</v>
      </c>
      <c r="AK5" s="179">
        <f>VLOOKUP($A$5,$A$7:$CP$70,37,FALSE)</f>
        <v>0.17473010795681726</v>
      </c>
      <c r="AL5" s="179">
        <f>VLOOKUP($A$5,$A$7:$CP$70,38,FALSE)</f>
        <v>0.15573770491803279</v>
      </c>
      <c r="AM5" s="179">
        <f>VLOOKUP($A$5,$A$7:$CP$70,39,FALSE)</f>
        <v>9.5961615353858457E-3</v>
      </c>
      <c r="AN5" s="182">
        <f>VLOOKUP($A$5,$A$7:$CP$70,40,FALSE)</f>
        <v>0.4658136745301879</v>
      </c>
      <c r="AO5" s="180">
        <f>VLOOKUP($A$5,$A$7:$CP$70,41,FALSE)</f>
        <v>0.53418632546981204</v>
      </c>
      <c r="AP5" s="192">
        <f>VLOOKUP($A$5,$A$7:$CP$70,42,FALSE)</f>
        <v>9808</v>
      </c>
      <c r="AQ5" s="189">
        <f>VLOOKUP($A$5,$A$7:$CP$70,43,FALSE)</f>
        <v>673</v>
      </c>
      <c r="AR5" s="189">
        <f>VLOOKUP($A$5,$A$7:$CP$70,44,FALSE)</f>
        <v>15</v>
      </c>
      <c r="AS5" s="189">
        <f>VLOOKUP($A$5,$A$7:$CP$70,45,FALSE)</f>
        <v>2</v>
      </c>
      <c r="AT5" s="189">
        <f>VLOOKUP($A$5,$A$7:$CP$70,46,FALSE)</f>
        <v>766</v>
      </c>
      <c r="AU5" s="189">
        <f>VLOOKUP($A$5,$A$7:$CP$70,47,FALSE)</f>
        <v>862</v>
      </c>
      <c r="AV5" s="189">
        <f>VLOOKUP($A$5,$A$7:$CP$70,48,FALSE)</f>
        <v>42</v>
      </c>
      <c r="AW5" s="189">
        <f>VLOOKUP($A$5,$A$7:$CP$70,49,FALSE)</f>
        <v>157</v>
      </c>
      <c r="AX5" s="189">
        <f>VLOOKUP($A$5,$A$7:$CP$70,50,FALSE)</f>
        <v>442</v>
      </c>
      <c r="AY5" s="189">
        <f>VLOOKUP($A$5,$A$7:$CP$70,51,FALSE)</f>
        <v>1707</v>
      </c>
      <c r="AZ5" s="189">
        <f>VLOOKUP($A$5,$A$7:$CP$70,52,FALSE)</f>
        <v>199</v>
      </c>
      <c r="BA5" s="189">
        <f>VLOOKUP($A$5,$A$7:$CP$70,53,FALSE)</f>
        <v>165</v>
      </c>
      <c r="BB5" s="189">
        <f>VLOOKUP($A$5,$A$7:$CP$70,54,FALSE)</f>
        <v>330</v>
      </c>
      <c r="BC5" s="189">
        <f>VLOOKUP($A$5,$A$7:$CP$70,55,FALSE)</f>
        <v>588</v>
      </c>
      <c r="BD5" s="189">
        <f>VLOOKUP($A$5,$A$7:$CP$70,56,FALSE)</f>
        <v>383</v>
      </c>
      <c r="BE5" s="189">
        <f>VLOOKUP($A$5,$A$7:$CP$70,57,FALSE)</f>
        <v>515</v>
      </c>
      <c r="BF5" s="189">
        <f>VLOOKUP($A$5,$A$7:$CP$70,58,FALSE)</f>
        <v>1677</v>
      </c>
      <c r="BG5" s="189">
        <f>VLOOKUP($A$5,$A$7:$CP$70,59,FALSE)</f>
        <v>72</v>
      </c>
      <c r="BH5" s="189">
        <f>VLOOKUP($A$5,$A$7:$CP$70,60,FALSE)</f>
        <v>604</v>
      </c>
      <c r="BI5" s="189">
        <f>VLOOKUP($A$5,$A$7:$CP$70,61,FALSE)</f>
        <v>316</v>
      </c>
      <c r="BJ5" s="178">
        <f>VLOOKUP($A$5,$A$7:$CP$70,62,FALSE)</f>
        <v>6.8617455138662312E-2</v>
      </c>
      <c r="BK5" s="179">
        <f>VLOOKUP($A$5,$A$7:$CP$70,63,FALSE)</f>
        <v>1.5293637846655792E-3</v>
      </c>
      <c r="BL5" s="179">
        <f>VLOOKUP($A$5,$A$7:$CP$70,64,FALSE)</f>
        <v>2.0391517128874389E-4</v>
      </c>
      <c r="BM5" s="179">
        <f>VLOOKUP($A$5,$A$7:$CP$70,65,FALSE)</f>
        <v>7.8099510603588912E-2</v>
      </c>
      <c r="BN5" s="179">
        <f>VLOOKUP($A$5,$A$7:$CP$70,66,FALSE)</f>
        <v>8.7887438825448611E-2</v>
      </c>
      <c r="BO5" s="179">
        <f>VLOOKUP($A$5,$A$7:$CP$70,67,FALSE)</f>
        <v>4.2822185970636216E-3</v>
      </c>
      <c r="BP5" s="179">
        <f>VLOOKUP($A$5,$A$7:$CP$70,68,FALSE)</f>
        <v>1.6007340946166394E-2</v>
      </c>
      <c r="BQ5" s="179">
        <f>VLOOKUP($A$5,$A$7:$CP$70,69,FALSE)</f>
        <v>4.5065252854812402E-2</v>
      </c>
      <c r="BR5" s="179">
        <f>VLOOKUP($A$5,$A$7:$CP$70,70,FALSE)</f>
        <v>0.1740415986949429</v>
      </c>
      <c r="BS5" s="179">
        <f>VLOOKUP($A$5,$A$7:$CP$70,71,FALSE)</f>
        <v>2.0289559543230015E-2</v>
      </c>
      <c r="BT5" s="179">
        <f>VLOOKUP($A$5,$A$7:$CP$70,72,FALSE)</f>
        <v>1.6823001631321371E-2</v>
      </c>
      <c r="BU5" s="179">
        <f>VLOOKUP($A$5,$A$7:$CP$70,73,FALSE)</f>
        <v>3.3646003262642742E-2</v>
      </c>
      <c r="BV5" s="179">
        <f>VLOOKUP($A$5,$A$7:$CP$70,74,FALSE)</f>
        <v>5.9951060358890702E-2</v>
      </c>
      <c r="BW5" s="179">
        <f>VLOOKUP($A$5,$A$7:$CP$70,75,FALSE)</f>
        <v>3.9049755301794456E-2</v>
      </c>
      <c r="BX5" s="179">
        <f>VLOOKUP($A$5,$A$7:$CP$70,76,FALSE)</f>
        <v>5.2508156606851548E-2</v>
      </c>
      <c r="BY5" s="179">
        <f>VLOOKUP($A$5,$A$7:$CP$70,77,FALSE)</f>
        <v>0.17098287112561175</v>
      </c>
      <c r="BZ5" s="179">
        <f>VLOOKUP($A$5,$A$7:$CP$70,78,FALSE)</f>
        <v>7.34094616639478E-3</v>
      </c>
      <c r="CA5" s="179">
        <f>VLOOKUP($A$5,$A$7:$CP$70,79,FALSE)</f>
        <v>6.158238172920065E-2</v>
      </c>
      <c r="CB5" s="180">
        <f>VLOOKUP($A$5,$A$7:$CP$70,80,FALSE)</f>
        <v>3.2218597063621533E-2</v>
      </c>
      <c r="CC5" s="188">
        <f>VLOOKUP($A$5,$A$7:$CP$70,81,FALSE)</f>
        <v>9808</v>
      </c>
      <c r="CD5" s="190">
        <f>VLOOKUP($A$5,$A$7:$CP$70,82,FALSE)</f>
        <v>8732</v>
      </c>
      <c r="CE5" s="189">
        <f>VLOOKUP($A$5,$A$7:$CP$70,83,FALSE)</f>
        <v>776</v>
      </c>
      <c r="CF5" s="191">
        <f>VLOOKUP($A$5,$A$7:$CP$70,84,FALSE)</f>
        <v>53</v>
      </c>
      <c r="CG5" s="188">
        <f>VLOOKUP($A$5,$A$7:$CP$70,85,FALSE)</f>
        <v>1265</v>
      </c>
      <c r="CH5" s="189">
        <f>VLOOKUP($A$5,$A$7:$CP$70,86,FALSE)</f>
        <v>1175</v>
      </c>
      <c r="CI5" s="189">
        <f>VLOOKUP($A$5,$A$7:$CP$70,87,FALSE)</f>
        <v>36</v>
      </c>
      <c r="CJ5" s="191">
        <f>VLOOKUP($A$5,$A$7:$CP$70,88,FALSE)</f>
        <v>16</v>
      </c>
      <c r="CK5" s="178">
        <f>VLOOKUP($A$5,$A$7:$CP$70,89,FALSE)</f>
        <v>0.89029363784665583</v>
      </c>
      <c r="CL5" s="179">
        <f>VLOOKUP($A$5,$A$7:$CP$70,90,FALSE)</f>
        <v>7.9119086460032628E-2</v>
      </c>
      <c r="CM5" s="180">
        <f>VLOOKUP($A$5,$A$7:$CP$70,91,FALSE)</f>
        <v>5.4037520391517126E-3</v>
      </c>
      <c r="CN5" s="178">
        <f>VLOOKUP($A$5,$A$7:$CP$70,92,FALSE)</f>
        <v>0.92885375494071143</v>
      </c>
      <c r="CO5" s="179">
        <f>VLOOKUP($A$5,$A$7:$CP$70,93,FALSE)</f>
        <v>2.8458498023715414E-2</v>
      </c>
      <c r="CP5" s="180">
        <f>VLOOKUP($A$5,$A$7:$CP$70,94,FALSE)</f>
        <v>1.2648221343873518E-2</v>
      </c>
    </row>
    <row r="6" spans="1:94" s="242" customFormat="1" x14ac:dyDescent="0.15"/>
    <row r="7" spans="1:94" x14ac:dyDescent="0.15">
      <c r="A7" t="s">
        <v>426</v>
      </c>
      <c r="B7" t="s">
        <v>427</v>
      </c>
      <c r="C7" t="s">
        <v>428</v>
      </c>
      <c r="D7">
        <v>15567</v>
      </c>
      <c r="E7">
        <v>4345</v>
      </c>
      <c r="F7">
        <v>1179</v>
      </c>
      <c r="G7">
        <v>2084</v>
      </c>
      <c r="H7">
        <v>0.27911607888482043</v>
      </c>
      <c r="I7">
        <v>7.5737136249759113E-2</v>
      </c>
      <c r="J7">
        <v>0.13387293633969294</v>
      </c>
      <c r="K7">
        <v>26777</v>
      </c>
      <c r="L7">
        <v>1400</v>
      </c>
      <c r="M7">
        <v>11659</v>
      </c>
      <c r="N7">
        <v>8560</v>
      </c>
      <c r="O7">
        <v>5.22836762893528E-2</v>
      </c>
      <c r="P7">
        <v>0.43541098704111736</v>
      </c>
      <c r="Q7">
        <v>0.31967733502632856</v>
      </c>
      <c r="R7">
        <v>26777</v>
      </c>
      <c r="S7">
        <v>4054</v>
      </c>
      <c r="T7">
        <v>1008</v>
      </c>
      <c r="U7">
        <v>2586</v>
      </c>
      <c r="V7">
        <v>96</v>
      </c>
      <c r="W7">
        <v>7744</v>
      </c>
      <c r="X7">
        <v>12466</v>
      </c>
      <c r="Y7">
        <v>1722</v>
      </c>
      <c r="Z7">
        <v>441</v>
      </c>
      <c r="AA7">
        <v>1526</v>
      </c>
      <c r="AB7">
        <v>44</v>
      </c>
      <c r="AC7">
        <v>3733</v>
      </c>
      <c r="AD7">
        <v>14311</v>
      </c>
      <c r="AE7">
        <v>2332</v>
      </c>
      <c r="AF7">
        <v>567</v>
      </c>
      <c r="AG7">
        <v>1060</v>
      </c>
      <c r="AH7">
        <v>52</v>
      </c>
      <c r="AI7">
        <v>4011</v>
      </c>
      <c r="AJ7">
        <v>0.28920342084624867</v>
      </c>
      <c r="AK7">
        <v>0.13016528925619836</v>
      </c>
      <c r="AL7">
        <v>0.33393595041322316</v>
      </c>
      <c r="AM7">
        <v>1.2396694214876033E-2</v>
      </c>
      <c r="AN7">
        <v>0.48205061983471076</v>
      </c>
      <c r="AO7">
        <v>0.51794938016528924</v>
      </c>
      <c r="AP7">
        <v>12235</v>
      </c>
      <c r="AQ7">
        <v>109</v>
      </c>
      <c r="AR7">
        <v>7</v>
      </c>
      <c r="AS7">
        <v>1</v>
      </c>
      <c r="AT7">
        <v>609</v>
      </c>
      <c r="AU7">
        <v>611</v>
      </c>
      <c r="AV7">
        <v>107</v>
      </c>
      <c r="AW7">
        <v>505</v>
      </c>
      <c r="AX7">
        <v>384</v>
      </c>
      <c r="AY7">
        <v>2247</v>
      </c>
      <c r="AZ7">
        <v>596</v>
      </c>
      <c r="BA7">
        <v>352</v>
      </c>
      <c r="BB7">
        <v>539</v>
      </c>
      <c r="BC7">
        <v>972</v>
      </c>
      <c r="BD7">
        <v>490</v>
      </c>
      <c r="BE7">
        <v>714</v>
      </c>
      <c r="BF7">
        <v>1751</v>
      </c>
      <c r="BG7">
        <v>57</v>
      </c>
      <c r="BH7">
        <v>963</v>
      </c>
      <c r="BI7">
        <v>913</v>
      </c>
      <c r="BJ7">
        <v>8.9088680016346546E-3</v>
      </c>
      <c r="BK7">
        <v>5.7212913771965675E-4</v>
      </c>
      <c r="BL7">
        <v>8.1732733959950958E-5</v>
      </c>
      <c r="BM7">
        <v>4.9775234981610135E-2</v>
      </c>
      <c r="BN7">
        <v>4.9938700449530034E-2</v>
      </c>
      <c r="BO7">
        <v>8.7454025337147523E-3</v>
      </c>
      <c r="BP7">
        <v>4.1275030649775238E-2</v>
      </c>
      <c r="BQ7">
        <v>3.1385369840621166E-2</v>
      </c>
      <c r="BR7">
        <v>0.1836534532080098</v>
      </c>
      <c r="BS7">
        <v>4.8712709440130772E-2</v>
      </c>
      <c r="BT7">
        <v>2.8769922353902737E-2</v>
      </c>
      <c r="BU7">
        <v>4.4053943604413566E-2</v>
      </c>
      <c r="BV7">
        <v>7.9444217409072329E-2</v>
      </c>
      <c r="BW7">
        <v>4.0049039640375969E-2</v>
      </c>
      <c r="BX7">
        <v>5.8357172047404988E-2</v>
      </c>
      <c r="BY7">
        <v>0.14311401716387412</v>
      </c>
      <c r="BZ7">
        <v>4.6587658357172051E-3</v>
      </c>
      <c r="CA7">
        <v>7.8708622803432771E-2</v>
      </c>
      <c r="CB7">
        <v>7.4621986105435231E-2</v>
      </c>
      <c r="CC7">
        <v>12235</v>
      </c>
      <c r="CD7">
        <v>11245</v>
      </c>
      <c r="CE7">
        <v>686</v>
      </c>
      <c r="CF7">
        <v>71</v>
      </c>
      <c r="CG7">
        <v>855</v>
      </c>
      <c r="CH7">
        <v>787</v>
      </c>
      <c r="CI7">
        <v>16</v>
      </c>
      <c r="CJ7">
        <v>25</v>
      </c>
      <c r="CK7">
        <v>0.91908459337964854</v>
      </c>
      <c r="CL7">
        <v>5.6068655496526357E-2</v>
      </c>
      <c r="CM7">
        <v>5.8030241111565184E-3</v>
      </c>
      <c r="CN7">
        <v>0.92046783625730999</v>
      </c>
      <c r="CO7">
        <v>1.8713450292397661E-2</v>
      </c>
      <c r="CP7">
        <v>2.9239766081871343E-2</v>
      </c>
    </row>
    <row r="8" spans="1:94" x14ac:dyDescent="0.15">
      <c r="A8" t="s">
        <v>429</v>
      </c>
      <c r="B8" t="s">
        <v>427</v>
      </c>
      <c r="C8" t="s">
        <v>430</v>
      </c>
      <c r="D8">
        <v>10675</v>
      </c>
      <c r="E8">
        <v>3094</v>
      </c>
      <c r="F8">
        <v>950</v>
      </c>
      <c r="G8">
        <v>1257</v>
      </c>
      <c r="H8">
        <v>0.28983606557377051</v>
      </c>
      <c r="I8">
        <v>8.899297423887588E-2</v>
      </c>
      <c r="J8">
        <v>0.11775175644028103</v>
      </c>
      <c r="K8">
        <v>20239</v>
      </c>
      <c r="L8">
        <v>1030</v>
      </c>
      <c r="M8">
        <v>8562</v>
      </c>
      <c r="N8">
        <v>7331</v>
      </c>
      <c r="O8">
        <v>5.089184248233608E-2</v>
      </c>
      <c r="P8">
        <v>0.42304461682889472</v>
      </c>
      <c r="Q8">
        <v>0.36222145362913188</v>
      </c>
      <c r="R8">
        <v>20239</v>
      </c>
      <c r="S8">
        <v>2949</v>
      </c>
      <c r="T8">
        <v>712</v>
      </c>
      <c r="U8">
        <v>1648</v>
      </c>
      <c r="V8">
        <v>70</v>
      </c>
      <c r="W8">
        <v>5379</v>
      </c>
      <c r="X8">
        <v>9322</v>
      </c>
      <c r="Y8">
        <v>1276</v>
      </c>
      <c r="Z8">
        <v>306</v>
      </c>
      <c r="AA8">
        <v>872</v>
      </c>
      <c r="AB8">
        <v>39</v>
      </c>
      <c r="AC8">
        <v>2493</v>
      </c>
      <c r="AD8">
        <v>10917</v>
      </c>
      <c r="AE8">
        <v>1673</v>
      </c>
      <c r="AF8">
        <v>406</v>
      </c>
      <c r="AG8">
        <v>776</v>
      </c>
      <c r="AH8">
        <v>31</v>
      </c>
      <c r="AI8">
        <v>2886</v>
      </c>
      <c r="AJ8">
        <v>0.26577400069173379</v>
      </c>
      <c r="AK8">
        <v>0.13236661089421825</v>
      </c>
      <c r="AL8">
        <v>0.30637664993493213</v>
      </c>
      <c r="AM8">
        <v>1.3013571295779885E-2</v>
      </c>
      <c r="AN8">
        <v>0.46346904629113217</v>
      </c>
      <c r="AO8">
        <v>0.53653095370886783</v>
      </c>
      <c r="AP8">
        <v>9104</v>
      </c>
      <c r="AQ8">
        <v>89</v>
      </c>
      <c r="AR8">
        <v>4</v>
      </c>
      <c r="AS8">
        <v>4</v>
      </c>
      <c r="AT8">
        <v>455</v>
      </c>
      <c r="AU8">
        <v>461</v>
      </c>
      <c r="AV8">
        <v>104</v>
      </c>
      <c r="AW8">
        <v>392</v>
      </c>
      <c r="AX8">
        <v>236</v>
      </c>
      <c r="AY8">
        <v>1428</v>
      </c>
      <c r="AZ8">
        <v>464</v>
      </c>
      <c r="BA8">
        <v>254</v>
      </c>
      <c r="BB8">
        <v>413</v>
      </c>
      <c r="BC8">
        <v>674</v>
      </c>
      <c r="BD8">
        <v>308</v>
      </c>
      <c r="BE8">
        <v>692</v>
      </c>
      <c r="BF8">
        <v>1768</v>
      </c>
      <c r="BG8">
        <v>56</v>
      </c>
      <c r="BH8">
        <v>576</v>
      </c>
      <c r="BI8">
        <v>540</v>
      </c>
      <c r="BJ8">
        <v>9.7759226713532519E-3</v>
      </c>
      <c r="BK8">
        <v>4.3936731107205621E-4</v>
      </c>
      <c r="BL8">
        <v>4.3936731107205621E-4</v>
      </c>
      <c r="BM8">
        <v>4.9978031634446397E-2</v>
      </c>
      <c r="BN8">
        <v>5.0637082601054484E-2</v>
      </c>
      <c r="BO8">
        <v>1.1423550087873463E-2</v>
      </c>
      <c r="BP8">
        <v>4.3057996485061513E-2</v>
      </c>
      <c r="BQ8">
        <v>2.5922671353251318E-2</v>
      </c>
      <c r="BR8">
        <v>0.15685413005272408</v>
      </c>
      <c r="BS8">
        <v>5.0966608084358524E-2</v>
      </c>
      <c r="BT8">
        <v>2.7899824253075571E-2</v>
      </c>
      <c r="BU8">
        <v>4.5364674868189805E-2</v>
      </c>
      <c r="BV8">
        <v>7.4033391915641469E-2</v>
      </c>
      <c r="BW8">
        <v>3.3831282952548329E-2</v>
      </c>
      <c r="BX8">
        <v>7.6010544815465736E-2</v>
      </c>
      <c r="BY8">
        <v>0.19420035149384884</v>
      </c>
      <c r="BZ8">
        <v>6.1511423550087872E-3</v>
      </c>
      <c r="CA8">
        <v>6.32688927943761E-2</v>
      </c>
      <c r="CB8">
        <v>5.9314586994727594E-2</v>
      </c>
      <c r="CC8">
        <v>9104</v>
      </c>
      <c r="CD8">
        <v>8270</v>
      </c>
      <c r="CE8">
        <v>627</v>
      </c>
      <c r="CF8">
        <v>45</v>
      </c>
      <c r="CG8">
        <v>892</v>
      </c>
      <c r="CH8">
        <v>847</v>
      </c>
      <c r="CI8">
        <v>13</v>
      </c>
      <c r="CJ8">
        <v>21</v>
      </c>
      <c r="CK8">
        <v>0.90839191564147626</v>
      </c>
      <c r="CL8">
        <v>6.8870826010544811E-2</v>
      </c>
      <c r="CM8">
        <v>4.9428822495606326E-3</v>
      </c>
      <c r="CN8">
        <v>0.94955156950672648</v>
      </c>
      <c r="CO8">
        <v>1.4573991031390135E-2</v>
      </c>
      <c r="CP8">
        <v>2.3542600896860985E-2</v>
      </c>
    </row>
    <row r="9" spans="1:94" x14ac:dyDescent="0.15">
      <c r="A9" t="s">
        <v>431</v>
      </c>
      <c r="B9" t="s">
        <v>427</v>
      </c>
      <c r="C9" t="s">
        <v>432</v>
      </c>
      <c r="D9">
        <v>7054</v>
      </c>
      <c r="E9">
        <v>1934</v>
      </c>
      <c r="F9">
        <v>479</v>
      </c>
      <c r="G9">
        <v>1019</v>
      </c>
      <c r="H9">
        <v>0.27417068330025518</v>
      </c>
      <c r="I9">
        <v>6.7904734902183156E-2</v>
      </c>
      <c r="J9">
        <v>0.14445704564785938</v>
      </c>
      <c r="K9">
        <v>11230</v>
      </c>
      <c r="L9">
        <v>480</v>
      </c>
      <c r="M9">
        <v>4529</v>
      </c>
      <c r="N9">
        <v>3286</v>
      </c>
      <c r="O9">
        <v>4.2742653606411399E-2</v>
      </c>
      <c r="P9">
        <v>0.40329474621549422</v>
      </c>
      <c r="Q9">
        <v>0.29260908281389136</v>
      </c>
      <c r="R9">
        <v>11230</v>
      </c>
      <c r="S9">
        <v>1707</v>
      </c>
      <c r="T9">
        <v>423</v>
      </c>
      <c r="U9">
        <v>792</v>
      </c>
      <c r="V9">
        <v>32</v>
      </c>
      <c r="W9">
        <v>2954</v>
      </c>
      <c r="X9">
        <v>5460</v>
      </c>
      <c r="Y9">
        <v>757</v>
      </c>
      <c r="Z9">
        <v>210</v>
      </c>
      <c r="AA9">
        <v>486</v>
      </c>
      <c r="AB9">
        <v>22</v>
      </c>
      <c r="AC9">
        <v>1475</v>
      </c>
      <c r="AD9">
        <v>5770</v>
      </c>
      <c r="AE9">
        <v>950</v>
      </c>
      <c r="AF9">
        <v>213</v>
      </c>
      <c r="AG9">
        <v>306</v>
      </c>
      <c r="AH9">
        <v>10</v>
      </c>
      <c r="AI9">
        <v>1479</v>
      </c>
      <c r="AJ9">
        <v>0.26304541406945681</v>
      </c>
      <c r="AK9">
        <v>0.14319566689234936</v>
      </c>
      <c r="AL9">
        <v>0.26811103588354773</v>
      </c>
      <c r="AM9">
        <v>1.0832769126607989E-2</v>
      </c>
      <c r="AN9">
        <v>0.49932295192958698</v>
      </c>
      <c r="AO9">
        <v>0.50067704807041302</v>
      </c>
      <c r="AP9">
        <v>4550</v>
      </c>
      <c r="AQ9">
        <v>42</v>
      </c>
      <c r="AR9">
        <v>1</v>
      </c>
      <c r="AS9">
        <v>1</v>
      </c>
      <c r="AT9">
        <v>240</v>
      </c>
      <c r="AU9">
        <v>241</v>
      </c>
      <c r="AV9">
        <v>56</v>
      </c>
      <c r="AW9">
        <v>172</v>
      </c>
      <c r="AX9">
        <v>155</v>
      </c>
      <c r="AY9">
        <v>722</v>
      </c>
      <c r="AZ9">
        <v>212</v>
      </c>
      <c r="BA9">
        <v>128</v>
      </c>
      <c r="BB9">
        <v>212</v>
      </c>
      <c r="BC9">
        <v>550</v>
      </c>
      <c r="BD9">
        <v>174</v>
      </c>
      <c r="BE9">
        <v>208</v>
      </c>
      <c r="BF9">
        <v>681</v>
      </c>
      <c r="BG9">
        <v>24</v>
      </c>
      <c r="BH9">
        <v>319</v>
      </c>
      <c r="BI9">
        <v>284</v>
      </c>
      <c r="BJ9">
        <v>9.2307692307692316E-3</v>
      </c>
      <c r="BK9">
        <v>2.1978021978021978E-4</v>
      </c>
      <c r="BL9">
        <v>2.1978021978021978E-4</v>
      </c>
      <c r="BM9">
        <v>5.2747252747252747E-2</v>
      </c>
      <c r="BN9">
        <v>5.2967032967032965E-2</v>
      </c>
      <c r="BO9">
        <v>1.2307692307692308E-2</v>
      </c>
      <c r="BP9">
        <v>3.7802197802197804E-2</v>
      </c>
      <c r="BQ9">
        <v>3.4065934065934063E-2</v>
      </c>
      <c r="BR9">
        <v>0.15868131868131868</v>
      </c>
      <c r="BS9">
        <v>4.6593406593406592E-2</v>
      </c>
      <c r="BT9">
        <v>2.8131868131868132E-2</v>
      </c>
      <c r="BU9">
        <v>4.6593406593406592E-2</v>
      </c>
      <c r="BV9">
        <v>0.12087912087912088</v>
      </c>
      <c r="BW9">
        <v>3.8241758241758239E-2</v>
      </c>
      <c r="BX9">
        <v>4.5714285714285714E-2</v>
      </c>
      <c r="BY9">
        <v>0.14967032967032967</v>
      </c>
      <c r="BZ9">
        <v>5.2747252747252747E-3</v>
      </c>
      <c r="CA9">
        <v>7.0109890109890105E-2</v>
      </c>
      <c r="CB9">
        <v>6.2417582417582419E-2</v>
      </c>
      <c r="CC9">
        <v>4550</v>
      </c>
      <c r="CD9">
        <v>4196</v>
      </c>
      <c r="CE9">
        <v>210</v>
      </c>
      <c r="CF9">
        <v>18</v>
      </c>
      <c r="CG9">
        <v>229</v>
      </c>
      <c r="CH9">
        <v>208</v>
      </c>
      <c r="CI9">
        <v>6</v>
      </c>
      <c r="CJ9">
        <v>7</v>
      </c>
      <c r="CK9">
        <v>0.92219780219780223</v>
      </c>
      <c r="CL9">
        <v>4.6153846153846156E-2</v>
      </c>
      <c r="CM9">
        <v>3.956043956043956E-3</v>
      </c>
      <c r="CN9">
        <v>0.90829694323144106</v>
      </c>
      <c r="CO9">
        <v>2.6200873362445413E-2</v>
      </c>
      <c r="CP9">
        <v>3.0567685589519649E-2</v>
      </c>
    </row>
    <row r="10" spans="1:94" x14ac:dyDescent="0.15">
      <c r="A10" t="s">
        <v>433</v>
      </c>
      <c r="B10" t="s">
        <v>427</v>
      </c>
      <c r="C10" t="s">
        <v>434</v>
      </c>
      <c r="D10">
        <v>11519</v>
      </c>
      <c r="E10">
        <v>4473</v>
      </c>
      <c r="F10">
        <v>1635</v>
      </c>
      <c r="G10">
        <v>1498</v>
      </c>
      <c r="H10">
        <v>0.38831495789565068</v>
      </c>
      <c r="I10">
        <v>0.14193940446219289</v>
      </c>
      <c r="J10">
        <v>0.13004601093844953</v>
      </c>
      <c r="K10">
        <v>25129</v>
      </c>
      <c r="L10">
        <v>1775</v>
      </c>
      <c r="M10">
        <v>9748</v>
      </c>
      <c r="N10">
        <v>10935</v>
      </c>
      <c r="O10">
        <v>7.0635520713120306E-2</v>
      </c>
      <c r="P10">
        <v>0.38791834135858966</v>
      </c>
      <c r="Q10">
        <v>0.43515460225237773</v>
      </c>
      <c r="R10">
        <v>25129</v>
      </c>
      <c r="S10">
        <v>3738</v>
      </c>
      <c r="T10">
        <v>885</v>
      </c>
      <c r="U10">
        <v>1283</v>
      </c>
      <c r="V10">
        <v>49</v>
      </c>
      <c r="W10">
        <v>5955</v>
      </c>
      <c r="X10">
        <v>11557</v>
      </c>
      <c r="Y10">
        <v>1645</v>
      </c>
      <c r="Z10">
        <v>369</v>
      </c>
      <c r="AA10">
        <v>697</v>
      </c>
      <c r="AB10">
        <v>32</v>
      </c>
      <c r="AC10">
        <v>2743</v>
      </c>
      <c r="AD10">
        <v>13572</v>
      </c>
      <c r="AE10">
        <v>2093</v>
      </c>
      <c r="AF10">
        <v>516</v>
      </c>
      <c r="AG10">
        <v>586</v>
      </c>
      <c r="AH10">
        <v>17</v>
      </c>
      <c r="AI10">
        <v>3212</v>
      </c>
      <c r="AJ10">
        <v>0.23697719766007402</v>
      </c>
      <c r="AK10">
        <v>0.1486146095717884</v>
      </c>
      <c r="AL10">
        <v>0.21544920235096557</v>
      </c>
      <c r="AM10">
        <v>8.2283795130142744E-3</v>
      </c>
      <c r="AN10">
        <v>0.46062132661628885</v>
      </c>
      <c r="AO10">
        <v>0.53937867338371115</v>
      </c>
      <c r="AP10">
        <v>11341</v>
      </c>
      <c r="AQ10">
        <v>283</v>
      </c>
      <c r="AR10">
        <v>13</v>
      </c>
      <c r="AS10">
        <v>1</v>
      </c>
      <c r="AT10">
        <v>751</v>
      </c>
      <c r="AU10">
        <v>749</v>
      </c>
      <c r="AV10">
        <v>115</v>
      </c>
      <c r="AW10">
        <v>336</v>
      </c>
      <c r="AX10">
        <v>380</v>
      </c>
      <c r="AY10">
        <v>1950</v>
      </c>
      <c r="AZ10">
        <v>419</v>
      </c>
      <c r="BA10">
        <v>250</v>
      </c>
      <c r="BB10">
        <v>394</v>
      </c>
      <c r="BC10">
        <v>626</v>
      </c>
      <c r="BD10">
        <v>431</v>
      </c>
      <c r="BE10">
        <v>862</v>
      </c>
      <c r="BF10">
        <v>2026</v>
      </c>
      <c r="BG10">
        <v>86</v>
      </c>
      <c r="BH10">
        <v>780</v>
      </c>
      <c r="BI10">
        <v>595</v>
      </c>
      <c r="BJ10">
        <v>2.495370778590953E-2</v>
      </c>
      <c r="BK10">
        <v>1.1462833965258795E-3</v>
      </c>
      <c r="BL10">
        <v>8.8175645886606123E-5</v>
      </c>
      <c r="BM10">
        <v>6.62199100608412E-2</v>
      </c>
      <c r="BN10">
        <v>6.6043558769067978E-2</v>
      </c>
      <c r="BO10">
        <v>1.0140199276959704E-2</v>
      </c>
      <c r="BP10">
        <v>2.9627017017899656E-2</v>
      </c>
      <c r="BQ10">
        <v>3.3506745436910325E-2</v>
      </c>
      <c r="BR10">
        <v>0.17194250947888193</v>
      </c>
      <c r="BS10">
        <v>3.6945595626487963E-2</v>
      </c>
      <c r="BT10">
        <v>2.204391147165153E-2</v>
      </c>
      <c r="BU10">
        <v>3.4741204479322808E-2</v>
      </c>
      <c r="BV10">
        <v>5.5197954325015432E-2</v>
      </c>
      <c r="BW10">
        <v>3.8003703377127239E-2</v>
      </c>
      <c r="BX10">
        <v>7.6007406754254478E-2</v>
      </c>
      <c r="BY10">
        <v>0.178643858566264</v>
      </c>
      <c r="BZ10">
        <v>7.5831055462481263E-3</v>
      </c>
      <c r="CA10">
        <v>6.8777003791552771E-2</v>
      </c>
      <c r="CB10">
        <v>5.2464509302530639E-2</v>
      </c>
      <c r="CC10">
        <v>11341</v>
      </c>
      <c r="CD10">
        <v>10280</v>
      </c>
      <c r="CE10">
        <v>802</v>
      </c>
      <c r="CF10">
        <v>40</v>
      </c>
      <c r="CG10">
        <v>917</v>
      </c>
      <c r="CH10">
        <v>838</v>
      </c>
      <c r="CI10">
        <v>31</v>
      </c>
      <c r="CJ10">
        <v>19</v>
      </c>
      <c r="CK10">
        <v>0.90644563971431091</v>
      </c>
      <c r="CL10">
        <v>7.0716868001058114E-2</v>
      </c>
      <c r="CM10">
        <v>3.5270258354642447E-3</v>
      </c>
      <c r="CN10">
        <v>0.9138495092693566</v>
      </c>
      <c r="CO10">
        <v>3.3805888767720831E-2</v>
      </c>
      <c r="CP10">
        <v>2.0719738276990186E-2</v>
      </c>
    </row>
    <row r="11" spans="1:94" x14ac:dyDescent="0.15">
      <c r="A11" t="s">
        <v>435</v>
      </c>
      <c r="B11" t="s">
        <v>427</v>
      </c>
      <c r="C11" t="s">
        <v>436</v>
      </c>
      <c r="D11">
        <v>6352</v>
      </c>
      <c r="E11">
        <v>2727</v>
      </c>
      <c r="F11">
        <v>912</v>
      </c>
      <c r="G11">
        <v>840</v>
      </c>
      <c r="H11">
        <v>0.42931360201511337</v>
      </c>
      <c r="I11">
        <v>0.14357682619647355</v>
      </c>
      <c r="J11">
        <v>0.13224181360201512</v>
      </c>
      <c r="K11">
        <v>15280</v>
      </c>
      <c r="L11">
        <v>1196</v>
      </c>
      <c r="M11">
        <v>5358</v>
      </c>
      <c r="N11">
        <v>7114</v>
      </c>
      <c r="O11">
        <v>7.8272251308900517E-2</v>
      </c>
      <c r="P11">
        <v>0.3506544502617801</v>
      </c>
      <c r="Q11">
        <v>0.46557591623036648</v>
      </c>
      <c r="R11">
        <v>15280</v>
      </c>
      <c r="S11">
        <v>2158</v>
      </c>
      <c r="T11">
        <v>381</v>
      </c>
      <c r="U11">
        <v>464</v>
      </c>
      <c r="V11">
        <v>15</v>
      </c>
      <c r="W11">
        <v>3018</v>
      </c>
      <c r="X11">
        <v>7201</v>
      </c>
      <c r="Y11">
        <v>963</v>
      </c>
      <c r="Z11">
        <v>182</v>
      </c>
      <c r="AA11">
        <v>248</v>
      </c>
      <c r="AB11">
        <v>7</v>
      </c>
      <c r="AC11">
        <v>1400</v>
      </c>
      <c r="AD11">
        <v>8079</v>
      </c>
      <c r="AE11">
        <v>1195</v>
      </c>
      <c r="AF11">
        <v>199</v>
      </c>
      <c r="AG11">
        <v>216</v>
      </c>
      <c r="AH11">
        <v>8</v>
      </c>
      <c r="AI11">
        <v>1618</v>
      </c>
      <c r="AJ11">
        <v>0.19751308900523559</v>
      </c>
      <c r="AK11">
        <v>0.12624254473161034</v>
      </c>
      <c r="AL11">
        <v>0.15374420145791914</v>
      </c>
      <c r="AM11">
        <v>4.970178926441352E-3</v>
      </c>
      <c r="AN11">
        <v>0.46388336646785949</v>
      </c>
      <c r="AO11">
        <v>0.53611663353214045</v>
      </c>
      <c r="AP11">
        <v>6922</v>
      </c>
      <c r="AQ11">
        <v>212</v>
      </c>
      <c r="AR11">
        <v>14</v>
      </c>
      <c r="AS11">
        <v>1</v>
      </c>
      <c r="AT11">
        <v>620</v>
      </c>
      <c r="AU11">
        <v>510</v>
      </c>
      <c r="AV11">
        <v>49</v>
      </c>
      <c r="AW11">
        <v>160</v>
      </c>
      <c r="AX11">
        <v>277</v>
      </c>
      <c r="AY11">
        <v>1316</v>
      </c>
      <c r="AZ11">
        <v>204</v>
      </c>
      <c r="BA11">
        <v>142</v>
      </c>
      <c r="BB11">
        <v>191</v>
      </c>
      <c r="BC11">
        <v>481</v>
      </c>
      <c r="BD11">
        <v>278</v>
      </c>
      <c r="BE11">
        <v>384</v>
      </c>
      <c r="BF11">
        <v>1111</v>
      </c>
      <c r="BG11">
        <v>48</v>
      </c>
      <c r="BH11">
        <v>526</v>
      </c>
      <c r="BI11">
        <v>233</v>
      </c>
      <c r="BJ11">
        <v>3.0626986420109796E-2</v>
      </c>
      <c r="BK11">
        <v>2.0225368390638545E-3</v>
      </c>
      <c r="BL11">
        <v>1.4446691707598961E-4</v>
      </c>
      <c r="BM11">
        <v>8.9569488587113555E-2</v>
      </c>
      <c r="BN11">
        <v>7.367812770875469E-2</v>
      </c>
      <c r="BO11">
        <v>7.0788789367234907E-3</v>
      </c>
      <c r="BP11">
        <v>2.3114706732158336E-2</v>
      </c>
      <c r="BQ11">
        <v>4.0017336030049117E-2</v>
      </c>
      <c r="BR11">
        <v>0.19011846287200232</v>
      </c>
      <c r="BS11">
        <v>2.9471251083501879E-2</v>
      </c>
      <c r="BT11">
        <v>2.0514302224790525E-2</v>
      </c>
      <c r="BU11">
        <v>2.7593181161514012E-2</v>
      </c>
      <c r="BV11">
        <v>6.9488587113550992E-2</v>
      </c>
      <c r="BW11">
        <v>4.0161802947125111E-2</v>
      </c>
      <c r="BX11">
        <v>5.5475296157180005E-2</v>
      </c>
      <c r="BY11">
        <v>0.16050274487142444</v>
      </c>
      <c r="BZ11">
        <v>6.9344120196475007E-3</v>
      </c>
      <c r="CA11">
        <v>7.598959838197053E-2</v>
      </c>
      <c r="CB11">
        <v>3.3660791678705573E-2</v>
      </c>
      <c r="CC11">
        <v>6922</v>
      </c>
      <c r="CD11">
        <v>6336</v>
      </c>
      <c r="CE11">
        <v>379</v>
      </c>
      <c r="CF11">
        <v>34</v>
      </c>
      <c r="CG11">
        <v>691</v>
      </c>
      <c r="CH11">
        <v>648</v>
      </c>
      <c r="CI11">
        <v>14</v>
      </c>
      <c r="CJ11">
        <v>10</v>
      </c>
      <c r="CK11">
        <v>0.91534238659347011</v>
      </c>
      <c r="CL11">
        <v>5.4752961571800055E-2</v>
      </c>
      <c r="CM11">
        <v>4.9118751805836466E-3</v>
      </c>
      <c r="CN11">
        <v>0.93777134587554267</v>
      </c>
      <c r="CO11">
        <v>2.0260492040520984E-2</v>
      </c>
      <c r="CP11">
        <v>1.4471780028943559E-2</v>
      </c>
    </row>
    <row r="12" spans="1:94" x14ac:dyDescent="0.15">
      <c r="A12" t="s">
        <v>437</v>
      </c>
      <c r="B12" t="s">
        <v>427</v>
      </c>
      <c r="C12" t="s">
        <v>438</v>
      </c>
      <c r="D12">
        <v>11266</v>
      </c>
      <c r="E12">
        <v>3965</v>
      </c>
      <c r="F12">
        <v>1270</v>
      </c>
      <c r="G12">
        <v>1518</v>
      </c>
      <c r="H12">
        <v>0.35194390200603587</v>
      </c>
      <c r="I12">
        <v>0.11272856382034439</v>
      </c>
      <c r="J12">
        <v>0.13474170069234867</v>
      </c>
      <c r="K12">
        <v>23676</v>
      </c>
      <c r="L12">
        <v>1593</v>
      </c>
      <c r="M12">
        <v>8803</v>
      </c>
      <c r="N12">
        <v>10298</v>
      </c>
      <c r="O12">
        <v>6.7283324885960463E-2</v>
      </c>
      <c r="P12">
        <v>0.37181111674269302</v>
      </c>
      <c r="Q12">
        <v>0.43495522892380467</v>
      </c>
      <c r="R12">
        <v>23676</v>
      </c>
      <c r="S12">
        <v>3496</v>
      </c>
      <c r="T12">
        <v>643</v>
      </c>
      <c r="U12">
        <v>1037</v>
      </c>
      <c r="V12">
        <v>27</v>
      </c>
      <c r="W12">
        <v>5203</v>
      </c>
      <c r="X12">
        <v>11074</v>
      </c>
      <c r="Y12">
        <v>1526</v>
      </c>
      <c r="Z12">
        <v>301</v>
      </c>
      <c r="AA12">
        <v>570</v>
      </c>
      <c r="AB12">
        <v>16</v>
      </c>
      <c r="AC12">
        <v>2413</v>
      </c>
      <c r="AD12">
        <v>12602</v>
      </c>
      <c r="AE12">
        <v>1970</v>
      </c>
      <c r="AF12">
        <v>342</v>
      </c>
      <c r="AG12">
        <v>467</v>
      </c>
      <c r="AH12">
        <v>11</v>
      </c>
      <c r="AI12">
        <v>2790</v>
      </c>
      <c r="AJ12">
        <v>0.2197584051360027</v>
      </c>
      <c r="AK12">
        <v>0.12358254852969441</v>
      </c>
      <c r="AL12">
        <v>0.19930809148568135</v>
      </c>
      <c r="AM12">
        <v>5.1893138573899673E-3</v>
      </c>
      <c r="AN12">
        <v>0.46377090140303673</v>
      </c>
      <c r="AO12">
        <v>0.53622909859696333</v>
      </c>
      <c r="AP12">
        <v>10657</v>
      </c>
      <c r="AQ12">
        <v>202</v>
      </c>
      <c r="AR12">
        <v>9</v>
      </c>
      <c r="AS12">
        <v>1</v>
      </c>
      <c r="AT12">
        <v>648</v>
      </c>
      <c r="AU12">
        <v>678</v>
      </c>
      <c r="AV12">
        <v>63</v>
      </c>
      <c r="AW12">
        <v>262</v>
      </c>
      <c r="AX12">
        <v>401</v>
      </c>
      <c r="AY12">
        <v>1552</v>
      </c>
      <c r="AZ12">
        <v>357</v>
      </c>
      <c r="BA12">
        <v>215</v>
      </c>
      <c r="BB12">
        <v>410</v>
      </c>
      <c r="BC12">
        <v>623</v>
      </c>
      <c r="BD12">
        <v>382</v>
      </c>
      <c r="BE12">
        <v>927</v>
      </c>
      <c r="BF12">
        <v>1958</v>
      </c>
      <c r="BG12">
        <v>80</v>
      </c>
      <c r="BH12">
        <v>707</v>
      </c>
      <c r="BI12">
        <v>925</v>
      </c>
      <c r="BJ12">
        <v>1.8954677676644459E-2</v>
      </c>
      <c r="BK12">
        <v>8.4451534202871351E-4</v>
      </c>
      <c r="BL12">
        <v>9.3835038003190396E-5</v>
      </c>
      <c r="BM12">
        <v>6.080510462606737E-2</v>
      </c>
      <c r="BN12">
        <v>6.3620155766163089E-2</v>
      </c>
      <c r="BO12">
        <v>5.9116073942009949E-3</v>
      </c>
      <c r="BP12">
        <v>2.4584779956835882E-2</v>
      </c>
      <c r="BQ12">
        <v>3.7627850239279344E-2</v>
      </c>
      <c r="BR12">
        <v>0.14563197898095148</v>
      </c>
      <c r="BS12">
        <v>3.3499108567138967E-2</v>
      </c>
      <c r="BT12">
        <v>2.0174533170685936E-2</v>
      </c>
      <c r="BU12">
        <v>3.8472365581308059E-2</v>
      </c>
      <c r="BV12">
        <v>5.8459228675987615E-2</v>
      </c>
      <c r="BW12">
        <v>3.584498451721873E-2</v>
      </c>
      <c r="BX12">
        <v>8.6985080228957498E-2</v>
      </c>
      <c r="BY12">
        <v>0.18372900441024678</v>
      </c>
      <c r="BZ12">
        <v>7.5068030402552317E-3</v>
      </c>
      <c r="CA12">
        <v>6.6341371868255603E-2</v>
      </c>
      <c r="CB12">
        <v>8.6797410152951116E-2</v>
      </c>
      <c r="CC12">
        <v>10657</v>
      </c>
      <c r="CD12">
        <v>9781</v>
      </c>
      <c r="CE12">
        <v>614</v>
      </c>
      <c r="CF12">
        <v>50</v>
      </c>
      <c r="CG12">
        <v>1013</v>
      </c>
      <c r="CH12">
        <v>947</v>
      </c>
      <c r="CI12">
        <v>25</v>
      </c>
      <c r="CJ12">
        <v>24</v>
      </c>
      <c r="CK12">
        <v>0.91780050670920521</v>
      </c>
      <c r="CL12">
        <v>5.76147133339589E-2</v>
      </c>
      <c r="CM12">
        <v>4.6917519001595199E-3</v>
      </c>
      <c r="CN12">
        <v>0.93484698914116482</v>
      </c>
      <c r="CO12">
        <v>2.4679170779861797E-2</v>
      </c>
      <c r="CP12">
        <v>2.3692003948667325E-2</v>
      </c>
    </row>
    <row r="13" spans="1:94" x14ac:dyDescent="0.15">
      <c r="A13" t="s">
        <v>439</v>
      </c>
      <c r="B13" t="s">
        <v>427</v>
      </c>
      <c r="C13" t="s">
        <v>440</v>
      </c>
      <c r="D13">
        <v>8863</v>
      </c>
      <c r="E13">
        <v>3469</v>
      </c>
      <c r="F13">
        <v>1348</v>
      </c>
      <c r="G13">
        <v>1005</v>
      </c>
      <c r="H13">
        <v>0.39140245966377074</v>
      </c>
      <c r="I13">
        <v>0.15209297077738915</v>
      </c>
      <c r="J13">
        <v>0.11339275640302381</v>
      </c>
      <c r="K13">
        <v>20130</v>
      </c>
      <c r="L13">
        <v>1345</v>
      </c>
      <c r="M13">
        <v>7386</v>
      </c>
      <c r="N13">
        <v>9217</v>
      </c>
      <c r="O13">
        <v>6.681569796323894E-2</v>
      </c>
      <c r="P13">
        <v>0.36691505216095383</v>
      </c>
      <c r="Q13">
        <v>0.45787382016890216</v>
      </c>
      <c r="R13">
        <v>20130</v>
      </c>
      <c r="S13">
        <v>3021</v>
      </c>
      <c r="T13">
        <v>516</v>
      </c>
      <c r="U13">
        <v>809</v>
      </c>
      <c r="V13">
        <v>24</v>
      </c>
      <c r="W13">
        <v>4370</v>
      </c>
      <c r="X13">
        <v>9466</v>
      </c>
      <c r="Y13">
        <v>1369</v>
      </c>
      <c r="Z13">
        <v>233</v>
      </c>
      <c r="AA13">
        <v>463</v>
      </c>
      <c r="AB13">
        <v>19</v>
      </c>
      <c r="AC13">
        <v>2084</v>
      </c>
      <c r="AD13">
        <v>10664</v>
      </c>
      <c r="AE13">
        <v>1652</v>
      </c>
      <c r="AF13">
        <v>283</v>
      </c>
      <c r="AG13">
        <v>346</v>
      </c>
      <c r="AH13">
        <v>5</v>
      </c>
      <c r="AI13">
        <v>2286</v>
      </c>
      <c r="AJ13">
        <v>0.21708892200695479</v>
      </c>
      <c r="AK13">
        <v>0.11807780320366133</v>
      </c>
      <c r="AL13">
        <v>0.1851258581235698</v>
      </c>
      <c r="AM13">
        <v>5.491990846681922E-3</v>
      </c>
      <c r="AN13">
        <v>0.47688787185354692</v>
      </c>
      <c r="AO13">
        <v>0.52311212814645314</v>
      </c>
      <c r="AP13">
        <v>9115</v>
      </c>
      <c r="AQ13">
        <v>165</v>
      </c>
      <c r="AR13">
        <v>4</v>
      </c>
      <c r="AS13">
        <v>2</v>
      </c>
      <c r="AT13">
        <v>767</v>
      </c>
      <c r="AU13">
        <v>620</v>
      </c>
      <c r="AV13">
        <v>57</v>
      </c>
      <c r="AW13">
        <v>197</v>
      </c>
      <c r="AX13">
        <v>360</v>
      </c>
      <c r="AY13">
        <v>1532</v>
      </c>
      <c r="AZ13">
        <v>269</v>
      </c>
      <c r="BA13">
        <v>171</v>
      </c>
      <c r="BB13">
        <v>360</v>
      </c>
      <c r="BC13">
        <v>513</v>
      </c>
      <c r="BD13">
        <v>340</v>
      </c>
      <c r="BE13">
        <v>631</v>
      </c>
      <c r="BF13">
        <v>1761</v>
      </c>
      <c r="BG13">
        <v>57</v>
      </c>
      <c r="BH13">
        <v>543</v>
      </c>
      <c r="BI13">
        <v>519</v>
      </c>
      <c r="BJ13">
        <v>1.8102029621503018E-2</v>
      </c>
      <c r="BK13">
        <v>4.3883708173340647E-4</v>
      </c>
      <c r="BL13">
        <v>2.1941854086670324E-4</v>
      </c>
      <c r="BM13">
        <v>8.4147010422380694E-2</v>
      </c>
      <c r="BN13">
        <v>6.8019747668678007E-2</v>
      </c>
      <c r="BO13">
        <v>6.2534284147010418E-3</v>
      </c>
      <c r="BP13">
        <v>2.161272627537027E-2</v>
      </c>
      <c r="BQ13">
        <v>3.9495337356006584E-2</v>
      </c>
      <c r="BR13">
        <v>0.16807460230389468</v>
      </c>
      <c r="BS13">
        <v>2.9511793746571584E-2</v>
      </c>
      <c r="BT13">
        <v>1.8760285244103128E-2</v>
      </c>
      <c r="BU13">
        <v>3.9495337356006584E-2</v>
      </c>
      <c r="BV13">
        <v>5.6280855732309377E-2</v>
      </c>
      <c r="BW13">
        <v>3.7301151947339552E-2</v>
      </c>
      <c r="BX13">
        <v>6.9226549643444865E-2</v>
      </c>
      <c r="BY13">
        <v>0.1931980252331322</v>
      </c>
      <c r="BZ13">
        <v>6.2534284147010418E-3</v>
      </c>
      <c r="CA13">
        <v>5.9572133845309926E-2</v>
      </c>
      <c r="CB13">
        <v>5.6939111354909491E-2</v>
      </c>
      <c r="CC13">
        <v>9115</v>
      </c>
      <c r="CD13">
        <v>8315</v>
      </c>
      <c r="CE13">
        <v>575</v>
      </c>
      <c r="CF13">
        <v>44</v>
      </c>
      <c r="CG13">
        <v>809</v>
      </c>
      <c r="CH13">
        <v>747</v>
      </c>
      <c r="CI13">
        <v>16</v>
      </c>
      <c r="CJ13">
        <v>20</v>
      </c>
      <c r="CK13">
        <v>0.91223258365331872</v>
      </c>
      <c r="CL13">
        <v>6.3082830499177178E-2</v>
      </c>
      <c r="CM13">
        <v>4.8272078990674715E-3</v>
      </c>
      <c r="CN13">
        <v>0.92336217552533995</v>
      </c>
      <c r="CO13">
        <v>1.9777503090234856E-2</v>
      </c>
      <c r="CP13">
        <v>2.4721878862793572E-2</v>
      </c>
    </row>
    <row r="14" spans="1:94" x14ac:dyDescent="0.15">
      <c r="A14" t="s">
        <v>441</v>
      </c>
      <c r="B14" t="s">
        <v>427</v>
      </c>
      <c r="C14" t="s">
        <v>442</v>
      </c>
      <c r="D14">
        <v>19510</v>
      </c>
      <c r="E14">
        <v>6401</v>
      </c>
      <c r="F14">
        <v>2112</v>
      </c>
      <c r="G14">
        <v>2133</v>
      </c>
      <c r="H14">
        <v>0.32808815991799078</v>
      </c>
      <c r="I14">
        <v>0.10825217837006663</v>
      </c>
      <c r="J14">
        <v>0.10932854946181446</v>
      </c>
      <c r="K14">
        <v>42286</v>
      </c>
      <c r="L14">
        <v>2819</v>
      </c>
      <c r="M14">
        <v>17624</v>
      </c>
      <c r="N14">
        <v>15852</v>
      </c>
      <c r="O14">
        <v>6.6665090100742563E-2</v>
      </c>
      <c r="P14">
        <v>0.41678096769616424</v>
      </c>
      <c r="Q14">
        <v>0.3748758454334768</v>
      </c>
      <c r="R14">
        <v>42286</v>
      </c>
      <c r="S14">
        <v>6987</v>
      </c>
      <c r="T14">
        <v>1511</v>
      </c>
      <c r="U14">
        <v>2642</v>
      </c>
      <c r="V14">
        <v>127</v>
      </c>
      <c r="W14">
        <v>11267</v>
      </c>
      <c r="X14">
        <v>19849</v>
      </c>
      <c r="Y14">
        <v>3134</v>
      </c>
      <c r="Z14">
        <v>680</v>
      </c>
      <c r="AA14">
        <v>1477</v>
      </c>
      <c r="AB14">
        <v>54</v>
      </c>
      <c r="AC14">
        <v>5345</v>
      </c>
      <c r="AD14">
        <v>22437</v>
      </c>
      <c r="AE14">
        <v>3853</v>
      </c>
      <c r="AF14">
        <v>831</v>
      </c>
      <c r="AG14">
        <v>1165</v>
      </c>
      <c r="AH14">
        <v>73</v>
      </c>
      <c r="AI14">
        <v>5922</v>
      </c>
      <c r="AJ14">
        <v>0.2664475240032162</v>
      </c>
      <c r="AK14">
        <v>0.13410845832963522</v>
      </c>
      <c r="AL14">
        <v>0.23449010384308155</v>
      </c>
      <c r="AM14">
        <v>1.1271855862252596E-2</v>
      </c>
      <c r="AN14">
        <v>0.47439424869086716</v>
      </c>
      <c r="AO14">
        <v>0.5256057513091329</v>
      </c>
      <c r="AP14">
        <v>19292</v>
      </c>
      <c r="AQ14">
        <v>399</v>
      </c>
      <c r="AR14">
        <v>34</v>
      </c>
      <c r="AS14">
        <v>1</v>
      </c>
      <c r="AT14">
        <v>1357</v>
      </c>
      <c r="AU14">
        <v>1144</v>
      </c>
      <c r="AV14">
        <v>109</v>
      </c>
      <c r="AW14">
        <v>540</v>
      </c>
      <c r="AX14">
        <v>866</v>
      </c>
      <c r="AY14">
        <v>3747</v>
      </c>
      <c r="AZ14">
        <v>666</v>
      </c>
      <c r="BA14">
        <v>415</v>
      </c>
      <c r="BB14">
        <v>702</v>
      </c>
      <c r="BC14">
        <v>1299</v>
      </c>
      <c r="BD14">
        <v>828</v>
      </c>
      <c r="BE14">
        <v>998</v>
      </c>
      <c r="BF14">
        <v>3040</v>
      </c>
      <c r="BG14">
        <v>120</v>
      </c>
      <c r="BH14">
        <v>1332</v>
      </c>
      <c r="BI14">
        <v>1194</v>
      </c>
      <c r="BJ14">
        <v>2.0682148040638608E-2</v>
      </c>
      <c r="BK14">
        <v>1.762388554841385E-3</v>
      </c>
      <c r="BL14">
        <v>5.1834957495334856E-5</v>
      </c>
      <c r="BM14">
        <v>7.0340037321169391E-2</v>
      </c>
      <c r="BN14">
        <v>5.9299191374663072E-2</v>
      </c>
      <c r="BO14">
        <v>5.6500103669914993E-3</v>
      </c>
      <c r="BP14">
        <v>2.7990877047480822E-2</v>
      </c>
      <c r="BQ14">
        <v>4.4889073190959985E-2</v>
      </c>
      <c r="BR14">
        <v>0.19422558573501969</v>
      </c>
      <c r="BS14">
        <v>3.4522081691893011E-2</v>
      </c>
      <c r="BT14">
        <v>2.1511507360563963E-2</v>
      </c>
      <c r="BU14">
        <v>3.638814016172507E-2</v>
      </c>
      <c r="BV14">
        <v>6.7333609786439971E-2</v>
      </c>
      <c r="BW14">
        <v>4.2919344806137259E-2</v>
      </c>
      <c r="BX14">
        <v>5.1731287580344183E-2</v>
      </c>
      <c r="BY14">
        <v>0.15757827078581796</v>
      </c>
      <c r="BZ14">
        <v>6.2201948994401821E-3</v>
      </c>
      <c r="CA14">
        <v>6.9044163383786022E-2</v>
      </c>
      <c r="CB14">
        <v>6.1890939249429816E-2</v>
      </c>
      <c r="CC14">
        <v>19292</v>
      </c>
      <c r="CD14">
        <v>17836</v>
      </c>
      <c r="CE14">
        <v>960</v>
      </c>
      <c r="CF14">
        <v>98</v>
      </c>
      <c r="CG14">
        <v>1539</v>
      </c>
      <c r="CH14">
        <v>1423</v>
      </c>
      <c r="CI14">
        <v>33</v>
      </c>
      <c r="CJ14">
        <v>22</v>
      </c>
      <c r="CK14">
        <v>0.92452830188679247</v>
      </c>
      <c r="CL14">
        <v>4.9761559195521457E-2</v>
      </c>
      <c r="CM14">
        <v>5.0798258345428155E-3</v>
      </c>
      <c r="CN14">
        <v>0.92462638076673165</v>
      </c>
      <c r="CO14">
        <v>2.1442495126705652E-2</v>
      </c>
      <c r="CP14">
        <v>1.4294996751137101E-2</v>
      </c>
    </row>
    <row r="15" spans="1:94" x14ac:dyDescent="0.15">
      <c r="A15" t="s">
        <v>443</v>
      </c>
      <c r="B15" t="s">
        <v>427</v>
      </c>
      <c r="C15" t="s">
        <v>444</v>
      </c>
      <c r="D15" s="202">
        <v>2928</v>
      </c>
      <c r="E15" s="202">
        <v>1740</v>
      </c>
      <c r="F15" s="202">
        <v>612</v>
      </c>
      <c r="G15" s="202">
        <v>695</v>
      </c>
      <c r="H15" s="202">
        <v>0.59426229508196726</v>
      </c>
      <c r="I15" s="202">
        <v>0.20901639344262296</v>
      </c>
      <c r="J15" s="202">
        <v>0.23736338797814208</v>
      </c>
      <c r="K15" s="202">
        <v>6116</v>
      </c>
      <c r="L15" s="202">
        <v>337</v>
      </c>
      <c r="M15" s="202">
        <v>1616</v>
      </c>
      <c r="N15" s="202">
        <v>3774</v>
      </c>
      <c r="O15" s="202">
        <v>5.5101373446697188E-2</v>
      </c>
      <c r="P15" s="202">
        <v>0.26422498364944408</v>
      </c>
      <c r="Q15" s="202">
        <v>0.61706998037933292</v>
      </c>
      <c r="R15" s="202">
        <v>6116</v>
      </c>
      <c r="S15" s="202">
        <v>673</v>
      </c>
      <c r="T15" s="202">
        <v>117</v>
      </c>
      <c r="U15" s="202">
        <v>129</v>
      </c>
      <c r="V15" s="202">
        <v>15</v>
      </c>
      <c r="W15" s="202">
        <v>934</v>
      </c>
      <c r="X15" s="202">
        <v>2713</v>
      </c>
      <c r="Y15" s="202">
        <v>310</v>
      </c>
      <c r="Z15" s="202">
        <v>55</v>
      </c>
      <c r="AA15" s="202">
        <v>70</v>
      </c>
      <c r="AB15" s="202">
        <v>12</v>
      </c>
      <c r="AC15" s="202">
        <v>447</v>
      </c>
      <c r="AD15" s="202">
        <v>3403</v>
      </c>
      <c r="AE15" s="202">
        <v>363</v>
      </c>
      <c r="AF15" s="202">
        <v>62</v>
      </c>
      <c r="AG15" s="202">
        <v>59</v>
      </c>
      <c r="AH15" s="202">
        <v>3</v>
      </c>
      <c r="AI15" s="202">
        <v>487</v>
      </c>
      <c r="AJ15" s="202">
        <v>0.1527141922825376</v>
      </c>
      <c r="AK15" s="202">
        <v>0.12526766595289079</v>
      </c>
      <c r="AL15" s="202">
        <v>0.13811563169164881</v>
      </c>
      <c r="AM15" s="202">
        <v>1.6059957173447537E-2</v>
      </c>
      <c r="AN15" s="202">
        <v>0.47858672376873662</v>
      </c>
      <c r="AO15" s="202">
        <v>0.52141327623126343</v>
      </c>
      <c r="AP15" s="202">
        <v>2546</v>
      </c>
      <c r="AQ15" s="202">
        <v>39</v>
      </c>
      <c r="AR15" s="202">
        <v>1</v>
      </c>
      <c r="AS15" s="202">
        <v>0</v>
      </c>
      <c r="AT15" s="202">
        <v>184</v>
      </c>
      <c r="AU15" s="202">
        <v>144</v>
      </c>
      <c r="AV15" s="202">
        <v>11</v>
      </c>
      <c r="AW15" s="202">
        <v>56</v>
      </c>
      <c r="AX15" s="202">
        <v>123</v>
      </c>
      <c r="AY15" s="202">
        <v>456</v>
      </c>
      <c r="AZ15" s="202">
        <v>71</v>
      </c>
      <c r="BA15" s="202">
        <v>42</v>
      </c>
      <c r="BB15" s="202">
        <v>115</v>
      </c>
      <c r="BC15" s="202">
        <v>151</v>
      </c>
      <c r="BD15" s="202">
        <v>96</v>
      </c>
      <c r="BE15" s="202">
        <v>195</v>
      </c>
      <c r="BF15" s="202">
        <v>433</v>
      </c>
      <c r="BG15" s="202">
        <v>19</v>
      </c>
      <c r="BH15" s="202">
        <v>214</v>
      </c>
      <c r="BI15" s="202">
        <v>113</v>
      </c>
      <c r="BJ15" s="202">
        <v>1.5318146111547526E-2</v>
      </c>
      <c r="BK15" s="202">
        <v>3.9277297721916735E-4</v>
      </c>
      <c r="BL15" s="202">
        <v>0</v>
      </c>
      <c r="BM15" s="202">
        <v>7.2270227808326787E-2</v>
      </c>
      <c r="BN15" s="202">
        <v>5.6559308719560095E-2</v>
      </c>
      <c r="BO15" s="202">
        <v>4.3205027494108402E-3</v>
      </c>
      <c r="BP15" s="202">
        <v>2.199528672427337E-2</v>
      </c>
      <c r="BQ15" s="202">
        <v>4.8311076197957582E-2</v>
      </c>
      <c r="BR15" s="202">
        <v>0.17910447761194029</v>
      </c>
      <c r="BS15" s="202">
        <v>2.7886881382560881E-2</v>
      </c>
      <c r="BT15" s="202">
        <v>1.6496465043205028E-2</v>
      </c>
      <c r="BU15" s="202">
        <v>4.5168892380204245E-2</v>
      </c>
      <c r="BV15" s="202">
        <v>5.9308719560094265E-2</v>
      </c>
      <c r="BW15" s="202">
        <v>3.7706205813040065E-2</v>
      </c>
      <c r="BX15" s="202">
        <v>7.659073055773763E-2</v>
      </c>
      <c r="BY15" s="202">
        <v>0.17007069913589945</v>
      </c>
      <c r="BZ15" s="202">
        <v>7.462686567164179E-3</v>
      </c>
      <c r="CA15" s="202">
        <v>8.4053417124901803E-2</v>
      </c>
      <c r="CB15" s="202">
        <v>4.4383346425765906E-2</v>
      </c>
      <c r="CC15" s="202">
        <v>2546</v>
      </c>
      <c r="CD15" s="202">
        <v>2309</v>
      </c>
      <c r="CE15" s="202">
        <v>148</v>
      </c>
      <c r="CF15" s="202">
        <v>9</v>
      </c>
      <c r="CG15" s="202">
        <v>244</v>
      </c>
      <c r="CH15" s="202">
        <v>229</v>
      </c>
      <c r="CI15" s="202">
        <v>4</v>
      </c>
      <c r="CJ15" s="202">
        <v>2</v>
      </c>
      <c r="CK15" s="202">
        <v>0.9069128043990573</v>
      </c>
      <c r="CL15" s="202">
        <v>5.8130400628436767E-2</v>
      </c>
      <c r="CM15" s="202">
        <v>3.5349567949725059E-3</v>
      </c>
      <c r="CN15" s="202">
        <v>0.93852459016393441</v>
      </c>
      <c r="CO15" s="202">
        <v>1.6393442622950821E-2</v>
      </c>
      <c r="CP15" s="202">
        <v>8.1967213114754103E-3</v>
      </c>
    </row>
    <row r="16" spans="1:94" x14ac:dyDescent="0.15">
      <c r="A16" t="s">
        <v>445</v>
      </c>
      <c r="B16" t="s">
        <v>427</v>
      </c>
      <c r="C16" t="s">
        <v>446</v>
      </c>
      <c r="D16">
        <v>2824</v>
      </c>
      <c r="E16">
        <v>1395</v>
      </c>
      <c r="F16">
        <v>682</v>
      </c>
      <c r="G16">
        <v>339</v>
      </c>
      <c r="H16">
        <v>0.49398016997167138</v>
      </c>
      <c r="I16">
        <v>0.24150141643059489</v>
      </c>
      <c r="J16">
        <v>0.12004249291784702</v>
      </c>
      <c r="K16">
        <v>6819</v>
      </c>
      <c r="L16">
        <v>406</v>
      </c>
      <c r="M16">
        <v>1566</v>
      </c>
      <c r="N16">
        <v>4248</v>
      </c>
      <c r="O16">
        <v>5.9539521924035783E-2</v>
      </c>
      <c r="P16">
        <v>0.22965244170699517</v>
      </c>
      <c r="Q16">
        <v>0.62296524417069954</v>
      </c>
      <c r="R16">
        <v>6819</v>
      </c>
      <c r="S16">
        <v>463</v>
      </c>
      <c r="T16">
        <v>129</v>
      </c>
      <c r="U16">
        <v>144</v>
      </c>
      <c r="V16">
        <v>3</v>
      </c>
      <c r="W16">
        <v>739</v>
      </c>
      <c r="X16">
        <v>3116</v>
      </c>
      <c r="Y16">
        <v>205</v>
      </c>
      <c r="Z16">
        <v>59</v>
      </c>
      <c r="AA16">
        <v>68</v>
      </c>
      <c r="AB16">
        <v>1</v>
      </c>
      <c r="AC16">
        <v>333</v>
      </c>
      <c r="AD16">
        <v>3703</v>
      </c>
      <c r="AE16">
        <v>258</v>
      </c>
      <c r="AF16">
        <v>70</v>
      </c>
      <c r="AG16">
        <v>76</v>
      </c>
      <c r="AH16">
        <v>2</v>
      </c>
      <c r="AI16">
        <v>406</v>
      </c>
      <c r="AJ16">
        <v>0.10837366182724739</v>
      </c>
      <c r="AK16">
        <v>0.17456021650879566</v>
      </c>
      <c r="AL16">
        <v>0.19485791610284167</v>
      </c>
      <c r="AM16">
        <v>4.0595399188092015E-3</v>
      </c>
      <c r="AN16">
        <v>0.4506089309878214</v>
      </c>
      <c r="AO16">
        <v>0.5493910690121786</v>
      </c>
      <c r="AP16">
        <v>2954</v>
      </c>
      <c r="AQ16">
        <v>45</v>
      </c>
      <c r="AR16">
        <v>0</v>
      </c>
      <c r="AS16">
        <v>0</v>
      </c>
      <c r="AT16">
        <v>179</v>
      </c>
      <c r="AU16">
        <v>169</v>
      </c>
      <c r="AV16">
        <v>21</v>
      </c>
      <c r="AW16">
        <v>72</v>
      </c>
      <c r="AX16">
        <v>112</v>
      </c>
      <c r="AY16">
        <v>491</v>
      </c>
      <c r="AZ16">
        <v>105</v>
      </c>
      <c r="BA16">
        <v>45</v>
      </c>
      <c r="BB16">
        <v>167</v>
      </c>
      <c r="BC16">
        <v>137</v>
      </c>
      <c r="BD16">
        <v>75</v>
      </c>
      <c r="BE16">
        <v>321</v>
      </c>
      <c r="BF16">
        <v>545</v>
      </c>
      <c r="BG16">
        <v>15</v>
      </c>
      <c r="BH16">
        <v>222</v>
      </c>
      <c r="BI16">
        <v>187</v>
      </c>
      <c r="BJ16">
        <v>1.5233581584292485E-2</v>
      </c>
      <c r="BK16">
        <v>0</v>
      </c>
      <c r="BL16">
        <v>0</v>
      </c>
      <c r="BM16">
        <v>6.0595802301963438E-2</v>
      </c>
      <c r="BN16">
        <v>5.7210561949898445E-2</v>
      </c>
      <c r="BO16">
        <v>7.1090047393364926E-3</v>
      </c>
      <c r="BP16">
        <v>2.4373730534867976E-2</v>
      </c>
      <c r="BQ16">
        <v>3.7914691943127965E-2</v>
      </c>
      <c r="BR16">
        <v>0.16621530128639134</v>
      </c>
      <c r="BS16">
        <v>3.5545023696682464E-2</v>
      </c>
      <c r="BT16">
        <v>1.5233581584292485E-2</v>
      </c>
      <c r="BU16">
        <v>5.6533513879485443E-2</v>
      </c>
      <c r="BV16">
        <v>4.6377792823290451E-2</v>
      </c>
      <c r="BW16">
        <v>2.5389302640487475E-2</v>
      </c>
      <c r="BX16">
        <v>0.1086662153012864</v>
      </c>
      <c r="BY16">
        <v>0.18449559918754233</v>
      </c>
      <c r="BZ16">
        <v>5.0778605280974946E-3</v>
      </c>
      <c r="CA16">
        <v>7.5152335815842922E-2</v>
      </c>
      <c r="CB16">
        <v>6.3303994583615436E-2</v>
      </c>
      <c r="CC16">
        <v>2954</v>
      </c>
      <c r="CD16">
        <v>2703</v>
      </c>
      <c r="CE16">
        <v>193</v>
      </c>
      <c r="CF16">
        <v>10</v>
      </c>
      <c r="CG16">
        <v>283</v>
      </c>
      <c r="CH16">
        <v>266</v>
      </c>
      <c r="CI16">
        <v>5</v>
      </c>
      <c r="CJ16">
        <v>4</v>
      </c>
      <c r="CK16">
        <v>0.9150304671631686</v>
      </c>
      <c r="CL16">
        <v>6.5335138794854433E-2</v>
      </c>
      <c r="CM16">
        <v>3.3852403520649968E-3</v>
      </c>
      <c r="CN16">
        <v>0.93992932862190814</v>
      </c>
      <c r="CO16">
        <v>1.7667844522968199E-2</v>
      </c>
      <c r="CP16">
        <v>1.4134275618374558E-2</v>
      </c>
    </row>
    <row r="17" spans="1:94" x14ac:dyDescent="0.15">
      <c r="A17" t="s">
        <v>447</v>
      </c>
      <c r="B17" t="s">
        <v>427</v>
      </c>
      <c r="C17" t="s">
        <v>448</v>
      </c>
      <c r="D17">
        <v>2131</v>
      </c>
      <c r="E17">
        <v>1206</v>
      </c>
      <c r="F17">
        <v>628</v>
      </c>
      <c r="G17">
        <v>270</v>
      </c>
      <c r="H17">
        <v>0.56593148756452372</v>
      </c>
      <c r="I17">
        <v>0.29469732519943687</v>
      </c>
      <c r="J17">
        <v>0.12670107930549038</v>
      </c>
      <c r="K17">
        <v>5275</v>
      </c>
      <c r="L17">
        <v>327</v>
      </c>
      <c r="M17">
        <v>1456</v>
      </c>
      <c r="N17">
        <v>3341</v>
      </c>
      <c r="O17">
        <v>6.1990521327014221E-2</v>
      </c>
      <c r="P17">
        <v>0.27601895734597154</v>
      </c>
      <c r="Q17">
        <v>0.63336492890995255</v>
      </c>
      <c r="R17">
        <v>5275</v>
      </c>
      <c r="S17">
        <v>497</v>
      </c>
      <c r="T17">
        <v>82</v>
      </c>
      <c r="U17">
        <v>136</v>
      </c>
      <c r="V17">
        <v>12</v>
      </c>
      <c r="W17">
        <v>727</v>
      </c>
      <c r="X17">
        <v>2480</v>
      </c>
      <c r="Y17">
        <v>228</v>
      </c>
      <c r="Z17">
        <v>41</v>
      </c>
      <c r="AA17">
        <v>74</v>
      </c>
      <c r="AB17">
        <v>6</v>
      </c>
      <c r="AC17">
        <v>349</v>
      </c>
      <c r="AD17">
        <v>2795</v>
      </c>
      <c r="AE17">
        <v>269</v>
      </c>
      <c r="AF17">
        <v>41</v>
      </c>
      <c r="AG17">
        <v>62</v>
      </c>
      <c r="AH17">
        <v>6</v>
      </c>
      <c r="AI17">
        <v>378</v>
      </c>
      <c r="AJ17">
        <v>0.13781990521327014</v>
      </c>
      <c r="AK17">
        <v>0.11279229711141678</v>
      </c>
      <c r="AL17">
        <v>0.18707015130674004</v>
      </c>
      <c r="AM17">
        <v>1.6506189821182942E-2</v>
      </c>
      <c r="AN17">
        <v>0.48005502063273725</v>
      </c>
      <c r="AO17">
        <v>0.51994497936726269</v>
      </c>
      <c r="AP17">
        <v>2270</v>
      </c>
      <c r="AQ17">
        <v>39</v>
      </c>
      <c r="AR17">
        <v>0</v>
      </c>
      <c r="AS17">
        <v>0</v>
      </c>
      <c r="AT17">
        <v>139</v>
      </c>
      <c r="AU17">
        <v>90</v>
      </c>
      <c r="AV17">
        <v>33</v>
      </c>
      <c r="AW17">
        <v>53</v>
      </c>
      <c r="AX17">
        <v>49</v>
      </c>
      <c r="AY17">
        <v>374</v>
      </c>
      <c r="AZ17">
        <v>102</v>
      </c>
      <c r="BA17">
        <v>41</v>
      </c>
      <c r="BB17">
        <v>114</v>
      </c>
      <c r="BC17">
        <v>97</v>
      </c>
      <c r="BD17">
        <v>76</v>
      </c>
      <c r="BE17">
        <v>259</v>
      </c>
      <c r="BF17">
        <v>420</v>
      </c>
      <c r="BG17">
        <v>12</v>
      </c>
      <c r="BH17">
        <v>146</v>
      </c>
      <c r="BI17">
        <v>183</v>
      </c>
      <c r="BJ17">
        <v>1.7180616740088105E-2</v>
      </c>
      <c r="BK17">
        <v>0</v>
      </c>
      <c r="BL17">
        <v>0</v>
      </c>
      <c r="BM17">
        <v>6.1233480176211455E-2</v>
      </c>
      <c r="BN17">
        <v>3.9647577092511016E-2</v>
      </c>
      <c r="BO17">
        <v>1.4537444933920705E-2</v>
      </c>
      <c r="BP17">
        <v>2.3348017621145373E-2</v>
      </c>
      <c r="BQ17">
        <v>2.1585903083700439E-2</v>
      </c>
      <c r="BR17">
        <v>0.16475770925110131</v>
      </c>
      <c r="BS17">
        <v>4.4933920704845816E-2</v>
      </c>
      <c r="BT17">
        <v>1.8061674008810574E-2</v>
      </c>
      <c r="BU17">
        <v>5.0220264317180616E-2</v>
      </c>
      <c r="BV17">
        <v>4.2731277533039645E-2</v>
      </c>
      <c r="BW17">
        <v>3.3480176211453744E-2</v>
      </c>
      <c r="BX17">
        <v>0.11409691629955947</v>
      </c>
      <c r="BY17">
        <v>0.18502202643171806</v>
      </c>
      <c r="BZ17">
        <v>5.2863436123348016E-3</v>
      </c>
      <c r="CA17">
        <v>6.4317180616740091E-2</v>
      </c>
      <c r="CB17">
        <v>8.0616740088105723E-2</v>
      </c>
      <c r="CC17">
        <v>2270</v>
      </c>
      <c r="CD17">
        <v>2047</v>
      </c>
      <c r="CE17">
        <v>171</v>
      </c>
      <c r="CF17">
        <v>15</v>
      </c>
      <c r="CG17">
        <v>250</v>
      </c>
      <c r="CH17">
        <v>241</v>
      </c>
      <c r="CI17">
        <v>3</v>
      </c>
      <c r="CJ17">
        <v>1</v>
      </c>
      <c r="CK17">
        <v>0.90176211453744493</v>
      </c>
      <c r="CL17">
        <v>7.533039647577093E-2</v>
      </c>
      <c r="CM17">
        <v>6.6079295154185024E-3</v>
      </c>
      <c r="CN17">
        <v>0.96399999999999997</v>
      </c>
      <c r="CO17">
        <v>1.2E-2</v>
      </c>
      <c r="CP17">
        <v>4.0000000000000001E-3</v>
      </c>
    </row>
    <row r="18" spans="1:94" x14ac:dyDescent="0.15">
      <c r="A18" t="s">
        <v>449</v>
      </c>
      <c r="B18" t="s">
        <v>427</v>
      </c>
      <c r="C18" t="s">
        <v>450</v>
      </c>
      <c r="D18">
        <v>16235.99</v>
      </c>
      <c r="E18">
        <v>6049.64</v>
      </c>
      <c r="F18">
        <v>2038.2000000000003</v>
      </c>
      <c r="G18">
        <v>2095.14</v>
      </c>
      <c r="H18">
        <v>0.37260678283246051</v>
      </c>
      <c r="I18">
        <v>0.12553592358704338</v>
      </c>
      <c r="J18">
        <v>0.12904294718092335</v>
      </c>
      <c r="K18">
        <v>34662.97</v>
      </c>
      <c r="L18">
        <v>2306.63</v>
      </c>
      <c r="M18">
        <v>12977.64</v>
      </c>
      <c r="N18">
        <v>14857.17</v>
      </c>
      <c r="O18">
        <v>6.654449979329527E-2</v>
      </c>
      <c r="P18">
        <v>0.37439492345866493</v>
      </c>
      <c r="Q18">
        <v>0.42861791704519259</v>
      </c>
      <c r="R18">
        <v>34662.97</v>
      </c>
      <c r="S18">
        <v>5468.4000000000005</v>
      </c>
      <c r="T18">
        <v>1075.7199999999998</v>
      </c>
      <c r="U18">
        <v>1331.77</v>
      </c>
      <c r="V18">
        <v>41.230000000000004</v>
      </c>
      <c r="W18">
        <v>7917.1200000000008</v>
      </c>
      <c r="X18">
        <v>16360.83</v>
      </c>
      <c r="Y18">
        <v>2435.73</v>
      </c>
      <c r="Z18">
        <v>476</v>
      </c>
      <c r="AA18">
        <v>720.98</v>
      </c>
      <c r="AB18">
        <v>29.86</v>
      </c>
      <c r="AC18">
        <v>3662.57</v>
      </c>
      <c r="AD18">
        <v>18302.14</v>
      </c>
      <c r="AE18">
        <v>3032.67</v>
      </c>
      <c r="AF18">
        <v>599.72</v>
      </c>
      <c r="AG18">
        <v>610.79</v>
      </c>
      <c r="AH18">
        <v>11.37</v>
      </c>
      <c r="AI18">
        <v>4254.55</v>
      </c>
      <c r="AJ18">
        <v>0.22840281718502484</v>
      </c>
      <c r="AK18">
        <v>0.1358726405561618</v>
      </c>
      <c r="AL18">
        <v>0.16821394648559071</v>
      </c>
      <c r="AM18">
        <v>5.2077017905500988E-3</v>
      </c>
      <c r="AN18">
        <v>0.46261393031809545</v>
      </c>
      <c r="AO18">
        <v>0.5373860696819045</v>
      </c>
      <c r="AP18">
        <v>15172.83</v>
      </c>
      <c r="AQ18">
        <v>278.33000000000004</v>
      </c>
      <c r="AR18">
        <v>21.6</v>
      </c>
      <c r="AS18">
        <v>2.0099999999999998</v>
      </c>
      <c r="AT18">
        <v>1266.0500000000002</v>
      </c>
      <c r="AU18">
        <v>1148.7400000000002</v>
      </c>
      <c r="AV18">
        <v>61.54</v>
      </c>
      <c r="AW18">
        <v>405.23</v>
      </c>
      <c r="AX18">
        <v>752.54</v>
      </c>
      <c r="AY18">
        <v>2561.62</v>
      </c>
      <c r="AZ18">
        <v>349.53999999999996</v>
      </c>
      <c r="BA18">
        <v>315.11</v>
      </c>
      <c r="BB18">
        <v>545.59</v>
      </c>
      <c r="BC18">
        <v>883.5</v>
      </c>
      <c r="BD18">
        <v>671.91</v>
      </c>
      <c r="BE18">
        <v>992.3</v>
      </c>
      <c r="BF18">
        <v>2651.68</v>
      </c>
      <c r="BG18">
        <v>77.48</v>
      </c>
      <c r="BH18">
        <v>1084.8000000000002</v>
      </c>
      <c r="BI18">
        <v>701.44</v>
      </c>
      <c r="BJ18">
        <v>1.8343974064166015E-2</v>
      </c>
      <c r="BK18">
        <v>1.4235973117737431E-3</v>
      </c>
      <c r="BL18">
        <v>1.3247363873450106E-4</v>
      </c>
      <c r="BM18">
        <v>8.3441915581997567E-2</v>
      </c>
      <c r="BN18">
        <v>7.57103322188412E-2</v>
      </c>
      <c r="BO18">
        <v>4.0559341928961172E-3</v>
      </c>
      <c r="BP18">
        <v>2.6707608270836753E-2</v>
      </c>
      <c r="BQ18">
        <v>4.9597866713065389E-2</v>
      </c>
      <c r="BR18">
        <v>0.16882941415675257</v>
      </c>
      <c r="BS18">
        <v>2.3037231683212686E-2</v>
      </c>
      <c r="BT18">
        <v>2.0768043931158525E-2</v>
      </c>
      <c r="BU18">
        <v>3.5958354506047986E-2</v>
      </c>
      <c r="BV18">
        <v>5.8229084488523236E-2</v>
      </c>
      <c r="BW18">
        <v>4.4283762488606278E-2</v>
      </c>
      <c r="BX18">
        <v>6.539979687375394E-2</v>
      </c>
      <c r="BY18">
        <v>0.17476502405945363</v>
      </c>
      <c r="BZ18">
        <v>5.106496283158778E-3</v>
      </c>
      <c r="CA18">
        <v>7.1496220546859099E-2</v>
      </c>
      <c r="CB18">
        <v>4.6230004554193259E-2</v>
      </c>
      <c r="CC18">
        <v>15172.83</v>
      </c>
      <c r="CD18">
        <v>14136.310000000001</v>
      </c>
      <c r="CE18">
        <v>625.72</v>
      </c>
      <c r="CF18">
        <v>74.62</v>
      </c>
      <c r="CG18">
        <v>1429.0100000000002</v>
      </c>
      <c r="CH18">
        <v>1333.1</v>
      </c>
      <c r="CI18">
        <v>35.06</v>
      </c>
      <c r="CJ18">
        <v>15.23</v>
      </c>
      <c r="CK18">
        <v>0.93168578307408711</v>
      </c>
      <c r="CL18">
        <v>4.1239505089030855E-2</v>
      </c>
      <c r="CM18">
        <v>4.9180014539146619E-3</v>
      </c>
      <c r="CN18">
        <v>0.93288360473334664</v>
      </c>
      <c r="CO18">
        <v>2.4534467918349064E-2</v>
      </c>
      <c r="CP18">
        <v>1.0657728077480211E-2</v>
      </c>
    </row>
    <row r="19" spans="1:94" x14ac:dyDescent="0.15">
      <c r="A19" t="s">
        <v>451</v>
      </c>
      <c r="B19" t="s">
        <v>427</v>
      </c>
      <c r="C19" t="s">
        <v>452</v>
      </c>
      <c r="D19">
        <v>8307.01</v>
      </c>
      <c r="E19">
        <v>3431.3599999999997</v>
      </c>
      <c r="F19">
        <v>1309.8</v>
      </c>
      <c r="G19">
        <v>997.86</v>
      </c>
      <c r="H19">
        <v>0.41306799919585985</v>
      </c>
      <c r="I19">
        <v>0.15767406082332872</v>
      </c>
      <c r="J19">
        <v>0.12012264340599084</v>
      </c>
      <c r="K19">
        <v>20862.03</v>
      </c>
      <c r="L19">
        <v>1790.3700000000001</v>
      </c>
      <c r="M19">
        <v>6774.3600000000006</v>
      </c>
      <c r="N19">
        <v>10337.83</v>
      </c>
      <c r="O19">
        <v>8.5819548720810018E-2</v>
      </c>
      <c r="P19">
        <v>0.32472199493529635</v>
      </c>
      <c r="Q19">
        <v>0.4955332726489225</v>
      </c>
      <c r="R19">
        <v>20862.03</v>
      </c>
      <c r="S19">
        <v>2848.6000000000004</v>
      </c>
      <c r="T19">
        <v>479.28000000000003</v>
      </c>
      <c r="U19">
        <v>627.23</v>
      </c>
      <c r="V19">
        <v>27.77</v>
      </c>
      <c r="W19">
        <v>3982.8800000000006</v>
      </c>
      <c r="X19">
        <v>9717.17</v>
      </c>
      <c r="Y19">
        <v>1293.27</v>
      </c>
      <c r="Z19">
        <v>215</v>
      </c>
      <c r="AA19">
        <v>301.02</v>
      </c>
      <c r="AB19">
        <v>14.14</v>
      </c>
      <c r="AC19">
        <v>1823.43</v>
      </c>
      <c r="AD19">
        <v>11144.86</v>
      </c>
      <c r="AE19">
        <v>1555.33</v>
      </c>
      <c r="AF19">
        <v>264.27999999999997</v>
      </c>
      <c r="AG19">
        <v>326.21000000000004</v>
      </c>
      <c r="AH19">
        <v>13.63</v>
      </c>
      <c r="AI19">
        <v>2159.4499999999998</v>
      </c>
      <c r="AJ19">
        <v>0.19091526567644668</v>
      </c>
      <c r="AK19">
        <v>0.12033503394528582</v>
      </c>
      <c r="AL19">
        <v>0.15748152090949261</v>
      </c>
      <c r="AM19">
        <v>6.9723416221427695E-3</v>
      </c>
      <c r="AN19">
        <v>0.45781695657413723</v>
      </c>
      <c r="AO19">
        <v>0.54218304342586254</v>
      </c>
      <c r="AP19">
        <v>9099.17</v>
      </c>
      <c r="AQ19">
        <v>288.67</v>
      </c>
      <c r="AR19">
        <v>8.4</v>
      </c>
      <c r="AS19">
        <v>0.99</v>
      </c>
      <c r="AT19">
        <v>705.95</v>
      </c>
      <c r="AU19">
        <v>702.26</v>
      </c>
      <c r="AV19">
        <v>47.46</v>
      </c>
      <c r="AW19">
        <v>211.76999999999998</v>
      </c>
      <c r="AX19">
        <v>419.46000000000004</v>
      </c>
      <c r="AY19">
        <v>1403.38</v>
      </c>
      <c r="AZ19">
        <v>248.46</v>
      </c>
      <c r="BA19">
        <v>165.89</v>
      </c>
      <c r="BB19">
        <v>291.40999999999997</v>
      </c>
      <c r="BC19">
        <v>479.5</v>
      </c>
      <c r="BD19">
        <v>297.09000000000003</v>
      </c>
      <c r="BE19">
        <v>770.7</v>
      </c>
      <c r="BF19">
        <v>1740.3200000000002</v>
      </c>
      <c r="BG19">
        <v>53.519999999999996</v>
      </c>
      <c r="BH19">
        <v>647.20000000000005</v>
      </c>
      <c r="BI19">
        <v>401.56</v>
      </c>
      <c r="BJ19">
        <v>3.1724871609168752E-2</v>
      </c>
      <c r="BK19">
        <v>9.2316112348708734E-4</v>
      </c>
      <c r="BL19">
        <v>1.0880113241097814E-4</v>
      </c>
      <c r="BM19">
        <v>7.7583999419727295E-2</v>
      </c>
      <c r="BN19">
        <v>7.7178467926195468E-2</v>
      </c>
      <c r="BO19">
        <v>5.2158603477020435E-3</v>
      </c>
      <c r="BP19">
        <v>2.327355132391196E-2</v>
      </c>
      <c r="BQ19">
        <v>4.6098710102130201E-2</v>
      </c>
      <c r="BR19">
        <v>0.15423164969991771</v>
      </c>
      <c r="BS19">
        <v>2.7305787231143061E-2</v>
      </c>
      <c r="BT19">
        <v>1.8231333187532488E-2</v>
      </c>
      <c r="BU19">
        <v>3.2025997975639535E-2</v>
      </c>
      <c r="BV19">
        <v>5.2697114132387896E-2</v>
      </c>
      <c r="BW19">
        <v>3.2650230735330805E-2</v>
      </c>
      <c r="BX19">
        <v>8.4700033079940257E-2</v>
      </c>
      <c r="BY19">
        <v>0.19126140076512474</v>
      </c>
      <c r="BZ19">
        <v>5.8818551582177272E-3</v>
      </c>
      <c r="CA19">
        <v>7.1127366562005107E-2</v>
      </c>
      <c r="CB19">
        <v>4.4131497708032708E-2</v>
      </c>
      <c r="CC19">
        <v>9099.17</v>
      </c>
      <c r="CD19">
        <v>8442.69</v>
      </c>
      <c r="CE19">
        <v>448.28000000000003</v>
      </c>
      <c r="CF19">
        <v>50.38</v>
      </c>
      <c r="CG19">
        <v>1163.99</v>
      </c>
      <c r="CH19">
        <v>1095.9000000000001</v>
      </c>
      <c r="CI19">
        <v>31.94</v>
      </c>
      <c r="CJ19">
        <v>12.77</v>
      </c>
      <c r="CK19">
        <v>0.92785276019680918</v>
      </c>
      <c r="CL19">
        <v>4.9266031956760895E-2</v>
      </c>
      <c r="CM19">
        <v>5.5367687382475543E-3</v>
      </c>
      <c r="CN19">
        <v>0.94150293387400241</v>
      </c>
      <c r="CO19">
        <v>2.7440098282631296E-2</v>
      </c>
      <c r="CP19">
        <v>1.0970884629593038E-2</v>
      </c>
    </row>
    <row r="20" spans="1:94" x14ac:dyDescent="0.15">
      <c r="A20" t="s">
        <v>453</v>
      </c>
      <c r="B20" t="s">
        <v>427</v>
      </c>
      <c r="C20" t="s">
        <v>454</v>
      </c>
      <c r="D20">
        <v>7174</v>
      </c>
      <c r="E20">
        <v>2005</v>
      </c>
      <c r="F20">
        <v>784</v>
      </c>
      <c r="G20">
        <v>526</v>
      </c>
      <c r="H20">
        <v>0.27948146083077779</v>
      </c>
      <c r="I20">
        <v>0.10928352383607472</v>
      </c>
      <c r="J20">
        <v>7.3320323390019509E-2</v>
      </c>
      <c r="K20">
        <v>13622</v>
      </c>
      <c r="L20">
        <v>1055</v>
      </c>
      <c r="M20">
        <v>5688</v>
      </c>
      <c r="N20">
        <v>5265</v>
      </c>
      <c r="O20">
        <v>7.7448245485244455E-2</v>
      </c>
      <c r="P20">
        <v>0.41755982968727057</v>
      </c>
      <c r="Q20">
        <v>0.38650712083394506</v>
      </c>
      <c r="R20">
        <v>13622</v>
      </c>
      <c r="S20">
        <v>1395</v>
      </c>
      <c r="T20">
        <v>495</v>
      </c>
      <c r="U20">
        <v>2111</v>
      </c>
      <c r="V20">
        <v>103</v>
      </c>
      <c r="W20">
        <v>4104</v>
      </c>
      <c r="X20">
        <v>7062</v>
      </c>
      <c r="Y20">
        <v>641</v>
      </c>
      <c r="Z20">
        <v>265</v>
      </c>
      <c r="AA20">
        <v>1384</v>
      </c>
      <c r="AB20">
        <v>59</v>
      </c>
      <c r="AC20">
        <v>2349</v>
      </c>
      <c r="AD20">
        <v>6560</v>
      </c>
      <c r="AE20">
        <v>754</v>
      </c>
      <c r="AF20">
        <v>230</v>
      </c>
      <c r="AG20">
        <v>727</v>
      </c>
      <c r="AH20">
        <v>44</v>
      </c>
      <c r="AI20">
        <v>1755</v>
      </c>
      <c r="AJ20">
        <v>0.30127734547056234</v>
      </c>
      <c r="AK20">
        <v>0.1206140350877193</v>
      </c>
      <c r="AL20">
        <v>0.51437621832358671</v>
      </c>
      <c r="AM20">
        <v>2.509746588693957E-2</v>
      </c>
      <c r="AN20">
        <v>0.57236842105263153</v>
      </c>
      <c r="AO20">
        <v>0.42763157894736842</v>
      </c>
      <c r="AP20">
        <v>5788</v>
      </c>
      <c r="AQ20">
        <v>469</v>
      </c>
      <c r="AR20">
        <v>15</v>
      </c>
      <c r="AS20">
        <v>0</v>
      </c>
      <c r="AT20">
        <v>331</v>
      </c>
      <c r="AU20">
        <v>382</v>
      </c>
      <c r="AV20">
        <v>11</v>
      </c>
      <c r="AW20">
        <v>104</v>
      </c>
      <c r="AX20">
        <v>177</v>
      </c>
      <c r="AY20">
        <v>954</v>
      </c>
      <c r="AZ20">
        <v>76</v>
      </c>
      <c r="BA20">
        <v>76</v>
      </c>
      <c r="BB20">
        <v>170</v>
      </c>
      <c r="BC20">
        <v>677</v>
      </c>
      <c r="BD20">
        <v>180</v>
      </c>
      <c r="BE20">
        <v>595</v>
      </c>
      <c r="BF20">
        <v>874</v>
      </c>
      <c r="BG20">
        <v>44</v>
      </c>
      <c r="BH20">
        <v>337</v>
      </c>
      <c r="BI20">
        <v>107</v>
      </c>
      <c r="BJ20">
        <v>8.102971665514859E-2</v>
      </c>
      <c r="BK20">
        <v>2.5915687629578439E-3</v>
      </c>
      <c r="BL20">
        <v>0</v>
      </c>
      <c r="BM20">
        <v>5.7187284035936418E-2</v>
      </c>
      <c r="BN20">
        <v>6.5998617829993084E-2</v>
      </c>
      <c r="BO20">
        <v>1.9004837595024188E-3</v>
      </c>
      <c r="BP20">
        <v>1.796821008984105E-2</v>
      </c>
      <c r="BQ20">
        <v>3.0580511402902556E-2</v>
      </c>
      <c r="BR20">
        <v>0.16482377332411888</v>
      </c>
      <c r="BS20">
        <v>1.3130615065653075E-2</v>
      </c>
      <c r="BT20">
        <v>1.3130615065653075E-2</v>
      </c>
      <c r="BU20">
        <v>2.9371112646855563E-2</v>
      </c>
      <c r="BV20">
        <v>0.11696613683483069</v>
      </c>
      <c r="BW20">
        <v>3.1098825155494125E-2</v>
      </c>
      <c r="BX20">
        <v>0.10279889426399447</v>
      </c>
      <c r="BY20">
        <v>0.15100207325501036</v>
      </c>
      <c r="BZ20">
        <v>7.601935038009675E-3</v>
      </c>
      <c r="CA20">
        <v>5.8223911541119555E-2</v>
      </c>
      <c r="CB20">
        <v>1.8486523842432618E-2</v>
      </c>
      <c r="CC20">
        <v>5788</v>
      </c>
      <c r="CD20">
        <v>5441</v>
      </c>
      <c r="CE20">
        <v>195</v>
      </c>
      <c r="CF20">
        <v>30</v>
      </c>
      <c r="CG20">
        <v>1618</v>
      </c>
      <c r="CH20">
        <v>1563</v>
      </c>
      <c r="CI20">
        <v>23</v>
      </c>
      <c r="CJ20">
        <v>10</v>
      </c>
      <c r="CK20">
        <v>0.94004837595024193</v>
      </c>
      <c r="CL20">
        <v>3.3690393918451966E-2</v>
      </c>
      <c r="CM20">
        <v>5.1831375259156877E-3</v>
      </c>
      <c r="CN20">
        <v>0.96600741656365885</v>
      </c>
      <c r="CO20">
        <v>1.4215080346106305E-2</v>
      </c>
      <c r="CP20">
        <v>6.180469715698393E-3</v>
      </c>
    </row>
    <row r="21" spans="1:94" x14ac:dyDescent="0.15">
      <c r="A21" t="s">
        <v>455</v>
      </c>
      <c r="B21" t="s">
        <v>427</v>
      </c>
      <c r="C21" t="s">
        <v>456</v>
      </c>
      <c r="D21">
        <v>1667</v>
      </c>
      <c r="E21">
        <v>896</v>
      </c>
      <c r="F21">
        <v>255</v>
      </c>
      <c r="G21">
        <v>328</v>
      </c>
      <c r="H21">
        <v>0.53749250149970007</v>
      </c>
      <c r="I21">
        <v>0.15296940611877624</v>
      </c>
      <c r="J21">
        <v>0.19676064787042591</v>
      </c>
      <c r="K21">
        <v>3555</v>
      </c>
      <c r="L21">
        <v>367</v>
      </c>
      <c r="M21">
        <v>1032</v>
      </c>
      <c r="N21">
        <v>1662</v>
      </c>
      <c r="O21">
        <v>0.10323488045007033</v>
      </c>
      <c r="P21">
        <v>0.290295358649789</v>
      </c>
      <c r="Q21">
        <v>0.46751054852320673</v>
      </c>
      <c r="R21">
        <v>3555</v>
      </c>
      <c r="S21">
        <v>347</v>
      </c>
      <c r="T21">
        <v>71</v>
      </c>
      <c r="U21">
        <v>171</v>
      </c>
      <c r="V21">
        <v>19</v>
      </c>
      <c r="W21">
        <v>608</v>
      </c>
      <c r="X21">
        <v>1718</v>
      </c>
      <c r="Y21">
        <v>152</v>
      </c>
      <c r="Z21">
        <v>37</v>
      </c>
      <c r="AA21">
        <v>93</v>
      </c>
      <c r="AB21">
        <v>15</v>
      </c>
      <c r="AC21">
        <v>297</v>
      </c>
      <c r="AD21">
        <v>1837</v>
      </c>
      <c r="AE21">
        <v>195</v>
      </c>
      <c r="AF21">
        <v>34</v>
      </c>
      <c r="AG21">
        <v>78</v>
      </c>
      <c r="AH21">
        <v>4</v>
      </c>
      <c r="AI21">
        <v>311</v>
      </c>
      <c r="AJ21">
        <v>0.17102672292545709</v>
      </c>
      <c r="AK21">
        <v>0.11677631578947369</v>
      </c>
      <c r="AL21">
        <v>0.28125</v>
      </c>
      <c r="AM21">
        <v>3.125E-2</v>
      </c>
      <c r="AN21">
        <v>0.48848684210526316</v>
      </c>
      <c r="AO21">
        <v>0.51151315789473684</v>
      </c>
      <c r="AP21">
        <v>1437</v>
      </c>
      <c r="AQ21">
        <v>45</v>
      </c>
      <c r="AR21">
        <v>56</v>
      </c>
      <c r="AS21">
        <v>0</v>
      </c>
      <c r="AT21">
        <v>86</v>
      </c>
      <c r="AU21">
        <v>99</v>
      </c>
      <c r="AV21">
        <v>7</v>
      </c>
      <c r="AW21">
        <v>22</v>
      </c>
      <c r="AX21">
        <v>66</v>
      </c>
      <c r="AY21">
        <v>245</v>
      </c>
      <c r="AZ21">
        <v>14</v>
      </c>
      <c r="BA21">
        <v>20</v>
      </c>
      <c r="BB21">
        <v>39</v>
      </c>
      <c r="BC21">
        <v>183</v>
      </c>
      <c r="BD21">
        <v>55</v>
      </c>
      <c r="BE21">
        <v>74</v>
      </c>
      <c r="BF21">
        <v>216</v>
      </c>
      <c r="BG21">
        <v>15</v>
      </c>
      <c r="BH21">
        <v>112</v>
      </c>
      <c r="BI21">
        <v>17</v>
      </c>
      <c r="BJ21">
        <v>3.1315240083507306E-2</v>
      </c>
      <c r="BK21">
        <v>3.8970076548364652E-2</v>
      </c>
      <c r="BL21">
        <v>0</v>
      </c>
      <c r="BM21">
        <v>5.9846903270702856E-2</v>
      </c>
      <c r="BN21">
        <v>6.889352818371608E-2</v>
      </c>
      <c r="BO21">
        <v>4.8712595685455815E-3</v>
      </c>
      <c r="BP21">
        <v>1.5309672929714684E-2</v>
      </c>
      <c r="BQ21">
        <v>4.5929018789144051E-2</v>
      </c>
      <c r="BR21">
        <v>0.17049408489909534</v>
      </c>
      <c r="BS21">
        <v>9.7425191370911629E-3</v>
      </c>
      <c r="BT21">
        <v>1.3917884481558803E-2</v>
      </c>
      <c r="BU21">
        <v>2.7139874739039668E-2</v>
      </c>
      <c r="BV21">
        <v>0.12734864300626306</v>
      </c>
      <c r="BW21">
        <v>3.8274182324286705E-2</v>
      </c>
      <c r="BX21">
        <v>5.1496172581767571E-2</v>
      </c>
      <c r="BY21">
        <v>0.15031315240083507</v>
      </c>
      <c r="BZ21">
        <v>1.0438413361169102E-2</v>
      </c>
      <c r="CA21">
        <v>7.7940153096729303E-2</v>
      </c>
      <c r="CB21">
        <v>1.1830201809324982E-2</v>
      </c>
      <c r="CC21">
        <v>1437</v>
      </c>
      <c r="CD21">
        <v>1326</v>
      </c>
      <c r="CE21">
        <v>47</v>
      </c>
      <c r="CF21">
        <v>9</v>
      </c>
      <c r="CG21">
        <v>95</v>
      </c>
      <c r="CH21">
        <v>90</v>
      </c>
      <c r="CI21">
        <v>0</v>
      </c>
      <c r="CJ21">
        <v>1</v>
      </c>
      <c r="CK21">
        <v>0.92275574112734859</v>
      </c>
      <c r="CL21">
        <v>3.2707028531663185E-2</v>
      </c>
      <c r="CM21">
        <v>6.2630480167014616E-3</v>
      </c>
      <c r="CN21">
        <v>0.94736842105263153</v>
      </c>
      <c r="CO21">
        <v>0</v>
      </c>
      <c r="CP21">
        <v>1.0526315789473684E-2</v>
      </c>
    </row>
    <row r="22" spans="1:94" x14ac:dyDescent="0.15">
      <c r="A22" t="s">
        <v>457</v>
      </c>
      <c r="B22" t="s">
        <v>427</v>
      </c>
      <c r="C22" t="s">
        <v>458</v>
      </c>
      <c r="D22">
        <v>8701</v>
      </c>
      <c r="E22">
        <v>3579</v>
      </c>
      <c r="F22">
        <v>1301</v>
      </c>
      <c r="G22">
        <v>994</v>
      </c>
      <c r="H22">
        <v>0.41133203080105735</v>
      </c>
      <c r="I22">
        <v>0.14952304332835306</v>
      </c>
      <c r="J22">
        <v>0.11423974255832663</v>
      </c>
      <c r="K22">
        <v>22025</v>
      </c>
      <c r="L22">
        <v>2032</v>
      </c>
      <c r="M22">
        <v>8285</v>
      </c>
      <c r="N22">
        <v>9622</v>
      </c>
      <c r="O22">
        <v>9.2258796821793415E-2</v>
      </c>
      <c r="P22">
        <v>0.37616345062429057</v>
      </c>
      <c r="Q22">
        <v>0.43686719636776389</v>
      </c>
      <c r="R22">
        <v>22025</v>
      </c>
      <c r="S22">
        <v>3301</v>
      </c>
      <c r="T22">
        <v>874</v>
      </c>
      <c r="U22">
        <v>779</v>
      </c>
      <c r="V22">
        <v>48</v>
      </c>
      <c r="W22">
        <v>5002</v>
      </c>
      <c r="X22">
        <v>10330</v>
      </c>
      <c r="Y22">
        <v>1434</v>
      </c>
      <c r="Z22">
        <v>410</v>
      </c>
      <c r="AA22">
        <v>465</v>
      </c>
      <c r="AB22">
        <v>21</v>
      </c>
      <c r="AC22">
        <v>2330</v>
      </c>
      <c r="AD22">
        <v>11695</v>
      </c>
      <c r="AE22">
        <v>1867</v>
      </c>
      <c r="AF22">
        <v>464</v>
      </c>
      <c r="AG22">
        <v>314</v>
      </c>
      <c r="AH22">
        <v>27</v>
      </c>
      <c r="AI22">
        <v>2672</v>
      </c>
      <c r="AJ22">
        <v>0.227105561861521</v>
      </c>
      <c r="AK22">
        <v>0.17473010795681726</v>
      </c>
      <c r="AL22">
        <v>0.15573770491803279</v>
      </c>
      <c r="AM22">
        <v>9.5961615353858457E-3</v>
      </c>
      <c r="AN22">
        <v>0.4658136745301879</v>
      </c>
      <c r="AO22">
        <v>0.53418632546981204</v>
      </c>
      <c r="AP22">
        <v>9808</v>
      </c>
      <c r="AQ22">
        <v>673</v>
      </c>
      <c r="AR22">
        <v>15</v>
      </c>
      <c r="AS22">
        <v>2</v>
      </c>
      <c r="AT22">
        <v>766</v>
      </c>
      <c r="AU22">
        <v>862</v>
      </c>
      <c r="AV22">
        <v>42</v>
      </c>
      <c r="AW22">
        <v>157</v>
      </c>
      <c r="AX22">
        <v>442</v>
      </c>
      <c r="AY22">
        <v>1707</v>
      </c>
      <c r="AZ22">
        <v>199</v>
      </c>
      <c r="BA22">
        <v>165</v>
      </c>
      <c r="BB22">
        <v>330</v>
      </c>
      <c r="BC22">
        <v>588</v>
      </c>
      <c r="BD22">
        <v>383</v>
      </c>
      <c r="BE22">
        <v>515</v>
      </c>
      <c r="BF22">
        <v>1677</v>
      </c>
      <c r="BG22">
        <v>72</v>
      </c>
      <c r="BH22">
        <v>604</v>
      </c>
      <c r="BI22">
        <v>316</v>
      </c>
      <c r="BJ22">
        <v>6.8617455138662312E-2</v>
      </c>
      <c r="BK22">
        <v>1.5293637846655792E-3</v>
      </c>
      <c r="BL22">
        <v>2.0391517128874389E-4</v>
      </c>
      <c r="BM22">
        <v>7.8099510603588912E-2</v>
      </c>
      <c r="BN22">
        <v>8.7887438825448611E-2</v>
      </c>
      <c r="BO22">
        <v>4.2822185970636216E-3</v>
      </c>
      <c r="BP22">
        <v>1.6007340946166394E-2</v>
      </c>
      <c r="BQ22">
        <v>4.5065252854812402E-2</v>
      </c>
      <c r="BR22">
        <v>0.1740415986949429</v>
      </c>
      <c r="BS22">
        <v>2.0289559543230015E-2</v>
      </c>
      <c r="BT22">
        <v>1.6823001631321371E-2</v>
      </c>
      <c r="BU22">
        <v>3.3646003262642742E-2</v>
      </c>
      <c r="BV22">
        <v>5.9951060358890702E-2</v>
      </c>
      <c r="BW22">
        <v>3.9049755301794456E-2</v>
      </c>
      <c r="BX22">
        <v>5.2508156606851548E-2</v>
      </c>
      <c r="BY22">
        <v>0.17098287112561175</v>
      </c>
      <c r="BZ22">
        <v>7.34094616639478E-3</v>
      </c>
      <c r="CA22">
        <v>6.158238172920065E-2</v>
      </c>
      <c r="CB22">
        <v>3.2218597063621533E-2</v>
      </c>
      <c r="CC22">
        <v>9808</v>
      </c>
      <c r="CD22">
        <v>8732</v>
      </c>
      <c r="CE22">
        <v>776</v>
      </c>
      <c r="CF22">
        <v>53</v>
      </c>
      <c r="CG22">
        <v>1265</v>
      </c>
      <c r="CH22">
        <v>1175</v>
      </c>
      <c r="CI22">
        <v>36</v>
      </c>
      <c r="CJ22">
        <v>16</v>
      </c>
      <c r="CK22">
        <v>0.89029363784665583</v>
      </c>
      <c r="CL22">
        <v>7.9119086460032628E-2</v>
      </c>
      <c r="CM22">
        <v>5.4037520391517126E-3</v>
      </c>
      <c r="CN22">
        <v>0.92885375494071143</v>
      </c>
      <c r="CO22">
        <v>2.8458498023715414E-2</v>
      </c>
      <c r="CP22">
        <v>1.2648221343873518E-2</v>
      </c>
    </row>
    <row r="23" spans="1:94" x14ac:dyDescent="0.15">
      <c r="A23" t="s">
        <v>459</v>
      </c>
      <c r="B23" t="s">
        <v>427</v>
      </c>
      <c r="C23" t="s">
        <v>460</v>
      </c>
      <c r="D23">
        <v>5180</v>
      </c>
      <c r="E23">
        <v>2463</v>
      </c>
      <c r="F23">
        <v>874</v>
      </c>
      <c r="G23">
        <v>697</v>
      </c>
      <c r="H23">
        <v>0.47548262548262549</v>
      </c>
      <c r="I23">
        <v>0.16872586872586873</v>
      </c>
      <c r="J23">
        <v>0.13455598455598455</v>
      </c>
      <c r="K23">
        <v>13239</v>
      </c>
      <c r="L23">
        <v>1558</v>
      </c>
      <c r="M23">
        <v>4514</v>
      </c>
      <c r="N23">
        <v>6042</v>
      </c>
      <c r="O23">
        <v>0.11768260442631619</v>
      </c>
      <c r="P23">
        <v>0.34096230833144497</v>
      </c>
      <c r="Q23">
        <v>0.45637888058010423</v>
      </c>
      <c r="R23">
        <v>13239</v>
      </c>
      <c r="S23">
        <v>1835</v>
      </c>
      <c r="T23">
        <v>286</v>
      </c>
      <c r="U23">
        <v>297</v>
      </c>
      <c r="V23">
        <v>21</v>
      </c>
      <c r="W23">
        <v>2439</v>
      </c>
      <c r="X23">
        <v>6207</v>
      </c>
      <c r="Y23">
        <v>801</v>
      </c>
      <c r="Z23">
        <v>116</v>
      </c>
      <c r="AA23">
        <v>154</v>
      </c>
      <c r="AB23">
        <v>19</v>
      </c>
      <c r="AC23">
        <v>1090</v>
      </c>
      <c r="AD23">
        <v>7032</v>
      </c>
      <c r="AE23">
        <v>1034</v>
      </c>
      <c r="AF23">
        <v>170</v>
      </c>
      <c r="AG23">
        <v>143</v>
      </c>
      <c r="AH23">
        <v>2</v>
      </c>
      <c r="AI23">
        <v>1349</v>
      </c>
      <c r="AJ23">
        <v>0.18422841604350781</v>
      </c>
      <c r="AK23">
        <v>0.11726117261172611</v>
      </c>
      <c r="AL23">
        <v>0.12177121771217712</v>
      </c>
      <c r="AM23">
        <v>8.6100861008610082E-3</v>
      </c>
      <c r="AN23">
        <v>0.44690446904469044</v>
      </c>
      <c r="AO23">
        <v>0.5530955309553095</v>
      </c>
      <c r="AP23">
        <v>5938</v>
      </c>
      <c r="AQ23">
        <v>475</v>
      </c>
      <c r="AR23">
        <v>2</v>
      </c>
      <c r="AS23">
        <v>1</v>
      </c>
      <c r="AT23">
        <v>659</v>
      </c>
      <c r="AU23">
        <v>419</v>
      </c>
      <c r="AV23">
        <v>20</v>
      </c>
      <c r="AW23">
        <v>83</v>
      </c>
      <c r="AX23">
        <v>207</v>
      </c>
      <c r="AY23">
        <v>925</v>
      </c>
      <c r="AZ23">
        <v>132</v>
      </c>
      <c r="BA23">
        <v>80</v>
      </c>
      <c r="BB23">
        <v>163</v>
      </c>
      <c r="BC23">
        <v>240</v>
      </c>
      <c r="BD23">
        <v>183</v>
      </c>
      <c r="BE23">
        <v>365</v>
      </c>
      <c r="BF23">
        <v>1094</v>
      </c>
      <c r="BG23">
        <v>55</v>
      </c>
      <c r="BH23">
        <v>395</v>
      </c>
      <c r="BI23">
        <v>251</v>
      </c>
      <c r="BJ23">
        <v>7.9993263725159983E-2</v>
      </c>
      <c r="BK23">
        <v>3.3681374200067362E-4</v>
      </c>
      <c r="BL23">
        <v>1.6840687100033681E-4</v>
      </c>
      <c r="BM23">
        <v>0.11098012798922197</v>
      </c>
      <c r="BN23">
        <v>7.0562478949141125E-2</v>
      </c>
      <c r="BO23">
        <v>3.3681374200067362E-3</v>
      </c>
      <c r="BP23">
        <v>1.3977770293027955E-2</v>
      </c>
      <c r="BQ23">
        <v>3.4860222297069719E-2</v>
      </c>
      <c r="BR23">
        <v>0.15577635567531156</v>
      </c>
      <c r="BS23">
        <v>2.2229706972044461E-2</v>
      </c>
      <c r="BT23">
        <v>1.3472549680026945E-2</v>
      </c>
      <c r="BU23">
        <v>2.7450319973054901E-2</v>
      </c>
      <c r="BV23">
        <v>4.0417649040080834E-2</v>
      </c>
      <c r="BW23">
        <v>3.0818457393061636E-2</v>
      </c>
      <c r="BX23">
        <v>6.1468507915122934E-2</v>
      </c>
      <c r="BY23">
        <v>0.18423711687436847</v>
      </c>
      <c r="BZ23">
        <v>9.2623779050185241E-3</v>
      </c>
      <c r="CA23">
        <v>6.6520714045133045E-2</v>
      </c>
      <c r="CB23">
        <v>4.2270124621084537E-2</v>
      </c>
      <c r="CC23">
        <v>5938</v>
      </c>
      <c r="CD23">
        <v>5441</v>
      </c>
      <c r="CE23">
        <v>358</v>
      </c>
      <c r="CF23">
        <v>24</v>
      </c>
      <c r="CG23">
        <v>398</v>
      </c>
      <c r="CH23">
        <v>359</v>
      </c>
      <c r="CI23">
        <v>17</v>
      </c>
      <c r="CJ23">
        <v>4</v>
      </c>
      <c r="CK23">
        <v>0.91630178511283256</v>
      </c>
      <c r="CL23">
        <v>6.0289659818120581E-2</v>
      </c>
      <c r="CM23">
        <v>4.0417649040080834E-3</v>
      </c>
      <c r="CN23">
        <v>0.90201005025125625</v>
      </c>
      <c r="CO23">
        <v>4.2713567839195977E-2</v>
      </c>
      <c r="CP23">
        <v>1.0050251256281407E-2</v>
      </c>
    </row>
    <row r="24" spans="1:94" x14ac:dyDescent="0.15">
      <c r="A24" t="s">
        <v>461</v>
      </c>
      <c r="B24" t="s">
        <v>427</v>
      </c>
      <c r="C24" t="s">
        <v>462</v>
      </c>
      <c r="D24">
        <v>2557</v>
      </c>
      <c r="E24">
        <v>1394</v>
      </c>
      <c r="F24">
        <v>523</v>
      </c>
      <c r="G24">
        <v>359</v>
      </c>
      <c r="H24">
        <v>0.5451701212358232</v>
      </c>
      <c r="I24">
        <v>0.20453656628861946</v>
      </c>
      <c r="J24">
        <v>0.14039890496675791</v>
      </c>
      <c r="K24">
        <v>6824</v>
      </c>
      <c r="L24">
        <v>816</v>
      </c>
      <c r="M24">
        <v>2101</v>
      </c>
      <c r="N24">
        <v>3437</v>
      </c>
      <c r="O24">
        <v>0.11957796014067995</v>
      </c>
      <c r="P24">
        <v>0.30788393903868699</v>
      </c>
      <c r="Q24">
        <v>0.50366354044548656</v>
      </c>
      <c r="R24">
        <v>6824</v>
      </c>
      <c r="S24">
        <v>754</v>
      </c>
      <c r="T24">
        <v>184</v>
      </c>
      <c r="U24">
        <v>339</v>
      </c>
      <c r="V24">
        <v>14</v>
      </c>
      <c r="W24">
        <v>1291</v>
      </c>
      <c r="X24">
        <v>3389</v>
      </c>
      <c r="Y24">
        <v>364</v>
      </c>
      <c r="Z24">
        <v>117</v>
      </c>
      <c r="AA24">
        <v>281</v>
      </c>
      <c r="AB24">
        <v>11</v>
      </c>
      <c r="AC24">
        <v>773</v>
      </c>
      <c r="AD24">
        <v>3435</v>
      </c>
      <c r="AE24">
        <v>390</v>
      </c>
      <c r="AF24">
        <v>67</v>
      </c>
      <c r="AG24">
        <v>58</v>
      </c>
      <c r="AH24">
        <v>3</v>
      </c>
      <c r="AI24">
        <v>518</v>
      </c>
      <c r="AJ24">
        <v>0.18918522860492379</v>
      </c>
      <c r="AK24">
        <v>0.14252517428350117</v>
      </c>
      <c r="AL24">
        <v>0.26258714175058095</v>
      </c>
      <c r="AM24">
        <v>1.0844306738962044E-2</v>
      </c>
      <c r="AN24">
        <v>0.59876065065840434</v>
      </c>
      <c r="AO24">
        <v>0.40123934934159566</v>
      </c>
      <c r="AP24">
        <v>3045</v>
      </c>
      <c r="AQ24">
        <v>307</v>
      </c>
      <c r="AR24">
        <v>3</v>
      </c>
      <c r="AS24">
        <v>1</v>
      </c>
      <c r="AT24">
        <v>322</v>
      </c>
      <c r="AU24">
        <v>259</v>
      </c>
      <c r="AV24">
        <v>39</v>
      </c>
      <c r="AW24">
        <v>36</v>
      </c>
      <c r="AX24">
        <v>93</v>
      </c>
      <c r="AY24">
        <v>388</v>
      </c>
      <c r="AZ24">
        <v>55</v>
      </c>
      <c r="BA24">
        <v>36</v>
      </c>
      <c r="BB24">
        <v>76</v>
      </c>
      <c r="BC24">
        <v>129</v>
      </c>
      <c r="BD24">
        <v>99</v>
      </c>
      <c r="BE24">
        <v>138</v>
      </c>
      <c r="BF24">
        <v>539</v>
      </c>
      <c r="BG24">
        <v>27</v>
      </c>
      <c r="BH24">
        <v>200</v>
      </c>
      <c r="BI24">
        <v>162</v>
      </c>
      <c r="BJ24">
        <v>0.10082101806239738</v>
      </c>
      <c r="BK24">
        <v>9.8522167487684722E-4</v>
      </c>
      <c r="BL24">
        <v>3.2840722495894911E-4</v>
      </c>
      <c r="BM24">
        <v>0.10574712643678161</v>
      </c>
      <c r="BN24">
        <v>8.5057471264367815E-2</v>
      </c>
      <c r="BO24">
        <v>1.2807881773399015E-2</v>
      </c>
      <c r="BP24">
        <v>1.1822660098522168E-2</v>
      </c>
      <c r="BQ24">
        <v>3.0541871921182268E-2</v>
      </c>
      <c r="BR24">
        <v>0.12742200328407224</v>
      </c>
      <c r="BS24">
        <v>1.8062397372742199E-2</v>
      </c>
      <c r="BT24">
        <v>1.1822660098522168E-2</v>
      </c>
      <c r="BU24">
        <v>2.495894909688013E-2</v>
      </c>
      <c r="BV24">
        <v>4.2364532019704436E-2</v>
      </c>
      <c r="BW24">
        <v>3.2512315270935961E-2</v>
      </c>
      <c r="BX24">
        <v>4.5320197044334973E-2</v>
      </c>
      <c r="BY24">
        <v>0.17701149425287357</v>
      </c>
      <c r="BZ24">
        <v>8.8669950738916262E-3</v>
      </c>
      <c r="CA24">
        <v>6.5681444991789822E-2</v>
      </c>
      <c r="CB24">
        <v>5.3201970443349754E-2</v>
      </c>
      <c r="CC24">
        <v>3045</v>
      </c>
      <c r="CD24">
        <v>2722</v>
      </c>
      <c r="CE24">
        <v>235</v>
      </c>
      <c r="CF24">
        <v>7</v>
      </c>
      <c r="CG24">
        <v>248</v>
      </c>
      <c r="CH24">
        <v>228</v>
      </c>
      <c r="CI24">
        <v>10</v>
      </c>
      <c r="CJ24">
        <v>3</v>
      </c>
      <c r="CK24">
        <v>0.89392446633825939</v>
      </c>
      <c r="CL24">
        <v>7.7175697865353041E-2</v>
      </c>
      <c r="CM24">
        <v>2.2988505747126436E-3</v>
      </c>
      <c r="CN24">
        <v>0.91935483870967738</v>
      </c>
      <c r="CO24">
        <v>4.0322580645161289E-2</v>
      </c>
      <c r="CP24">
        <v>1.2096774193548387E-2</v>
      </c>
    </row>
    <row r="25" spans="1:94" x14ac:dyDescent="0.15">
      <c r="A25" t="s">
        <v>463</v>
      </c>
      <c r="B25" t="s">
        <v>427</v>
      </c>
      <c r="C25" t="s">
        <v>464</v>
      </c>
      <c r="D25">
        <v>13113</v>
      </c>
      <c r="E25">
        <v>6496</v>
      </c>
      <c r="F25">
        <v>2444</v>
      </c>
      <c r="G25">
        <v>1685</v>
      </c>
      <c r="H25">
        <v>0.49538625791199575</v>
      </c>
      <c r="I25">
        <v>0.1863799283154122</v>
      </c>
      <c r="J25">
        <v>0.12849843666590408</v>
      </c>
      <c r="K25">
        <v>32797</v>
      </c>
      <c r="L25">
        <v>3416</v>
      </c>
      <c r="M25">
        <v>10556</v>
      </c>
      <c r="N25">
        <v>16560</v>
      </c>
      <c r="O25">
        <v>0.1041558679147483</v>
      </c>
      <c r="P25">
        <v>0.32185870658901727</v>
      </c>
      <c r="Q25">
        <v>0.50492423087477512</v>
      </c>
      <c r="R25">
        <v>32797</v>
      </c>
      <c r="S25">
        <v>3956</v>
      </c>
      <c r="T25">
        <v>1040</v>
      </c>
      <c r="U25">
        <v>988</v>
      </c>
      <c r="V25">
        <v>111</v>
      </c>
      <c r="W25">
        <v>6095</v>
      </c>
      <c r="X25">
        <v>15459</v>
      </c>
      <c r="Y25">
        <v>1831</v>
      </c>
      <c r="Z25">
        <v>473</v>
      </c>
      <c r="AA25">
        <v>517</v>
      </c>
      <c r="AB25">
        <v>51</v>
      </c>
      <c r="AC25">
        <v>2872</v>
      </c>
      <c r="AD25">
        <v>17338</v>
      </c>
      <c r="AE25">
        <v>2125</v>
      </c>
      <c r="AF25">
        <v>567</v>
      </c>
      <c r="AG25">
        <v>471</v>
      </c>
      <c r="AH25">
        <v>60</v>
      </c>
      <c r="AI25">
        <v>3223</v>
      </c>
      <c r="AJ25">
        <v>0.18584016830807695</v>
      </c>
      <c r="AK25">
        <v>0.17063166529942575</v>
      </c>
      <c r="AL25">
        <v>0.16210008203445447</v>
      </c>
      <c r="AM25">
        <v>1.8211648892534866E-2</v>
      </c>
      <c r="AN25">
        <v>0.47120590648072191</v>
      </c>
      <c r="AO25">
        <v>0.52879409351927809</v>
      </c>
      <c r="AP25">
        <v>15421</v>
      </c>
      <c r="AQ25">
        <v>1271</v>
      </c>
      <c r="AR25">
        <v>81</v>
      </c>
      <c r="AS25">
        <v>2</v>
      </c>
      <c r="AT25">
        <v>1124</v>
      </c>
      <c r="AU25">
        <v>2065</v>
      </c>
      <c r="AV25">
        <v>71</v>
      </c>
      <c r="AW25">
        <v>223</v>
      </c>
      <c r="AX25">
        <v>618</v>
      </c>
      <c r="AY25">
        <v>2321</v>
      </c>
      <c r="AZ25">
        <v>249</v>
      </c>
      <c r="BA25">
        <v>150</v>
      </c>
      <c r="BB25">
        <v>420</v>
      </c>
      <c r="BC25">
        <v>719</v>
      </c>
      <c r="BD25">
        <v>546</v>
      </c>
      <c r="BE25">
        <v>898</v>
      </c>
      <c r="BF25">
        <v>2331</v>
      </c>
      <c r="BG25">
        <v>138</v>
      </c>
      <c r="BH25">
        <v>877</v>
      </c>
      <c r="BI25">
        <v>742</v>
      </c>
      <c r="BJ25">
        <v>8.2420076519032492E-2</v>
      </c>
      <c r="BK25">
        <v>5.2525776538486476E-3</v>
      </c>
      <c r="BL25">
        <v>1.2969327540367031E-4</v>
      </c>
      <c r="BM25">
        <v>7.2887620776862713E-2</v>
      </c>
      <c r="BN25">
        <v>0.13390830685428962</v>
      </c>
      <c r="BO25">
        <v>4.6041112768302967E-3</v>
      </c>
      <c r="BP25">
        <v>1.446080020750924E-2</v>
      </c>
      <c r="BQ25">
        <v>4.0075222099734131E-2</v>
      </c>
      <c r="BR25">
        <v>0.15050904610595942</v>
      </c>
      <c r="BS25">
        <v>1.6146812787756953E-2</v>
      </c>
      <c r="BT25">
        <v>9.7269956552752737E-3</v>
      </c>
      <c r="BU25">
        <v>2.7235587834770768E-2</v>
      </c>
      <c r="BV25">
        <v>4.6624732507619483E-2</v>
      </c>
      <c r="BW25">
        <v>3.5406264185201999E-2</v>
      </c>
      <c r="BX25">
        <v>5.8232280656247977E-2</v>
      </c>
      <c r="BY25">
        <v>0.15115751248297776</v>
      </c>
      <c r="BZ25">
        <v>8.9488360028532523E-3</v>
      </c>
      <c r="CA25">
        <v>5.6870501264509432E-2</v>
      </c>
      <c r="CB25">
        <v>4.8116205174761686E-2</v>
      </c>
      <c r="CC25">
        <v>15421</v>
      </c>
      <c r="CD25">
        <v>12105</v>
      </c>
      <c r="CE25">
        <v>2748</v>
      </c>
      <c r="CF25">
        <v>57</v>
      </c>
      <c r="CG25">
        <v>1337</v>
      </c>
      <c r="CH25">
        <v>1131</v>
      </c>
      <c r="CI25">
        <v>136</v>
      </c>
      <c r="CJ25">
        <v>22</v>
      </c>
      <c r="CK25">
        <v>0.78496854938071459</v>
      </c>
      <c r="CL25">
        <v>0.17819856040464302</v>
      </c>
      <c r="CM25">
        <v>3.6962583490046043E-3</v>
      </c>
      <c r="CN25">
        <v>0.84592370979805531</v>
      </c>
      <c r="CO25">
        <v>0.10172026925953627</v>
      </c>
      <c r="CP25">
        <v>1.6454749439042633E-2</v>
      </c>
    </row>
    <row r="26" spans="1:94" x14ac:dyDescent="0.15">
      <c r="A26" t="s">
        <v>465</v>
      </c>
      <c r="B26" t="s">
        <v>427</v>
      </c>
      <c r="C26" t="s">
        <v>466</v>
      </c>
      <c r="D26">
        <v>4490</v>
      </c>
      <c r="E26">
        <v>2217</v>
      </c>
      <c r="F26">
        <v>792</v>
      </c>
      <c r="G26">
        <v>685</v>
      </c>
      <c r="H26">
        <v>0.49376391982182627</v>
      </c>
      <c r="I26">
        <v>0.17639198218262805</v>
      </c>
      <c r="J26">
        <v>0.15256124721603564</v>
      </c>
      <c r="K26">
        <v>10855</v>
      </c>
      <c r="L26">
        <v>1369</v>
      </c>
      <c r="M26">
        <v>3375</v>
      </c>
      <c r="N26">
        <v>4940</v>
      </c>
      <c r="O26">
        <v>0.12611699677567942</v>
      </c>
      <c r="P26">
        <v>0.31091662828189776</v>
      </c>
      <c r="Q26">
        <v>0.45508982035928142</v>
      </c>
      <c r="R26">
        <v>10855</v>
      </c>
      <c r="S26">
        <v>1491</v>
      </c>
      <c r="T26">
        <v>304</v>
      </c>
      <c r="U26">
        <v>241</v>
      </c>
      <c r="V26">
        <v>55</v>
      </c>
      <c r="W26">
        <v>2091</v>
      </c>
      <c r="X26">
        <v>5101</v>
      </c>
      <c r="Y26">
        <v>669</v>
      </c>
      <c r="Z26">
        <v>120</v>
      </c>
      <c r="AA26">
        <v>119</v>
      </c>
      <c r="AB26">
        <v>8</v>
      </c>
      <c r="AC26">
        <v>916</v>
      </c>
      <c r="AD26">
        <v>5754</v>
      </c>
      <c r="AE26">
        <v>822</v>
      </c>
      <c r="AF26">
        <v>184</v>
      </c>
      <c r="AG26">
        <v>122</v>
      </c>
      <c r="AH26">
        <v>47</v>
      </c>
      <c r="AI26">
        <v>1175</v>
      </c>
      <c r="AJ26">
        <v>0.19263012436665131</v>
      </c>
      <c r="AK26">
        <v>0.14538498326159732</v>
      </c>
      <c r="AL26">
        <v>0.11525585844093734</v>
      </c>
      <c r="AM26">
        <v>2.6303204208512673E-2</v>
      </c>
      <c r="AN26">
        <v>0.4380679100908656</v>
      </c>
      <c r="AO26">
        <v>0.56193208990913435</v>
      </c>
      <c r="AP26">
        <v>5110</v>
      </c>
      <c r="AQ26">
        <v>906</v>
      </c>
      <c r="AR26">
        <v>2</v>
      </c>
      <c r="AS26">
        <v>2</v>
      </c>
      <c r="AT26">
        <v>504</v>
      </c>
      <c r="AU26">
        <v>770</v>
      </c>
      <c r="AV26">
        <v>11</v>
      </c>
      <c r="AW26">
        <v>43</v>
      </c>
      <c r="AX26">
        <v>187</v>
      </c>
      <c r="AY26">
        <v>603</v>
      </c>
      <c r="AZ26">
        <v>49</v>
      </c>
      <c r="BA26">
        <v>36</v>
      </c>
      <c r="BB26">
        <v>54</v>
      </c>
      <c r="BC26">
        <v>172</v>
      </c>
      <c r="BD26">
        <v>138</v>
      </c>
      <c r="BE26">
        <v>164</v>
      </c>
      <c r="BF26">
        <v>728</v>
      </c>
      <c r="BG26">
        <v>40</v>
      </c>
      <c r="BH26">
        <v>291</v>
      </c>
      <c r="BI26">
        <v>124</v>
      </c>
      <c r="BJ26">
        <v>0.17729941291585127</v>
      </c>
      <c r="BK26">
        <v>3.9138943248532291E-4</v>
      </c>
      <c r="BL26">
        <v>3.9138943248532291E-4</v>
      </c>
      <c r="BM26">
        <v>9.8630136986301367E-2</v>
      </c>
      <c r="BN26">
        <v>0.15068493150684931</v>
      </c>
      <c r="BO26">
        <v>2.1526418786692761E-3</v>
      </c>
      <c r="BP26">
        <v>8.4148727984344421E-3</v>
      </c>
      <c r="BQ26">
        <v>3.659491193737769E-2</v>
      </c>
      <c r="BR26">
        <v>0.11800391389432485</v>
      </c>
      <c r="BS26">
        <v>9.5890410958904115E-3</v>
      </c>
      <c r="BT26">
        <v>7.0450097847358124E-3</v>
      </c>
      <c r="BU26">
        <v>1.0567514677103719E-2</v>
      </c>
      <c r="BV26">
        <v>3.3659491193737769E-2</v>
      </c>
      <c r="BW26">
        <v>2.700587084148728E-2</v>
      </c>
      <c r="BX26">
        <v>3.2093933463796478E-2</v>
      </c>
      <c r="BY26">
        <v>0.14246575342465753</v>
      </c>
      <c r="BZ26">
        <v>7.8277886497064575E-3</v>
      </c>
      <c r="CA26">
        <v>5.6947162426614482E-2</v>
      </c>
      <c r="CB26">
        <v>2.4266144814090021E-2</v>
      </c>
      <c r="CC26">
        <v>5110</v>
      </c>
      <c r="CD26">
        <v>4535</v>
      </c>
      <c r="CE26">
        <v>345</v>
      </c>
      <c r="CF26">
        <v>25</v>
      </c>
      <c r="CG26">
        <v>418</v>
      </c>
      <c r="CH26">
        <v>374</v>
      </c>
      <c r="CI26">
        <v>16</v>
      </c>
      <c r="CJ26">
        <v>1</v>
      </c>
      <c r="CK26">
        <v>0.88747553816046965</v>
      </c>
      <c r="CL26">
        <v>6.7514677103718196E-2</v>
      </c>
      <c r="CM26">
        <v>4.8923679060665359E-3</v>
      </c>
      <c r="CN26">
        <v>0.89473684210526316</v>
      </c>
      <c r="CO26">
        <v>3.8277511961722487E-2</v>
      </c>
      <c r="CP26">
        <v>2.3923444976076554E-3</v>
      </c>
    </row>
    <row r="27" spans="1:94" x14ac:dyDescent="0.15">
      <c r="A27" t="s">
        <v>467</v>
      </c>
      <c r="B27" t="s">
        <v>427</v>
      </c>
      <c r="C27" t="s">
        <v>468</v>
      </c>
      <c r="D27">
        <v>4377</v>
      </c>
      <c r="E27">
        <v>2476</v>
      </c>
      <c r="F27">
        <v>898</v>
      </c>
      <c r="G27">
        <v>727</v>
      </c>
      <c r="H27">
        <v>0.56568425862462879</v>
      </c>
      <c r="I27">
        <v>0.20516335389536211</v>
      </c>
      <c r="J27">
        <v>0.16609549920036554</v>
      </c>
      <c r="K27">
        <v>10806</v>
      </c>
      <c r="L27">
        <v>1308</v>
      </c>
      <c r="M27">
        <v>3289</v>
      </c>
      <c r="N27">
        <v>5337</v>
      </c>
      <c r="O27">
        <v>0.12104386451971128</v>
      </c>
      <c r="P27">
        <v>0.30436794373496207</v>
      </c>
      <c r="Q27">
        <v>0.49389228206551916</v>
      </c>
      <c r="R27">
        <v>10806</v>
      </c>
      <c r="S27">
        <v>1401</v>
      </c>
      <c r="T27">
        <v>314</v>
      </c>
      <c r="U27">
        <v>205</v>
      </c>
      <c r="V27">
        <v>33</v>
      </c>
      <c r="W27">
        <v>1953</v>
      </c>
      <c r="X27">
        <v>5117</v>
      </c>
      <c r="Y27">
        <v>625</v>
      </c>
      <c r="Z27">
        <v>140</v>
      </c>
      <c r="AA27">
        <v>122</v>
      </c>
      <c r="AB27">
        <v>29</v>
      </c>
      <c r="AC27">
        <v>916</v>
      </c>
      <c r="AD27">
        <v>5689</v>
      </c>
      <c r="AE27">
        <v>776</v>
      </c>
      <c r="AF27">
        <v>174</v>
      </c>
      <c r="AG27">
        <v>83</v>
      </c>
      <c r="AH27">
        <v>4</v>
      </c>
      <c r="AI27">
        <v>1037</v>
      </c>
      <c r="AJ27">
        <v>0.18073292615213771</v>
      </c>
      <c r="AK27">
        <v>0.16077828981054787</v>
      </c>
      <c r="AL27">
        <v>0.10496671786994367</v>
      </c>
      <c r="AM27">
        <v>1.6897081413210446E-2</v>
      </c>
      <c r="AN27">
        <v>0.4690220174091142</v>
      </c>
      <c r="AO27">
        <v>0.5309779825908858</v>
      </c>
      <c r="AP27">
        <v>5068</v>
      </c>
      <c r="AQ27">
        <v>773</v>
      </c>
      <c r="AR27">
        <v>2</v>
      </c>
      <c r="AS27">
        <v>1</v>
      </c>
      <c r="AT27">
        <v>552</v>
      </c>
      <c r="AU27">
        <v>576</v>
      </c>
      <c r="AV27">
        <v>20</v>
      </c>
      <c r="AW27">
        <v>47</v>
      </c>
      <c r="AX27">
        <v>175</v>
      </c>
      <c r="AY27">
        <v>658</v>
      </c>
      <c r="AZ27">
        <v>84</v>
      </c>
      <c r="BA27">
        <v>46</v>
      </c>
      <c r="BB27">
        <v>101</v>
      </c>
      <c r="BC27">
        <v>179</v>
      </c>
      <c r="BD27">
        <v>123</v>
      </c>
      <c r="BE27">
        <v>165</v>
      </c>
      <c r="BF27">
        <v>801</v>
      </c>
      <c r="BG27">
        <v>54</v>
      </c>
      <c r="BH27">
        <v>289</v>
      </c>
      <c r="BI27">
        <v>151</v>
      </c>
      <c r="BJ27">
        <v>0.15252565114443567</v>
      </c>
      <c r="BK27">
        <v>3.9463299131807419E-4</v>
      </c>
      <c r="BL27">
        <v>1.973164956590371E-4</v>
      </c>
      <c r="BM27">
        <v>0.10891870560378848</v>
      </c>
      <c r="BN27">
        <v>0.11365430149960537</v>
      </c>
      <c r="BO27">
        <v>3.9463299131807421E-3</v>
      </c>
      <c r="BP27">
        <v>9.2738752959747438E-3</v>
      </c>
      <c r="BQ27">
        <v>3.4530386740331494E-2</v>
      </c>
      <c r="BR27">
        <v>0.12983425414364641</v>
      </c>
      <c r="BS27">
        <v>1.6574585635359115E-2</v>
      </c>
      <c r="BT27">
        <v>9.0765588003157063E-3</v>
      </c>
      <c r="BU27">
        <v>1.9928966061562747E-2</v>
      </c>
      <c r="BV27">
        <v>3.5319652722967637E-2</v>
      </c>
      <c r="BW27">
        <v>2.4269928966061564E-2</v>
      </c>
      <c r="BX27">
        <v>3.2557221783741118E-2</v>
      </c>
      <c r="BY27">
        <v>0.15805051302288872</v>
      </c>
      <c r="BZ27">
        <v>1.0655090765588003E-2</v>
      </c>
      <c r="CA27">
        <v>5.7024467245461723E-2</v>
      </c>
      <c r="CB27">
        <v>2.9794790844514602E-2</v>
      </c>
      <c r="CC27">
        <v>5068</v>
      </c>
      <c r="CD27">
        <v>4288</v>
      </c>
      <c r="CE27">
        <v>571</v>
      </c>
      <c r="CF27">
        <v>16</v>
      </c>
      <c r="CG27">
        <v>323</v>
      </c>
      <c r="CH27">
        <v>280</v>
      </c>
      <c r="CI27">
        <v>25</v>
      </c>
      <c r="CJ27">
        <v>6</v>
      </c>
      <c r="CK27">
        <v>0.84609313338595105</v>
      </c>
      <c r="CL27">
        <v>0.11266771902131018</v>
      </c>
      <c r="CM27">
        <v>3.1570639305445935E-3</v>
      </c>
      <c r="CN27">
        <v>0.86687306501547989</v>
      </c>
      <c r="CO27">
        <v>7.7399380804953566E-2</v>
      </c>
      <c r="CP27">
        <v>1.8575851393188854E-2</v>
      </c>
    </row>
    <row r="28" spans="1:94" x14ac:dyDescent="0.15">
      <c r="A28" t="s">
        <v>469</v>
      </c>
      <c r="B28" t="s">
        <v>427</v>
      </c>
      <c r="C28" t="s">
        <v>470</v>
      </c>
      <c r="D28">
        <v>13291</v>
      </c>
      <c r="E28">
        <v>4113</v>
      </c>
      <c r="F28">
        <v>1587</v>
      </c>
      <c r="G28">
        <v>1065</v>
      </c>
      <c r="H28">
        <v>0.30945752765028967</v>
      </c>
      <c r="I28">
        <v>0.11940410804303664</v>
      </c>
      <c r="J28">
        <v>8.0129410879542548E-2</v>
      </c>
      <c r="K28">
        <v>29134</v>
      </c>
      <c r="L28">
        <v>2610</v>
      </c>
      <c r="M28">
        <v>10549</v>
      </c>
      <c r="N28">
        <v>12275</v>
      </c>
      <c r="O28">
        <v>8.9586050662456243E-2</v>
      </c>
      <c r="P28">
        <v>0.36208553580009611</v>
      </c>
      <c r="Q28">
        <v>0.42132903137227978</v>
      </c>
      <c r="R28">
        <v>29134</v>
      </c>
      <c r="S28">
        <v>3976</v>
      </c>
      <c r="T28">
        <v>972</v>
      </c>
      <c r="U28">
        <v>1480</v>
      </c>
      <c r="V28">
        <v>86</v>
      </c>
      <c r="W28">
        <v>6514</v>
      </c>
      <c r="X28">
        <v>14177</v>
      </c>
      <c r="Y28">
        <v>1858</v>
      </c>
      <c r="Z28">
        <v>451</v>
      </c>
      <c r="AA28">
        <v>794</v>
      </c>
      <c r="AB28">
        <v>45</v>
      </c>
      <c r="AC28">
        <v>3148</v>
      </c>
      <c r="AD28">
        <v>14957</v>
      </c>
      <c r="AE28">
        <v>2118</v>
      </c>
      <c r="AF28">
        <v>521</v>
      </c>
      <c r="AG28">
        <v>686</v>
      </c>
      <c r="AH28">
        <v>41</v>
      </c>
      <c r="AI28">
        <v>3366</v>
      </c>
      <c r="AJ28">
        <v>0.22358756092537929</v>
      </c>
      <c r="AK28">
        <v>0.14921707092416334</v>
      </c>
      <c r="AL28">
        <v>0.22720294749769726</v>
      </c>
      <c r="AM28">
        <v>1.3202333435677003E-2</v>
      </c>
      <c r="AN28">
        <v>0.48326680994780474</v>
      </c>
      <c r="AO28">
        <v>0.51673319005219531</v>
      </c>
      <c r="AP28">
        <v>13711</v>
      </c>
      <c r="AQ28">
        <v>1079</v>
      </c>
      <c r="AR28">
        <v>4</v>
      </c>
      <c r="AS28">
        <v>6</v>
      </c>
      <c r="AT28">
        <v>970</v>
      </c>
      <c r="AU28">
        <v>1434</v>
      </c>
      <c r="AV28">
        <v>42</v>
      </c>
      <c r="AW28">
        <v>211</v>
      </c>
      <c r="AX28">
        <v>521</v>
      </c>
      <c r="AY28">
        <v>1871</v>
      </c>
      <c r="AZ28">
        <v>240</v>
      </c>
      <c r="BA28">
        <v>184</v>
      </c>
      <c r="BB28">
        <v>368</v>
      </c>
      <c r="BC28">
        <v>695</v>
      </c>
      <c r="BD28">
        <v>426</v>
      </c>
      <c r="BE28">
        <v>1155</v>
      </c>
      <c r="BF28">
        <v>2638</v>
      </c>
      <c r="BG28">
        <v>99</v>
      </c>
      <c r="BH28">
        <v>844</v>
      </c>
      <c r="BI28">
        <v>450</v>
      </c>
      <c r="BJ28">
        <v>7.8695937568375757E-2</v>
      </c>
      <c r="BK28">
        <v>2.9173656188461817E-4</v>
      </c>
      <c r="BL28">
        <v>4.376048428269273E-4</v>
      </c>
      <c r="BM28">
        <v>7.0746116257019917E-2</v>
      </c>
      <c r="BN28">
        <v>0.10458755743563562</v>
      </c>
      <c r="BO28">
        <v>3.063233899788491E-3</v>
      </c>
      <c r="BP28">
        <v>1.538910363941361E-2</v>
      </c>
      <c r="BQ28">
        <v>3.7998687185471516E-2</v>
      </c>
      <c r="BR28">
        <v>0.13645977682153015</v>
      </c>
      <c r="BS28">
        <v>1.7504193713077092E-2</v>
      </c>
      <c r="BT28">
        <v>1.3419881846692436E-2</v>
      </c>
      <c r="BU28">
        <v>2.6839763693384873E-2</v>
      </c>
      <c r="BV28">
        <v>5.0689227627452413E-2</v>
      </c>
      <c r="BW28">
        <v>3.1069943840711836E-2</v>
      </c>
      <c r="BX28">
        <v>8.4238932244183509E-2</v>
      </c>
      <c r="BY28">
        <v>0.19240026256290568</v>
      </c>
      <c r="BZ28">
        <v>7.2204799066443006E-3</v>
      </c>
      <c r="CA28">
        <v>6.155641455765444E-2</v>
      </c>
      <c r="CB28">
        <v>3.2820363212019546E-2</v>
      </c>
      <c r="CC28">
        <v>13711</v>
      </c>
      <c r="CD28">
        <v>12611</v>
      </c>
      <c r="CE28">
        <v>692</v>
      </c>
      <c r="CF28">
        <v>55</v>
      </c>
      <c r="CG28">
        <v>1701</v>
      </c>
      <c r="CH28">
        <v>1616</v>
      </c>
      <c r="CI28">
        <v>26</v>
      </c>
      <c r="CJ28">
        <v>15</v>
      </c>
      <c r="CK28">
        <v>0.91977244548172998</v>
      </c>
      <c r="CL28">
        <v>5.0470425206038949E-2</v>
      </c>
      <c r="CM28">
        <v>4.0113777259135003E-3</v>
      </c>
      <c r="CN28">
        <v>0.95002939447383894</v>
      </c>
      <c r="CO28">
        <v>1.5285126396237508E-2</v>
      </c>
      <c r="CP28">
        <v>8.8183421516754845E-3</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4" t="str">
        <f>管理者入力シート!B4</f>
        <v>住吉地域自治区</v>
      </c>
      <c r="C2" s="254"/>
      <c r="D2" s="254"/>
      <c r="E2" s="253" t="s">
        <v>225</v>
      </c>
      <c r="F2" s="253"/>
      <c r="G2" s="253"/>
      <c r="H2" s="253"/>
      <c r="I2" s="253"/>
    </row>
    <row r="3" spans="1:10" ht="22.5" customHeight="1" x14ac:dyDescent="0.15">
      <c r="B3" s="254"/>
      <c r="C3" s="254"/>
      <c r="D3" s="254"/>
      <c r="E3" s="253"/>
      <c r="F3" s="253"/>
      <c r="G3" s="253"/>
      <c r="H3" s="253"/>
      <c r="I3" s="253"/>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7">
        <f>管理者用グラフシート!E6</f>
        <v>22026</v>
      </c>
      <c r="F6" s="257"/>
      <c r="G6" s="20" t="s">
        <v>54</v>
      </c>
    </row>
    <row r="7" spans="1:10" ht="22.5" customHeight="1" x14ac:dyDescent="0.15">
      <c r="A7" s="249">
        <f>管理者用グラフシート!B4</f>
        <v>2010</v>
      </c>
      <c r="B7" s="249"/>
      <c r="C7" s="82" t="s">
        <v>226</v>
      </c>
      <c r="D7" s="251">
        <f>E6-管理者用グラフシート!E4</f>
        <v>984</v>
      </c>
      <c r="E7" s="251"/>
      <c r="F7" s="20" t="s">
        <v>356</v>
      </c>
    </row>
    <row r="8" spans="1:10" ht="22.5" customHeight="1" x14ac:dyDescent="0.15">
      <c r="A8" s="248" t="s">
        <v>380</v>
      </c>
      <c r="B8" s="248"/>
      <c r="C8" s="204">
        <f>管理者用グラフシート!C6-管理者用グラフシート!C4</f>
        <v>481</v>
      </c>
      <c r="D8" s="207" t="s">
        <v>381</v>
      </c>
      <c r="F8" s="204">
        <f>管理者用グラフシート!D6-管理者用グラフシート!D4</f>
        <v>503</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0">
        <f>管理者用グラフシート!C12</f>
        <v>1464</v>
      </c>
      <c r="G36" s="250"/>
      <c r="H36" s="20" t="s">
        <v>54</v>
      </c>
    </row>
    <row r="37" spans="1:9" ht="22.5" customHeight="1" x14ac:dyDescent="0.15">
      <c r="A37" s="20" t="s">
        <v>66</v>
      </c>
      <c r="F37" s="250">
        <f>管理者用グラフシート!C16</f>
        <v>811</v>
      </c>
      <c r="G37" s="250"/>
      <c r="H37" s="20" t="s">
        <v>54</v>
      </c>
    </row>
    <row r="38" spans="1:9" ht="22.5" customHeight="1" x14ac:dyDescent="0.15">
      <c r="D38" s="252"/>
      <c r="E38" s="252"/>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51">
        <f>F36-管理者用グラフシート!C10</f>
        <v>229</v>
      </c>
      <c r="E40" s="251"/>
      <c r="F40" s="20" t="s">
        <v>60</v>
      </c>
    </row>
    <row r="41" spans="1:9" ht="22.5" customHeight="1" x14ac:dyDescent="0.15">
      <c r="B41" s="20" t="s">
        <v>69</v>
      </c>
      <c r="D41" s="251">
        <f>F37-管理者用グラフシート!C14</f>
        <v>160</v>
      </c>
      <c r="E41" s="251"/>
      <c r="F41" s="20" t="s">
        <v>70</v>
      </c>
    </row>
    <row r="53" spans="1:13" ht="22.5" customHeight="1" x14ac:dyDescent="0.15">
      <c r="M53" s="72"/>
    </row>
    <row r="62" spans="1:13" ht="22.5" customHeight="1" thickBot="1" x14ac:dyDescent="0.2"/>
    <row r="63" spans="1:13" ht="22.5" customHeight="1" x14ac:dyDescent="0.15">
      <c r="A63" s="243" t="s">
        <v>472</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0">
        <f>管理者用グラフシート!C22</f>
        <v>6375</v>
      </c>
      <c r="D70" s="250"/>
      <c r="E70" s="20" t="s">
        <v>76</v>
      </c>
      <c r="F70" s="37"/>
      <c r="G70" s="255">
        <f>管理者用グラフシート!C32</f>
        <v>0.28999999999999998</v>
      </c>
      <c r="H70" s="255"/>
      <c r="I70" s="20" t="s">
        <v>77</v>
      </c>
    </row>
    <row r="71" spans="1:9" ht="22.5" customHeight="1" x14ac:dyDescent="0.15">
      <c r="A71" s="20" t="s">
        <v>78</v>
      </c>
      <c r="C71" s="250">
        <f>管理者用グラフシート!C26</f>
        <v>3190</v>
      </c>
      <c r="D71" s="250"/>
      <c r="E71" s="20" t="s">
        <v>76</v>
      </c>
      <c r="F71" s="37"/>
      <c r="G71" s="255">
        <f>管理者用グラフシート!C36</f>
        <v>0.14000000000000001</v>
      </c>
      <c r="H71" s="255"/>
      <c r="I71" s="20" t="s">
        <v>77</v>
      </c>
    </row>
    <row r="72" spans="1:9" ht="22.5" customHeight="1" x14ac:dyDescent="0.15">
      <c r="D72" s="252"/>
      <c r="E72" s="252"/>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0"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8ポイント上昇</v>
      </c>
      <c r="F74" s="250"/>
      <c r="G74" s="250"/>
      <c r="H74" s="20" t="s">
        <v>82</v>
      </c>
    </row>
    <row r="75" spans="1:9" ht="22.5" customHeight="1" x14ac:dyDescent="0.15">
      <c r="B75" s="20" t="s">
        <v>83</v>
      </c>
      <c r="D75" s="37"/>
      <c r="E75" s="256"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3ポイント上昇</v>
      </c>
      <c r="F75" s="256"/>
      <c r="G75" s="256"/>
      <c r="H75" s="20" t="s">
        <v>77</v>
      </c>
    </row>
    <row r="95" spans="1:9" ht="22.5" customHeight="1" thickBot="1" x14ac:dyDescent="0.2"/>
    <row r="96" spans="1:9" ht="22.5" customHeight="1" x14ac:dyDescent="0.15">
      <c r="A96" s="97" t="s">
        <v>473</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-537</v>
      </c>
      <c r="G135" s="208" t="s">
        <v>386</v>
      </c>
      <c r="H135" s="111"/>
    </row>
    <row r="136" spans="1:8" ht="22.5" customHeight="1" x14ac:dyDescent="0.15">
      <c r="A136" s="35" t="s">
        <v>387</v>
      </c>
      <c r="C136" s="206">
        <f>SUM(管理者用グラフシート!B95:C96)-SUM(管理者用グラフシート!B47:C48)</f>
        <v>-770</v>
      </c>
      <c r="D136" s="20" t="s">
        <v>388</v>
      </c>
      <c r="E136" s="34"/>
      <c r="F136" s="206">
        <f>SUM(管理者用グラフシート!B97:C98)-SUM(管理者用グラフシート!B49:C50)</f>
        <v>968</v>
      </c>
      <c r="G136" s="20" t="s">
        <v>386</v>
      </c>
    </row>
    <row r="137" spans="1:8" ht="18.75" x14ac:dyDescent="0.15">
      <c r="A137" s="20" t="s">
        <v>389</v>
      </c>
      <c r="C137" s="206">
        <f>SUM(管理者用グラフシート!B99:C100)-SUM(管理者用グラフシート!B51:C52)</f>
        <v>-469</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4" t="str">
        <f>管理者入力シート!B4</f>
        <v>住吉地域自治区</v>
      </c>
      <c r="B2" s="254"/>
      <c r="C2" s="254"/>
      <c r="D2" s="253" t="s">
        <v>230</v>
      </c>
      <c r="E2" s="253"/>
      <c r="F2" s="253"/>
      <c r="G2" s="253"/>
      <c r="H2" s="253"/>
      <c r="I2" s="253"/>
    </row>
    <row r="3" spans="1:9" ht="27.75" customHeight="1" x14ac:dyDescent="0.15">
      <c r="A3" s="254"/>
      <c r="B3" s="254"/>
      <c r="C3" s="254"/>
      <c r="D3" s="253"/>
      <c r="E3" s="253"/>
      <c r="F3" s="253"/>
      <c r="G3" s="253"/>
      <c r="H3" s="253"/>
      <c r="I3" s="253"/>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0">
        <f>管理者用グラフシート!K8</f>
        <v>21872</v>
      </c>
      <c r="E6" s="250"/>
      <c r="F6" s="20" t="s">
        <v>231</v>
      </c>
      <c r="H6" s="34"/>
      <c r="I6" s="34"/>
    </row>
    <row r="7" spans="1:9" ht="22.5" customHeight="1" x14ac:dyDescent="0.15">
      <c r="A7" s="249">
        <f>管理者入力シート!B5</f>
        <v>2020</v>
      </c>
      <c r="B7" s="249"/>
      <c r="C7" s="195" t="s">
        <v>362</v>
      </c>
      <c r="D7" s="251">
        <f>D6-現況シート!E6</f>
        <v>-154</v>
      </c>
      <c r="E7" s="251"/>
      <c r="F7" s="20" t="s">
        <v>232</v>
      </c>
      <c r="I7" s="34"/>
    </row>
    <row r="8" spans="1:9" ht="22.5" customHeight="1" x14ac:dyDescent="0.15">
      <c r="A8" s="248" t="s">
        <v>397</v>
      </c>
      <c r="B8" s="248"/>
      <c r="C8" s="206">
        <f>管理者用グラフシート!I8-管理者用グラフシート!C6</f>
        <v>-179</v>
      </c>
      <c r="D8" s="207" t="s">
        <v>398</v>
      </c>
      <c r="F8" s="261">
        <f>管理者用グラフシート!J8-管理者用グラフシート!D6</f>
        <v>25</v>
      </c>
      <c r="G8" s="261"/>
      <c r="H8" s="20" t="s">
        <v>399</v>
      </c>
    </row>
    <row r="10" spans="1:9" ht="22.5" customHeight="1" x14ac:dyDescent="0.15">
      <c r="A10" s="249">
        <f>管理者入力シート!B11</f>
        <v>2040</v>
      </c>
      <c r="B10" s="249"/>
      <c r="C10" s="20" t="s">
        <v>361</v>
      </c>
      <c r="D10" s="250">
        <f>管理者用グラフシート!K10</f>
        <v>21038</v>
      </c>
      <c r="E10" s="250"/>
      <c r="F10" s="20" t="s">
        <v>231</v>
      </c>
      <c r="H10" s="34"/>
    </row>
    <row r="11" spans="1:9" ht="22.5" customHeight="1" x14ac:dyDescent="0.15">
      <c r="A11" s="249">
        <f>管理者入力シート!B5</f>
        <v>2020</v>
      </c>
      <c r="B11" s="249"/>
      <c r="C11" s="195" t="s">
        <v>362</v>
      </c>
      <c r="D11" s="251">
        <f>D10-現況シート!E6</f>
        <v>-988</v>
      </c>
      <c r="E11" s="251"/>
      <c r="F11" s="20" t="s">
        <v>232</v>
      </c>
      <c r="H11" s="34"/>
    </row>
    <row r="12" spans="1:9" ht="22.5" customHeight="1" x14ac:dyDescent="0.15">
      <c r="A12" s="248" t="s">
        <v>397</v>
      </c>
      <c r="B12" s="248"/>
      <c r="C12" s="206">
        <f>管理者用グラフシート!I10-管理者用グラフシート!C6</f>
        <v>-674</v>
      </c>
      <c r="D12" s="207" t="s">
        <v>398</v>
      </c>
      <c r="F12" s="261">
        <f>管理者用グラフシート!J10-管理者用グラフシート!D6</f>
        <v>-314</v>
      </c>
      <c r="G12" s="261"/>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8" t="s">
        <v>363</v>
      </c>
      <c r="D35" s="258"/>
      <c r="F35" s="36"/>
      <c r="G35" s="36"/>
      <c r="H35" s="257"/>
      <c r="I35" s="252"/>
    </row>
    <row r="36" spans="1:9" ht="22.5" customHeight="1" x14ac:dyDescent="0.15">
      <c r="A36" s="20" t="s">
        <v>237</v>
      </c>
      <c r="F36" s="250">
        <f>管理者用グラフシート!I20</f>
        <v>1126</v>
      </c>
      <c r="G36" s="250"/>
      <c r="H36" s="82" t="s">
        <v>233</v>
      </c>
      <c r="I36" s="34"/>
    </row>
    <row r="37" spans="1:9" ht="22.5" customHeight="1" x14ac:dyDescent="0.15">
      <c r="A37" s="20" t="s">
        <v>234</v>
      </c>
      <c r="F37" s="250">
        <f>管理者用グラフシート!I28</f>
        <v>636</v>
      </c>
      <c r="G37" s="250"/>
      <c r="H37" s="109" t="s">
        <v>235</v>
      </c>
      <c r="I37" s="86"/>
    </row>
    <row r="38" spans="1:9" ht="22.5" customHeight="1" x14ac:dyDescent="0.15">
      <c r="D38" s="252"/>
      <c r="E38" s="252"/>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1">
        <f>F36-現況シート!F36</f>
        <v>-338</v>
      </c>
      <c r="G40" s="251"/>
      <c r="H40" s="35" t="s">
        <v>60</v>
      </c>
    </row>
    <row r="41" spans="1:9" ht="22.5" customHeight="1" x14ac:dyDescent="0.15">
      <c r="A41" s="20" t="s">
        <v>69</v>
      </c>
      <c r="C41" s="199">
        <f>管理者入力シート!B5</f>
        <v>2020</v>
      </c>
      <c r="D41" s="20" t="s">
        <v>374</v>
      </c>
      <c r="F41" s="251">
        <f>F37-現況シート!F37</f>
        <v>-175</v>
      </c>
      <c r="G41" s="251"/>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8" t="s">
        <v>363</v>
      </c>
      <c r="D69" s="258"/>
      <c r="F69" s="34"/>
      <c r="G69" s="37"/>
      <c r="H69" s="67"/>
      <c r="I69" s="71"/>
    </row>
    <row r="70" spans="1:9" ht="22.5" customHeight="1" x14ac:dyDescent="0.15">
      <c r="A70" s="20" t="s">
        <v>238</v>
      </c>
      <c r="C70" s="250">
        <f>管理者用グラフシート!I38</f>
        <v>7317</v>
      </c>
      <c r="D70" s="250"/>
      <c r="E70" s="82" t="s">
        <v>239</v>
      </c>
      <c r="F70" s="34"/>
      <c r="G70" s="255">
        <f>管理者用グラフシート!I56</f>
        <v>0.35</v>
      </c>
      <c r="H70" s="255"/>
      <c r="I70" s="110" t="s">
        <v>240</v>
      </c>
    </row>
    <row r="71" spans="1:9" ht="22.5" customHeight="1" x14ac:dyDescent="0.15">
      <c r="A71" s="20" t="s">
        <v>241</v>
      </c>
      <c r="C71" s="250">
        <f>管理者用グラフシート!I46</f>
        <v>4510</v>
      </c>
      <c r="D71" s="250"/>
      <c r="E71" s="20" t="s">
        <v>239</v>
      </c>
      <c r="G71" s="259">
        <f>管理者用グラフシート!I64</f>
        <v>0.21</v>
      </c>
      <c r="H71" s="252"/>
      <c r="I71" s="20" t="s">
        <v>242</v>
      </c>
    </row>
    <row r="72" spans="1:9" ht="27.75" customHeight="1" x14ac:dyDescent="0.15">
      <c r="C72" s="81"/>
      <c r="D72" s="81"/>
      <c r="G72" s="260" t="s">
        <v>236</v>
      </c>
      <c r="H72" s="260"/>
      <c r="I72" s="260"/>
    </row>
    <row r="73" spans="1:9" ht="22.5" customHeight="1" x14ac:dyDescent="0.15">
      <c r="A73" s="249">
        <f>管理者入力シート!B5</f>
        <v>2020</v>
      </c>
      <c r="B73" s="249"/>
      <c r="C73" s="20" t="s">
        <v>228</v>
      </c>
      <c r="D73" s="34"/>
      <c r="E73" s="34"/>
      <c r="F73" s="35"/>
    </row>
    <row r="74" spans="1:9" ht="22.5" customHeight="1" x14ac:dyDescent="0.15">
      <c r="B74" s="20" t="s">
        <v>81</v>
      </c>
      <c r="D74" s="37"/>
      <c r="E74" s="250"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6ポイント上昇</v>
      </c>
      <c r="F74" s="250"/>
      <c r="G74" s="250"/>
      <c r="H74" s="20" t="s">
        <v>82</v>
      </c>
    </row>
    <row r="75" spans="1:9" ht="22.5" customHeight="1" x14ac:dyDescent="0.15">
      <c r="B75" s="20" t="s">
        <v>83</v>
      </c>
      <c r="D75" s="37"/>
      <c r="E75" s="256"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7ポイント上昇</v>
      </c>
      <c r="F75" s="256"/>
      <c r="G75" s="256"/>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252</v>
      </c>
      <c r="H103" s="208" t="s">
        <v>60</v>
      </c>
    </row>
    <row r="104" spans="1:8" ht="22.5" customHeight="1" x14ac:dyDescent="0.15">
      <c r="A104" s="35" t="s">
        <v>387</v>
      </c>
      <c r="C104" s="206">
        <f>SUM(管理者用グラフシート!H99:I100)-SUM(管理者用グラフシート!B95:C96)</f>
        <v>-700</v>
      </c>
      <c r="D104" s="20" t="s">
        <v>423</v>
      </c>
      <c r="E104" s="34"/>
      <c r="G104" s="206">
        <f>SUM(管理者用グラフシート!H101:I102)-SUM(管理者用グラフシート!B97:C98)</f>
        <v>-743</v>
      </c>
      <c r="H104" s="20" t="s">
        <v>60</v>
      </c>
    </row>
    <row r="105" spans="1:8" ht="22.5" customHeight="1" x14ac:dyDescent="0.15">
      <c r="A105" s="20" t="s">
        <v>389</v>
      </c>
      <c r="C105" s="206">
        <f>SUM(管理者用グラフシート!H103:I104)-SUM(管理者用グラフシート!B99:C100)</f>
        <v>1004</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189</v>
      </c>
      <c r="H137" s="208" t="s">
        <v>60</v>
      </c>
    </row>
    <row r="138" spans="1:8" ht="22.5" customHeight="1" x14ac:dyDescent="0.15">
      <c r="A138" s="35" t="s">
        <v>387</v>
      </c>
      <c r="C138" s="206">
        <f>SUM(管理者用グラフシート!H147:I148)-SUM(管理者用グラフシート!B95:C96)</f>
        <v>-407</v>
      </c>
      <c r="D138" s="20" t="s">
        <v>423</v>
      </c>
      <c r="E138" s="34"/>
      <c r="G138" s="206">
        <f>SUM(管理者用グラフシート!H149:I150)-SUM(管理者用グラフシート!B97:C98)</f>
        <v>-1465</v>
      </c>
      <c r="H138" s="20" t="s">
        <v>60</v>
      </c>
    </row>
    <row r="139" spans="1:8" ht="22.5" customHeight="1" x14ac:dyDescent="0.15">
      <c r="A139" s="20" t="s">
        <v>389</v>
      </c>
      <c r="C139" s="206">
        <f>SUM(管理者用グラフシート!H151:I152)-SUM(管理者用グラフシート!B99:C100)</f>
        <v>244</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3" t="str">
        <f>管理者入力シート!B4</f>
        <v>住吉地域自治区</v>
      </c>
      <c r="B2" s="273"/>
      <c r="C2" s="273"/>
      <c r="D2" s="253" t="s">
        <v>249</v>
      </c>
      <c r="E2" s="253"/>
      <c r="F2" s="253"/>
      <c r="G2" s="253"/>
      <c r="H2" s="253"/>
      <c r="I2" s="253"/>
    </row>
    <row r="3" spans="1:9" ht="31.5" customHeight="1" x14ac:dyDescent="0.15">
      <c r="A3" s="273"/>
      <c r="B3" s="273"/>
      <c r="C3" s="273"/>
      <c r="D3" s="253"/>
      <c r="E3" s="253"/>
      <c r="F3" s="253"/>
      <c r="G3" s="253"/>
      <c r="H3" s="253"/>
      <c r="I3" s="253"/>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7" t="s">
        <v>254</v>
      </c>
      <c r="B15" s="277"/>
      <c r="C15" s="277"/>
      <c r="D15" s="278" t="s">
        <v>258</v>
      </c>
      <c r="E15" s="279"/>
      <c r="F15" s="274" t="s">
        <v>257</v>
      </c>
      <c r="G15" s="275"/>
      <c r="H15" s="276"/>
    </row>
    <row r="16" spans="1:9" ht="17.25" customHeight="1" x14ac:dyDescent="0.15">
      <c r="A16" s="124" t="s">
        <v>254</v>
      </c>
      <c r="B16" s="124" t="s">
        <v>21</v>
      </c>
      <c r="C16" s="124" t="s">
        <v>22</v>
      </c>
      <c r="D16" s="278"/>
      <c r="E16" s="279"/>
      <c r="F16" s="126"/>
      <c r="G16" s="127" t="s">
        <v>21</v>
      </c>
      <c r="H16" s="128" t="s">
        <v>22</v>
      </c>
    </row>
    <row r="17" spans="1:9" ht="18.75" customHeight="1" x14ac:dyDescent="0.15">
      <c r="A17" s="125" t="s">
        <v>0</v>
      </c>
      <c r="B17" s="116">
        <v>1</v>
      </c>
      <c r="C17" s="116">
        <v>1</v>
      </c>
      <c r="D17" s="278"/>
      <c r="E17" s="279"/>
      <c r="F17" s="119" t="s">
        <v>0</v>
      </c>
      <c r="G17" s="116">
        <v>1</v>
      </c>
      <c r="H17" s="118">
        <v>1</v>
      </c>
    </row>
    <row r="18" spans="1:9" ht="18.75" customHeight="1" x14ac:dyDescent="0.15">
      <c r="A18" s="125" t="s">
        <v>1</v>
      </c>
      <c r="B18" s="116"/>
      <c r="C18" s="116"/>
      <c r="D18" s="278"/>
      <c r="E18" s="279"/>
      <c r="F18" s="119" t="s">
        <v>1</v>
      </c>
      <c r="G18" s="116"/>
      <c r="H18" s="118"/>
    </row>
    <row r="19" spans="1:9" ht="18.75" customHeight="1" x14ac:dyDescent="0.15">
      <c r="A19" s="125" t="s">
        <v>2</v>
      </c>
      <c r="B19" s="73">
        <v>1</v>
      </c>
      <c r="C19" s="73">
        <v>1</v>
      </c>
      <c r="D19" s="278"/>
      <c r="E19" s="27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63">
        <f>管理者入力シート!B5</f>
        <v>2020</v>
      </c>
      <c r="C31" s="263"/>
      <c r="D31" s="83" t="s">
        <v>412</v>
      </c>
      <c r="E31" s="131"/>
      <c r="F31" s="131"/>
      <c r="G31" s="131"/>
      <c r="H31" s="131"/>
      <c r="I31" s="237"/>
    </row>
    <row r="32" spans="1:9" s="131" customFormat="1" ht="17.25" customHeight="1" x14ac:dyDescent="0.15">
      <c r="A32" s="159" t="s">
        <v>409</v>
      </c>
      <c r="B32" s="262">
        <f>管理者入力シート!B5</f>
        <v>2020</v>
      </c>
      <c r="C32" s="262"/>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0" t="s">
        <v>257</v>
      </c>
      <c r="C35" s="271"/>
      <c r="D35" s="272"/>
      <c r="F35" s="162"/>
      <c r="G35" s="240"/>
      <c r="H35" s="264" t="s">
        <v>410</v>
      </c>
      <c r="I35" s="265"/>
    </row>
    <row r="36" spans="1:9" s="132" customFormat="1" ht="17.25" customHeight="1" x14ac:dyDescent="0.15">
      <c r="A36" s="160"/>
      <c r="B36" s="215"/>
      <c r="C36" s="127" t="s">
        <v>21</v>
      </c>
      <c r="D36" s="216" t="s">
        <v>22</v>
      </c>
      <c r="F36" s="162"/>
      <c r="G36" s="238">
        <f>管理者入力シート!B8</f>
        <v>2025</v>
      </c>
      <c r="H36" s="266">
        <f>管理者用人口入力シート!EU22</f>
        <v>22672</v>
      </c>
      <c r="I36" s="267"/>
    </row>
    <row r="37" spans="1:9" s="130" customFormat="1" ht="17.25" customHeight="1" x14ac:dyDescent="0.15">
      <c r="A37" s="165"/>
      <c r="B37" s="226" t="s">
        <v>5</v>
      </c>
      <c r="C37" s="227">
        <f>管理者用人口入力シート!DX1</f>
        <v>94</v>
      </c>
      <c r="D37" s="228">
        <f>C37</f>
        <v>94</v>
      </c>
      <c r="F37" s="162"/>
      <c r="G37" s="238">
        <f>管理者入力シート!B9</f>
        <v>2030</v>
      </c>
      <c r="H37" s="266">
        <f>管理者用人口入力シート!EU25</f>
        <v>23242</v>
      </c>
      <c r="I37" s="267"/>
    </row>
    <row r="38" spans="1:9" s="132" customFormat="1" ht="17.25" customHeight="1" x14ac:dyDescent="0.15">
      <c r="A38" s="160"/>
      <c r="B38" s="226" t="s">
        <v>6</v>
      </c>
      <c r="C38" s="227">
        <f>C37</f>
        <v>94</v>
      </c>
      <c r="D38" s="228">
        <f>C37</f>
        <v>94</v>
      </c>
      <c r="F38" s="162"/>
      <c r="G38" s="238">
        <f>管理者入力シート!B10</f>
        <v>2035</v>
      </c>
      <c r="H38" s="266">
        <f>管理者用人口入力シート!EU28</f>
        <v>23729</v>
      </c>
      <c r="I38" s="267"/>
    </row>
    <row r="39" spans="1:9" ht="17.25" customHeight="1" thickBot="1" x14ac:dyDescent="0.2">
      <c r="A39" s="166"/>
      <c r="B39" s="229" t="s">
        <v>7</v>
      </c>
      <c r="C39" s="230">
        <f>C37</f>
        <v>94</v>
      </c>
      <c r="D39" s="231">
        <f>C37</f>
        <v>94</v>
      </c>
      <c r="F39" s="162"/>
      <c r="G39" s="239">
        <f>管理者入力シート!B11</f>
        <v>2040</v>
      </c>
      <c r="H39" s="268">
        <f>管理者用人口入力シート!EU31</f>
        <v>24185</v>
      </c>
      <c r="I39" s="269"/>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0">
        <f>管理者用グラフシート!U8</f>
        <v>21892</v>
      </c>
      <c r="E43" s="250"/>
      <c r="F43" s="20" t="s">
        <v>231</v>
      </c>
      <c r="H43" s="34"/>
      <c r="I43" s="34"/>
    </row>
    <row r="44" spans="1:9" ht="22.5" customHeight="1" x14ac:dyDescent="0.15">
      <c r="A44" s="249">
        <f>管理者入力シート!B11</f>
        <v>2040</v>
      </c>
      <c r="B44" s="249"/>
      <c r="C44" s="20" t="s">
        <v>417</v>
      </c>
      <c r="D44" s="250">
        <f>管理者用グラフシート!U10</f>
        <v>21084</v>
      </c>
      <c r="E44" s="250"/>
      <c r="F44" s="20" t="s">
        <v>231</v>
      </c>
      <c r="H44" s="34"/>
      <c r="I44" s="34"/>
    </row>
    <row r="45" spans="1:9" ht="22.5" customHeight="1" x14ac:dyDescent="0.15">
      <c r="A45" s="20" t="s">
        <v>121</v>
      </c>
    </row>
    <row r="46" spans="1:9" ht="22.5" customHeight="1" x14ac:dyDescent="0.15">
      <c r="A46" s="249">
        <f>管理者入力シート!B9</f>
        <v>2030</v>
      </c>
      <c r="B46" s="249"/>
      <c r="C46" s="20" t="s">
        <v>418</v>
      </c>
      <c r="D46" s="257">
        <f>D43-将来予測シート①!D6</f>
        <v>20</v>
      </c>
      <c r="E46" s="257"/>
      <c r="F46" s="20" t="s">
        <v>122</v>
      </c>
    </row>
    <row r="47" spans="1:9" ht="22.5" customHeight="1" x14ac:dyDescent="0.15">
      <c r="A47" s="249">
        <f>管理者入力シート!B11</f>
        <v>2040</v>
      </c>
      <c r="B47" s="249"/>
      <c r="C47" s="20" t="s">
        <v>418</v>
      </c>
      <c r="D47" s="257">
        <f>D44-将来予測シート①!D10</f>
        <v>46</v>
      </c>
      <c r="E47" s="257"/>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0">
        <f>管理者用グラフシート!Q20</f>
        <v>1133</v>
      </c>
      <c r="G78" s="250"/>
      <c r="H78" s="82" t="s">
        <v>264</v>
      </c>
      <c r="I78" s="34"/>
    </row>
    <row r="79" spans="1:9" ht="22.5" customHeight="1" x14ac:dyDescent="0.15">
      <c r="A79" s="20" t="s">
        <v>234</v>
      </c>
      <c r="F79" s="250">
        <f>管理者用グラフシート!Q28</f>
        <v>640</v>
      </c>
      <c r="G79" s="250"/>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1">
        <f>F78-将来予測シート①!F36</f>
        <v>7</v>
      </c>
      <c r="D82" s="251"/>
      <c r="E82" s="20" t="s">
        <v>60</v>
      </c>
    </row>
    <row r="83" spans="1:13" ht="22.5" customHeight="1" x14ac:dyDescent="0.15">
      <c r="A83" s="20" t="s">
        <v>69</v>
      </c>
      <c r="C83" s="251">
        <f>F79-将来予測シート①!F37</f>
        <v>4</v>
      </c>
      <c r="D83" s="251"/>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0">
        <f>管理者用グラフシート!Q38</f>
        <v>7317</v>
      </c>
      <c r="D112" s="250"/>
      <c r="E112" s="20" t="s">
        <v>270</v>
      </c>
      <c r="F112" s="36"/>
      <c r="G112" s="111">
        <f>管理者用グラフシート!Q56</f>
        <v>0.35</v>
      </c>
      <c r="H112" s="82" t="s">
        <v>271</v>
      </c>
      <c r="I112" s="34"/>
    </row>
    <row r="113" spans="1:9" ht="22.5" customHeight="1" x14ac:dyDescent="0.15">
      <c r="A113" s="20" t="s">
        <v>268</v>
      </c>
      <c r="C113" s="250">
        <f>管理者用グラフシート!Q46</f>
        <v>4510</v>
      </c>
      <c r="D113" s="250"/>
      <c r="E113" s="82" t="s">
        <v>270</v>
      </c>
      <c r="F113" s="34"/>
      <c r="G113" s="111">
        <f>管理者用グラフシート!Q64</f>
        <v>0.21</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0"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0"/>
      <c r="G116" s="250"/>
      <c r="H116" s="20" t="s">
        <v>82</v>
      </c>
    </row>
    <row r="117" spans="1:9" ht="22.5" customHeight="1" x14ac:dyDescent="0.15">
      <c r="B117" s="20" t="s">
        <v>83</v>
      </c>
      <c r="D117" s="37"/>
      <c r="E117" s="256"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6"/>
      <c r="G117" s="256"/>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0"/>
      <c r="F178" s="260"/>
      <c r="G178" s="260"/>
      <c r="H178" s="260"/>
      <c r="I178" s="260"/>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474</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4" t="str">
        <f>管理者入力シート!B4</f>
        <v>住吉地域自治区</v>
      </c>
      <c r="B1" s="254"/>
      <c r="C1" s="254"/>
      <c r="D1" s="253" t="s">
        <v>278</v>
      </c>
      <c r="E1" s="253"/>
      <c r="F1" s="253"/>
      <c r="G1" s="253"/>
      <c r="H1" s="253"/>
    </row>
    <row r="2" spans="1:8" ht="22.5" customHeight="1" x14ac:dyDescent="0.15">
      <c r="A2" s="254"/>
      <c r="B2" s="254"/>
      <c r="C2" s="254"/>
      <c r="D2" s="253"/>
      <c r="E2" s="253"/>
      <c r="F2" s="253"/>
      <c r="G2" s="253"/>
      <c r="H2" s="253"/>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0.41133203080105735</v>
      </c>
      <c r="G7" s="280"/>
      <c r="H7" s="20" t="s">
        <v>282</v>
      </c>
    </row>
    <row r="8" spans="1:8" ht="22.5" customHeight="1" x14ac:dyDescent="0.15">
      <c r="A8" s="34" t="str">
        <f>管理者入力シート!B3</f>
        <v>宮崎市</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低くなっています。</v>
      </c>
    </row>
    <row r="10" spans="1:8" ht="22.5" customHeight="1" x14ac:dyDescent="0.15">
      <c r="A10" s="20" t="s">
        <v>415</v>
      </c>
    </row>
    <row r="11" spans="1:8" ht="22.5" customHeight="1" x14ac:dyDescent="0.15">
      <c r="A11" s="252" t="str">
        <f>地域特徴シート!A1</f>
        <v>住吉地域自治区</v>
      </c>
      <c r="B11" s="252"/>
      <c r="C11" s="257">
        <f>管理者用地域特徴シート!D5</f>
        <v>8701</v>
      </c>
      <c r="D11" s="252"/>
      <c r="E11" s="20" t="s">
        <v>413</v>
      </c>
    </row>
    <row r="12" spans="1:8" ht="22.5" customHeight="1" x14ac:dyDescent="0.15">
      <c r="A12" s="252" t="str">
        <f>A8</f>
        <v>宮崎市</v>
      </c>
      <c r="B12" s="252"/>
      <c r="C12" s="257">
        <f>管理者用地域特徴シート!D4</f>
        <v>183782</v>
      </c>
      <c r="D12" s="252"/>
      <c r="E12" s="20" t="s">
        <v>413</v>
      </c>
    </row>
    <row r="13" spans="1:8" ht="22.5" customHeight="1" x14ac:dyDescent="0.15">
      <c r="A13" s="252" t="s">
        <v>414</v>
      </c>
      <c r="B13" s="252"/>
      <c r="C13" s="257">
        <f>管理者用地域特徴シート!D3</f>
        <v>468575.00000000006</v>
      </c>
      <c r="D13" s="252"/>
      <c r="E13" s="20" t="s">
        <v>416</v>
      </c>
    </row>
    <row r="23" spans="1:8" ht="22.5" customHeight="1" x14ac:dyDescent="0.15">
      <c r="A23" s="20" t="s">
        <v>285</v>
      </c>
      <c r="G23" s="241">
        <f>管理者用地域特徴シート!J5</f>
        <v>0.11423974255832663</v>
      </c>
      <c r="H23" s="35" t="s">
        <v>286</v>
      </c>
    </row>
    <row r="24" spans="1:8" ht="22.5" customHeight="1" x14ac:dyDescent="0.15">
      <c r="A24" s="34" t="str">
        <f>管理者入力シート!B3</f>
        <v>宮崎市</v>
      </c>
      <c r="B24" s="20" t="s">
        <v>293</v>
      </c>
      <c r="D24" s="152"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低くなっています。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0.37616345062429057</v>
      </c>
      <c r="G37" s="280"/>
      <c r="H37" s="20" t="s">
        <v>286</v>
      </c>
    </row>
    <row r="38" spans="1:8" ht="22.5" customHeight="1" x14ac:dyDescent="0.15">
      <c r="A38" s="34" t="str">
        <f>管理者入力シート!B3</f>
        <v>宮崎市</v>
      </c>
      <c r="B38" s="20" t="s">
        <v>293</v>
      </c>
      <c r="D38" s="152" t="str">
        <f>IF(管理者用地域特徴シート!P5-管理者用地域特徴シート!P4&gt;0.01,"高く、",IF(管理者用地域特徴シート!P5-管理者用地域特徴シート!P4&lt;-0.01,"低く、","同程度で、"))</f>
        <v>同程度で、</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高くなっています。</v>
      </c>
    </row>
    <row r="40" spans="1:8" ht="22.5" customHeight="1" x14ac:dyDescent="0.15">
      <c r="D40" s="34"/>
    </row>
    <row r="41" spans="1:8" ht="22.5" customHeight="1" x14ac:dyDescent="0.15">
      <c r="A41" s="34" t="str">
        <f>管理者入力シート!B3</f>
        <v>宮崎市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平均と同程度の地域です。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新しい居住者の割合が高い地域です。</v>
      </c>
    </row>
    <row r="69" spans="1:8" s="113" customFormat="1" ht="40.5" customHeight="1" x14ac:dyDescent="0.15">
      <c r="A69" s="108" t="s">
        <v>207</v>
      </c>
    </row>
    <row r="70" spans="1:8" ht="22.5" customHeight="1" x14ac:dyDescent="0.15">
      <c r="A70" s="20" t="s">
        <v>289</v>
      </c>
      <c r="B70" s="34"/>
      <c r="E70" s="282">
        <f>管理者用地域特徴シート!W5</f>
        <v>5002</v>
      </c>
      <c r="F70" s="282"/>
      <c r="G70" s="20" t="s">
        <v>290</v>
      </c>
    </row>
    <row r="71" spans="1:8" ht="22.5" customHeight="1" x14ac:dyDescent="0.15">
      <c r="A71" s="20" t="s">
        <v>295</v>
      </c>
      <c r="F71" s="280">
        <f>管理者用地域特徴シート!AK5</f>
        <v>0.17473010795681726</v>
      </c>
      <c r="G71" s="280"/>
      <c r="H71" s="20" t="s">
        <v>271</v>
      </c>
    </row>
    <row r="72" spans="1:8" ht="22.5" customHeight="1" x14ac:dyDescent="0.15">
      <c r="A72" s="20" t="s">
        <v>296</v>
      </c>
      <c r="F72" s="280">
        <f>管理者用地域特徴シート!AL5</f>
        <v>0.15573770491803279</v>
      </c>
      <c r="G72" s="280"/>
      <c r="H72" s="20" t="s">
        <v>297</v>
      </c>
    </row>
    <row r="73" spans="1:8" ht="22.5" customHeight="1" x14ac:dyDescent="0.15">
      <c r="A73" s="20" t="s">
        <v>298</v>
      </c>
      <c r="E73" s="280"/>
      <c r="F73" s="280"/>
    </row>
    <row r="74" spans="1:8" ht="22.5" customHeight="1" x14ac:dyDescent="0.15">
      <c r="A74" s="20" t="s">
        <v>339</v>
      </c>
      <c r="C74" s="177">
        <f>管理者用地域特徴シート!AN5</f>
        <v>0.4658136745301879</v>
      </c>
      <c r="D74" s="156" t="s">
        <v>299</v>
      </c>
      <c r="E74" s="177">
        <f>管理者用地域特徴シート!AO5</f>
        <v>0.53418632546981204</v>
      </c>
      <c r="F74" s="20" t="s">
        <v>291</v>
      </c>
    </row>
    <row r="76" spans="1:8" ht="22.5" customHeight="1" x14ac:dyDescent="0.15">
      <c r="A76" s="34" t="str">
        <f>管理者入力シート!B3</f>
        <v>宮崎市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平均と同程度の地域です。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0.89029363784665583</v>
      </c>
      <c r="D139" s="280"/>
      <c r="E139" s="20" t="s">
        <v>316</v>
      </c>
      <c r="F139" s="157" t="str">
        <f>管理者入力シート!B3</f>
        <v>宮崎市</v>
      </c>
      <c r="G139" s="158" t="s">
        <v>317</v>
      </c>
    </row>
    <row r="140" spans="1:8" ht="22.5" customHeight="1" x14ac:dyDescent="0.15">
      <c r="A140" s="20" t="s">
        <v>318</v>
      </c>
    </row>
    <row r="141" spans="1:8" ht="22.5" customHeight="1" x14ac:dyDescent="0.15">
      <c r="C141" s="280">
        <f>管理者用地域特徴シート!CN5</f>
        <v>0.92885375494071143</v>
      </c>
      <c r="D141" s="280"/>
      <c r="E141" s="20" t="s">
        <v>316</v>
      </c>
      <c r="F141" s="157" t="str">
        <f>管理者入力シート!B3</f>
        <v>宮崎市</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471</v>
      </c>
    </row>
    <row r="3" spans="1:3" x14ac:dyDescent="0.15">
      <c r="A3" s="203" t="s">
        <v>292</v>
      </c>
      <c r="B3" s="32" t="str">
        <f>管理者用地域特徴シート!B5</f>
        <v>宮崎市</v>
      </c>
    </row>
    <row r="4" spans="1:3" x14ac:dyDescent="0.15">
      <c r="A4" s="153" t="s">
        <v>24</v>
      </c>
      <c r="B4" s="154" t="str">
        <f>管理者用地域特徴シート!C5</f>
        <v>住吉地域自治区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1</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45201_16</v>
      </c>
      <c r="B1" s="24" t="s">
        <v>44</v>
      </c>
      <c r="C1" s="25"/>
      <c r="D1" s="293" t="s">
        <v>0</v>
      </c>
      <c r="E1" s="293" t="s">
        <v>1</v>
      </c>
      <c r="F1" s="293" t="s">
        <v>2</v>
      </c>
      <c r="G1" s="293" t="s">
        <v>3</v>
      </c>
      <c r="H1" s="293" t="s">
        <v>4</v>
      </c>
      <c r="I1" s="293" t="s">
        <v>5</v>
      </c>
      <c r="J1" s="293" t="s">
        <v>6</v>
      </c>
      <c r="K1" s="293" t="s">
        <v>7</v>
      </c>
      <c r="L1" s="293" t="s">
        <v>8</v>
      </c>
      <c r="M1" s="293" t="s">
        <v>9</v>
      </c>
      <c r="N1" s="293" t="s">
        <v>10</v>
      </c>
      <c r="O1" s="293" t="s">
        <v>11</v>
      </c>
      <c r="P1" s="293" t="s">
        <v>12</v>
      </c>
      <c r="Q1" s="293" t="s">
        <v>13</v>
      </c>
      <c r="R1" s="293" t="s">
        <v>14</v>
      </c>
      <c r="S1" s="293" t="s">
        <v>15</v>
      </c>
      <c r="T1" s="293" t="s">
        <v>16</v>
      </c>
      <c r="U1" s="293" t="s">
        <v>17</v>
      </c>
      <c r="V1" s="293" t="s">
        <v>18</v>
      </c>
      <c r="W1" s="293" t="s">
        <v>19</v>
      </c>
      <c r="X1" s="293" t="s">
        <v>20</v>
      </c>
      <c r="Y1" s="293" t="s">
        <v>23</v>
      </c>
      <c r="Z1" s="294" t="s">
        <v>50</v>
      </c>
      <c r="AA1" s="294" t="s">
        <v>51</v>
      </c>
      <c r="AB1" s="297" t="s">
        <v>79</v>
      </c>
      <c r="AC1" s="297" t="s">
        <v>80</v>
      </c>
      <c r="AD1" s="294" t="s">
        <v>48</v>
      </c>
      <c r="AE1" s="294" t="s">
        <v>49</v>
      </c>
      <c r="AF1" s="294" t="s">
        <v>97</v>
      </c>
      <c r="AH1" s="7"/>
      <c r="AI1" s="42" t="s">
        <v>25</v>
      </c>
      <c r="AJ1" s="40" t="s">
        <v>90</v>
      </c>
      <c r="AK1" s="41"/>
      <c r="AL1" s="296" t="s">
        <v>89</v>
      </c>
      <c r="AM1" s="295" t="s">
        <v>27</v>
      </c>
      <c r="AN1" s="295" t="s">
        <v>28</v>
      </c>
      <c r="AO1" s="295" t="s">
        <v>26</v>
      </c>
      <c r="AP1" s="295" t="s">
        <v>29</v>
      </c>
      <c r="AQ1" s="295" t="s">
        <v>30</v>
      </c>
      <c r="AR1" s="295" t="s">
        <v>31</v>
      </c>
      <c r="AS1" s="295" t="s">
        <v>32</v>
      </c>
      <c r="AT1" s="295" t="s">
        <v>33</v>
      </c>
      <c r="AU1" s="295" t="s">
        <v>34</v>
      </c>
      <c r="AV1" s="295" t="s">
        <v>35</v>
      </c>
      <c r="AW1" s="295" t="s">
        <v>36</v>
      </c>
      <c r="AX1" s="295" t="s">
        <v>37</v>
      </c>
      <c r="AY1" s="295" t="s">
        <v>38</v>
      </c>
      <c r="AZ1" s="295" t="s">
        <v>39</v>
      </c>
      <c r="BA1" s="295" t="s">
        <v>40</v>
      </c>
      <c r="BB1" s="295" t="s">
        <v>45</v>
      </c>
      <c r="BC1" s="295" t="s">
        <v>41</v>
      </c>
      <c r="BD1" s="295" t="s">
        <v>42</v>
      </c>
      <c r="BE1" s="295" t="s">
        <v>46</v>
      </c>
      <c r="BF1" s="295"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300" t="s">
        <v>50</v>
      </c>
      <c r="CH1" s="300" t="s">
        <v>51</v>
      </c>
      <c r="CI1" s="302" t="s">
        <v>79</v>
      </c>
      <c r="CJ1" s="302" t="s">
        <v>80</v>
      </c>
      <c r="CK1" s="300" t="s">
        <v>48</v>
      </c>
      <c r="CL1" s="300" t="s">
        <v>49</v>
      </c>
      <c r="CM1" s="300" t="s">
        <v>97</v>
      </c>
      <c r="CP1" s="74" t="s">
        <v>44</v>
      </c>
      <c r="CQ1" s="75"/>
      <c r="CR1" s="301" t="s">
        <v>0</v>
      </c>
      <c r="CS1" s="301" t="s">
        <v>1</v>
      </c>
      <c r="CT1" s="301" t="s">
        <v>2</v>
      </c>
      <c r="CU1" s="301" t="s">
        <v>3</v>
      </c>
      <c r="CV1" s="301" t="s">
        <v>4</v>
      </c>
      <c r="CW1" s="301" t="s">
        <v>5</v>
      </c>
      <c r="CX1" s="301" t="s">
        <v>6</v>
      </c>
      <c r="CY1" s="301" t="s">
        <v>7</v>
      </c>
      <c r="CZ1" s="301" t="s">
        <v>8</v>
      </c>
      <c r="DA1" s="301" t="s">
        <v>9</v>
      </c>
      <c r="DB1" s="301" t="s">
        <v>10</v>
      </c>
      <c r="DC1" s="301" t="s">
        <v>11</v>
      </c>
      <c r="DD1" s="301" t="s">
        <v>12</v>
      </c>
      <c r="DE1" s="301" t="s">
        <v>13</v>
      </c>
      <c r="DF1" s="301" t="s">
        <v>14</v>
      </c>
      <c r="DG1" s="301" t="s">
        <v>15</v>
      </c>
      <c r="DH1" s="301" t="s">
        <v>16</v>
      </c>
      <c r="DI1" s="301" t="s">
        <v>17</v>
      </c>
      <c r="DJ1" s="301" t="s">
        <v>18</v>
      </c>
      <c r="DK1" s="301" t="s">
        <v>19</v>
      </c>
      <c r="DL1" s="301" t="s">
        <v>20</v>
      </c>
      <c r="DM1" s="301" t="s">
        <v>23</v>
      </c>
      <c r="DN1" s="304" t="s">
        <v>50</v>
      </c>
      <c r="DO1" s="304" t="s">
        <v>51</v>
      </c>
      <c r="DP1" s="305" t="s">
        <v>79</v>
      </c>
      <c r="DQ1" s="305" t="s">
        <v>80</v>
      </c>
      <c r="DR1" s="304" t="s">
        <v>48</v>
      </c>
      <c r="DS1" s="304" t="s">
        <v>49</v>
      </c>
      <c r="DT1" s="304" t="s">
        <v>97</v>
      </c>
      <c r="DV1" s="288" t="s">
        <v>475</v>
      </c>
      <c r="DW1" s="289"/>
      <c r="DX1" s="284">
        <f>DW17</f>
        <v>94</v>
      </c>
      <c r="DY1" s="285"/>
      <c r="DZ1" s="290" t="s">
        <v>0</v>
      </c>
      <c r="EA1" s="290" t="s">
        <v>1</v>
      </c>
      <c r="EB1" s="290" t="s">
        <v>2</v>
      </c>
      <c r="EC1" s="290" t="s">
        <v>3</v>
      </c>
      <c r="ED1" s="290" t="s">
        <v>4</v>
      </c>
      <c r="EE1" s="290" t="s">
        <v>5</v>
      </c>
      <c r="EF1" s="290" t="s">
        <v>6</v>
      </c>
      <c r="EG1" s="290" t="s">
        <v>7</v>
      </c>
      <c r="EH1" s="290" t="s">
        <v>8</v>
      </c>
      <c r="EI1" s="290" t="s">
        <v>9</v>
      </c>
      <c r="EJ1" s="290" t="s">
        <v>10</v>
      </c>
      <c r="EK1" s="290" t="s">
        <v>11</v>
      </c>
      <c r="EL1" s="290" t="s">
        <v>12</v>
      </c>
      <c r="EM1" s="290" t="s">
        <v>13</v>
      </c>
      <c r="EN1" s="290" t="s">
        <v>14</v>
      </c>
      <c r="EO1" s="290" t="s">
        <v>15</v>
      </c>
      <c r="EP1" s="290" t="s">
        <v>16</v>
      </c>
      <c r="EQ1" s="290" t="s">
        <v>17</v>
      </c>
      <c r="ER1" s="290" t="s">
        <v>18</v>
      </c>
      <c r="ES1" s="290" t="s">
        <v>19</v>
      </c>
      <c r="ET1" s="290" t="s">
        <v>20</v>
      </c>
      <c r="EU1" s="290" t="s">
        <v>23</v>
      </c>
      <c r="EV1" s="283" t="s">
        <v>50</v>
      </c>
      <c r="EW1" s="283" t="s">
        <v>51</v>
      </c>
      <c r="EX1" s="291" t="s">
        <v>79</v>
      </c>
      <c r="EY1" s="291" t="s">
        <v>80</v>
      </c>
      <c r="EZ1" s="283" t="s">
        <v>48</v>
      </c>
      <c r="FA1" s="283" t="s">
        <v>49</v>
      </c>
      <c r="FB1" s="283" t="s">
        <v>97</v>
      </c>
    </row>
    <row r="2" spans="1:158" x14ac:dyDescent="0.15">
      <c r="A2" s="7" t="s">
        <v>56</v>
      </c>
      <c r="B2" s="26"/>
      <c r="C2" s="27"/>
      <c r="D2" s="293"/>
      <c r="E2" s="293"/>
      <c r="F2" s="293"/>
      <c r="G2" s="293"/>
      <c r="H2" s="293"/>
      <c r="I2" s="293"/>
      <c r="J2" s="293"/>
      <c r="K2" s="293"/>
      <c r="L2" s="293"/>
      <c r="M2" s="293"/>
      <c r="N2" s="293"/>
      <c r="O2" s="293"/>
      <c r="P2" s="293"/>
      <c r="Q2" s="293"/>
      <c r="R2" s="293"/>
      <c r="S2" s="293"/>
      <c r="T2" s="293"/>
      <c r="U2" s="293"/>
      <c r="V2" s="293"/>
      <c r="W2" s="293"/>
      <c r="X2" s="293"/>
      <c r="Y2" s="293"/>
      <c r="Z2" s="294"/>
      <c r="AA2" s="294"/>
      <c r="AB2" s="298"/>
      <c r="AC2" s="298"/>
      <c r="AD2" s="294"/>
      <c r="AE2" s="294"/>
      <c r="AF2" s="294"/>
      <c r="AI2" s="43"/>
      <c r="AJ2" s="44"/>
      <c r="AK2" s="45"/>
      <c r="AL2" s="296"/>
      <c r="AM2" s="295"/>
      <c r="AN2" s="295"/>
      <c r="AO2" s="295"/>
      <c r="AP2" s="295"/>
      <c r="AQ2" s="295"/>
      <c r="AR2" s="295"/>
      <c r="AS2" s="295"/>
      <c r="AT2" s="295"/>
      <c r="AU2" s="295"/>
      <c r="AV2" s="295"/>
      <c r="AW2" s="295"/>
      <c r="AX2" s="295"/>
      <c r="AY2" s="295"/>
      <c r="AZ2" s="295"/>
      <c r="BA2" s="295"/>
      <c r="BB2" s="295"/>
      <c r="BC2" s="295"/>
      <c r="BD2" s="295"/>
      <c r="BE2" s="295"/>
      <c r="BF2" s="295"/>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300"/>
      <c r="CH2" s="300"/>
      <c r="CI2" s="303"/>
      <c r="CJ2" s="303"/>
      <c r="CK2" s="300"/>
      <c r="CL2" s="300"/>
      <c r="CM2" s="300"/>
      <c r="CO2" s="7" t="s">
        <v>56</v>
      </c>
      <c r="CP2" s="76" t="s">
        <v>117</v>
      </c>
      <c r="CQ2" s="77"/>
      <c r="CR2" s="301"/>
      <c r="CS2" s="301"/>
      <c r="CT2" s="301"/>
      <c r="CU2" s="301"/>
      <c r="CV2" s="301"/>
      <c r="CW2" s="301"/>
      <c r="CX2" s="301"/>
      <c r="CY2" s="301"/>
      <c r="CZ2" s="301"/>
      <c r="DA2" s="301"/>
      <c r="DB2" s="301"/>
      <c r="DC2" s="301"/>
      <c r="DD2" s="301"/>
      <c r="DE2" s="301"/>
      <c r="DF2" s="301"/>
      <c r="DG2" s="301"/>
      <c r="DH2" s="301"/>
      <c r="DI2" s="301"/>
      <c r="DJ2" s="301"/>
      <c r="DK2" s="301"/>
      <c r="DL2" s="301"/>
      <c r="DM2" s="301"/>
      <c r="DN2" s="304"/>
      <c r="DO2" s="304"/>
      <c r="DP2" s="306"/>
      <c r="DQ2" s="306"/>
      <c r="DR2" s="304"/>
      <c r="DS2" s="304"/>
      <c r="DT2" s="304"/>
      <c r="DV2" s="288"/>
      <c r="DW2" s="289"/>
      <c r="DX2" s="286"/>
      <c r="DY2" s="287"/>
      <c r="DZ2" s="290"/>
      <c r="EA2" s="290"/>
      <c r="EB2" s="290"/>
      <c r="EC2" s="290"/>
      <c r="ED2" s="290"/>
      <c r="EE2" s="290"/>
      <c r="EF2" s="290"/>
      <c r="EG2" s="290"/>
      <c r="EH2" s="290"/>
      <c r="EI2" s="290"/>
      <c r="EJ2" s="290"/>
      <c r="EK2" s="290"/>
      <c r="EL2" s="290"/>
      <c r="EM2" s="290"/>
      <c r="EN2" s="290"/>
      <c r="EO2" s="290"/>
      <c r="EP2" s="290"/>
      <c r="EQ2" s="290"/>
      <c r="ER2" s="290"/>
      <c r="ES2" s="290"/>
      <c r="ET2" s="290"/>
      <c r="EU2" s="290"/>
      <c r="EV2" s="283"/>
      <c r="EW2" s="283"/>
      <c r="EX2" s="292"/>
      <c r="EY2" s="292"/>
      <c r="EZ2" s="283"/>
      <c r="FA2" s="283"/>
      <c r="FB2" s="283"/>
    </row>
    <row r="3" spans="1:158" x14ac:dyDescent="0.15">
      <c r="A3" s="7" t="str">
        <f>B3&amp;"_"&amp;IF(C3="男性",1,IF(C3="女性",2,IF(C3="合計",3)))</f>
        <v>2005_1</v>
      </c>
      <c r="B3" s="28">
        <v>2005</v>
      </c>
      <c r="C3" s="3" t="s">
        <v>21</v>
      </c>
      <c r="D3" s="184">
        <v>500.37736490899567</v>
      </c>
      <c r="E3" s="9">
        <v>437.30048401729556</v>
      </c>
      <c r="F3" s="9">
        <v>465.32212112459126</v>
      </c>
      <c r="G3" s="9">
        <v>748.36745391720797</v>
      </c>
      <c r="H3" s="9">
        <v>481.3018750502095</v>
      </c>
      <c r="I3" s="9">
        <v>638.45173468962025</v>
      </c>
      <c r="J3" s="9">
        <v>729.49125989627623</v>
      </c>
      <c r="K3" s="9">
        <v>545.36213323985692</v>
      </c>
      <c r="L3" s="9">
        <v>488.31417839257813</v>
      </c>
      <c r="M3" s="9">
        <v>584.37362277617206</v>
      </c>
      <c r="N3" s="9">
        <v>704.45233254181653</v>
      </c>
      <c r="O3" s="9">
        <v>776.51209007263037</v>
      </c>
      <c r="P3" s="9">
        <v>628.42181420264387</v>
      </c>
      <c r="Q3" s="9">
        <v>464.28023106780188</v>
      </c>
      <c r="R3" s="9">
        <v>408.25292576037555</v>
      </c>
      <c r="S3" s="9">
        <v>346.21939565129395</v>
      </c>
      <c r="T3" s="9">
        <v>179.10273234840921</v>
      </c>
      <c r="U3" s="9">
        <v>94.059604394759887</v>
      </c>
      <c r="V3" s="9">
        <v>47.029350135227801</v>
      </c>
      <c r="W3" s="9">
        <v>9.0061482336283571</v>
      </c>
      <c r="X3" s="9">
        <v>1.0011475786091348</v>
      </c>
      <c r="Y3" s="9">
        <f>SUM(D3:X3)</f>
        <v>9277</v>
      </c>
      <c r="Z3" s="9">
        <f>E3*3/5+F3*3/5</f>
        <v>541.57356308513204</v>
      </c>
      <c r="AA3" s="9">
        <f>F3*2/5+G3*1/5</f>
        <v>335.80233923327808</v>
      </c>
      <c r="AB3" s="9">
        <f t="shared" ref="AB3:AB20" si="0">SUM(Q3:X3)</f>
        <v>1548.9515351701059</v>
      </c>
      <c r="AC3" s="9">
        <f>SUM(S3:X3)</f>
        <v>676.41837834192825</v>
      </c>
      <c r="AD3" s="13">
        <f>AB3/Y3</f>
        <v>0.16696685729978505</v>
      </c>
      <c r="AE3" s="13">
        <f>AC3/Y3</f>
        <v>7.2913482628212595E-2</v>
      </c>
      <c r="AF3" s="9">
        <f>SUM(H3:K3)</f>
        <v>2394.6070028759627</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0.98216083447354074</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1.1653140297241926</v>
      </c>
      <c r="AO3" s="6">
        <f t="shared" si="1"/>
        <v>1.3821948081037791</v>
      </c>
      <c r="AP3" s="6">
        <f t="shared" si="1"/>
        <v>0.42716752230438593</v>
      </c>
      <c r="AQ3" s="6">
        <f t="shared" si="1"/>
        <v>1.1812817536519591</v>
      </c>
      <c r="AR3" s="6">
        <f t="shared" si="1"/>
        <v>1.0494714255492197</v>
      </c>
      <c r="AS3" s="6">
        <f t="shared" si="1"/>
        <v>1.1023511546887017</v>
      </c>
      <c r="AT3" s="6">
        <f t="shared" si="1"/>
        <v>1.0073009870526883</v>
      </c>
      <c r="AU3" s="6">
        <f t="shared" si="1"/>
        <v>0.99067289483040588</v>
      </c>
      <c r="AV3" s="6">
        <f t="shared" si="1"/>
        <v>1.0052767067305897</v>
      </c>
      <c r="AW3" s="6">
        <f t="shared" si="1"/>
        <v>1.0089612077111443</v>
      </c>
      <c r="AX3" s="6">
        <f t="shared" si="1"/>
        <v>0.97501238609558583</v>
      </c>
      <c r="AY3" s="6">
        <f t="shared" si="1"/>
        <v>0.9995580007316589</v>
      </c>
      <c r="AZ3" s="6">
        <f t="shared" si="1"/>
        <v>0.91666962189831913</v>
      </c>
      <c r="BA3" s="6">
        <f t="shared" si="1"/>
        <v>0.92897313200439502</v>
      </c>
      <c r="BB3" s="6">
        <f t="shared" si="1"/>
        <v>0.87291834191870998</v>
      </c>
      <c r="BC3" s="6">
        <f t="shared" si="1"/>
        <v>0.73925992204729607</v>
      </c>
      <c r="BD3" s="6">
        <f t="shared" si="1"/>
        <v>0.5624423636304412</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0.40528768291525241</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0.29569841759805593</v>
      </c>
      <c r="BH3" s="7" t="str">
        <f>BI3&amp;"_"&amp;IF(BJ3="男性",1,IF(BJ3="女性",2,IF(BJ3="合計",3)))</f>
        <v>2025_1</v>
      </c>
      <c r="BI3" s="28">
        <f>管理者入力シート!B8</f>
        <v>2025</v>
      </c>
      <c r="BJ3" s="3" t="s">
        <v>21</v>
      </c>
      <c r="BK3" s="9">
        <f>CM4*AK$13</f>
        <v>444.34399795748465</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482.90151789968638</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667.61132376993817</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949.2228120328748</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339.49226138123129</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368.84531247809036</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382.09773199754642</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529.57424366022587</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708.35976240848595</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742.05070401274156</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822.39183316175831</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588.2554062444259</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500.90650679523225</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596.68728517587749</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670.27054654587573</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656.64927329183308</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458.78285087397285</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249.53706356279648</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126.38966218198755</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43.278015239075998</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7.5024132756359423</v>
      </c>
      <c r="CF3" s="9">
        <f t="shared" ref="CF3:CF14" si="2">SUM(BK3:CE3)</f>
        <v>10335.150523946773</v>
      </c>
      <c r="CG3" s="9">
        <f>BL3*3/5+BM3*3/5</f>
        <v>690.30770500177459</v>
      </c>
      <c r="CH3" s="9">
        <f>BM3*2/5+BN3*1/5</f>
        <v>456.88909191455025</v>
      </c>
      <c r="CI3" s="9">
        <f t="shared" ref="CI3:CI14" si="3">SUM(BX3:CE3)</f>
        <v>2809.097110147055</v>
      </c>
      <c r="CJ3" s="9">
        <f>SUM(BZ3:CE3)</f>
        <v>1542.1392784253019</v>
      </c>
      <c r="CK3" s="13">
        <f>CI3/CF3</f>
        <v>0.27180030940413635</v>
      </c>
      <c r="CL3" s="13">
        <f>CJ3/CF3</f>
        <v>0.14921304482717798</v>
      </c>
      <c r="CM3" s="9">
        <f>SUM(BO3:BR3)</f>
        <v>1620.009549517094</v>
      </c>
      <c r="CO3" s="7" t="str">
        <f>CP3&amp;"_"&amp;IF(CQ3="男性",1,IF(CQ3="女性",2,IF(CQ3="合計",3)))</f>
        <v>2025_1</v>
      </c>
      <c r="CP3" s="28">
        <f>管理者入力シート!B8</f>
        <v>2025</v>
      </c>
      <c r="CQ3" s="3" t="s">
        <v>21</v>
      </c>
      <c r="CR3" s="9">
        <f>BK3+将来予測シート②!$G17</f>
        <v>445.34399795748465</v>
      </c>
      <c r="CS3" s="9">
        <f>BL3+将来予測シート②!$G18</f>
        <v>482.90151789968638</v>
      </c>
      <c r="CT3" s="9">
        <f>BM3+将来予測シート②!$G19</f>
        <v>668.61132376993817</v>
      </c>
      <c r="CU3" s="9">
        <f>BN3+将来予測シート②!$G20</f>
        <v>949.2228120328748</v>
      </c>
      <c r="CV3" s="9">
        <f>BO3+将来予測シート②!$G21</f>
        <v>339.49226138123129</v>
      </c>
      <c r="CW3" s="9">
        <f>BP3+将来予測シート②!$G22</f>
        <v>370.84531247809036</v>
      </c>
      <c r="CX3" s="9">
        <f>BQ3+将来予測シート②!$G23</f>
        <v>382.09773199754642</v>
      </c>
      <c r="CY3" s="9">
        <f>BR3+将来予測シート②!$G24</f>
        <v>529.57424366022587</v>
      </c>
      <c r="CZ3" s="9">
        <f>BS3+将来予測シート②!$G25</f>
        <v>708.35976240848595</v>
      </c>
      <c r="DA3" s="9">
        <f>BT3+将来予測シート②!$G26</f>
        <v>742.05070401274156</v>
      </c>
      <c r="DB3" s="9">
        <f>BU3+将来予測シート②!$G27</f>
        <v>822.39183316175831</v>
      </c>
      <c r="DC3" s="9">
        <f>BV3+将来予測シート②!$G28</f>
        <v>588.2554062444259</v>
      </c>
      <c r="DD3" s="9">
        <f>BW3+将来予測シート②!$G29</f>
        <v>500.90650679523225</v>
      </c>
      <c r="DE3" s="9">
        <f>BX3</f>
        <v>596.68728517587749</v>
      </c>
      <c r="DF3" s="9">
        <f t="shared" ref="DF3:DL3" si="4">BY3</f>
        <v>670.27054654587573</v>
      </c>
      <c r="DG3" s="9">
        <f t="shared" si="4"/>
        <v>656.64927329183308</v>
      </c>
      <c r="DH3" s="9">
        <f t="shared" si="4"/>
        <v>458.78285087397285</v>
      </c>
      <c r="DI3" s="9">
        <f t="shared" si="4"/>
        <v>249.53706356279648</v>
      </c>
      <c r="DJ3" s="9">
        <f t="shared" si="4"/>
        <v>126.38966218198755</v>
      </c>
      <c r="DK3" s="9">
        <f t="shared" si="4"/>
        <v>43.278015239075998</v>
      </c>
      <c r="DL3" s="9">
        <f t="shared" si="4"/>
        <v>7.5024132756359423</v>
      </c>
      <c r="DM3" s="9">
        <f t="shared" ref="DM3:DM4" si="5">SUM(CR3:DL3)</f>
        <v>10339.150523946773</v>
      </c>
      <c r="DN3" s="9">
        <f>CS3*3/5+CT3*3/5</f>
        <v>690.90770500177473</v>
      </c>
      <c r="DO3" s="9">
        <f>CT3*2/5+CU3*1/5</f>
        <v>457.28909191455023</v>
      </c>
      <c r="DP3" s="9">
        <f t="shared" ref="DP3:DP14" si="6">SUM(DE3:DL3)</f>
        <v>2809.097110147055</v>
      </c>
      <c r="DQ3" s="9">
        <f>SUM(DG3:DL3)</f>
        <v>1542.1392784253019</v>
      </c>
      <c r="DR3" s="13">
        <f>DP3/DM3</f>
        <v>0.27169515557790097</v>
      </c>
      <c r="DS3" s="13">
        <f>DQ3/DM3</f>
        <v>0.14915531743671914</v>
      </c>
      <c r="DT3" s="9">
        <f>SUM(CV3:CY3)</f>
        <v>1622.009549517094</v>
      </c>
      <c r="DV3" s="288"/>
      <c r="DW3" s="289"/>
      <c r="DX3" s="28">
        <f>管理者入力シート!B8</f>
        <v>2025</v>
      </c>
      <c r="DY3" s="3" t="s">
        <v>21</v>
      </c>
      <c r="DZ3" s="9">
        <f>BK$3</f>
        <v>444.34399795748465</v>
      </c>
      <c r="EA3" s="9">
        <f>BL$3</f>
        <v>482.90151789968638</v>
      </c>
      <c r="EB3" s="9">
        <f t="shared" ref="EB3:ED3" si="7">BM$3</f>
        <v>667.61132376993817</v>
      </c>
      <c r="EC3" s="9">
        <f t="shared" si="7"/>
        <v>949.2228120328748</v>
      </c>
      <c r="ED3" s="9">
        <f t="shared" si="7"/>
        <v>339.49226138123129</v>
      </c>
      <c r="EE3" s="9">
        <f>BP$3+DX1</f>
        <v>462.84531247809036</v>
      </c>
      <c r="EF3" s="9">
        <f>BQ$3+DX1</f>
        <v>476.09773199754642</v>
      </c>
      <c r="EG3" s="9">
        <f>BR$3+DX1</f>
        <v>623.57424366022587</v>
      </c>
      <c r="EH3" s="9">
        <f t="shared" ref="EH3:ET3" si="8">BS$3</f>
        <v>708.35976240848595</v>
      </c>
      <c r="EI3" s="9">
        <f t="shared" si="8"/>
        <v>742.05070401274156</v>
      </c>
      <c r="EJ3" s="9">
        <f t="shared" si="8"/>
        <v>822.39183316175831</v>
      </c>
      <c r="EK3" s="9">
        <f t="shared" si="8"/>
        <v>588.2554062444259</v>
      </c>
      <c r="EL3" s="9">
        <f t="shared" si="8"/>
        <v>500.90650679523225</v>
      </c>
      <c r="EM3" s="9">
        <f t="shared" si="8"/>
        <v>596.68728517587749</v>
      </c>
      <c r="EN3" s="9">
        <f t="shared" si="8"/>
        <v>670.27054654587573</v>
      </c>
      <c r="EO3" s="9">
        <f t="shared" si="8"/>
        <v>656.64927329183308</v>
      </c>
      <c r="EP3" s="9">
        <f t="shared" si="8"/>
        <v>458.78285087397285</v>
      </c>
      <c r="EQ3" s="9">
        <f t="shared" si="8"/>
        <v>249.53706356279648</v>
      </c>
      <c r="ER3" s="9">
        <f t="shared" si="8"/>
        <v>126.38966218198755</v>
      </c>
      <c r="ES3" s="9">
        <f t="shared" si="8"/>
        <v>43.278015239075998</v>
      </c>
      <c r="ET3" s="9">
        <f t="shared" si="8"/>
        <v>7.5024132756359423</v>
      </c>
      <c r="EU3" s="9">
        <f t="shared" ref="EU3:EU4" si="9">SUM(DZ3:ET3)</f>
        <v>10617.150523946773</v>
      </c>
      <c r="EV3" s="9">
        <f>EA3*3/5+EB3*3/5</f>
        <v>690.30770500177459</v>
      </c>
      <c r="EW3" s="9">
        <f>EB3*2/5+EC3*1/5</f>
        <v>456.88909191455025</v>
      </c>
      <c r="EX3" s="9">
        <f t="shared" ref="EX3:EX14" si="10">SUM(EM3:ET3)</f>
        <v>2809.097110147055</v>
      </c>
      <c r="EY3" s="9">
        <f>SUM(EO3:ET3)</f>
        <v>1542.1392784253019</v>
      </c>
      <c r="EZ3" s="13">
        <f>EX3/EU3</f>
        <v>0.26458107604400938</v>
      </c>
      <c r="FA3" s="13">
        <f>EY3/EU3</f>
        <v>0.14524982714967044</v>
      </c>
      <c r="FB3" s="9">
        <f>SUM(ED3:EG3)</f>
        <v>1902.009549517094</v>
      </c>
    </row>
    <row r="4" spans="1:158" x14ac:dyDescent="0.15">
      <c r="A4" s="7" t="str">
        <f t="shared" ref="A4:A14" si="11">B4&amp;"_"&amp;IF(C4="男性",1,IF(C4="女性",2,IF(C4="合計",3)))</f>
        <v>2005_2</v>
      </c>
      <c r="B4" s="29">
        <v>2005</v>
      </c>
      <c r="C4" s="4" t="s">
        <v>22</v>
      </c>
      <c r="D4" s="10">
        <v>441.3221168959563</v>
      </c>
      <c r="E4" s="10">
        <v>438.33103322333295</v>
      </c>
      <c r="F4" s="10">
        <v>462.3701974842175</v>
      </c>
      <c r="G4" s="10">
        <v>671.42820771379058</v>
      </c>
      <c r="H4" s="10">
        <v>541.42652657699591</v>
      </c>
      <c r="I4" s="10">
        <v>733.54289252721787</v>
      </c>
      <c r="J4" s="10">
        <v>772.63153490674779</v>
      </c>
      <c r="K4" s="10">
        <v>540.42264340916927</v>
      </c>
      <c r="L4" s="10">
        <v>561.4465844220731</v>
      </c>
      <c r="M4" s="10">
        <v>670.57311730143374</v>
      </c>
      <c r="N4" s="10">
        <v>811.64293687156692</v>
      </c>
      <c r="O4" s="10">
        <v>910.72689158262256</v>
      </c>
      <c r="P4" s="10">
        <v>593.49764572509844</v>
      </c>
      <c r="Q4" s="10">
        <v>530.4145315824403</v>
      </c>
      <c r="R4" s="10">
        <v>517.40726032410862</v>
      </c>
      <c r="S4" s="10">
        <v>467.37494703735712</v>
      </c>
      <c r="T4" s="10">
        <v>324.22992658884135</v>
      </c>
      <c r="U4" s="10">
        <v>198.1308105144704</v>
      </c>
      <c r="V4" s="10">
        <v>116.06413149618139</v>
      </c>
      <c r="W4" s="10">
        <v>27.015457878183643</v>
      </c>
      <c r="X4" s="10">
        <v>3.0006059381943042</v>
      </c>
      <c r="Y4" s="10">
        <f>SUM(D4:X4)</f>
        <v>10333.000000000002</v>
      </c>
      <c r="Z4" s="10">
        <f t="shared" ref="Z4:Z11" si="12">E4*3/5+F4*3/5</f>
        <v>540.42073842453033</v>
      </c>
      <c r="AA4" s="10">
        <f t="shared" ref="AA4:AA11" si="13">F4*2/5+G4*1/5</f>
        <v>319.23372053644516</v>
      </c>
      <c r="AB4" s="10">
        <f t="shared" si="0"/>
        <v>2183.637671359777</v>
      </c>
      <c r="AC4" s="10">
        <f t="shared" ref="AC4:AC11" si="14">SUM(S4:X4)</f>
        <v>1135.815879453228</v>
      </c>
      <c r="AD4" s="14">
        <f t="shared" ref="AD4:AD11" si="15">AB4/Y4</f>
        <v>0.21132659163454723</v>
      </c>
      <c r="AE4" s="14">
        <f t="shared" ref="AE4:AE11" si="16">AC4/Y4</f>
        <v>0.10992121159907363</v>
      </c>
      <c r="AF4" s="10">
        <f t="shared" ref="AF4:AF20" si="17">SUM(H4:K4)</f>
        <v>2588.023597420131</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1.0693427211032762</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1.0427643662957837</v>
      </c>
      <c r="AO4" s="193">
        <f t="shared" si="18"/>
        <v>1.190484166606691</v>
      </c>
      <c r="AP4" s="193">
        <f t="shared" si="18"/>
        <v>0.67464202512195559</v>
      </c>
      <c r="AQ4" s="193">
        <f t="shared" si="18"/>
        <v>1.0607000070356816</v>
      </c>
      <c r="AR4" s="193">
        <f t="shared" si="18"/>
        <v>1.0425171583130435</v>
      </c>
      <c r="AS4" s="193">
        <f t="shared" si="18"/>
        <v>1.0518372096720874</v>
      </c>
      <c r="AT4" s="193">
        <f t="shared" si="18"/>
        <v>0.99429841843011002</v>
      </c>
      <c r="AU4" s="193">
        <f t="shared" si="18"/>
        <v>1.035955293619389</v>
      </c>
      <c r="AV4" s="193">
        <f t="shared" si="18"/>
        <v>1.0053342355698023</v>
      </c>
      <c r="AW4" s="193">
        <f t="shared" si="18"/>
        <v>1.0241159290894741</v>
      </c>
      <c r="AX4" s="193">
        <f t="shared" si="18"/>
        <v>0.97744090118380222</v>
      </c>
      <c r="AY4" s="193">
        <f t="shared" si="18"/>
        <v>0.97379379601251825</v>
      </c>
      <c r="AZ4" s="193">
        <f t="shared" si="18"/>
        <v>0.99323010357920816</v>
      </c>
      <c r="BA4" s="193">
        <f t="shared" si="18"/>
        <v>1.0174109872305024</v>
      </c>
      <c r="BB4" s="193">
        <f t="shared" si="18"/>
        <v>0.97911719105146444</v>
      </c>
      <c r="BC4" s="193">
        <f t="shared" si="18"/>
        <v>0.90935491353877296</v>
      </c>
      <c r="BD4" s="193">
        <f t="shared" si="18"/>
        <v>0.7722549838650582</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0.55199581604850911</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0.28950696211137206</v>
      </c>
      <c r="BH4" s="7" t="str">
        <f t="shared" ref="BH4:BH20" si="19">BI4&amp;"_"&amp;IF(BJ4="男性",1,IF(BJ4="女性",2,IF(BJ4="合計",3)))</f>
        <v>2025_2</v>
      </c>
      <c r="BI4" s="29">
        <f>BI3</f>
        <v>2025</v>
      </c>
      <c r="BJ4" s="4" t="s">
        <v>22</v>
      </c>
      <c r="BK4" s="10">
        <f>CM4*AK$14</f>
        <v>411.61471593099708</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487.03979860363705</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581.77410236598212</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741.21921797291122</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432.58267712180367</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437.09166925454309</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443.09479861149902</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570.8334310543645</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700.41116387902366</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853.67364975565408</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885.19825777061942</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643.68808702456727</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597.62153418336459</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660.31200717771333</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809.15081137922471</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948.17985340036319</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583.60754022375693</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439.01488767519578</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346.96371181150977</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164.28202025607766</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34.572854820847191</v>
      </c>
      <c r="CF4" s="10">
        <f t="shared" si="2"/>
        <v>11771.926790273656</v>
      </c>
      <c r="CG4" s="10">
        <f t="shared" ref="CG4:CG14" si="20">BL4*3/5+BM4*3/5</f>
        <v>641.28834058177154</v>
      </c>
      <c r="CH4" s="10">
        <f t="shared" ref="CH4:CH14" si="21">BM4*2/5+BN4*1/5</f>
        <v>380.95348454097507</v>
      </c>
      <c r="CI4" s="10">
        <f t="shared" si="3"/>
        <v>3986.0836867446887</v>
      </c>
      <c r="CJ4" s="10">
        <f t="shared" ref="CJ4:CJ14" si="22">SUM(BZ4:CE4)</f>
        <v>2516.6208681877506</v>
      </c>
      <c r="CK4" s="14">
        <f t="shared" ref="CK4:CK14" si="23">CI4/CF4</f>
        <v>0.33860928272490781</v>
      </c>
      <c r="CL4" s="14">
        <f t="shared" ref="CL4:CL14" si="24">CJ4/CF4</f>
        <v>0.21378155955464009</v>
      </c>
      <c r="CM4" s="10">
        <f t="shared" ref="CM4:CM14" si="25">SUM(BO4:BR4)</f>
        <v>1883.6025760422103</v>
      </c>
      <c r="CO4" s="7" t="str">
        <f t="shared" ref="CO4:CO20" si="26">CP4&amp;"_"&amp;IF(CQ4="男性",1,IF(CQ4="女性",2,IF(CQ4="合計",3)))</f>
        <v>2025_2</v>
      </c>
      <c r="CP4" s="29">
        <f>CP3</f>
        <v>2025</v>
      </c>
      <c r="CQ4" s="4" t="s">
        <v>22</v>
      </c>
      <c r="CR4" s="10">
        <f>BK4+将来予測シート②!$H17</f>
        <v>412.61471593099708</v>
      </c>
      <c r="CS4" s="10">
        <f>BL4+将来予測シート②!$H18</f>
        <v>487.03979860363705</v>
      </c>
      <c r="CT4" s="10">
        <f>BM4+将来予測シート②!$H19</f>
        <v>582.77410236598212</v>
      </c>
      <c r="CU4" s="10">
        <f>BN4+将来予測シート②!$H20</f>
        <v>741.21921797291122</v>
      </c>
      <c r="CV4" s="10">
        <f>BO4+将来予測シート②!$H21</f>
        <v>432.58267712180367</v>
      </c>
      <c r="CW4" s="10">
        <f>BP4+将来予測シート②!$H22</f>
        <v>439.09166925454309</v>
      </c>
      <c r="CX4" s="10">
        <f>BQ4+将来予測シート②!$H23</f>
        <v>443.09479861149902</v>
      </c>
      <c r="CY4" s="10">
        <f>BR4+将来予測シート②!$H24</f>
        <v>570.8334310543645</v>
      </c>
      <c r="CZ4" s="10">
        <f>BS4+将来予測シート②!$H25</f>
        <v>701.41116387902366</v>
      </c>
      <c r="DA4" s="10">
        <f>BT4+将来予測シート②!$H26</f>
        <v>853.67364975565408</v>
      </c>
      <c r="DB4" s="10">
        <f>BU4+将来予測シート②!$H27</f>
        <v>885.19825777061942</v>
      </c>
      <c r="DC4" s="10">
        <f>BV4+将来予測シート②!$H28</f>
        <v>643.68808702456727</v>
      </c>
      <c r="DD4" s="10">
        <f>BW4+将来予測シート②!$H29</f>
        <v>597.62153418336459</v>
      </c>
      <c r="DE4" s="10">
        <f>BX4</f>
        <v>660.31200717771333</v>
      </c>
      <c r="DF4" s="10">
        <f t="shared" ref="DF4" si="27">BY4</f>
        <v>809.15081137922471</v>
      </c>
      <c r="DG4" s="10">
        <f t="shared" ref="DG4" si="28">BZ4</f>
        <v>948.17985340036319</v>
      </c>
      <c r="DH4" s="10">
        <f t="shared" ref="DH4" si="29">CA4</f>
        <v>583.60754022375693</v>
      </c>
      <c r="DI4" s="10">
        <f t="shared" ref="DI4" si="30">CB4</f>
        <v>439.01488767519578</v>
      </c>
      <c r="DJ4" s="10">
        <f t="shared" ref="DJ4" si="31">CC4</f>
        <v>346.96371181150977</v>
      </c>
      <c r="DK4" s="10">
        <f t="shared" ref="DK4" si="32">CD4</f>
        <v>164.28202025607766</v>
      </c>
      <c r="DL4" s="10">
        <f t="shared" ref="DL4" si="33">CE4</f>
        <v>34.572854820847191</v>
      </c>
      <c r="DM4" s="10">
        <f t="shared" si="5"/>
        <v>11776.926790273656</v>
      </c>
      <c r="DN4" s="10">
        <f t="shared" ref="DN4:DN14" si="34">CS4*3/5+CT4*3/5</f>
        <v>641.88834058177144</v>
      </c>
      <c r="DO4" s="10">
        <f t="shared" ref="DO4:DO14" si="35">CT4*2/5+CU4*1/5</f>
        <v>381.3534845409751</v>
      </c>
      <c r="DP4" s="10">
        <f t="shared" si="6"/>
        <v>3986.0836867446887</v>
      </c>
      <c r="DQ4" s="10">
        <f t="shared" ref="DQ4:DQ14" si="36">SUM(DG4:DL4)</f>
        <v>2516.6208681877506</v>
      </c>
      <c r="DR4" s="14">
        <f t="shared" ref="DR4:DR14" si="37">DP4/DM4</f>
        <v>0.338465523113952</v>
      </c>
      <c r="DS4" s="14">
        <f t="shared" ref="DS4:DS14" si="38">DQ4/DM4</f>
        <v>0.21369079667423771</v>
      </c>
      <c r="DT4" s="10">
        <f>SUM(CV4:CY4)</f>
        <v>1885.6025760422103</v>
      </c>
      <c r="DV4" s="288"/>
      <c r="DW4" s="289"/>
      <c r="DX4" s="29">
        <f>DX3</f>
        <v>2025</v>
      </c>
      <c r="DY4" s="4" t="s">
        <v>22</v>
      </c>
      <c r="DZ4" s="10">
        <f>BK$4</f>
        <v>411.61471593099708</v>
      </c>
      <c r="EA4" s="10">
        <f>BL$4</f>
        <v>487.03979860363705</v>
      </c>
      <c r="EB4" s="10">
        <f t="shared" ref="EB4:ED4" si="39">BM$4</f>
        <v>581.77410236598212</v>
      </c>
      <c r="EC4" s="10">
        <f t="shared" si="39"/>
        <v>741.21921797291122</v>
      </c>
      <c r="ED4" s="10">
        <f t="shared" si="39"/>
        <v>432.58267712180367</v>
      </c>
      <c r="EE4" s="10">
        <f>BP$4+DX1</f>
        <v>531.09166925454315</v>
      </c>
      <c r="EF4" s="10">
        <f>BQ$4+DX1</f>
        <v>537.09479861149907</v>
      </c>
      <c r="EG4" s="10">
        <f>BR$4+DX1</f>
        <v>664.8334310543645</v>
      </c>
      <c r="EH4" s="10">
        <f t="shared" ref="EH4:ET4" si="40">BS$4</f>
        <v>700.41116387902366</v>
      </c>
      <c r="EI4" s="10">
        <f t="shared" si="40"/>
        <v>853.67364975565408</v>
      </c>
      <c r="EJ4" s="10">
        <f t="shared" si="40"/>
        <v>885.19825777061942</v>
      </c>
      <c r="EK4" s="10">
        <f t="shared" si="40"/>
        <v>643.68808702456727</v>
      </c>
      <c r="EL4" s="10">
        <f t="shared" si="40"/>
        <v>597.62153418336459</v>
      </c>
      <c r="EM4" s="10">
        <f t="shared" si="40"/>
        <v>660.31200717771333</v>
      </c>
      <c r="EN4" s="10">
        <f t="shared" si="40"/>
        <v>809.15081137922471</v>
      </c>
      <c r="EO4" s="10">
        <f t="shared" si="40"/>
        <v>948.17985340036319</v>
      </c>
      <c r="EP4" s="10">
        <f t="shared" si="40"/>
        <v>583.60754022375693</v>
      </c>
      <c r="EQ4" s="10">
        <f t="shared" si="40"/>
        <v>439.01488767519578</v>
      </c>
      <c r="ER4" s="10">
        <f t="shared" si="40"/>
        <v>346.96371181150977</v>
      </c>
      <c r="ES4" s="10">
        <f t="shared" si="40"/>
        <v>164.28202025607766</v>
      </c>
      <c r="ET4" s="10">
        <f t="shared" si="40"/>
        <v>34.572854820847191</v>
      </c>
      <c r="EU4" s="10">
        <f t="shared" si="9"/>
        <v>12053.926790273656</v>
      </c>
      <c r="EV4" s="10">
        <f t="shared" ref="EV4:EV14" si="41">EA4*3/5+EB4*3/5</f>
        <v>641.28834058177154</v>
      </c>
      <c r="EW4" s="10">
        <f t="shared" ref="EW4:EW14" si="42">EB4*2/5+EC4*1/5</f>
        <v>380.95348454097507</v>
      </c>
      <c r="EX4" s="10">
        <f t="shared" si="10"/>
        <v>3986.0836867446887</v>
      </c>
      <c r="EY4" s="10">
        <f t="shared" ref="EY4:EY14" si="43">SUM(EO4:ET4)</f>
        <v>2516.6208681877506</v>
      </c>
      <c r="EZ4" s="14">
        <f t="shared" ref="EZ4:EZ14" si="44">EX4/EU4</f>
        <v>0.33068756398629118</v>
      </c>
      <c r="FA4" s="14">
        <f t="shared" ref="FA4:FA14" si="45">EY4/EU4</f>
        <v>0.20878016865163129</v>
      </c>
      <c r="FB4" s="10">
        <f>SUM(ED4:EG4)</f>
        <v>2165.6025760422103</v>
      </c>
    </row>
    <row r="5" spans="1:158" x14ac:dyDescent="0.15">
      <c r="A5" s="7" t="str">
        <f t="shared" si="11"/>
        <v>2005_3</v>
      </c>
      <c r="B5" s="30">
        <v>2005</v>
      </c>
      <c r="C5" s="5" t="s">
        <v>23</v>
      </c>
      <c r="D5" s="11">
        <v>941.69948180495203</v>
      </c>
      <c r="E5" s="11">
        <v>875.63151724062845</v>
      </c>
      <c r="F5" s="11">
        <v>927.69231860880882</v>
      </c>
      <c r="G5" s="11">
        <v>1419.7956616309984</v>
      </c>
      <c r="H5" s="11">
        <v>1022.7284016272054</v>
      </c>
      <c r="I5" s="11">
        <v>1371.9946272168381</v>
      </c>
      <c r="J5" s="11">
        <v>1502.1227948030241</v>
      </c>
      <c r="K5" s="11">
        <v>1085.7847766490263</v>
      </c>
      <c r="L5" s="11">
        <v>1049.7607628146511</v>
      </c>
      <c r="M5" s="11">
        <v>1254.9467400776057</v>
      </c>
      <c r="N5" s="11">
        <v>1516.0952694133834</v>
      </c>
      <c r="O5" s="11">
        <v>1687.2389816552529</v>
      </c>
      <c r="P5" s="11">
        <v>1221.9194599277423</v>
      </c>
      <c r="Q5" s="11">
        <v>994.69476265024218</v>
      </c>
      <c r="R5" s="11">
        <v>925.66018608448417</v>
      </c>
      <c r="S5" s="11">
        <v>813.59434268865107</v>
      </c>
      <c r="T5" s="11">
        <v>503.33265893725059</v>
      </c>
      <c r="U5" s="11">
        <v>292.1904149092303</v>
      </c>
      <c r="V5" s="11">
        <v>163.09348163140919</v>
      </c>
      <c r="W5" s="11">
        <v>36.021606111811998</v>
      </c>
      <c r="X5" s="11">
        <v>4.001753516803439</v>
      </c>
      <c r="Y5" s="11">
        <f>SUM(D5:X5)</f>
        <v>19610</v>
      </c>
      <c r="Z5" s="11">
        <f t="shared" si="12"/>
        <v>1081.9943015096624</v>
      </c>
      <c r="AA5" s="11">
        <f t="shared" si="13"/>
        <v>655.03605976972312</v>
      </c>
      <c r="AB5" s="11">
        <f t="shared" si="0"/>
        <v>3732.5892065298831</v>
      </c>
      <c r="AC5" s="11">
        <f t="shared" si="14"/>
        <v>1812.2342577951565</v>
      </c>
      <c r="AD5" s="15">
        <f t="shared" si="15"/>
        <v>0.19034111201070286</v>
      </c>
      <c r="AE5" s="15">
        <f t="shared" si="16"/>
        <v>9.2413781631573502E-2</v>
      </c>
      <c r="AF5" s="11">
        <f t="shared" si="17"/>
        <v>4982.6306002960937</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0.99176707861893287</v>
      </c>
      <c r="AN5" s="6">
        <f t="shared" si="1"/>
        <v>1.032165792334057</v>
      </c>
      <c r="AO5" s="6">
        <f t="shared" si="1"/>
        <v>1.4422418812502242</v>
      </c>
      <c r="AP5" s="6">
        <f t="shared" si="1"/>
        <v>0.47209570689139235</v>
      </c>
      <c r="AQ5" s="6">
        <f t="shared" si="1"/>
        <v>1.3990616709895636</v>
      </c>
      <c r="AR5" s="6">
        <f t="shared" si="1"/>
        <v>1.097683180182693</v>
      </c>
      <c r="AS5" s="6">
        <f t="shared" si="1"/>
        <v>1.0107889843339126</v>
      </c>
      <c r="AT5" s="6">
        <f t="shared" si="1"/>
        <v>1.0284161304577188</v>
      </c>
      <c r="AU5" s="6">
        <f t="shared" si="1"/>
        <v>0.99459927780325419</v>
      </c>
      <c r="AV5" s="6">
        <f t="shared" si="1"/>
        <v>0.97569516167011638</v>
      </c>
      <c r="AW5" s="6">
        <f t="shared" si="1"/>
        <v>1.0499937453460062</v>
      </c>
      <c r="AX5" s="6">
        <f t="shared" si="1"/>
        <v>1.0338300753388123</v>
      </c>
      <c r="AY5" s="6">
        <f t="shared" si="1"/>
        <v>0.97995408507514925</v>
      </c>
      <c r="AZ5" s="6">
        <f t="shared" si="1"/>
        <v>0.91370846815153073</v>
      </c>
      <c r="BA5" s="6">
        <f t="shared" si="1"/>
        <v>0.87590530459164018</v>
      </c>
      <c r="BB5" s="6">
        <f t="shared" si="1"/>
        <v>0.83463567960832441</v>
      </c>
      <c r="BC5" s="6">
        <f t="shared" si="1"/>
        <v>0.66160460097986395</v>
      </c>
      <c r="BD5" s="6">
        <f t="shared" si="1"/>
        <v>0.49920596463800432</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0.30553212403971408</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0.29522574619098241</v>
      </c>
      <c r="BH5" s="7" t="str">
        <f t="shared" si="19"/>
        <v>2025_3</v>
      </c>
      <c r="BI5" s="30">
        <f>BI4</f>
        <v>2025</v>
      </c>
      <c r="BJ5" s="5" t="s">
        <v>23</v>
      </c>
      <c r="BK5" s="16">
        <f>BK3+BK4</f>
        <v>855.95871388848173</v>
      </c>
      <c r="BL5" s="16">
        <f t="shared" ref="BL5:CE5" si="46">BL3+BL4</f>
        <v>969.94131650332338</v>
      </c>
      <c r="BM5" s="16">
        <f t="shared" si="46"/>
        <v>1249.3854261359202</v>
      </c>
      <c r="BN5" s="16">
        <f t="shared" si="46"/>
        <v>1690.4420300057859</v>
      </c>
      <c r="BO5" s="16">
        <f t="shared" si="46"/>
        <v>772.0749385030349</v>
      </c>
      <c r="BP5" s="16">
        <f t="shared" si="46"/>
        <v>805.93698173263351</v>
      </c>
      <c r="BQ5" s="16">
        <f t="shared" si="46"/>
        <v>825.19253060904543</v>
      </c>
      <c r="BR5" s="16">
        <f t="shared" si="46"/>
        <v>1100.4076747145905</v>
      </c>
      <c r="BS5" s="16">
        <f t="shared" si="46"/>
        <v>1408.7709262875096</v>
      </c>
      <c r="BT5" s="16">
        <f t="shared" si="46"/>
        <v>1595.7243537683958</v>
      </c>
      <c r="BU5" s="16">
        <f t="shared" si="46"/>
        <v>1707.5900909323777</v>
      </c>
      <c r="BV5" s="16">
        <f t="shared" si="46"/>
        <v>1231.9434932689933</v>
      </c>
      <c r="BW5" s="16">
        <f t="shared" si="46"/>
        <v>1098.5280409785969</v>
      </c>
      <c r="BX5" s="16">
        <f t="shared" si="46"/>
        <v>1256.9992923535908</v>
      </c>
      <c r="BY5" s="16">
        <f t="shared" si="46"/>
        <v>1479.4213579251004</v>
      </c>
      <c r="BZ5" s="16">
        <f t="shared" si="46"/>
        <v>1604.8291266921963</v>
      </c>
      <c r="CA5" s="16">
        <f t="shared" si="46"/>
        <v>1042.3903910977297</v>
      </c>
      <c r="CB5" s="16">
        <f t="shared" si="46"/>
        <v>688.55195123799228</v>
      </c>
      <c r="CC5" s="16">
        <f t="shared" si="46"/>
        <v>473.35337399349731</v>
      </c>
      <c r="CD5" s="16">
        <f t="shared" si="46"/>
        <v>207.56003549515367</v>
      </c>
      <c r="CE5" s="16">
        <f t="shared" si="46"/>
        <v>42.075268096483136</v>
      </c>
      <c r="CF5" s="11">
        <f>SUM(BK5:CE5)</f>
        <v>22107.077314220427</v>
      </c>
      <c r="CG5" s="11">
        <f t="shared" si="20"/>
        <v>1331.5960455835461</v>
      </c>
      <c r="CH5" s="11">
        <f t="shared" si="21"/>
        <v>837.8425764555252</v>
      </c>
      <c r="CI5" s="11">
        <f t="shared" si="3"/>
        <v>6795.1807968917437</v>
      </c>
      <c r="CJ5" s="11">
        <f t="shared" si="22"/>
        <v>4058.7601466130527</v>
      </c>
      <c r="CK5" s="15">
        <f t="shared" si="23"/>
        <v>0.3073758100316919</v>
      </c>
      <c r="CL5" s="15">
        <f t="shared" si="24"/>
        <v>0.18359551056539916</v>
      </c>
      <c r="CM5" s="11">
        <f t="shared" si="25"/>
        <v>3503.6121255593043</v>
      </c>
      <c r="CO5" s="7" t="str">
        <f t="shared" si="26"/>
        <v>2025_3</v>
      </c>
      <c r="CP5" s="30">
        <f>CP4</f>
        <v>2025</v>
      </c>
      <c r="CQ5" s="5" t="s">
        <v>23</v>
      </c>
      <c r="CR5" s="16">
        <f>CR3+CR4</f>
        <v>857.95871388848173</v>
      </c>
      <c r="CS5" s="16">
        <f t="shared" ref="CS5" si="47">CS3+CS4</f>
        <v>969.94131650332338</v>
      </c>
      <c r="CT5" s="16">
        <f t="shared" ref="CT5" si="48">CT3+CT4</f>
        <v>1251.3854261359202</v>
      </c>
      <c r="CU5" s="16">
        <f t="shared" ref="CU5" si="49">CU3+CU4</f>
        <v>1690.4420300057859</v>
      </c>
      <c r="CV5" s="16">
        <f t="shared" ref="CV5" si="50">CV3+CV4</f>
        <v>772.0749385030349</v>
      </c>
      <c r="CW5" s="16">
        <f t="shared" ref="CW5" si="51">CW3+CW4</f>
        <v>809.93698173263351</v>
      </c>
      <c r="CX5" s="16">
        <f t="shared" ref="CX5" si="52">CX3+CX4</f>
        <v>825.19253060904543</v>
      </c>
      <c r="CY5" s="16">
        <f t="shared" ref="CY5" si="53">CY3+CY4</f>
        <v>1100.4076747145905</v>
      </c>
      <c r="CZ5" s="16">
        <f t="shared" ref="CZ5" si="54">CZ3+CZ4</f>
        <v>1409.7709262875096</v>
      </c>
      <c r="DA5" s="16">
        <f t="shared" ref="DA5" si="55">DA3+DA4</f>
        <v>1595.7243537683958</v>
      </c>
      <c r="DB5" s="16">
        <f t="shared" ref="DB5" si="56">DB3+DB4</f>
        <v>1707.5900909323777</v>
      </c>
      <c r="DC5" s="16">
        <f t="shared" ref="DC5" si="57">DC3+DC4</f>
        <v>1231.9434932689933</v>
      </c>
      <c r="DD5" s="16">
        <f t="shared" ref="DD5" si="58">DD3+DD4</f>
        <v>1098.5280409785969</v>
      </c>
      <c r="DE5" s="16">
        <f t="shared" ref="DE5" si="59">DE3+DE4</f>
        <v>1256.9992923535908</v>
      </c>
      <c r="DF5" s="16">
        <f t="shared" ref="DF5" si="60">DF3+DF4</f>
        <v>1479.4213579251004</v>
      </c>
      <c r="DG5" s="16">
        <f t="shared" ref="DG5" si="61">DG3+DG4</f>
        <v>1604.8291266921963</v>
      </c>
      <c r="DH5" s="16">
        <f t="shared" ref="DH5" si="62">DH3+DH4</f>
        <v>1042.3903910977297</v>
      </c>
      <c r="DI5" s="16">
        <f t="shared" ref="DI5" si="63">DI3+DI4</f>
        <v>688.55195123799228</v>
      </c>
      <c r="DJ5" s="16">
        <f t="shared" ref="DJ5" si="64">DJ3+DJ4</f>
        <v>473.35337399349731</v>
      </c>
      <c r="DK5" s="16">
        <f t="shared" ref="DK5" si="65">DK3+DK4</f>
        <v>207.56003549515367</v>
      </c>
      <c r="DL5" s="16">
        <f t="shared" ref="DL5" si="66">DL3+DL4</f>
        <v>42.075268096483136</v>
      </c>
      <c r="DM5" s="11">
        <f>SUM(CR5:DL5)</f>
        <v>22116.077314220427</v>
      </c>
      <c r="DN5" s="11">
        <f t="shared" si="34"/>
        <v>1332.7960455835459</v>
      </c>
      <c r="DO5" s="11">
        <f t="shared" si="35"/>
        <v>838.64257645552527</v>
      </c>
      <c r="DP5" s="11">
        <f t="shared" si="6"/>
        <v>6795.1807968917437</v>
      </c>
      <c r="DQ5" s="11">
        <f t="shared" si="36"/>
        <v>4058.7601466130527</v>
      </c>
      <c r="DR5" s="15">
        <f t="shared" si="37"/>
        <v>0.30725072535908104</v>
      </c>
      <c r="DS5" s="15">
        <f t="shared" si="38"/>
        <v>0.18352079751517728</v>
      </c>
      <c r="DT5" s="11">
        <f>SUM(CV5:CY5)</f>
        <v>3507.6121255593043</v>
      </c>
      <c r="DV5" s="288"/>
      <c r="DW5" s="289"/>
      <c r="DX5" s="30">
        <f>DX4</f>
        <v>2025</v>
      </c>
      <c r="DY5" s="5" t="s">
        <v>23</v>
      </c>
      <c r="DZ5" s="16">
        <f>DZ3+DZ4</f>
        <v>855.95871388848173</v>
      </c>
      <c r="EA5" s="16">
        <f t="shared" ref="EA5:ET5" si="67">EA3+EA4</f>
        <v>969.94131650332338</v>
      </c>
      <c r="EB5" s="16">
        <f t="shared" si="67"/>
        <v>1249.3854261359202</v>
      </c>
      <c r="EC5" s="16">
        <f t="shared" si="67"/>
        <v>1690.4420300057859</v>
      </c>
      <c r="ED5" s="16">
        <f t="shared" si="67"/>
        <v>772.0749385030349</v>
      </c>
      <c r="EE5" s="16">
        <f t="shared" si="67"/>
        <v>993.93698173263351</v>
      </c>
      <c r="EF5" s="16">
        <f t="shared" si="67"/>
        <v>1013.1925306090454</v>
      </c>
      <c r="EG5" s="16">
        <f t="shared" si="67"/>
        <v>1288.4076747145905</v>
      </c>
      <c r="EH5" s="16">
        <f t="shared" si="67"/>
        <v>1408.7709262875096</v>
      </c>
      <c r="EI5" s="16">
        <f t="shared" si="67"/>
        <v>1595.7243537683958</v>
      </c>
      <c r="EJ5" s="16">
        <f t="shared" si="67"/>
        <v>1707.5900909323777</v>
      </c>
      <c r="EK5" s="16">
        <f t="shared" si="67"/>
        <v>1231.9434932689933</v>
      </c>
      <c r="EL5" s="16">
        <f t="shared" si="67"/>
        <v>1098.5280409785969</v>
      </c>
      <c r="EM5" s="16">
        <f t="shared" si="67"/>
        <v>1256.9992923535908</v>
      </c>
      <c r="EN5" s="16">
        <f t="shared" si="67"/>
        <v>1479.4213579251004</v>
      </c>
      <c r="EO5" s="16">
        <f t="shared" si="67"/>
        <v>1604.8291266921963</v>
      </c>
      <c r="EP5" s="16">
        <f t="shared" si="67"/>
        <v>1042.3903910977297</v>
      </c>
      <c r="EQ5" s="16">
        <f t="shared" si="67"/>
        <v>688.55195123799228</v>
      </c>
      <c r="ER5" s="16">
        <f t="shared" si="67"/>
        <v>473.35337399349731</v>
      </c>
      <c r="ES5" s="16">
        <f t="shared" si="67"/>
        <v>207.56003549515367</v>
      </c>
      <c r="ET5" s="16">
        <f t="shared" si="67"/>
        <v>42.075268096483136</v>
      </c>
      <c r="EU5" s="11">
        <f>SUM(DZ5:ET5)</f>
        <v>22671.077314220427</v>
      </c>
      <c r="EV5" s="11">
        <f t="shared" si="41"/>
        <v>1331.5960455835461</v>
      </c>
      <c r="EW5" s="11">
        <f t="shared" si="42"/>
        <v>837.8425764555252</v>
      </c>
      <c r="EX5" s="11">
        <f t="shared" si="10"/>
        <v>6795.1807968917437</v>
      </c>
      <c r="EY5" s="11">
        <f t="shared" si="43"/>
        <v>4058.7601466130527</v>
      </c>
      <c r="EZ5" s="15">
        <f t="shared" si="44"/>
        <v>0.29972906460115456</v>
      </c>
      <c r="FA5" s="15">
        <f t="shared" si="45"/>
        <v>0.1790281110314593</v>
      </c>
      <c r="FB5" s="11">
        <f>SUM(ED5:EG5)</f>
        <v>4067.6121255593043</v>
      </c>
    </row>
    <row r="6" spans="1:158" x14ac:dyDescent="0.15">
      <c r="A6" s="7" t="str">
        <f t="shared" si="11"/>
        <v>2010_1</v>
      </c>
      <c r="B6" s="28">
        <v>2010</v>
      </c>
      <c r="C6" s="3" t="s">
        <v>21</v>
      </c>
      <c r="D6" s="9">
        <v>594.21860628361742</v>
      </c>
      <c r="E6" s="9">
        <v>557.07405773111986</v>
      </c>
      <c r="F6" s="9">
        <v>506.82081639755859</v>
      </c>
      <c r="G6" s="9">
        <v>652.86035168889589</v>
      </c>
      <c r="H6" s="9">
        <v>327.18954380852324</v>
      </c>
      <c r="I6" s="9">
        <v>581.16259349596919</v>
      </c>
      <c r="J6" s="9">
        <v>735.67083799277361</v>
      </c>
      <c r="K6" s="9">
        <v>802.96018039177147</v>
      </c>
      <c r="L6" s="9">
        <v>583.11968024142129</v>
      </c>
      <c r="M6" s="9">
        <v>521.8646986071742</v>
      </c>
      <c r="N6" s="9">
        <v>583.0985198141135</v>
      </c>
      <c r="O6" s="9">
        <v>707.58747142186371</v>
      </c>
      <c r="P6" s="9">
        <v>786.8858715631934</v>
      </c>
      <c r="Q6" s="9">
        <v>619.18831701218005</v>
      </c>
      <c r="R6" s="9">
        <v>441.47602390829985</v>
      </c>
      <c r="S6" s="9">
        <v>364.19956263387206</v>
      </c>
      <c r="T6" s="9">
        <v>286.96398110524149</v>
      </c>
      <c r="U6" s="9">
        <v>125.40325588321059</v>
      </c>
      <c r="V6" s="9">
        <v>56.185544116823522</v>
      </c>
      <c r="W6" s="9">
        <v>17.070085902377166</v>
      </c>
      <c r="X6" s="9">
        <v>0</v>
      </c>
      <c r="Y6" s="9">
        <f t="shared" ref="Y6:Y11" si="68">SUM(D6:X6)</f>
        <v>9851</v>
      </c>
      <c r="Z6" s="9">
        <f t="shared" si="12"/>
        <v>638.33692447720705</v>
      </c>
      <c r="AA6" s="9">
        <f t="shared" si="13"/>
        <v>333.30039689680257</v>
      </c>
      <c r="AB6" s="9">
        <f t="shared" si="0"/>
        <v>1910.4867705620047</v>
      </c>
      <c r="AC6" s="9">
        <f t="shared" si="14"/>
        <v>849.82242964152476</v>
      </c>
      <c r="AD6" s="13">
        <f t="shared" si="15"/>
        <v>0.19393835859933051</v>
      </c>
      <c r="AE6" s="13">
        <f t="shared" si="16"/>
        <v>8.626763066100139E-2</v>
      </c>
      <c r="AF6" s="9">
        <f t="shared" si="17"/>
        <v>2446.9831556890376</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1.0447891104145253</v>
      </c>
      <c r="AN6" s="193">
        <f t="shared" si="18"/>
        <v>1.0724257890820934</v>
      </c>
      <c r="AO6" s="193">
        <f t="shared" si="18"/>
        <v>1.240943254167806</v>
      </c>
      <c r="AP6" s="193">
        <f t="shared" si="18"/>
        <v>0.66297276927300264</v>
      </c>
      <c r="AQ6" s="193">
        <f t="shared" si="18"/>
        <v>1.1263976617835374</v>
      </c>
      <c r="AR6" s="193">
        <f t="shared" si="18"/>
        <v>0.98518491311630352</v>
      </c>
      <c r="AS6" s="193">
        <f t="shared" si="18"/>
        <v>1.0217756973746677</v>
      </c>
      <c r="AT6" s="193">
        <f t="shared" si="18"/>
        <v>0.9996887551557303</v>
      </c>
      <c r="AU6" s="193">
        <f t="shared" si="18"/>
        <v>1.00912028270511</v>
      </c>
      <c r="AV6" s="193">
        <f t="shared" si="18"/>
        <v>1.030297545087173</v>
      </c>
      <c r="AW6" s="193">
        <f t="shared" si="18"/>
        <v>1.0072488136147768</v>
      </c>
      <c r="AX6" s="193">
        <f t="shared" si="18"/>
        <v>1.0127250919795308</v>
      </c>
      <c r="AY6" s="193">
        <f t="shared" si="18"/>
        <v>0.97900605472628399</v>
      </c>
      <c r="AZ6" s="193">
        <f t="shared" si="18"/>
        <v>1.0006398610939944</v>
      </c>
      <c r="BA6" s="193">
        <f t="shared" si="18"/>
        <v>0.95324939083915405</v>
      </c>
      <c r="BB6" s="193">
        <f t="shared" si="18"/>
        <v>0.97217856696674809</v>
      </c>
      <c r="BC6" s="193">
        <f t="shared" si="18"/>
        <v>0.83215247353704869</v>
      </c>
      <c r="BD6" s="193">
        <f t="shared" si="18"/>
        <v>0.78479415268011654</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0.45386366425050473</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0.26223406066914212</v>
      </c>
      <c r="BH6" s="7" t="str">
        <f t="shared" si="19"/>
        <v>2030_1</v>
      </c>
      <c r="BI6" s="28">
        <f>管理者入力シート!B9</f>
        <v>2030</v>
      </c>
      <c r="BJ6" s="3" t="s">
        <v>21</v>
      </c>
      <c r="BK6" s="9">
        <f>CM7*$AK$13</f>
        <v>443.64447285786855</v>
      </c>
      <c r="BL6" s="9">
        <f>IF(管理者入力シート!$B$14=1,BK3*管理者用人口入力シート!AM$3,IF(管理者入力シート!$B$14=2,BK3*管理者用人口入力シート!AM$7))</f>
        <v>436.41727182723241</v>
      </c>
      <c r="BM6" s="9">
        <f>IF(管理者入力シート!$B$14=1,BL3*管理者用人口入力シート!AN$3,IF(管理者入力シート!$B$14=2,BL3*管理者用人口入力シート!AN$7))</f>
        <v>562.73191378361287</v>
      </c>
      <c r="BN6" s="9">
        <f>IF(管理者入力シート!$B$14=1,BM3*管理者用人口入力シート!AO$3,IF(管理者入力シート!$B$14=2,BM3*管理者用人口入力シート!AO$7))</f>
        <v>922.76890554609963</v>
      </c>
      <c r="BO6" s="9">
        <f>IF(管理者入力シート!$B$14=1,BN3*管理者用人口入力シート!AP$3,IF(管理者入力シート!$B$14=2,BN3*管理者用人口入力シート!AP$7))</f>
        <v>405.47715673088499</v>
      </c>
      <c r="BP6" s="9">
        <f>IF(管理者入力シート!$B$14=1,BO3*管理者用人口入力シート!AQ$3,IF(管理者入力シート!$B$14=2,BO3*管理者用人口入力シート!AQ$7))</f>
        <v>401.03601387569017</v>
      </c>
      <c r="BQ6" s="9">
        <f>IF(管理者入力シート!$B$14=1,BP3*管理者用人口入力シート!AR$3,IF(管理者入力シート!$B$14=2,BP3*管理者用人口入力シート!AR$7))</f>
        <v>387.09261589352889</v>
      </c>
      <c r="BR6" s="9">
        <f>IF(管理者入力シート!$B$14=1,BQ3*管理者用人口入力シート!AS$3,IF(管理者入力シート!$B$14=2,BQ3*管理者用人口入力シート!AS$7))</f>
        <v>421.20587607142937</v>
      </c>
      <c r="BS6" s="9">
        <f>IF(管理者入力シート!$B$14=1,BR3*管理者用人口入力シート!AT$3,IF(管理者入力シート!$B$14=2,BR3*管理者用人口入力シート!AT$7))</f>
        <v>533.44065835662639</v>
      </c>
      <c r="BT6" s="9">
        <f>IF(管理者入力シート!$B$14=1,BS3*管理者用人口入力シート!AU$3,IF(管理者入力シート!$B$14=2,BS3*管理者用人口入力シート!AU$7))</f>
        <v>701.7528164065933</v>
      </c>
      <c r="BU6" s="9">
        <f>IF(管理者入力シート!$B$14=1,BT3*管理者用人口入力シート!AV$3,IF(管理者入力シート!$B$14=2,BT3*管理者用人口入力シート!AV$7))</f>
        <v>745.96628795704441</v>
      </c>
      <c r="BV6" s="9">
        <f>IF(管理者入力シート!$B$14=1,BU3*管理者用人口入力シート!AW$3,IF(管理者入力シート!$B$14=2,BU3*管理者用人口入力シート!AW$7))</f>
        <v>829.76145719866952</v>
      </c>
      <c r="BW6" s="9">
        <f>IF(管理者入力シート!$B$14=1,BV3*管理者用人口入力シート!AX$3,IF(管理者入力シート!$B$14=2,BV3*管理者用人口入力シート!AX$7))</f>
        <v>573.5563072760059</v>
      </c>
      <c r="BX6" s="9">
        <f>IF(管理者入力シート!$B$14=1,BW3*管理者用人口入力シート!AY$3,IF(管理者入力シート!$B$14=2,BW3*管理者用人口入力シート!AY$7))</f>
        <v>500.68510648572146</v>
      </c>
      <c r="BY6" s="9">
        <f>IF(管理者入力シート!$B$14=1,BX3*管理者用人口入力シート!AZ$3,IF(管理者入力シート!$B$14=2,BX3*管理者用人口入力シート!AZ$7))</f>
        <v>546.96510809370614</v>
      </c>
      <c r="BZ6" s="9">
        <f>IF(管理者入力シート!$B$14=1,BY3*管理者用人口入力シート!BA$3,IF(管理者入力シート!$B$14=2,BY3*管理者用人口入力シート!BA$7))</f>
        <v>622.66332891501986</v>
      </c>
      <c r="CA6" s="9">
        <f>IF(管理者入力シート!$B$14=1,BZ3*管理者用人口入力シート!BB$3,IF(管理者入力シート!$B$14=2,BZ3*管理者用人口入力シート!BB$7))</f>
        <v>573.2011948640328</v>
      </c>
      <c r="CB6" s="9">
        <f>IF(管理者入力シート!$B$14=1,CA3*管理者用人口入力シート!BC$3,IF(管理者入力シート!$B$14=2,CA3*管理者用人口入力シート!BC$7))</f>
        <v>339.15977457372941</v>
      </c>
      <c r="CC6" s="9">
        <f>IF(管理者入力シート!$B$14=1,CB3*管理者用人口入力シート!BD$3,IF(管理者入力シート!$B$14=2,CB3*管理者用人口入力シート!BD$7))</f>
        <v>140.3502158436589</v>
      </c>
      <c r="CD6" s="9">
        <f>IF(管理者入力シート!$B$14=1,CC3*管理者用人口入力シート!BE$3,IF(管理者入力シート!$B$14=2,CC3*管理者用人口入力シート!BE$7))</f>
        <v>51.224173330179241</v>
      </c>
      <c r="CE6" s="9">
        <f>IF(管理者入力シート!$B$14=1,CD3*管理者用人口入力シート!BF$3,IF(管理者入力シート!$B$14=2,CD3*管理者用人口入力シート!BF$7))</f>
        <v>12.797240622979324</v>
      </c>
      <c r="CF6" s="9">
        <f t="shared" si="2"/>
        <v>10151.897896510312</v>
      </c>
      <c r="CG6" s="9">
        <f t="shared" si="20"/>
        <v>599.48951136650714</v>
      </c>
      <c r="CH6" s="9">
        <f t="shared" si="21"/>
        <v>409.64654662266508</v>
      </c>
      <c r="CI6" s="9">
        <f t="shared" si="3"/>
        <v>2787.0461427290275</v>
      </c>
      <c r="CJ6" s="9">
        <f t="shared" si="22"/>
        <v>1739.3959281495995</v>
      </c>
      <c r="CK6" s="13">
        <f t="shared" si="23"/>
        <v>0.27453449307119876</v>
      </c>
      <c r="CL6" s="13">
        <f t="shared" si="24"/>
        <v>0.17133701952888161</v>
      </c>
      <c r="CM6" s="9">
        <f t="shared" si="25"/>
        <v>1614.8116625715334</v>
      </c>
      <c r="CO6" s="7" t="str">
        <f t="shared" si="26"/>
        <v>2030_1</v>
      </c>
      <c r="CP6" s="28">
        <f>管理者入力シート!B9</f>
        <v>2030</v>
      </c>
      <c r="CQ6" s="3" t="s">
        <v>21</v>
      </c>
      <c r="CR6" s="9">
        <f>DT7*$AK$13+将来予測シート②!$G17</f>
        <v>445.60813711652401</v>
      </c>
      <c r="CS6" s="9">
        <f>IF(管理者入力シート!$B$14=1,CR3*管理者用人口入力シート!AM$3,IF(管理者入力シート!$B$14=2,CR3*管理者用人口入力シート!AM$7))+将来予測シート②!$G18</f>
        <v>437.39943266170593</v>
      </c>
      <c r="CT6" s="9">
        <f>IF(管理者入力シート!$B$14=1,CS3*管理者用人口入力シート!AN$3,IF(管理者入力シート!$B$14=2,CS3*管理者用人口入力シート!AN$7))+将来予測シート②!$G19</f>
        <v>563.73191378361287</v>
      </c>
      <c r="CU6" s="9">
        <f>IF(管理者入力シート!$B$14=1,CT3*管理者用人口入力シート!AO$3,IF(管理者入力シート!$B$14=2,CT3*管理者用人口入力シート!AO$7))+将来予測シート②!$G20</f>
        <v>924.15110035420344</v>
      </c>
      <c r="CV6" s="9">
        <f>IF(管理者入力シート!$B$14=1,CU3*管理者用人口入力シート!AP$3,IF(管理者入力シート!$B$14=2,CU3*管理者用人口入力シート!AP$7))+将来予測シート②!$G21</f>
        <v>405.47715673088499</v>
      </c>
      <c r="CW6" s="9">
        <f>IF(管理者入力シート!$B$14=1,CV3*管理者用人口入力シート!AQ$3,IF(管理者入力シート!$B$14=2,CV3*管理者用人口入力シート!AQ$7))+将来予測シート②!$G22</f>
        <v>403.03601387569017</v>
      </c>
      <c r="CX6" s="9">
        <f>IF(管理者入力シート!$B$14=1,CW3*管理者用人口入力シート!AR$3,IF(管理者入力シート!$B$14=2,CW3*管理者用人口入力シート!AR$7))+将来予測シート②!$G23</f>
        <v>389.19155874462734</v>
      </c>
      <c r="CY6" s="9">
        <f>IF(管理者入力シート!$B$14=1,CX3*管理者用人口入力シート!AS$3,IF(管理者入力シート!$B$14=2,CX3*管理者用人口入力シート!AS$7))+将来予測シート②!$G24</f>
        <v>421.20587607142937</v>
      </c>
      <c r="CZ6" s="9">
        <f>IF(管理者入力シート!$B$14=1,CY3*管理者用人口入力シート!AT$3,IF(管理者入力シート!$B$14=2,CY3*管理者用人口入力シート!AT$7))+将来予測シート②!$G25</f>
        <v>533.44065835662639</v>
      </c>
      <c r="DA6" s="9">
        <f>IF(管理者入力シート!$B$14=1,CZ3*管理者用人口入力シート!AU$3,IF(管理者入力シート!$B$14=2,CZ3*管理者用人口入力シート!AU$7))+将来予測シート②!$G26</f>
        <v>701.7528164065933</v>
      </c>
      <c r="DB6" s="9">
        <f>IF(管理者入力シート!$B$14=1,DA3*管理者用人口入力シート!AV$3,IF(管理者入力シート!$B$14=2,DA3*管理者用人口入力シート!AV$7))+将来予測シート②!$G27</f>
        <v>745.96628795704441</v>
      </c>
      <c r="DC6" s="9">
        <f>IF(管理者入力シート!$B$14=1,DB3*管理者用人口入力シート!AW$3,IF(管理者入力シート!$B$14=2,DB3*管理者用人口入力シート!AW$7))+将来予測シート②!$G28</f>
        <v>829.76145719866952</v>
      </c>
      <c r="DD6" s="9">
        <f>IF(管理者入力シート!$B$14=1,DC3*管理者用人口入力シート!AX$3,IF(管理者入力シート!$B$14=2,DC3*管理者用人口入力シート!AX$7))+将来予測シート②!$G29</f>
        <v>573.5563072760059</v>
      </c>
      <c r="DE6" s="9">
        <f>IF(管理者入力シート!$B$14=1,DD3*管理者用人口入力シート!AY$3,IF(管理者入力シート!$B$14=2,DD3*管理者用人口入力シート!AY$7))</f>
        <v>500.68510648572146</v>
      </c>
      <c r="DF6" s="9">
        <f>IF(管理者入力シート!$B$14=1,DE3*管理者用人口入力シート!AZ$3,IF(管理者入力シート!$B$14=2,DE3*管理者用人口入力シート!AZ$7))</f>
        <v>546.96510809370614</v>
      </c>
      <c r="DG6" s="9">
        <f>IF(管理者入力シート!$B$14=1,DF3*管理者用人口入力シート!BA$3,IF(管理者入力シート!$B$14=2,DF3*管理者用人口入力シート!BA$7))</f>
        <v>622.66332891501986</v>
      </c>
      <c r="DH6" s="9">
        <f>IF(管理者入力シート!$B$14=1,DG3*管理者用人口入力シート!BB$3,IF(管理者入力シート!$B$14=2,DG3*管理者用人口入力シート!BB$7))</f>
        <v>573.2011948640328</v>
      </c>
      <c r="DI6" s="9">
        <f>IF(管理者入力シート!$B$14=1,DH3*管理者用人口入力シート!BC$3,IF(管理者入力シート!$B$14=2,DH3*管理者用人口入力シート!BC$7))</f>
        <v>339.15977457372941</v>
      </c>
      <c r="DJ6" s="9">
        <f>IF(管理者入力シート!$B$14=1,DI3*管理者用人口入力シート!BD$3,IF(管理者入力シート!$B$14=2,DI3*管理者用人口入力シート!BD$7))</f>
        <v>140.3502158436589</v>
      </c>
      <c r="DK6" s="9">
        <f>IF(管理者入力シート!$B$14=1,DJ3*管理者用人口入力シート!BE$3,IF(管理者入力シート!$B$14=2,DJ3*管理者用人口入力シート!BE$7))</f>
        <v>51.224173330179241</v>
      </c>
      <c r="DL6" s="9">
        <f>IF(管理者入力シート!$B$14=1,DK3*管理者用人口入力シート!BF$3,IF(管理者入力シート!$B$14=2,DK3*管理者用人口入力シート!BF$7))</f>
        <v>12.797240622979324</v>
      </c>
      <c r="DM6" s="9">
        <f t="shared" ref="DM6:DM14" si="69">SUM(CR6:DL6)</f>
        <v>10161.324859262644</v>
      </c>
      <c r="DN6" s="9">
        <f t="shared" si="34"/>
        <v>600.67880786719115</v>
      </c>
      <c r="DO6" s="9">
        <f t="shared" si="35"/>
        <v>410.32298558428579</v>
      </c>
      <c r="DP6" s="9">
        <f t="shared" si="6"/>
        <v>2787.0461427290275</v>
      </c>
      <c r="DQ6" s="9">
        <f t="shared" si="36"/>
        <v>1739.3959281495995</v>
      </c>
      <c r="DR6" s="13">
        <f t="shared" si="37"/>
        <v>0.27427979927129986</v>
      </c>
      <c r="DS6" s="13">
        <f t="shared" si="38"/>
        <v>0.17117806508902605</v>
      </c>
      <c r="DT6" s="9">
        <f t="shared" ref="DT6:DT14" si="70">SUM(CV6:CY6)</f>
        <v>1618.910605422632</v>
      </c>
      <c r="DV6" s="7" t="s">
        <v>400</v>
      </c>
      <c r="DX6" s="28">
        <f>管理者入力シート!B9</f>
        <v>2030</v>
      </c>
      <c r="DY6" s="3" t="s">
        <v>21</v>
      </c>
      <c r="DZ6" s="9">
        <f>FB7*$AK$13</f>
        <v>556.610289890285</v>
      </c>
      <c r="EA6" s="129">
        <f>IF(管理者入力シート!$B$14=1,DZ3*管理者用人口入力シート!AM$3,IF(管理者入力シート!$B$14=2,DZ3*管理者用人口入力シート!AM$7))</f>
        <v>436.41727182723241</v>
      </c>
      <c r="EB6" s="9">
        <f>IF(管理者入力シート!$B$14=1,EA3*管理者用人口入力シート!AN$3,IF(管理者入力シート!$B$14=2,EA3*管理者用人口入力シート!AN$7))</f>
        <v>562.73191378361287</v>
      </c>
      <c r="EC6" s="9">
        <f>IF(管理者入力シート!$B$14=1,EB3*管理者用人口入力シート!AO$3,IF(管理者入力シート!$B$14=2,EB3*管理者用人口入力シート!AO$7))</f>
        <v>922.76890554609963</v>
      </c>
      <c r="ED6" s="9">
        <f>IF(管理者入力シート!$B$14=1,EC3*管理者用人口入力シート!AP$3,IF(管理者入力シート!$B$14=2,EC3*管理者用人口入力シート!AP$7))</f>
        <v>405.47715673088499</v>
      </c>
      <c r="EE6" s="9">
        <f>IF(管理者入力シート!$B$14=1,ED3*管理者用人口入力シート!AQ$3,IF(管理者入力シート!$B$14=2,ED3*管理者用人口入力シート!AQ$7))+DX1</f>
        <v>495.03601387569017</v>
      </c>
      <c r="EF6" s="9">
        <f>IF(管理者入力シート!$B$14=1,EE3*管理者用人口入力シート!AR$3,IF(管理者入力シート!$B$14=2,EE3*管理者用人口入力シート!AR$7))+DX1</f>
        <v>579.74292989515561</v>
      </c>
      <c r="EG6" s="9">
        <f>IF(管理者入力シート!$B$14=1,EF3*管理者用人口入力シート!AS$3,IF(管理者入力シート!$B$14=2,EF3*管理者用人口入力シート!AS$7))+DX1</f>
        <v>618.82688461216731</v>
      </c>
      <c r="EH6" s="9">
        <f>IF(管理者入力シート!$B$14=1,EG3*管理者用人口入力シート!AT$3,IF(管理者入力シート!$B$14=2,EG3*管理者用人口入力シート!AT$7))</f>
        <v>628.12695113957909</v>
      </c>
      <c r="EI6" s="9">
        <f>IF(管理者入力シート!$B$14=1,EH3*管理者用人口入力シート!AU$3,IF(管理者入力シート!$B$14=2,EH3*管理者用人口入力シート!AU$7))</f>
        <v>701.7528164065933</v>
      </c>
      <c r="EJ6" s="9">
        <f>IF(管理者入力シート!$B$14=1,EI3*管理者用人口入力シート!AV$3,IF(管理者入力シート!$B$14=2,EI3*管理者用人口入力シート!AV$7))</f>
        <v>745.96628795704441</v>
      </c>
      <c r="EK6" s="9">
        <f>IF(管理者入力シート!$B$14=1,EJ3*管理者用人口入力シート!AW$3,IF(管理者入力シート!$B$14=2,EJ3*管理者用人口入力シート!AW$7))</f>
        <v>829.76145719866952</v>
      </c>
      <c r="EL6" s="9">
        <f>IF(管理者入力シート!$B$14=1,EK3*管理者用人口入力シート!AX$3,IF(管理者入力シート!$B$14=2,EK3*管理者用人口入力シート!AX$7))</f>
        <v>573.5563072760059</v>
      </c>
      <c r="EM6" s="9">
        <f>IF(管理者入力シート!$B$14=1,EL3*管理者用人口入力シート!AY$3,IF(管理者入力シート!$B$14=2,EL3*管理者用人口入力シート!AY$7))</f>
        <v>500.68510648572146</v>
      </c>
      <c r="EN6" s="9">
        <f>IF(管理者入力シート!$B$14=1,EM3*管理者用人口入力シート!AZ$3,IF(管理者入力シート!$B$14=2,EM3*管理者用人口入力シート!AZ$7))</f>
        <v>546.96510809370614</v>
      </c>
      <c r="EO6" s="9">
        <f>IF(管理者入力シート!$B$14=1,EN3*管理者用人口入力シート!BA$3,IF(管理者入力シート!$B$14=2,EN3*管理者用人口入力シート!BA$7))</f>
        <v>622.66332891501986</v>
      </c>
      <c r="EP6" s="9">
        <f>IF(管理者入力シート!$B$14=1,EO3*管理者用人口入力シート!BB$3,IF(管理者入力シート!$B$14=2,EO3*管理者用人口入力シート!BB$7))</f>
        <v>573.2011948640328</v>
      </c>
      <c r="EQ6" s="9">
        <f>IF(管理者入力シート!$B$14=1,EP3*管理者用人口入力シート!BC$3,IF(管理者入力シート!$B$14=2,EP3*管理者用人口入力シート!BC$7))</f>
        <v>339.15977457372941</v>
      </c>
      <c r="ER6" s="9">
        <f>IF(管理者入力シート!$B$14=1,EQ3*管理者用人口入力シート!BD$3,IF(管理者入力シート!$B$14=2,EQ3*管理者用人口入力シート!BD$7))</f>
        <v>140.3502158436589</v>
      </c>
      <c r="ES6" s="9">
        <f>IF(管理者入力シート!$B$14=1,ER3*管理者用人口入力シート!BE$3,IF(管理者入力シート!$B$14=2,ER3*管理者用人口入力シート!BE$7))</f>
        <v>51.224173330179241</v>
      </c>
      <c r="ET6" s="9">
        <f>IF(管理者入力シート!$B$14=1,ES3*管理者用人口入力シート!BF$3,IF(管理者入力シート!$B$14=2,ES3*管理者用人口入力シート!BF$7))</f>
        <v>12.797240622979324</v>
      </c>
      <c r="EU6" s="9">
        <f t="shared" ref="EU6:EU14" si="71">SUM(DZ6:ET6)</f>
        <v>10843.821328868047</v>
      </c>
      <c r="EV6" s="9">
        <f t="shared" si="41"/>
        <v>599.48951136650714</v>
      </c>
      <c r="EW6" s="9">
        <f t="shared" si="42"/>
        <v>409.64654662266508</v>
      </c>
      <c r="EX6" s="9">
        <f t="shared" si="10"/>
        <v>2787.0461427290275</v>
      </c>
      <c r="EY6" s="9">
        <f t="shared" si="43"/>
        <v>1739.3959281495995</v>
      </c>
      <c r="EZ6" s="13">
        <f t="shared" si="44"/>
        <v>0.25701697383278066</v>
      </c>
      <c r="FA6" s="13">
        <f t="shared" si="45"/>
        <v>0.16040433306652147</v>
      </c>
      <c r="FB6" s="9">
        <f t="shared" ref="FB6:FB14" si="72">SUM(ED6:EG6)</f>
        <v>2099.0829851138978</v>
      </c>
    </row>
    <row r="7" spans="1:158" x14ac:dyDescent="0.15">
      <c r="A7" s="7" t="str">
        <f t="shared" si="11"/>
        <v>2010_2</v>
      </c>
      <c r="B7" s="29">
        <v>2010</v>
      </c>
      <c r="C7" s="4" t="s">
        <v>22</v>
      </c>
      <c r="D7" s="10">
        <v>571.48946381206054</v>
      </c>
      <c r="E7" s="10">
        <v>502.23255472605473</v>
      </c>
      <c r="F7" s="10">
        <v>492.21477266593826</v>
      </c>
      <c r="G7" s="10">
        <v>604.40100523858496</v>
      </c>
      <c r="H7" s="10">
        <v>462.15315016695627</v>
      </c>
      <c r="I7" s="10">
        <v>679.78257534503746</v>
      </c>
      <c r="J7" s="10">
        <v>811.1077384484114</v>
      </c>
      <c r="K7" s="10">
        <v>850.20617962368453</v>
      </c>
      <c r="L7" s="10">
        <v>619.54512327667908</v>
      </c>
      <c r="M7" s="10">
        <v>579.46064254843952</v>
      </c>
      <c r="N7" s="10">
        <v>688.73938507335299</v>
      </c>
      <c r="O7" s="10">
        <v>826.07794265909274</v>
      </c>
      <c r="P7" s="10">
        <v>958.42701863135176</v>
      </c>
      <c r="Q7" s="10">
        <v>585.47990794061548</v>
      </c>
      <c r="R7" s="10">
        <v>517.25490546088099</v>
      </c>
      <c r="S7" s="10">
        <v>508.21078299271392</v>
      </c>
      <c r="T7" s="10">
        <v>463.11689073186005</v>
      </c>
      <c r="U7" s="10">
        <v>275.66694023448383</v>
      </c>
      <c r="V7" s="10">
        <v>146.33773125279933</v>
      </c>
      <c r="W7" s="10">
        <v>46.083242202974006</v>
      </c>
      <c r="X7" s="10">
        <v>7.0120469680279029</v>
      </c>
      <c r="Y7" s="10">
        <f t="shared" si="68"/>
        <v>11194.999999999998</v>
      </c>
      <c r="Z7" s="10">
        <f t="shared" si="12"/>
        <v>596.66839643519575</v>
      </c>
      <c r="AA7" s="10">
        <f t="shared" si="13"/>
        <v>317.76611011409227</v>
      </c>
      <c r="AB7" s="10">
        <f t="shared" si="0"/>
        <v>2549.1624477843552</v>
      </c>
      <c r="AC7" s="10">
        <f t="shared" si="14"/>
        <v>1446.4276343828592</v>
      </c>
      <c r="AD7" s="14">
        <f t="shared" si="15"/>
        <v>0.22770544419690536</v>
      </c>
      <c r="AE7" s="14">
        <f t="shared" si="16"/>
        <v>0.12920300441115315</v>
      </c>
      <c r="AF7" s="10">
        <f t="shared" si="17"/>
        <v>2803.2496435840894</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0.98695226912944312</v>
      </c>
      <c r="AN7" s="48">
        <f t="shared" si="73"/>
        <v>1.0967211490658253</v>
      </c>
      <c r="AO7" s="48">
        <f t="shared" si="73"/>
        <v>1.4118991608092581</v>
      </c>
      <c r="AP7" s="48">
        <f t="shared" si="73"/>
        <v>0.44907009854067736</v>
      </c>
      <c r="AQ7" s="48">
        <f t="shared" si="73"/>
        <v>1.2855683661998656</v>
      </c>
      <c r="AR7" s="48">
        <f t="shared" si="73"/>
        <v>1.0733066346146061</v>
      </c>
      <c r="AS7" s="48">
        <f t="shared" si="73"/>
        <v>1.0555777583992136</v>
      </c>
      <c r="AT7" s="48">
        <f t="shared" si="73"/>
        <v>1.0178038039381492</v>
      </c>
      <c r="AU7" s="48">
        <f t="shared" si="73"/>
        <v>0.99263414495854463</v>
      </c>
      <c r="AV7" s="48">
        <f t="shared" si="73"/>
        <v>0.99037549388941615</v>
      </c>
      <c r="AW7" s="48">
        <f t="shared" si="73"/>
        <v>1.0292730237373628</v>
      </c>
      <c r="AX7" s="48">
        <f t="shared" si="73"/>
        <v>1.0039906018352336</v>
      </c>
      <c r="AY7" s="48">
        <f t="shared" si="73"/>
        <v>0.98970750531989915</v>
      </c>
      <c r="AZ7" s="48">
        <f t="shared" si="73"/>
        <v>0.91518784739842129</v>
      </c>
      <c r="BA7" s="48">
        <f t="shared" si="73"/>
        <v>0.90204905307070726</v>
      </c>
      <c r="BB7" s="48">
        <f t="shared" si="73"/>
        <v>0.853562413388672</v>
      </c>
      <c r="BC7" s="48">
        <f t="shared" si="73"/>
        <v>0.69935525003141763</v>
      </c>
      <c r="BD7" s="48">
        <f t="shared" si="73"/>
        <v>0.52988166857272345</v>
      </c>
      <c r="BE7" s="48">
        <f t="shared" si="73"/>
        <v>0.35189260664047944</v>
      </c>
      <c r="BF7" s="48">
        <f t="shared" si="73"/>
        <v>0.29546198737380547</v>
      </c>
      <c r="BH7" s="7" t="str">
        <f t="shared" si="19"/>
        <v>2030_2</v>
      </c>
      <c r="BI7" s="29">
        <f>BI6</f>
        <v>2030</v>
      </c>
      <c r="BJ7" s="4" t="s">
        <v>22</v>
      </c>
      <c r="BK7" s="10">
        <f>CM7*$AK$14</f>
        <v>410.96671612344113</v>
      </c>
      <c r="BL7" s="10">
        <f>IF(管理者入力シート!$B$14=1,BK4*管理者用人口入力シート!AM$4,IF(管理者入力シート!$B$14=2,BK4*管理者用人口入力シート!AM$8))</f>
        <v>440.15720037980446</v>
      </c>
      <c r="BM7" s="10">
        <f>IF(管理者入力シート!$B$14=1,BL4*管理者用人口入力シート!AN$4,IF(管理者入力シート!$B$14=2,BL4*管理者用人口入力シート!AN$8))</f>
        <v>507.86774695174773</v>
      </c>
      <c r="BN7" s="10">
        <f>IF(管理者入力シート!$B$14=1,BM4*管理者用人口入力シート!AO$4,IF(管理者入力シート!$B$14=2,BM4*管理者用人口入力シート!AO$8))</f>
        <v>692.59285740852192</v>
      </c>
      <c r="BO7" s="10">
        <f>IF(管理者入力シート!$B$14=1,BN4*管理者用人口入力シート!AP$4,IF(管理者入力シート!$B$14=2,BN4*管理者用人口入力シート!AP$8))</f>
        <v>500.05763427255704</v>
      </c>
      <c r="BP7" s="10">
        <f>IF(管理者入力シート!$B$14=1,BO4*管理者用人口入力シート!AQ$4,IF(管理者入力シート!$B$14=2,BO4*管理者用人口入力シート!AQ$8))</f>
        <v>458.84044866661111</v>
      </c>
      <c r="BQ7" s="10">
        <f>IF(管理者入力シート!$B$14=1,BP4*管理者用人口入力シート!AR$4,IF(管理者入力シート!$B$14=2,BP4*管理者用人口入力シート!AR$8))</f>
        <v>455.67556495355092</v>
      </c>
      <c r="BR7" s="10">
        <f>IF(管理者入力シート!$B$14=1,BQ4*管理者用人口入力シート!AS$4,IF(管理者入力シート!$B$14=2,BQ4*管理者用人口入力シート!AS$8))</f>
        <v>466.06359659173461</v>
      </c>
      <c r="BS7" s="10">
        <f>IF(管理者入力シート!$B$14=1,BR4*管理者用人口入力シート!AT$4,IF(管理者入力シート!$B$14=2,BR4*管理者用人口入力シート!AT$8))</f>
        <v>567.57877768438789</v>
      </c>
      <c r="BT7" s="10">
        <f>IF(管理者入力シート!$B$14=1,BS4*管理者用人口入力シート!AU$4,IF(管理者入力シート!$B$14=2,BS4*管理者用人口入力シート!AU$8))</f>
        <v>725.59465293059191</v>
      </c>
      <c r="BU7" s="10">
        <f>IF(管理者入力シート!$B$14=1,BT4*管理者用人口入力シート!AV$4,IF(管理者入力シート!$B$14=2,BT4*管理者用人口入力シート!AV$8))</f>
        <v>858.22734610318366</v>
      </c>
      <c r="BV7" s="10">
        <f>IF(管理者入力シート!$B$14=1,BU4*管理者用人口入力シート!AW$4,IF(管理者入力シート!$B$14=2,BU4*管理者用人口入力シート!AW$8))</f>
        <v>906.54563618514169</v>
      </c>
      <c r="BW7" s="10">
        <f>IF(管理者入力シート!$B$14=1,BV4*管理者用人口入力シート!AX$4,IF(管理者入力シート!$B$14=2,BV4*管理者用人口入力シート!AX$8))</f>
        <v>629.16706386257079</v>
      </c>
      <c r="BX7" s="10">
        <f>IF(管理者入力シート!$B$14=1,BW4*管理者用人口入力シート!AY$4,IF(管理者入力シート!$B$14=2,BW4*管理者用人口入力シート!AY$8))</f>
        <v>581.96014235124358</v>
      </c>
      <c r="BY7" s="10">
        <f>IF(管理者入力シート!$B$14=1,BX4*管理者用人口入力シート!AZ$4,IF(管理者入力シート!$B$14=2,BX4*管理者用人口入力シート!AZ$8))</f>
        <v>655.84176328371507</v>
      </c>
      <c r="BZ7" s="10">
        <f>IF(管理者入力シート!$B$14=1,BY4*管理者用人口入力シート!BA$4,IF(管理者入力シート!$B$14=2,BY4*管理者用人口入力シート!BA$8))</f>
        <v>823.23892582369899</v>
      </c>
      <c r="CA7" s="10">
        <f>IF(管理者入力シート!$B$14=1,BZ4*管理者用人口入力シート!BB$4,IF(管理者入力シート!$B$14=2,BZ4*管理者用人口入力シート!BB$8))</f>
        <v>928.37919467295296</v>
      </c>
      <c r="CB7" s="10">
        <f>IF(管理者入力シート!$B$14=1,CA4*管理者用人口入力シート!BC$4,IF(管理者入力シート!$B$14=2,CA4*管理者用人口入力シート!BC$8))</f>
        <v>530.7063842807504</v>
      </c>
      <c r="CC7" s="10">
        <f>IF(管理者入力シート!$B$14=1,CB4*管理者用人口入力シート!BD$4,IF(管理者入力シート!$B$14=2,CB4*管理者用人口入力シート!BD$8))</f>
        <v>339.03143499812865</v>
      </c>
      <c r="CD7" s="10">
        <f>IF(管理者入力シート!$B$14=1,CC4*管理者用人口入力シート!BE$4,IF(管理者入力シート!$B$14=2,CC4*管理者用人口入力シート!BE$8))</f>
        <v>191.52251724061406</v>
      </c>
      <c r="CE7" s="10">
        <f>IF(管理者入力シート!$B$14=1,CD4*管理者用人口入力シート!BF$4,IF(管理者入力シート!$B$14=2,CD4*管理者用人口入力シート!BF$8))</f>
        <v>47.560788613855934</v>
      </c>
      <c r="CF7" s="10">
        <f t="shared" si="2"/>
        <v>11717.576393378806</v>
      </c>
      <c r="CG7" s="10">
        <f t="shared" si="20"/>
        <v>568.81496839893134</v>
      </c>
      <c r="CH7" s="10">
        <f t="shared" si="21"/>
        <v>341.66567026240347</v>
      </c>
      <c r="CI7" s="10">
        <f t="shared" si="3"/>
        <v>4098.2411512649596</v>
      </c>
      <c r="CJ7" s="10">
        <f t="shared" si="22"/>
        <v>2860.4392456300011</v>
      </c>
      <c r="CK7" s="14">
        <f t="shared" si="23"/>
        <v>0.34975160508283376</v>
      </c>
      <c r="CL7" s="14">
        <f t="shared" si="24"/>
        <v>0.2441152632251099</v>
      </c>
      <c r="CM7" s="10">
        <f t="shared" si="25"/>
        <v>1880.6372444844537</v>
      </c>
      <c r="CO7" s="7" t="str">
        <f t="shared" si="26"/>
        <v>2030_2</v>
      </c>
      <c r="CP7" s="29">
        <f>CP6</f>
        <v>2030</v>
      </c>
      <c r="CQ7" s="4" t="s">
        <v>22</v>
      </c>
      <c r="CR7" s="10">
        <f>DT7*$AK$14+将来予測シート②!$H17</f>
        <v>412.85939925160903</v>
      </c>
      <c r="CS7" s="10">
        <f>IF(管理者入力シート!$B$14=1,CR4*管理者用人口入力シート!AM$4,IF(管理者入力シート!$B$14=2,CR4*管理者用人口入力シート!AM$8))+将来予測シート②!$H18</f>
        <v>441.22654310090775</v>
      </c>
      <c r="CT7" s="10">
        <f>IF(管理者入力シート!$B$14=1,CS4*管理者用人口入力シート!AN$4,IF(管理者入力シート!$B$14=2,CS4*管理者用人口入力シート!AN$8))+将来予測シート②!$H19</f>
        <v>508.86774695174773</v>
      </c>
      <c r="CU7" s="10">
        <f>IF(管理者入力シート!$B$14=1,CT4*管理者用人口入力シート!AO$4,IF(管理者入力シート!$B$14=2,CT4*管理者用人口入力シート!AO$8))+将来予測シート②!$H20</f>
        <v>693.78334157512859</v>
      </c>
      <c r="CV7" s="10">
        <f>IF(管理者入力シート!$B$14=1,CU4*管理者用人口入力シート!AP$4,IF(管理者入力シート!$B$14=2,CU4*管理者用人口入力シート!AP$8))+将来予測シート②!$H21</f>
        <v>500.05763427255704</v>
      </c>
      <c r="CW7" s="10">
        <f>IF(管理者入力シート!$B$14=1,CV4*管理者用人口入力シート!AQ$4,IF(管理者入力シート!$B$14=2,CV4*管理者用人口入力シート!AQ$8))+将来予測シート②!$H22</f>
        <v>460.84044866661111</v>
      </c>
      <c r="CX7" s="10">
        <f>IF(管理者入力シート!$B$14=1,CW4*管理者用人口入力シート!AR$4,IF(管理者入力シート!$B$14=2,CW4*管理者用人口入力シート!AR$8))+将来予測シート②!$H23</f>
        <v>457.76059927017701</v>
      </c>
      <c r="CY7" s="10">
        <f>IF(管理者入力シート!$B$14=1,CX4*管理者用人口入力シート!AS$4,IF(管理者入力シート!$B$14=2,CX4*管理者用人口入力シート!AS$8))+将来予測シート②!$H24</f>
        <v>466.06359659173461</v>
      </c>
      <c r="CZ7" s="10">
        <f>IF(管理者入力シート!$B$14=1,CY4*管理者用人口入力シート!AT$4,IF(管理者入力シート!$B$14=2,CY4*管理者用人口入力シート!AT$8))+将来予測シート②!$H25</f>
        <v>568.57877768438789</v>
      </c>
      <c r="DA7" s="10">
        <f>IF(管理者入力シート!$B$14=1,CZ4*管理者用人口入力シート!AU$4,IF(管理者入力シート!$B$14=2,CZ4*管理者用人口入力シート!AU$8))+将来予測シート②!$H26</f>
        <v>726.6306082242113</v>
      </c>
      <c r="DB7" s="10">
        <f>IF(管理者入力シート!$B$14=1,DA4*管理者用人口入力シート!AV$4,IF(管理者入力シート!$B$14=2,DA4*管理者用人口入力シート!AV$8))+将来予測シート②!$H27</f>
        <v>858.22734610318366</v>
      </c>
      <c r="DC7" s="10">
        <f>IF(管理者入力シート!$B$14=1,DB4*管理者用人口入力シート!AW$4,IF(管理者入力シート!$B$14=2,DB4*管理者用人口入力シート!AW$8))+将来予測シート②!$H28</f>
        <v>906.54563618514169</v>
      </c>
      <c r="DD7" s="10">
        <f>IF(管理者入力シート!$B$14=1,DC4*管理者用人口入力シート!AX$4,IF(管理者入力シート!$B$14=2,DC4*管理者用人口入力シート!AX$8))+将来予測シート②!$H29</f>
        <v>629.16706386257079</v>
      </c>
      <c r="DE7" s="10">
        <f>IF(管理者入力シート!$B$14=1,DD4*管理者用人口入力シート!AY$4,IF(管理者入力シート!$B$14=2,DD4*管理者用人口入力シート!AY$8))</f>
        <v>581.96014235124358</v>
      </c>
      <c r="DF7" s="10">
        <f>IF(管理者入力シート!$B$14=1,DE4*管理者用人口入力シート!AZ$4,IF(管理者入力シート!$B$14=2,DE4*管理者用人口入力シート!AZ$8))</f>
        <v>655.84176328371507</v>
      </c>
      <c r="DG7" s="10">
        <f>IF(管理者入力シート!$B$14=1,DF4*管理者用人口入力シート!BA$4,IF(管理者入力シート!$B$14=2,DF4*管理者用人口入力シート!BA$8))</f>
        <v>823.23892582369899</v>
      </c>
      <c r="DH7" s="10">
        <f>IF(管理者入力シート!$B$14=1,DG4*管理者用人口入力シート!BB$4,IF(管理者入力シート!$B$14=2,DG4*管理者用人口入力シート!BB$8))</f>
        <v>928.37919467295296</v>
      </c>
      <c r="DI7" s="10">
        <f>IF(管理者入力シート!$B$14=1,DH4*管理者用人口入力シート!BC$4,IF(管理者入力シート!$B$14=2,DH4*管理者用人口入力シート!BC$8))</f>
        <v>530.7063842807504</v>
      </c>
      <c r="DJ7" s="10">
        <f>IF(管理者入力シート!$B$14=1,DI4*管理者用人口入力シート!BD$4,IF(管理者入力シート!$B$14=2,DI4*管理者用人口入力シート!BD$8))</f>
        <v>339.03143499812865</v>
      </c>
      <c r="DK7" s="10">
        <f>IF(管理者入力シート!$B$14=1,DJ4*管理者用人口入力シート!BE$4,IF(管理者入力シート!$B$14=2,DJ4*管理者用人口入力シート!BE$8))</f>
        <v>191.52251724061406</v>
      </c>
      <c r="DL7" s="10">
        <f>IF(管理者入力シート!$B$14=1,DK4*管理者用人口入力シート!BF$4,IF(管理者入力シート!$B$14=2,DK4*管理者用人口入力シート!BF$8))</f>
        <v>47.560788613855934</v>
      </c>
      <c r="DM7" s="10">
        <f t="shared" si="69"/>
        <v>11728.84989300493</v>
      </c>
      <c r="DN7" s="10">
        <f t="shared" si="34"/>
        <v>570.0565740315933</v>
      </c>
      <c r="DO7" s="10">
        <f t="shared" si="35"/>
        <v>342.30376709572477</v>
      </c>
      <c r="DP7" s="10">
        <f t="shared" si="6"/>
        <v>4098.2411512649596</v>
      </c>
      <c r="DQ7" s="10">
        <f t="shared" si="36"/>
        <v>2860.4392456300011</v>
      </c>
      <c r="DR7" s="14">
        <f t="shared" si="37"/>
        <v>0.34941543191793639</v>
      </c>
      <c r="DS7" s="14">
        <f t="shared" si="38"/>
        <v>0.24388062527221557</v>
      </c>
      <c r="DT7" s="10">
        <f t="shared" si="70"/>
        <v>1884.7222788010799</v>
      </c>
      <c r="DV7" s="7" t="s">
        <v>401</v>
      </c>
      <c r="DW7" s="210">
        <f>(SUM(BK12:BW12)-SUM(D12:P12))/4</f>
        <v>-237.3310916790424</v>
      </c>
      <c r="DX7" s="29">
        <f>DX6</f>
        <v>2030</v>
      </c>
      <c r="DY7" s="4" t="s">
        <v>22</v>
      </c>
      <c r="DZ7" s="10">
        <f>FB7*$AK$14</f>
        <v>515.61174992934423</v>
      </c>
      <c r="EA7" s="10">
        <f>IF(管理者入力シート!$B$14=1,DZ4*管理者用人口入力シート!AM$4,IF(管理者入力シート!$B$14=2,DZ4*管理者用人口入力シート!AM$8))</f>
        <v>440.15720037980446</v>
      </c>
      <c r="EB7" s="10">
        <f>IF(管理者入力シート!$B$14=1,EA4*管理者用人口入力シート!AN$4,IF(管理者入力シート!$B$14=2,EA4*管理者用人口入力シート!AN$8))</f>
        <v>507.86774695174773</v>
      </c>
      <c r="EC7" s="10">
        <f>IF(管理者入力シート!$B$14=1,EB4*管理者用人口入力シート!AO$4,IF(管理者入力シート!$B$14=2,EB4*管理者用人口入力シート!AO$8))</f>
        <v>692.59285740852192</v>
      </c>
      <c r="ED7" s="10">
        <f>IF(管理者入力シート!$B$14=1,EC4*管理者用人口入力シート!AP$4,IF(管理者入力シート!$B$14=2,EC4*管理者用人口入力シート!AP$8))</f>
        <v>500.05763427255704</v>
      </c>
      <c r="EE7" s="10">
        <f>IF(管理者入力シート!$B$14=1,ED4*管理者用人口入力シート!AQ$4,IF(管理者入力シート!$B$14=2,ED4*管理者用人口入力シート!AQ$8))+DX1</f>
        <v>552.84044866661111</v>
      </c>
      <c r="EF7" s="10">
        <f>IF(管理者入力シート!$B$14=1,EE4*管理者用人口入力シート!AR$4,IF(管理者入力シート!$B$14=2,EE4*管理者用人口入力シート!AR$8))+DX1</f>
        <v>647.67217783497711</v>
      </c>
      <c r="EG7" s="10">
        <f>IF(管理者入力シート!$B$14=1,EF4*管理者用人口入力シート!AS$4,IF(管理者入力シート!$B$14=2,EF4*管理者用人口入力シート!AS$8))+DX1</f>
        <v>658.93629430091084</v>
      </c>
      <c r="EH7" s="10">
        <f>IF(管理者入力シート!$B$14=1,EG4*管理者用人口入力シート!AT$4,IF(管理者入力シート!$B$14=2,EG4*管理者用人口入力シート!AT$8))</f>
        <v>661.04282901681825</v>
      </c>
      <c r="EI7" s="10">
        <f>IF(管理者入力シート!$B$14=1,EH4*管理者用人口入力シート!AU$4,IF(管理者入力シート!$B$14=2,EH4*管理者用人口入力シート!AU$8))</f>
        <v>725.59465293059191</v>
      </c>
      <c r="EJ7" s="10">
        <f>IF(管理者入力シート!$B$14=1,EI4*管理者用人口入力シート!AV$4,IF(管理者入力シート!$B$14=2,EI4*管理者用人口入力シート!AV$8))</f>
        <v>858.22734610318366</v>
      </c>
      <c r="EK7" s="10">
        <f>IF(管理者入力シート!$B$14=1,EJ4*管理者用人口入力シート!AW$4,IF(管理者入力シート!$B$14=2,EJ4*管理者用人口入力シート!AW$8))</f>
        <v>906.54563618514169</v>
      </c>
      <c r="EL7" s="10">
        <f>IF(管理者入力シート!$B$14=1,EK4*管理者用人口入力シート!AX$4,IF(管理者入力シート!$B$14=2,EK4*管理者用人口入力シート!AX$8))</f>
        <v>629.16706386257079</v>
      </c>
      <c r="EM7" s="10">
        <f>IF(管理者入力シート!$B$14=1,EL4*管理者用人口入力シート!AY$4,IF(管理者入力シート!$B$14=2,EL4*管理者用人口入力シート!AY$8))</f>
        <v>581.96014235124358</v>
      </c>
      <c r="EN7" s="10">
        <f>IF(管理者入力シート!$B$14=1,EM4*管理者用人口入力シート!AZ$4,IF(管理者入力シート!$B$14=2,EM4*管理者用人口入力シート!AZ$8))</f>
        <v>655.84176328371507</v>
      </c>
      <c r="EO7" s="10">
        <f>IF(管理者入力シート!$B$14=1,EN4*管理者用人口入力シート!BA$4,IF(管理者入力シート!$B$14=2,EN4*管理者用人口入力シート!BA$8))</f>
        <v>823.23892582369899</v>
      </c>
      <c r="EP7" s="10">
        <f>IF(管理者入力シート!$B$14=1,EO4*管理者用人口入力シート!BB$4,IF(管理者入力シート!$B$14=2,EO4*管理者用人口入力シート!BB$8))</f>
        <v>928.37919467295296</v>
      </c>
      <c r="EQ7" s="10">
        <f>IF(管理者入力シート!$B$14=1,EP4*管理者用人口入力シート!BC$4,IF(管理者入力シート!$B$14=2,EP4*管理者用人口入力シート!BC$8))</f>
        <v>530.7063842807504</v>
      </c>
      <c r="ER7" s="10">
        <f>IF(管理者入力シート!$B$14=1,EQ4*管理者用人口入力シート!BD$4,IF(管理者入力シート!$B$14=2,EQ4*管理者用人口入力シート!BD$8))</f>
        <v>339.03143499812865</v>
      </c>
      <c r="ES7" s="10">
        <f>IF(管理者入力シート!$B$14=1,ER4*管理者用人口入力シート!BE$4,IF(管理者入力シート!$B$14=2,ER4*管理者用人口入力シート!BE$8))</f>
        <v>191.52251724061406</v>
      </c>
      <c r="ET7" s="10">
        <f>IF(管理者入力シート!$B$14=1,ES4*管理者用人口入力シート!BF$4,IF(管理者入力シート!$B$14=2,ES4*管理者用人口入力シート!BF$8))</f>
        <v>47.560788613855934</v>
      </c>
      <c r="EU7" s="10">
        <f t="shared" si="71"/>
        <v>12394.554789107739</v>
      </c>
      <c r="EV7" s="10">
        <f t="shared" si="41"/>
        <v>568.81496839893134</v>
      </c>
      <c r="EW7" s="10">
        <f t="shared" si="42"/>
        <v>341.66567026240347</v>
      </c>
      <c r="EX7" s="10">
        <f t="shared" si="10"/>
        <v>4098.2411512649596</v>
      </c>
      <c r="EY7" s="10">
        <f t="shared" si="43"/>
        <v>2860.4392456300011</v>
      </c>
      <c r="EZ7" s="14">
        <f t="shared" si="44"/>
        <v>0.33064851630382641</v>
      </c>
      <c r="FA7" s="14">
        <f t="shared" si="45"/>
        <v>0.23078192757223828</v>
      </c>
      <c r="FB7" s="10">
        <f t="shared" si="72"/>
        <v>2359.506555075056</v>
      </c>
    </row>
    <row r="8" spans="1:158" x14ac:dyDescent="0.15">
      <c r="A8" s="7" t="str">
        <f t="shared" si="11"/>
        <v>2010_3</v>
      </c>
      <c r="B8" s="30">
        <v>2010</v>
      </c>
      <c r="C8" s="5" t="s">
        <v>23</v>
      </c>
      <c r="D8" s="11">
        <v>1165.7080700956781</v>
      </c>
      <c r="E8" s="11">
        <v>1059.3066124571747</v>
      </c>
      <c r="F8" s="11">
        <v>999.0355890634969</v>
      </c>
      <c r="G8" s="11">
        <v>1257.2613569274808</v>
      </c>
      <c r="H8" s="11">
        <v>789.34269397547951</v>
      </c>
      <c r="I8" s="11">
        <v>1260.9451688410068</v>
      </c>
      <c r="J8" s="11">
        <v>1546.7785764411851</v>
      </c>
      <c r="K8" s="11">
        <v>1653.1663600154561</v>
      </c>
      <c r="L8" s="11">
        <v>1202.6648035181004</v>
      </c>
      <c r="M8" s="11">
        <v>1101.3253411556138</v>
      </c>
      <c r="N8" s="11">
        <v>1271.8379048874665</v>
      </c>
      <c r="O8" s="11">
        <v>1533.6654140809565</v>
      </c>
      <c r="P8" s="11">
        <v>1745.3128901945452</v>
      </c>
      <c r="Q8" s="11">
        <v>1204.6682249527955</v>
      </c>
      <c r="R8" s="11">
        <v>958.73092936918079</v>
      </c>
      <c r="S8" s="11">
        <v>872.41034562658592</v>
      </c>
      <c r="T8" s="11">
        <v>750.08087183710154</v>
      </c>
      <c r="U8" s="11">
        <v>401.07019611769442</v>
      </c>
      <c r="V8" s="11">
        <v>202.52327536962287</v>
      </c>
      <c r="W8" s="11">
        <v>63.153328105351171</v>
      </c>
      <c r="X8" s="11">
        <v>7.0120469680279029</v>
      </c>
      <c r="Y8" s="11">
        <f t="shared" si="68"/>
        <v>21046</v>
      </c>
      <c r="Z8" s="11">
        <f t="shared" si="12"/>
        <v>1235.005320912403</v>
      </c>
      <c r="AA8" s="11">
        <f t="shared" si="13"/>
        <v>651.06650701089495</v>
      </c>
      <c r="AB8" s="11">
        <f t="shared" si="0"/>
        <v>4459.6492183463597</v>
      </c>
      <c r="AC8" s="11">
        <f t="shared" si="14"/>
        <v>2296.2500640243838</v>
      </c>
      <c r="AD8" s="15">
        <f t="shared" si="15"/>
        <v>0.21190008639866767</v>
      </c>
      <c r="AE8" s="15">
        <f t="shared" si="16"/>
        <v>0.10910624650880851</v>
      </c>
      <c r="AF8" s="11">
        <f t="shared" si="17"/>
        <v>5250.232799273128</v>
      </c>
      <c r="AH8" s="7"/>
      <c r="AI8" s="30" t="s">
        <v>88</v>
      </c>
      <c r="AJ8" s="5">
        <f>AJ7</f>
        <v>2010</v>
      </c>
      <c r="AK8" s="5">
        <f>AK7</f>
        <v>2020</v>
      </c>
      <c r="AL8" s="33" t="s">
        <v>22</v>
      </c>
      <c r="AM8" s="47">
        <f t="shared" si="73"/>
        <v>1.0569946217033177</v>
      </c>
      <c r="AN8" s="47">
        <f t="shared" si="73"/>
        <v>1.0574910866534266</v>
      </c>
      <c r="AO8" s="47">
        <f t="shared" si="73"/>
        <v>1.21545188952264</v>
      </c>
      <c r="AP8" s="47">
        <f t="shared" si="73"/>
        <v>0.66878194627475518</v>
      </c>
      <c r="AQ8" s="47">
        <f t="shared" si="73"/>
        <v>1.0930553543982908</v>
      </c>
      <c r="AR8" s="47">
        <f t="shared" si="73"/>
        <v>1.0134456946649344</v>
      </c>
      <c r="AS8" s="47">
        <f t="shared" si="73"/>
        <v>1.0366974961083497</v>
      </c>
      <c r="AT8" s="47">
        <f t="shared" si="73"/>
        <v>0.99698994386789486</v>
      </c>
      <c r="AU8" s="47">
        <f t="shared" si="73"/>
        <v>1.0224497536637451</v>
      </c>
      <c r="AV8" s="47">
        <f t="shared" si="73"/>
        <v>1.0177393550903182</v>
      </c>
      <c r="AW8" s="47">
        <f t="shared" si="73"/>
        <v>1.0156473573929918</v>
      </c>
      <c r="AX8" s="47">
        <f t="shared" si="73"/>
        <v>0.99492659355146473</v>
      </c>
      <c r="AY8" s="47">
        <f t="shared" si="73"/>
        <v>0.97639644732616027</v>
      </c>
      <c r="AZ8" s="47">
        <f t="shared" si="73"/>
        <v>0.9969280981494465</v>
      </c>
      <c r="BA8" s="47">
        <f t="shared" si="73"/>
        <v>0.98480780044155758</v>
      </c>
      <c r="BB8" s="47">
        <f t="shared" si="73"/>
        <v>0.97564171071603967</v>
      </c>
      <c r="BC8" s="47">
        <f t="shared" si="73"/>
        <v>0.86989766100637322</v>
      </c>
      <c r="BD8" s="47">
        <f t="shared" si="73"/>
        <v>0.77849932287406354</v>
      </c>
      <c r="BE8" s="47">
        <f t="shared" si="73"/>
        <v>0.50053056222644776</v>
      </c>
      <c r="BF8" s="47">
        <f t="shared" si="73"/>
        <v>0.27553327615090806</v>
      </c>
      <c r="BH8" s="7" t="str">
        <f t="shared" si="19"/>
        <v>2030_3</v>
      </c>
      <c r="BI8" s="30">
        <f>BI7</f>
        <v>2030</v>
      </c>
      <c r="BJ8" s="5" t="s">
        <v>23</v>
      </c>
      <c r="BK8" s="16">
        <f>BK6+BK7</f>
        <v>854.61118898130962</v>
      </c>
      <c r="BL8" s="16">
        <f t="shared" ref="BL8" si="74">BL6+BL7</f>
        <v>876.57447220703693</v>
      </c>
      <c r="BM8" s="16">
        <f t="shared" ref="BM8" si="75">BM6+BM7</f>
        <v>1070.5996607353607</v>
      </c>
      <c r="BN8" s="16">
        <f t="shared" ref="BN8" si="76">BN6+BN7</f>
        <v>1615.3617629546216</v>
      </c>
      <c r="BO8" s="16">
        <f t="shared" ref="BO8" si="77">BO6+BO7</f>
        <v>905.53479100344202</v>
      </c>
      <c r="BP8" s="16">
        <f t="shared" ref="BP8" si="78">BP6+BP7</f>
        <v>859.87646254230128</v>
      </c>
      <c r="BQ8" s="16">
        <f t="shared" ref="BQ8" si="79">BQ6+BQ7</f>
        <v>842.76818084707975</v>
      </c>
      <c r="BR8" s="16">
        <f t="shared" ref="BR8" si="80">BR6+BR7</f>
        <v>887.26947266316392</v>
      </c>
      <c r="BS8" s="16">
        <f t="shared" ref="BS8" si="81">BS6+BS7</f>
        <v>1101.0194360410142</v>
      </c>
      <c r="BT8" s="16">
        <f t="shared" ref="BT8" si="82">BT6+BT7</f>
        <v>1427.3474693371852</v>
      </c>
      <c r="BU8" s="16">
        <f t="shared" ref="BU8" si="83">BU6+BU7</f>
        <v>1604.1936340602281</v>
      </c>
      <c r="BV8" s="16">
        <f t="shared" ref="BV8" si="84">BV6+BV7</f>
        <v>1736.3070933838112</v>
      </c>
      <c r="BW8" s="16">
        <f t="shared" ref="BW8" si="85">BW6+BW7</f>
        <v>1202.7233711385766</v>
      </c>
      <c r="BX8" s="16">
        <f t="shared" ref="BX8" si="86">BX6+BX7</f>
        <v>1082.645248836965</v>
      </c>
      <c r="BY8" s="16">
        <f t="shared" ref="BY8" si="87">BY6+BY7</f>
        <v>1202.8068713774212</v>
      </c>
      <c r="BZ8" s="16">
        <f t="shared" ref="BZ8" si="88">BZ6+BZ7</f>
        <v>1445.902254738719</v>
      </c>
      <c r="CA8" s="16">
        <f t="shared" ref="CA8" si="89">CA6+CA7</f>
        <v>1501.5803895369859</v>
      </c>
      <c r="CB8" s="16">
        <f t="shared" ref="CB8" si="90">CB6+CB7</f>
        <v>869.86615885447986</v>
      </c>
      <c r="CC8" s="16">
        <f t="shared" ref="CC8" si="91">CC6+CC7</f>
        <v>479.38165084178752</v>
      </c>
      <c r="CD8" s="16">
        <f t="shared" ref="CD8" si="92">CD6+CD7</f>
        <v>242.74669057079331</v>
      </c>
      <c r="CE8" s="16">
        <f t="shared" ref="CE8" si="93">CE6+CE7</f>
        <v>60.358029236835257</v>
      </c>
      <c r="CF8" s="11">
        <f t="shared" si="2"/>
        <v>21869.474289889113</v>
      </c>
      <c r="CG8" s="11">
        <f t="shared" si="20"/>
        <v>1168.3044797654384</v>
      </c>
      <c r="CH8" s="11">
        <f t="shared" si="21"/>
        <v>751.31221688506855</v>
      </c>
      <c r="CI8" s="11">
        <f t="shared" si="3"/>
        <v>6885.2872939939871</v>
      </c>
      <c r="CJ8" s="11">
        <f t="shared" si="22"/>
        <v>4599.8351737796011</v>
      </c>
      <c r="CK8" s="15">
        <f t="shared" si="23"/>
        <v>0.3148355192597041</v>
      </c>
      <c r="CL8" s="15">
        <f t="shared" si="24"/>
        <v>0.21033130988001103</v>
      </c>
      <c r="CM8" s="11">
        <f t="shared" si="25"/>
        <v>3495.4489070559871</v>
      </c>
      <c r="CO8" s="7" t="str">
        <f t="shared" si="26"/>
        <v>2030_3</v>
      </c>
      <c r="CP8" s="30">
        <f>CP7</f>
        <v>2030</v>
      </c>
      <c r="CQ8" s="5" t="s">
        <v>23</v>
      </c>
      <c r="CR8" s="16">
        <f>CR6+CR7</f>
        <v>858.4675363681331</v>
      </c>
      <c r="CS8" s="16">
        <f t="shared" ref="CS8" si="94">CS6+CS7</f>
        <v>878.62597576261373</v>
      </c>
      <c r="CT8" s="16">
        <f t="shared" ref="CT8" si="95">CT6+CT7</f>
        <v>1072.5996607353607</v>
      </c>
      <c r="CU8" s="16">
        <f t="shared" ref="CU8" si="96">CU6+CU7</f>
        <v>1617.934441929332</v>
      </c>
      <c r="CV8" s="16">
        <f t="shared" ref="CV8" si="97">CV6+CV7</f>
        <v>905.53479100344202</v>
      </c>
      <c r="CW8" s="16">
        <f t="shared" ref="CW8" si="98">CW6+CW7</f>
        <v>863.87646254230128</v>
      </c>
      <c r="CX8" s="16">
        <f t="shared" ref="CX8" si="99">CX6+CX7</f>
        <v>846.95215801480435</v>
      </c>
      <c r="CY8" s="16">
        <f t="shared" ref="CY8" si="100">CY6+CY7</f>
        <v>887.26947266316392</v>
      </c>
      <c r="CZ8" s="16">
        <f t="shared" ref="CZ8" si="101">CZ6+CZ7</f>
        <v>1102.0194360410142</v>
      </c>
      <c r="DA8" s="16">
        <f t="shared" ref="DA8" si="102">DA6+DA7</f>
        <v>1428.3834246308047</v>
      </c>
      <c r="DB8" s="16">
        <f t="shared" ref="DB8" si="103">DB6+DB7</f>
        <v>1604.1936340602281</v>
      </c>
      <c r="DC8" s="16">
        <f t="shared" ref="DC8" si="104">DC6+DC7</f>
        <v>1736.3070933838112</v>
      </c>
      <c r="DD8" s="16">
        <f t="shared" ref="DD8" si="105">DD6+DD7</f>
        <v>1202.7233711385766</v>
      </c>
      <c r="DE8" s="16">
        <f t="shared" ref="DE8" si="106">DE6+DE7</f>
        <v>1082.645248836965</v>
      </c>
      <c r="DF8" s="16">
        <f t="shared" ref="DF8" si="107">DF6+DF7</f>
        <v>1202.8068713774212</v>
      </c>
      <c r="DG8" s="16">
        <f t="shared" ref="DG8" si="108">DG6+DG7</f>
        <v>1445.902254738719</v>
      </c>
      <c r="DH8" s="16">
        <f t="shared" ref="DH8" si="109">DH6+DH7</f>
        <v>1501.5803895369859</v>
      </c>
      <c r="DI8" s="16">
        <f t="shared" ref="DI8" si="110">DI6+DI7</f>
        <v>869.86615885447986</v>
      </c>
      <c r="DJ8" s="16">
        <f t="shared" ref="DJ8" si="111">DJ6+DJ7</f>
        <v>479.38165084178752</v>
      </c>
      <c r="DK8" s="16">
        <f t="shared" ref="DK8" si="112">DK6+DK7</f>
        <v>242.74669057079331</v>
      </c>
      <c r="DL8" s="16">
        <f t="shared" ref="DL8" si="113">DL6+DL7</f>
        <v>60.358029236835257</v>
      </c>
      <c r="DM8" s="11">
        <f t="shared" si="69"/>
        <v>21890.174752267569</v>
      </c>
      <c r="DN8" s="11">
        <f t="shared" si="34"/>
        <v>1170.7353818987845</v>
      </c>
      <c r="DO8" s="11">
        <f t="shared" si="35"/>
        <v>752.62675268001067</v>
      </c>
      <c r="DP8" s="11">
        <f t="shared" si="6"/>
        <v>6885.2872939939871</v>
      </c>
      <c r="DQ8" s="11">
        <f t="shared" si="36"/>
        <v>4599.8351737796011</v>
      </c>
      <c r="DR8" s="15">
        <f t="shared" si="37"/>
        <v>0.31453779478305677</v>
      </c>
      <c r="DS8" s="15">
        <f t="shared" si="38"/>
        <v>0.21013240989787491</v>
      </c>
      <c r="DT8" s="11">
        <f t="shared" si="70"/>
        <v>3503.6328842237117</v>
      </c>
      <c r="DV8" s="7" t="s">
        <v>402</v>
      </c>
      <c r="DW8" s="210">
        <f>(SUM(BK13:BW13)-SUM(D13:P13))/4</f>
        <v>-245.1674353499352</v>
      </c>
      <c r="DX8" s="30">
        <f>DX7</f>
        <v>2030</v>
      </c>
      <c r="DY8" s="5" t="s">
        <v>23</v>
      </c>
      <c r="DZ8" s="16">
        <f>DZ6+DZ7</f>
        <v>1072.2220398196291</v>
      </c>
      <c r="EA8" s="16">
        <f t="shared" ref="EA8:ET8" si="114">EA6+EA7</f>
        <v>876.57447220703693</v>
      </c>
      <c r="EB8" s="16">
        <f t="shared" si="114"/>
        <v>1070.5996607353607</v>
      </c>
      <c r="EC8" s="16">
        <f t="shared" si="114"/>
        <v>1615.3617629546216</v>
      </c>
      <c r="ED8" s="16">
        <f t="shared" si="114"/>
        <v>905.53479100344202</v>
      </c>
      <c r="EE8" s="16">
        <f t="shared" si="114"/>
        <v>1047.8764625423014</v>
      </c>
      <c r="EF8" s="16">
        <f t="shared" si="114"/>
        <v>1227.4151077301326</v>
      </c>
      <c r="EG8" s="16">
        <f t="shared" si="114"/>
        <v>1277.7631789130783</v>
      </c>
      <c r="EH8" s="16">
        <f t="shared" si="114"/>
        <v>1289.1697801563973</v>
      </c>
      <c r="EI8" s="16">
        <f t="shared" si="114"/>
        <v>1427.3474693371852</v>
      </c>
      <c r="EJ8" s="16">
        <f t="shared" si="114"/>
        <v>1604.1936340602281</v>
      </c>
      <c r="EK8" s="16">
        <f t="shared" si="114"/>
        <v>1736.3070933838112</v>
      </c>
      <c r="EL8" s="16">
        <f t="shared" si="114"/>
        <v>1202.7233711385766</v>
      </c>
      <c r="EM8" s="16">
        <f t="shared" si="114"/>
        <v>1082.645248836965</v>
      </c>
      <c r="EN8" s="16">
        <f t="shared" si="114"/>
        <v>1202.8068713774212</v>
      </c>
      <c r="EO8" s="16">
        <f t="shared" si="114"/>
        <v>1445.902254738719</v>
      </c>
      <c r="EP8" s="16">
        <f t="shared" si="114"/>
        <v>1501.5803895369859</v>
      </c>
      <c r="EQ8" s="16">
        <f t="shared" si="114"/>
        <v>869.86615885447986</v>
      </c>
      <c r="ER8" s="16">
        <f t="shared" si="114"/>
        <v>479.38165084178752</v>
      </c>
      <c r="ES8" s="16">
        <f t="shared" si="114"/>
        <v>242.74669057079331</v>
      </c>
      <c r="ET8" s="16">
        <f t="shared" si="114"/>
        <v>60.358029236835257</v>
      </c>
      <c r="EU8" s="11">
        <f t="shared" si="71"/>
        <v>23238.376117975782</v>
      </c>
      <c r="EV8" s="11">
        <f t="shared" si="41"/>
        <v>1168.3044797654384</v>
      </c>
      <c r="EW8" s="11">
        <f t="shared" si="42"/>
        <v>751.31221688506855</v>
      </c>
      <c r="EX8" s="11">
        <f t="shared" si="10"/>
        <v>6885.2872939939871</v>
      </c>
      <c r="EY8" s="11">
        <f t="shared" si="43"/>
        <v>4599.8351737796011</v>
      </c>
      <c r="EZ8" s="15">
        <f t="shared" si="44"/>
        <v>0.29628951950166393</v>
      </c>
      <c r="FA8" s="15">
        <f t="shared" si="45"/>
        <v>0.19794133421489166</v>
      </c>
      <c r="FB8" s="11">
        <f t="shared" si="72"/>
        <v>4458.5895401889538</v>
      </c>
    </row>
    <row r="9" spans="1:158" x14ac:dyDescent="0.15">
      <c r="A9" s="7" t="str">
        <f t="shared" si="11"/>
        <v>2015_1</v>
      </c>
      <c r="B9" s="28">
        <v>2015</v>
      </c>
      <c r="C9" s="3" t="s">
        <v>21</v>
      </c>
      <c r="D9" s="9">
        <v>583.30823460072236</v>
      </c>
      <c r="E9" s="9">
        <v>589.32645121491714</v>
      </c>
      <c r="F9" s="9">
        <v>574.99278618678954</v>
      </c>
      <c r="G9" s="9">
        <v>730.95820769798934</v>
      </c>
      <c r="H9" s="9">
        <v>308.21256923193232</v>
      </c>
      <c r="I9" s="9">
        <v>457.75834989106556</v>
      </c>
      <c r="J9" s="9">
        <v>637.93240383187708</v>
      </c>
      <c r="K9" s="9">
        <v>743.60797913879401</v>
      </c>
      <c r="L9" s="9">
        <v>825.7772016301376</v>
      </c>
      <c r="M9" s="9">
        <v>579.97041284098214</v>
      </c>
      <c r="N9" s="9">
        <v>509.18086147745339</v>
      </c>
      <c r="O9" s="9">
        <v>612.24979872533345</v>
      </c>
      <c r="P9" s="9">
        <v>731.52520888886511</v>
      </c>
      <c r="Q9" s="9">
        <v>771.11202432627056</v>
      </c>
      <c r="R9" s="9">
        <v>565.75760863452342</v>
      </c>
      <c r="S9" s="9">
        <v>386.69119119130562</v>
      </c>
      <c r="T9" s="9">
        <v>303.97394947197631</v>
      </c>
      <c r="U9" s="9">
        <v>189.85669021472651</v>
      </c>
      <c r="V9" s="9">
        <v>62.602053321924636</v>
      </c>
      <c r="W9" s="9">
        <v>17.166488634340151</v>
      </c>
      <c r="X9" s="9">
        <v>5.0395288480734681</v>
      </c>
      <c r="Y9" s="9">
        <f t="shared" si="68"/>
        <v>10187</v>
      </c>
      <c r="Z9" s="9">
        <f t="shared" si="12"/>
        <v>698.59154244102399</v>
      </c>
      <c r="AA9" s="9">
        <f t="shared" si="13"/>
        <v>376.1887560143137</v>
      </c>
      <c r="AB9" s="9">
        <f t="shared" si="0"/>
        <v>2302.1995346431409</v>
      </c>
      <c r="AC9" s="9">
        <f t="shared" si="14"/>
        <v>965.32990168234664</v>
      </c>
      <c r="AD9" s="13">
        <f t="shared" si="15"/>
        <v>0.22599386813027789</v>
      </c>
      <c r="AE9" s="13">
        <f t="shared" si="16"/>
        <v>9.4760960212265308E-2</v>
      </c>
      <c r="AF9" s="9">
        <f t="shared" si="17"/>
        <v>2147.5113020936687</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461.25961095938021</v>
      </c>
      <c r="BL9" s="9">
        <f>IF(管理者入力シート!$B$14=1,BK6*管理者用人口入力シート!AM$3,IF(管理者入力シート!$B$14=2,BK6*管理者用人口入力シート!AM$7))</f>
        <v>435.73022567165827</v>
      </c>
      <c r="BM9" s="9">
        <f>IF(管理者入力シート!$B$14=1,BL6*管理者用人口入力シート!AN$3,IF(管理者入力シート!$B$14=2,BL6*管理者用人口入力シート!AN$7))</f>
        <v>508.56316967423055</v>
      </c>
      <c r="BN9" s="9">
        <f>IF(管理者入力シート!$B$14=1,BM6*管理者用人口入力シート!AO$3,IF(管理者入力シート!$B$14=2,BM6*管理者用人口入力シート!AO$7))</f>
        <v>777.80512958601321</v>
      </c>
      <c r="BO9" s="9">
        <f>IF(管理者入力シート!$B$14=1,BN6*管理者用人口入力シート!AP$3,IF(管理者入力シート!$B$14=2,BN6*管理者用人口入力シート!AP$7))</f>
        <v>394.17690704165733</v>
      </c>
      <c r="BP9" s="9">
        <f>IF(管理者入力シート!$B$14=1,BO6*管理者用人口入力シート!AQ$3,IF(管理者入力シート!$B$14=2,BO6*管理者用人口入力シート!AQ$7))</f>
        <v>478.98276676887008</v>
      </c>
      <c r="BQ9" s="9">
        <f>IF(管理者入力シート!$B$14=1,BP6*管理者用人口入力シート!AR$3,IF(管理者入力シート!$B$14=2,BP6*管理者用人口入力シート!AR$7))</f>
        <v>420.87583717869722</v>
      </c>
      <c r="BR9" s="9">
        <f>IF(管理者入力シート!$B$14=1,BQ6*管理者用人口入力シート!AS$3,IF(管理者入力シート!$B$14=2,BQ6*管理者用人口入力シート!AS$7))</f>
        <v>426.71199210170164</v>
      </c>
      <c r="BS9" s="9">
        <f>IF(管理者入力シート!$B$14=1,BR6*管理者用人口入力シート!AT$3,IF(管理者入力シート!$B$14=2,BR6*管理者用人口入力シート!AT$7))</f>
        <v>424.28109471914314</v>
      </c>
      <c r="BT9" s="9">
        <f>IF(管理者入力シート!$B$14=1,BS6*管理者用人口入力シート!AU$3,IF(管理者入力シート!$B$14=2,BS6*管理者用人口入力シート!AU$7))</f>
        <v>528.46520123439666</v>
      </c>
      <c r="BU9" s="9">
        <f>IF(管理者入力シート!$B$14=1,BT6*管理者用人口入力シート!AV$3,IF(管理者入力シート!$B$14=2,BT6*管理者用人口入力シート!AV$7))</f>
        <v>705.45576021613624</v>
      </c>
      <c r="BV9" s="9">
        <f>IF(管理者入力シート!$B$14=1,BU6*管理者用人口入力シート!AW$3,IF(管理者入力シート!$B$14=2,BU6*管理者用人口入力シート!AW$7))</f>
        <v>752.65104680893876</v>
      </c>
      <c r="BW9" s="9">
        <f>IF(管理者入力シート!$B$14=1,BV6*管理者用人口入力シート!AX$3,IF(管理者入力シート!$B$14=2,BV6*管理者用人口入力シート!AX$7))</f>
        <v>809.02769827342513</v>
      </c>
      <c r="BX9" s="9">
        <f>IF(管理者入力シート!$B$14=1,BW6*管理者用人口入力シート!AY$3,IF(管理者入力シート!$B$14=2,BW6*管理者用人口入力シート!AY$7))</f>
        <v>573.30279580783747</v>
      </c>
      <c r="BY9" s="9">
        <f>IF(管理者入力シート!$B$14=1,BX6*管理者用人口入力シート!AZ$3,IF(管理者入力シート!$B$14=2,BX6*管理者用人口入力シート!AZ$7))</f>
        <v>458.96282725238592</v>
      </c>
      <c r="BZ9" s="9">
        <f>IF(管理者入力シート!$B$14=1,BY6*管理者用人口入力シート!BA$3,IF(管理者入力シート!$B$14=2,BY6*管理者用人口入力シート!BA$7))</f>
        <v>508.11588956293264</v>
      </c>
      <c r="CA9" s="9">
        <f>IF(管理者入力シート!$B$14=1,BZ6*管理者用人口入力シート!BB$3,IF(管理者入力シート!$B$14=2,BZ6*管理者用人口入力シート!BB$7))</f>
        <v>543.53424065008346</v>
      </c>
      <c r="CB9" s="9">
        <f>IF(管理者入力シート!$B$14=1,CA6*管理者用人口入力シート!BC$3,IF(管理者入力シート!$B$14=2,CA6*管理者用人口入力シート!BC$7))</f>
        <v>423.74467063260187</v>
      </c>
      <c r="CC9" s="9">
        <f>IF(管理者入力シート!$B$14=1,CB6*管理者用人口入力シート!BD$3,IF(管理者入力シート!$B$14=2,CB6*管理者用人口入力シート!BD$7))</f>
        <v>190.75782525961597</v>
      </c>
      <c r="CD9" s="9">
        <f>IF(管理者入力シート!$B$14=1,CC6*管理者用人口入力シート!BE$3,IF(管理者入力シート!$B$14=2,CC6*管理者用人口入力シート!BE$7))</f>
        <v>56.882213775932065</v>
      </c>
      <c r="CE9" s="9">
        <f>IF(管理者入力シート!$B$14=1,CD6*管理者用人口入力シート!BF$3,IF(管理者入力シート!$B$14=2,CD6*管理者用人口入力シート!BF$7))</f>
        <v>15.14690699650254</v>
      </c>
      <c r="CF9" s="9">
        <f t="shared" si="2"/>
        <v>9894.4338101721423</v>
      </c>
      <c r="CG9" s="9">
        <f t="shared" si="20"/>
        <v>566.57603720753332</v>
      </c>
      <c r="CH9" s="9">
        <f t="shared" si="21"/>
        <v>358.98629378689486</v>
      </c>
      <c r="CI9" s="9">
        <f t="shared" si="3"/>
        <v>2770.4473699378914</v>
      </c>
      <c r="CJ9" s="9">
        <f t="shared" si="22"/>
        <v>1738.1817468776687</v>
      </c>
      <c r="CK9" s="13">
        <f t="shared" si="23"/>
        <v>0.28000059660712323</v>
      </c>
      <c r="CL9" s="13">
        <f t="shared" si="24"/>
        <v>0.17567268428140892</v>
      </c>
      <c r="CM9" s="9">
        <f t="shared" si="25"/>
        <v>1720.7475030909263</v>
      </c>
      <c r="CO9" s="7" t="str">
        <f t="shared" si="26"/>
        <v>2035_1</v>
      </c>
      <c r="CP9" s="28">
        <f>管理者入力シート!B10</f>
        <v>2035</v>
      </c>
      <c r="CQ9" s="3" t="s">
        <v>21</v>
      </c>
      <c r="CR9" s="9">
        <f>DT10*$AK$13+将来予測シート②!$G17</f>
        <v>463.93009810086227</v>
      </c>
      <c r="CS9" s="9">
        <f>IF(管理者入力シート!$B$14=1,CR6*管理者用人口入力シート!AM$3,IF(管理者入力シート!$B$14=2,CR6*管理者用人口入力シート!AM$7))+将来予測シート②!$G18</f>
        <v>437.65885979856517</v>
      </c>
      <c r="CT9" s="9">
        <f>IF(管理者入力シート!$B$14=1,CS6*管理者用人口入力シート!AN$3,IF(管理者入力シート!$B$14=2,CS6*管理者用人口入力シート!AN$7))+将来予測シート②!$G19</f>
        <v>510.70769547408815</v>
      </c>
      <c r="CU9" s="9">
        <f>IF(管理者入力シート!$B$14=1,CT6*管理者用人口入力シート!AO$3,IF(管理者入力シート!$B$14=2,CT6*管理者用人口入力シート!AO$7))+将来予測シート②!$G20</f>
        <v>779.18732439411701</v>
      </c>
      <c r="CV9" s="9">
        <f>IF(管理者入力シート!$B$14=1,CU6*管理者用人口入力シート!AP$3,IF(管理者入力シート!$B$14=2,CU6*管理者用人口入力シート!AP$7))+将来予測シート②!$G21</f>
        <v>394.76733577317697</v>
      </c>
      <c r="CW9" s="9">
        <f>IF(管理者入力シート!$B$14=1,CV6*管理者用人口入力シート!AQ$3,IF(管理者入力シート!$B$14=2,CV6*管理者用人口入力シート!AQ$7))+将来予測シート②!$G22</f>
        <v>480.98276676887008</v>
      </c>
      <c r="CX9" s="9">
        <f>IF(管理者入力シート!$B$14=1,CW6*管理者用人口入力シート!AR$3,IF(管理者入力シート!$B$14=2,CW6*管理者用人口入力シート!AR$7))+将来予測シート②!$G23</f>
        <v>422.97478002979562</v>
      </c>
      <c r="CY9" s="9">
        <f>IF(管理者入力シート!$B$14=1,CX6*管理者用人口入力シート!AS$3,IF(管理者入力シート!$B$14=2,CX6*管理者用人口入力シート!AS$7))+将来予測シート②!$G24</f>
        <v>429.02576417723566</v>
      </c>
      <c r="CZ9" s="9">
        <f>IF(管理者入力シート!$B$14=1,CY6*管理者用人口入力シート!AT$3,IF(管理者入力シート!$B$14=2,CY6*管理者用人口入力シート!AT$7))+将来予測シート②!$G25</f>
        <v>424.28109471914314</v>
      </c>
      <c r="DA9" s="9">
        <f>IF(管理者入力シート!$B$14=1,CZ6*管理者用人口入力シート!AU$3,IF(管理者入力シート!$B$14=2,CZ6*管理者用人口入力シート!AU$7))+将来予測シート②!$G26</f>
        <v>528.46520123439666</v>
      </c>
      <c r="DB9" s="9">
        <f>IF(管理者入力シート!$B$14=1,DA6*管理者用人口入力シート!AV$3,IF(管理者入力シート!$B$14=2,DA6*管理者用人口入力シート!AV$7))+将来予測シート②!$G27</f>
        <v>705.45576021613624</v>
      </c>
      <c r="DC9" s="9">
        <f>IF(管理者入力シート!$B$14=1,DB6*管理者用人口入力シート!AW$3,IF(管理者入力シート!$B$14=2,DB6*管理者用人口入力シート!AW$7))+将来予測シート②!$G28</f>
        <v>752.65104680893876</v>
      </c>
      <c r="DD9" s="9">
        <f>IF(管理者入力シート!$B$14=1,DC6*管理者用人口入力シート!AX$3,IF(管理者入力シート!$B$14=2,DC6*管理者用人口入力シート!AX$7))+将来予測シート②!$G29</f>
        <v>809.02769827342513</v>
      </c>
      <c r="DE9" s="9">
        <f>IF(管理者入力シート!$B$14=1,DD6*管理者用人口入力シート!AY$3,IF(管理者入力シート!$B$14=2,DD6*管理者用人口入力シート!AY$7))</f>
        <v>573.30279580783747</v>
      </c>
      <c r="DF9" s="9">
        <f>IF(管理者入力シート!$B$14=1,DE6*管理者用人口入力シート!AZ$3,IF(管理者入力シート!$B$14=2,DE6*管理者用人口入力シート!AZ$7))</f>
        <v>458.96282725238592</v>
      </c>
      <c r="DG9" s="9">
        <f>IF(管理者入力シート!$B$14=1,DF6*管理者用人口入力シート!BA$3,IF(管理者入力シート!$B$14=2,DF6*管理者用人口入力シート!BA$7))</f>
        <v>508.11588956293264</v>
      </c>
      <c r="DH9" s="9">
        <f>IF(管理者入力シート!$B$14=1,DG6*管理者用人口入力シート!BB$3,IF(管理者入力シート!$B$14=2,DG6*管理者用人口入力シート!BB$7))</f>
        <v>543.53424065008346</v>
      </c>
      <c r="DI9" s="9">
        <f>IF(管理者入力シート!$B$14=1,DH6*管理者用人口入力シート!BC$3,IF(管理者入力シート!$B$14=2,DH6*管理者用人口入力シート!BC$7))</f>
        <v>423.74467063260187</v>
      </c>
      <c r="DJ9" s="9">
        <f>IF(管理者入力シート!$B$14=1,DI6*管理者用人口入力シート!BD$3,IF(管理者入力シート!$B$14=2,DI6*管理者用人口入力シート!BD$7))</f>
        <v>190.75782525961597</v>
      </c>
      <c r="DK9" s="9">
        <f>IF(管理者入力シート!$B$14=1,DJ6*管理者用人口入力シート!BE$3,IF(管理者入力シート!$B$14=2,DJ6*管理者用人口入力シート!BE$7))</f>
        <v>56.882213775932065</v>
      </c>
      <c r="DL9" s="9">
        <f>IF(管理者入力シート!$B$14=1,DK6*管理者用人口入力シート!BF$3,IF(管理者入力シート!$B$14=2,DK6*管理者用人口入力シート!BF$7))</f>
        <v>15.14690699650254</v>
      </c>
      <c r="DM9" s="9">
        <f t="shared" si="69"/>
        <v>9909.5627957066445</v>
      </c>
      <c r="DN9" s="9">
        <f t="shared" si="34"/>
        <v>569.01993316359199</v>
      </c>
      <c r="DO9" s="9">
        <f t="shared" si="35"/>
        <v>360.12054306845869</v>
      </c>
      <c r="DP9" s="9">
        <f t="shared" si="6"/>
        <v>2770.4473699378914</v>
      </c>
      <c r="DQ9" s="9">
        <f t="shared" si="36"/>
        <v>1738.1817468776687</v>
      </c>
      <c r="DR9" s="13">
        <f t="shared" si="37"/>
        <v>0.27957311811356583</v>
      </c>
      <c r="DS9" s="13">
        <f t="shared" si="38"/>
        <v>0.1754044838013179</v>
      </c>
      <c r="DT9" s="9">
        <f t="shared" si="70"/>
        <v>1727.7506467490782</v>
      </c>
      <c r="DV9" s="7" t="s">
        <v>403</v>
      </c>
      <c r="DW9" s="210">
        <f>DW7+DW8</f>
        <v>-482.49852702897761</v>
      </c>
      <c r="DX9" s="28">
        <f>管理者入力シート!B10</f>
        <v>2035</v>
      </c>
      <c r="DY9" s="3" t="s">
        <v>21</v>
      </c>
      <c r="DZ9" s="9">
        <f>FB10*$AK$13</f>
        <v>598.54128820142489</v>
      </c>
      <c r="EA9" s="129">
        <f>IF(管理者入力シート!$B$14=1,DZ6*管理者用人口入力シート!AM$3,IF(管理者入力シート!$B$14=2,DZ6*管理者用人口入力シート!AM$7))</f>
        <v>546.68082679520171</v>
      </c>
      <c r="EB9" s="9">
        <f>IF(管理者入力シート!$B$14=1,EA6*管理者用人口入力シート!AN$3,IF(管理者入力シート!$B$14=2,EA6*管理者用人口入力シート!AN$7))</f>
        <v>508.56316967423055</v>
      </c>
      <c r="EC9" s="9">
        <f>IF(管理者入力シート!$B$14=1,EB6*管理者用人口入力シート!AO$3,IF(管理者入力シート!$B$14=2,EB6*管理者用人口入力シート!AO$7))</f>
        <v>777.80512958601321</v>
      </c>
      <c r="ED9" s="9">
        <f>IF(管理者入力シート!$B$14=1,EC6*管理者用人口入力シート!AP$3,IF(管理者入力シート!$B$14=2,EC6*管理者用人口入力シート!AP$7))</f>
        <v>394.17690704165733</v>
      </c>
      <c r="EE9" s="9">
        <f>IF(管理者入力シート!$B$14=1,ED6*管理者用人口入力シート!AQ$3,IF(管理者入力シート!$B$14=2,ED6*管理者用人口入力シート!AQ$7))+DX1</f>
        <v>572.98276676887008</v>
      </c>
      <c r="EF9" s="9">
        <f>IF(管理者入力シート!$B$14=1,EE6*管理者用人口入力シート!AR$3,IF(管理者入力シート!$B$14=2,EE6*管理者用人口入力シート!AR$7))+DX1</f>
        <v>613.52615118032384</v>
      </c>
      <c r="EG9" s="9">
        <f>IF(管理者入力シート!$B$14=1,EF6*管理者用人口入力シート!AS$3,IF(管理者入力シート!$B$14=2,EF6*管理者用人口入力シート!AS$7))+DX1</f>
        <v>733.08028819253582</v>
      </c>
      <c r="EH9" s="9">
        <f>IF(管理者入力シート!$B$14=1,EG6*管理者用人口入力シート!AT$3,IF(管理者入力シート!$B$14=2,EG6*管理者用人口入力シート!AT$7))</f>
        <v>623.34493168457618</v>
      </c>
      <c r="EI9" s="9">
        <f>IF(管理者入力シート!$B$14=1,EH6*管理者用人口入力シート!AU$3,IF(管理者入力シート!$B$14=2,EH6*管理者用人口入力シート!AU$7))</f>
        <v>622.26834500644372</v>
      </c>
      <c r="EJ9" s="9">
        <f>IF(管理者入力シート!$B$14=1,EI6*管理者用人口入力シート!AV$3,IF(管理者入力シート!$B$14=2,EI6*管理者用人口入力シート!AV$7))</f>
        <v>705.45576021613624</v>
      </c>
      <c r="EK9" s="9">
        <f>IF(管理者入力シート!$B$14=1,EJ6*管理者用人口入力シート!AW$3,IF(管理者入力シート!$B$14=2,EJ6*管理者用人口入力シート!AW$7))</f>
        <v>752.65104680893876</v>
      </c>
      <c r="EL9" s="9">
        <f>IF(管理者入力シート!$B$14=1,EK6*管理者用人口入力シート!AX$3,IF(管理者入力シート!$B$14=2,EK6*管理者用人口入力シート!AX$7))</f>
        <v>809.02769827342513</v>
      </c>
      <c r="EM9" s="9">
        <f>IF(管理者入力シート!$B$14=1,EL6*管理者用人口入力シート!AY$3,IF(管理者入力シート!$B$14=2,EL6*管理者用人口入力シート!AY$7))</f>
        <v>573.30279580783747</v>
      </c>
      <c r="EN9" s="9">
        <f>IF(管理者入力シート!$B$14=1,EM6*管理者用人口入力シート!AZ$3,IF(管理者入力シート!$B$14=2,EM6*管理者用人口入力シート!AZ$7))</f>
        <v>458.96282725238592</v>
      </c>
      <c r="EO9" s="9">
        <f>IF(管理者入力シート!$B$14=1,EN6*管理者用人口入力シート!BA$3,IF(管理者入力シート!$B$14=2,EN6*管理者用人口入力シート!BA$7))</f>
        <v>508.11588956293264</v>
      </c>
      <c r="EP9" s="9">
        <f>IF(管理者入力シート!$B$14=1,EO6*管理者用人口入力シート!BB$3,IF(管理者入力シート!$B$14=2,EO6*管理者用人口入力シート!BB$7))</f>
        <v>543.53424065008346</v>
      </c>
      <c r="EQ9" s="9">
        <f>IF(管理者入力シート!$B$14=1,EP6*管理者用人口入力シート!BC$3,IF(管理者入力シート!$B$14=2,EP6*管理者用人口入力シート!BC$7))</f>
        <v>423.74467063260187</v>
      </c>
      <c r="ER9" s="9">
        <f>IF(管理者入力シート!$B$14=1,EQ6*管理者用人口入力シート!BD$3,IF(管理者入力シート!$B$14=2,EQ6*管理者用人口入力シート!BD$7))</f>
        <v>190.75782525961597</v>
      </c>
      <c r="ES9" s="9">
        <f>IF(管理者入力シート!$B$14=1,ER6*管理者用人口入力シート!BE$3,IF(管理者入力シート!$B$14=2,ER6*管理者用人口入力シート!BE$7))</f>
        <v>56.882213775932065</v>
      </c>
      <c r="ET9" s="9">
        <f>IF(管理者入力シート!$B$14=1,ES6*管理者用人口入力シート!BF$3,IF(管理者入力シート!$B$14=2,ES6*管理者用人口入力シート!BF$7))</f>
        <v>15.14690699650254</v>
      </c>
      <c r="EU9" s="9">
        <f t="shared" si="71"/>
        <v>11028.551679367672</v>
      </c>
      <c r="EV9" s="9">
        <f t="shared" si="41"/>
        <v>633.14639788165937</v>
      </c>
      <c r="EW9" s="9">
        <f t="shared" si="42"/>
        <v>358.98629378689486</v>
      </c>
      <c r="EX9" s="9">
        <f t="shared" si="10"/>
        <v>2770.4473699378914</v>
      </c>
      <c r="EY9" s="9">
        <f t="shared" si="43"/>
        <v>1738.1817468776687</v>
      </c>
      <c r="EZ9" s="13">
        <f t="shared" si="44"/>
        <v>0.25120681758429558</v>
      </c>
      <c r="FA9" s="13">
        <f t="shared" si="45"/>
        <v>0.15760743544680278</v>
      </c>
      <c r="FB9" s="9">
        <f t="shared" si="72"/>
        <v>2313.7661131833875</v>
      </c>
    </row>
    <row r="10" spans="1:158" x14ac:dyDescent="0.15">
      <c r="A10" s="7" t="str">
        <f t="shared" si="11"/>
        <v>2015_2</v>
      </c>
      <c r="B10" s="29">
        <v>2015</v>
      </c>
      <c r="C10" s="4" t="s">
        <v>22</v>
      </c>
      <c r="D10" s="10">
        <v>521.73657787412344</v>
      </c>
      <c r="E10" s="10">
        <v>597.08596850747676</v>
      </c>
      <c r="F10" s="10">
        <v>538.60714380480488</v>
      </c>
      <c r="G10" s="10">
        <v>610.81060174153629</v>
      </c>
      <c r="H10" s="10">
        <v>400.70140819441127</v>
      </c>
      <c r="I10" s="10">
        <v>520.56822773395561</v>
      </c>
      <c r="J10" s="10">
        <v>669.71153742927777</v>
      </c>
      <c r="K10" s="10">
        <v>828.77017509911514</v>
      </c>
      <c r="L10" s="10">
        <v>849.94155733371042</v>
      </c>
      <c r="M10" s="10">
        <v>625.19554994953455</v>
      </c>
      <c r="N10" s="10">
        <v>597.01687749229313</v>
      </c>
      <c r="O10" s="10">
        <v>693.73192850490568</v>
      </c>
      <c r="P10" s="10">
        <v>836.58986046169116</v>
      </c>
      <c r="Q10" s="10">
        <v>938.30585425335437</v>
      </c>
      <c r="R10" s="10">
        <v>585.85453375502209</v>
      </c>
      <c r="S10" s="10">
        <v>493.07292353914903</v>
      </c>
      <c r="T10" s="10">
        <v>494.0716307269056</v>
      </c>
      <c r="U10" s="10">
        <v>385.38386615930443</v>
      </c>
      <c r="V10" s="10">
        <v>216.34180278324206</v>
      </c>
      <c r="W10" s="10">
        <v>66.417378924501108</v>
      </c>
      <c r="X10" s="10">
        <v>12.084595731685457</v>
      </c>
      <c r="Y10" s="10">
        <f t="shared" si="68"/>
        <v>11481.999999999996</v>
      </c>
      <c r="Z10" s="10">
        <f t="shared" si="12"/>
        <v>681.41586738736896</v>
      </c>
      <c r="AA10" s="10">
        <f t="shared" si="13"/>
        <v>337.60497787022922</v>
      </c>
      <c r="AB10" s="10">
        <f t="shared" si="0"/>
        <v>3191.5325858731644</v>
      </c>
      <c r="AC10" s="10">
        <f t="shared" si="14"/>
        <v>1667.3721978647877</v>
      </c>
      <c r="AD10" s="14">
        <f t="shared" si="15"/>
        <v>0.27795963994714906</v>
      </c>
      <c r="AE10" s="14">
        <f t="shared" si="16"/>
        <v>0.14521618166389028</v>
      </c>
      <c r="AF10" s="10">
        <f t="shared" si="17"/>
        <v>2419.7513484567598</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427.28436663535996</v>
      </c>
      <c r="BL10" s="10">
        <f>IF(管理者入力シート!$B$14=1,BK7*管理者用人口入力シート!AM$4,IF(管理者入力シート!$B$14=2,BK7*管理者用人口入力シート!AM$8))</f>
        <v>439.4642665023182</v>
      </c>
      <c r="BM10" s="10">
        <f>IF(管理者入力シート!$B$14=1,BL7*管理者用人口入力シート!AN$4,IF(管理者入力シート!$B$14=2,BL7*管理者用人口入力シート!AN$8))</f>
        <v>458.98024412457312</v>
      </c>
      <c r="BN10" s="10">
        <f>IF(管理者入力シート!$B$14=1,BM7*管理者用人口入力シート!AO$4,IF(管理者入力シート!$B$14=2,BM7*管理者用人口入力シート!AO$8))</f>
        <v>604.6085114762692</v>
      </c>
      <c r="BO10" s="10">
        <f>IF(管理者入力シート!$B$14=1,BN7*管理者用人口入力シート!AP$4,IF(管理者入力シート!$B$14=2,BN7*管理者用人口入力シート!AP$8))</f>
        <v>467.25224790708705</v>
      </c>
      <c r="BP10" s="10">
        <f>IF(管理者入力シート!$B$14=1,BO7*管理者用人口入力シート!AQ$4,IF(管理者入力シート!$B$14=2,BO7*管理者用人口入力シート!AQ$8))</f>
        <v>530.41113619114753</v>
      </c>
      <c r="BQ10" s="10">
        <f>IF(管理者入力シート!$B$14=1,BP7*管理者用人口入力シート!AR$4,IF(管理者入力シート!$B$14=2,BP7*管理者用人口入力シート!AR$8))</f>
        <v>478.34904066299731</v>
      </c>
      <c r="BR10" s="10">
        <f>IF(管理者入力シート!$B$14=1,BQ7*管理者用人口入力シート!AS$4,IF(管理者入力シート!$B$14=2,BQ7*管理者用人口入力シート!AS$8))</f>
        <v>479.29651475649501</v>
      </c>
      <c r="BS10" s="10">
        <f>IF(管理者入力シート!$B$14=1,BR7*管理者用人口入力シート!AT$4,IF(管理者入力シート!$B$14=2,BR7*管理者用人口入力シート!AT$8))</f>
        <v>463.40629697901056</v>
      </c>
      <c r="BT10" s="10">
        <f>IF(管理者入力シート!$B$14=1,BS7*管理者用人口入力シート!AU$4,IF(管理者入力シート!$B$14=2,BS7*管理者用人口入力シート!AU$8))</f>
        <v>587.98623928816392</v>
      </c>
      <c r="BU10" s="10">
        <f>IF(管理者入力シート!$B$14=1,BT7*管理者用人口入力シート!AV$4,IF(管理者入力シート!$B$14=2,BT7*管理者用人口入力シート!AV$8))</f>
        <v>729.46514573751256</v>
      </c>
      <c r="BV10" s="10">
        <f>IF(管理者入力シート!$B$14=1,BU7*管理者用人口入力シート!AW$4,IF(管理者入力シート!$B$14=2,BU7*管理者用人口入力シート!AW$8))</f>
        <v>878.92429592445558</v>
      </c>
      <c r="BW10" s="10">
        <f>IF(管理者入力シート!$B$14=1,BV7*管理者用人口入力シート!AX$4,IF(管理者入力シート!$B$14=2,BV7*管理者用人口入力シート!AX$8))</f>
        <v>886.09478359704815</v>
      </c>
      <c r="BX10" s="10">
        <f>IF(管理者入力シート!$B$14=1,BW7*管理者用人口入力シート!AY$4,IF(管理者入力シート!$B$14=2,BW7*管理者用人口入力シート!AY$8))</f>
        <v>612.67898344478328</v>
      </c>
      <c r="BY10" s="10">
        <f>IF(管理者入力シート!$B$14=1,BX7*管理者用人口入力シート!AZ$4,IF(管理者入力シート!$B$14=2,BX7*管理者用人口入力シート!AZ$8))</f>
        <v>578.02033246649637</v>
      </c>
      <c r="BZ10" s="10">
        <f>IF(管理者入力シート!$B$14=1,BY7*管理者用人口入力シート!BA$4,IF(管理者入力シート!$B$14=2,BY7*管理者用人口入力シート!BA$8))</f>
        <v>667.26061584947797</v>
      </c>
      <c r="CA10" s="10">
        <f>IF(管理者入力シート!$B$14=1,BZ7*管理者用人口入力シート!BB$4,IF(管理者入力シート!$B$14=2,BZ7*管理者用人口入力シート!BB$8))</f>
        <v>806.04738461672503</v>
      </c>
      <c r="CB10" s="10">
        <f>IF(管理者入力シート!$B$14=1,CA7*管理者用人口入力シート!BC$4,IF(管理者入力シート!$B$14=2,CA7*管理者用人口入力シート!BC$8))</f>
        <v>844.22618230301885</v>
      </c>
      <c r="CC10" s="10">
        <f>IF(管理者入力シート!$B$14=1,CB7*管理者用人口入力シート!BD$4,IF(管理者入力シート!$B$14=2,CB7*管理者用人口入力シート!BD$8))</f>
        <v>409.84065022981429</v>
      </c>
      <c r="CD10" s="10">
        <f>IF(管理者入力シート!$B$14=1,CC7*管理者用人口入力シート!BE$4,IF(管理者入力シート!$B$14=2,CC7*管理者用人口入力シート!BE$8))</f>
        <v>187.14393362788908</v>
      </c>
      <c r="CE10" s="10">
        <f>IF(管理者入力シート!$B$14=1,CD7*管理者用人口入力シート!BF$4,IF(管理者入力シート!$B$14=2,CD7*管理者用人口入力シート!BF$8))</f>
        <v>55.447102142253058</v>
      </c>
      <c r="CF10" s="10">
        <f t="shared" si="2"/>
        <v>11592.188274462897</v>
      </c>
      <c r="CG10" s="10">
        <f t="shared" si="20"/>
        <v>539.06670637613479</v>
      </c>
      <c r="CH10" s="10">
        <f t="shared" si="21"/>
        <v>304.51379994508306</v>
      </c>
      <c r="CI10" s="10">
        <f t="shared" si="3"/>
        <v>4160.6651846804589</v>
      </c>
      <c r="CJ10" s="10">
        <f t="shared" si="22"/>
        <v>2969.9658687691785</v>
      </c>
      <c r="CK10" s="14">
        <f t="shared" si="23"/>
        <v>0.35891973854895276</v>
      </c>
      <c r="CL10" s="14">
        <f t="shared" si="24"/>
        <v>0.25620407454146416</v>
      </c>
      <c r="CM10" s="10">
        <f t="shared" si="25"/>
        <v>1955.3089395177269</v>
      </c>
      <c r="CO10" s="7" t="str">
        <f t="shared" si="26"/>
        <v>2035_2</v>
      </c>
      <c r="CP10" s="29">
        <f>CP9</f>
        <v>2035</v>
      </c>
      <c r="CQ10" s="4" t="s">
        <v>22</v>
      </c>
      <c r="CR10" s="10">
        <f>DT10*$AK$14+将来予測シート②!$H17</f>
        <v>429.83180981759762</v>
      </c>
      <c r="CS10" s="10">
        <f>IF(管理者入力シート!$B$14=1,CR7*管理者用人口入力シート!AM$4,IF(管理者入力シート!$B$14=2,CR7*管理者用人口入力シート!AM$8))+将来予測シート②!$H18</f>
        <v>441.48819342877954</v>
      </c>
      <c r="CT10" s="10">
        <f>IF(管理者入力シート!$B$14=1,CS7*管理者用人口入力シート!AN$4,IF(管理者入力シート!$B$14=2,CS7*管理者用人口入力シート!AN$8))+将来予測シート②!$H19</f>
        <v>461.09531660949739</v>
      </c>
      <c r="CU10" s="10">
        <f>IF(管理者入力シート!$B$14=1,CT7*管理者用人口入力シート!AO$4,IF(管理者入力シート!$B$14=2,CT7*管理者用人口入力シート!AO$8))+将来予測シート②!$H20</f>
        <v>605.79899564287587</v>
      </c>
      <c r="CV10" s="10">
        <f>IF(管理者入力シート!$B$14=1,CU7*管理者用人口入力シート!AP$4,IF(管理者入力シート!$B$14=2,CU7*管理者用人口入力シート!AP$8))+将来予測シート②!$H21</f>
        <v>468.05539855612221</v>
      </c>
      <c r="CW10" s="10">
        <f>IF(管理者入力シート!$B$14=1,CV7*管理者用人口入力シート!AQ$4,IF(管理者入力シート!$B$14=2,CV7*管理者用人口入力シート!AQ$8))+将来予測シート②!$H22</f>
        <v>532.41113619114753</v>
      </c>
      <c r="CX10" s="10">
        <f>IF(管理者入力シート!$B$14=1,CW7*管理者用人口入力シート!AR$4,IF(管理者入力シート!$B$14=2,CW7*管理者用人口入力シート!AR$8))+将来予測シート②!$H23</f>
        <v>480.4340749796234</v>
      </c>
      <c r="CY10" s="10">
        <f>IF(管理者入力シート!$B$14=1,CX7*管理者用人口入力シート!AS$4,IF(管理者入力シート!$B$14=2,CX7*管理者用人口入力シート!AS$8))+将来予測シート②!$H24</f>
        <v>481.48963143416557</v>
      </c>
      <c r="CZ10" s="10">
        <f>IF(管理者入力シート!$B$14=1,CY7*管理者用人口入力シート!AT$4,IF(管理者入力シート!$B$14=2,CY7*管理者用人口入力シート!AT$8))+将来予測シート②!$H25</f>
        <v>464.40629697901056</v>
      </c>
      <c r="DA10" s="10">
        <f>IF(管理者入力シート!$B$14=1,CZ7*管理者用人口入力シート!AU$4,IF(管理者入力シート!$B$14=2,CZ7*管理者用人口入力シート!AU$8))+将来予測シート②!$H26</f>
        <v>589.02219458178331</v>
      </c>
      <c r="DB10" s="10">
        <f>IF(管理者入力シート!$B$14=1,DA7*管理者用人口入力シート!AV$4,IF(管理者入力シート!$B$14=2,DA7*管理者用人口入力シート!AV$8))+将来予測シート②!$H27</f>
        <v>730.50662706070796</v>
      </c>
      <c r="DC10" s="10">
        <f>IF(管理者入力シート!$B$14=1,DB7*管理者用人口入力シート!AW$4,IF(管理者入力シート!$B$14=2,DB7*管理者用人口入力シート!AW$8))+将来予測シート②!$H28</f>
        <v>878.92429592445558</v>
      </c>
      <c r="DD10" s="10">
        <f>IF(管理者入力シート!$B$14=1,DC7*管理者用人口入力シート!AX$4,IF(管理者入力シート!$B$14=2,DC7*管理者用人口入力シート!AX$8))+将来予測シート②!$H29</f>
        <v>886.09478359704815</v>
      </c>
      <c r="DE10" s="10">
        <f>IF(管理者入力シート!$B$14=1,DD7*管理者用人口入力シート!AY$4,IF(管理者入力シート!$B$14=2,DD7*管理者用人口入力シート!AY$8))</f>
        <v>612.67898344478328</v>
      </c>
      <c r="DF10" s="10">
        <f>IF(管理者入力シート!$B$14=1,DE7*管理者用人口入力シート!AZ$4,IF(管理者入力シート!$B$14=2,DE7*管理者用人口入力シート!AZ$8))</f>
        <v>578.02033246649637</v>
      </c>
      <c r="DG10" s="10">
        <f>IF(管理者入力シート!$B$14=1,DF7*管理者用人口入力シート!BA$4,IF(管理者入力シート!$B$14=2,DF7*管理者用人口入力シート!BA$8))</f>
        <v>667.26061584947797</v>
      </c>
      <c r="DH10" s="10">
        <f>IF(管理者入力シート!$B$14=1,DG7*管理者用人口入力シート!BB$4,IF(管理者入力シート!$B$14=2,DG7*管理者用人口入力シート!BB$8))</f>
        <v>806.04738461672503</v>
      </c>
      <c r="DI10" s="10">
        <f>IF(管理者入力シート!$B$14=1,DH7*管理者用人口入力シート!BC$4,IF(管理者入力シート!$B$14=2,DH7*管理者用人口入力シート!BC$8))</f>
        <v>844.22618230301885</v>
      </c>
      <c r="DJ10" s="10">
        <f>IF(管理者入力シート!$B$14=1,DI7*管理者用人口入力シート!BD$4,IF(管理者入力シート!$B$14=2,DI7*管理者用人口入力シート!BD$8))</f>
        <v>409.84065022981429</v>
      </c>
      <c r="DK10" s="10">
        <f>IF(管理者入力シート!$B$14=1,DJ7*管理者用人口入力シート!BE$4,IF(管理者入力シート!$B$14=2,DJ7*管理者用人口入力シート!BE$8))</f>
        <v>187.14393362788908</v>
      </c>
      <c r="DL10" s="10">
        <f>IF(管理者入力シート!$B$14=1,DK7*管理者用人口入力シート!BF$4,IF(管理者入力シート!$B$14=2,DK7*管理者用人口入力シート!BF$8))</f>
        <v>55.447102142253058</v>
      </c>
      <c r="DM10" s="10">
        <f t="shared" si="69"/>
        <v>11610.22393948327</v>
      </c>
      <c r="DN10" s="10">
        <f t="shared" si="34"/>
        <v>541.55010602296613</v>
      </c>
      <c r="DO10" s="10">
        <f t="shared" si="35"/>
        <v>305.59792577237414</v>
      </c>
      <c r="DP10" s="10">
        <f t="shared" si="6"/>
        <v>4160.6651846804589</v>
      </c>
      <c r="DQ10" s="10">
        <f t="shared" si="36"/>
        <v>2969.9658687691785</v>
      </c>
      <c r="DR10" s="14">
        <f t="shared" si="37"/>
        <v>0.35836218201882808</v>
      </c>
      <c r="DS10" s="14">
        <f t="shared" si="38"/>
        <v>0.25580607955968171</v>
      </c>
      <c r="DT10" s="10">
        <f t="shared" si="70"/>
        <v>1962.3902411610588</v>
      </c>
      <c r="DV10" s="62" t="s">
        <v>405</v>
      </c>
      <c r="DW10" s="210">
        <f>((SUM(BL12:BL13)*3/5+SUM(BM12:BM13)+SUM(BN12:BN13)*1/5)-(SUM(E12:E13)*3/5+SUM(F12:F13)+SUM(G12:G13)*1/5))/4</f>
        <v>-128.29916879702347</v>
      </c>
      <c r="DX10" s="29">
        <f>DX9</f>
        <v>2035</v>
      </c>
      <c r="DY10" s="4" t="s">
        <v>22</v>
      </c>
      <c r="DZ10" s="10">
        <f>FB10*$AK$14</f>
        <v>554.45421441154554</v>
      </c>
      <c r="EA10" s="10">
        <f>IF(管理者入力シート!$B$14=1,DZ7*管理者用人口入力シート!AM$4,IF(管理者入力シート!$B$14=2,DZ7*管理者用人口入力シート!AM$8))</f>
        <v>551.36567170226692</v>
      </c>
      <c r="EB10" s="10">
        <f>IF(管理者入力シート!$B$14=1,EA7*管理者用人口入力シート!AN$4,IF(管理者入力シート!$B$14=2,EA7*管理者用人口入力シート!AN$8))</f>
        <v>458.98024412457312</v>
      </c>
      <c r="EC10" s="10">
        <f>IF(管理者入力シート!$B$14=1,EB7*管理者用人口入力シート!AO$4,IF(管理者入力シート!$B$14=2,EB7*管理者用人口入力シート!AO$8))</f>
        <v>604.6085114762692</v>
      </c>
      <c r="ED10" s="10">
        <f>IF(管理者入力シート!$B$14=1,EC7*管理者用人口入力シート!AP$4,IF(管理者入力シート!$B$14=2,EC7*管理者用人口入力シート!AP$8))</f>
        <v>467.25224790708705</v>
      </c>
      <c r="EE10" s="10">
        <f>IF(管理者入力シート!$B$14=1,ED7*管理者用人口入力シート!AQ$4,IF(管理者入力シート!$B$14=2,ED7*管理者用人口入力シート!AQ$8))+DX1</f>
        <v>624.41113619114753</v>
      </c>
      <c r="EF10" s="10">
        <f>IF(管理者入力シート!$B$14=1,EE7*管理者用人口入力シート!AR$4,IF(管理者入力シート!$B$14=2,EE7*管理者用人口入力シート!AR$8))+DX1</f>
        <v>670.34565354442339</v>
      </c>
      <c r="EG10" s="10">
        <f>IF(管理者入力シート!$B$14=1,EF7*管理者用人口入力シート!AS$4,IF(管理者入力シート!$B$14=2,EF7*管理者用人口入力シート!AS$8))+DX1</f>
        <v>775.24569631618624</v>
      </c>
      <c r="EH10" s="10">
        <f>IF(管理者入力シート!$B$14=1,EG7*管理者用人口入力シート!AT$4,IF(管理者入力シート!$B$14=2,EG7*管理者用人口入力シート!AT$8))</f>
        <v>655.17931526959319</v>
      </c>
      <c r="EI10" s="10">
        <f>IF(管理者入力シート!$B$14=1,EH7*管理者用人口入力シート!AU$4,IF(管理者入力シート!$B$14=2,EH7*管理者用人口入力シート!AU$8))</f>
        <v>684.81081802910944</v>
      </c>
      <c r="EJ10" s="10">
        <f>IF(管理者入力シート!$B$14=1,EI7*管理者用人口入力シート!AV$4,IF(管理者入力シート!$B$14=2,EI7*管理者用人口入力シート!AV$8))</f>
        <v>729.46514573751256</v>
      </c>
      <c r="EK10" s="10">
        <f>IF(管理者入力シート!$B$14=1,EJ7*管理者用人口入力シート!AW$4,IF(管理者入力シート!$B$14=2,EJ7*管理者用人口入力シート!AW$8))</f>
        <v>878.92429592445558</v>
      </c>
      <c r="EL10" s="10">
        <f>IF(管理者入力シート!$B$14=1,EK7*管理者用人口入力シート!AX$4,IF(管理者入力シート!$B$14=2,EK7*管理者用人口入力シート!AX$8))</f>
        <v>886.09478359704815</v>
      </c>
      <c r="EM10" s="10">
        <f>IF(管理者入力シート!$B$14=1,EL7*管理者用人口入力シート!AY$4,IF(管理者入力シート!$B$14=2,EL7*管理者用人口入力シート!AY$8))</f>
        <v>612.67898344478328</v>
      </c>
      <c r="EN10" s="10">
        <f>IF(管理者入力シート!$B$14=1,EM7*管理者用人口入力シート!AZ$4,IF(管理者入力シート!$B$14=2,EM7*管理者用人口入力シート!AZ$8))</f>
        <v>578.02033246649637</v>
      </c>
      <c r="EO10" s="10">
        <f>IF(管理者入力シート!$B$14=1,EN7*管理者用人口入力シート!BA$4,IF(管理者入力シート!$B$14=2,EN7*管理者用人口入力シート!BA$8))</f>
        <v>667.26061584947797</v>
      </c>
      <c r="EP10" s="10">
        <f>IF(管理者入力シート!$B$14=1,EO7*管理者用人口入力シート!BB$4,IF(管理者入力シート!$B$14=2,EO7*管理者用人口入力シート!BB$8))</f>
        <v>806.04738461672503</v>
      </c>
      <c r="EQ10" s="10">
        <f>IF(管理者入力シート!$B$14=1,EP7*管理者用人口入力シート!BC$4,IF(管理者入力シート!$B$14=2,EP7*管理者用人口入力シート!BC$8))</f>
        <v>844.22618230301885</v>
      </c>
      <c r="ER10" s="10">
        <f>IF(管理者入力シート!$B$14=1,EQ7*管理者用人口入力シート!BD$4,IF(管理者入力シート!$B$14=2,EQ7*管理者用人口入力シート!BD$8))</f>
        <v>409.84065022981429</v>
      </c>
      <c r="ES10" s="10">
        <f>IF(管理者入力シート!$B$14=1,ER7*管理者用人口入力シート!BE$4,IF(管理者入力シート!$B$14=2,ER7*管理者用人口入力シート!BE$8))</f>
        <v>187.14393362788908</v>
      </c>
      <c r="ET10" s="10">
        <f>IF(管理者入力シート!$B$14=1,ES7*管理者用人口入力シート!BF$4,IF(管理者入力シート!$B$14=2,ES7*管理者用人口入力シート!BF$8))</f>
        <v>55.447102142253058</v>
      </c>
      <c r="EU10" s="10">
        <f t="shared" si="71"/>
        <v>12701.802918911675</v>
      </c>
      <c r="EV10" s="10">
        <f t="shared" si="41"/>
        <v>606.20754949610409</v>
      </c>
      <c r="EW10" s="10">
        <f t="shared" si="42"/>
        <v>304.51379994508306</v>
      </c>
      <c r="EX10" s="10">
        <f t="shared" si="10"/>
        <v>4160.6651846804589</v>
      </c>
      <c r="EY10" s="10">
        <f t="shared" si="43"/>
        <v>2969.9658687691785</v>
      </c>
      <c r="EZ10" s="14">
        <f t="shared" si="44"/>
        <v>0.32756493005301296</v>
      </c>
      <c r="FA10" s="14">
        <f t="shared" si="45"/>
        <v>0.23382238629661034</v>
      </c>
      <c r="FB10" s="10">
        <f t="shared" si="72"/>
        <v>2537.2547339588441</v>
      </c>
    </row>
    <row r="11" spans="1:158" x14ac:dyDescent="0.15">
      <c r="A11" s="7" t="str">
        <f t="shared" si="11"/>
        <v>2015_3</v>
      </c>
      <c r="B11" s="30">
        <v>2015</v>
      </c>
      <c r="C11" s="5" t="s">
        <v>23</v>
      </c>
      <c r="D11" s="11">
        <v>1105.0448124748459</v>
      </c>
      <c r="E11" s="11">
        <v>1186.4124197223939</v>
      </c>
      <c r="F11" s="11">
        <v>1113.5999299915943</v>
      </c>
      <c r="G11" s="11">
        <v>1341.7688094395257</v>
      </c>
      <c r="H11" s="11">
        <v>708.91397742634354</v>
      </c>
      <c r="I11" s="11">
        <v>978.32657762502117</v>
      </c>
      <c r="J11" s="11">
        <v>1307.6439412611549</v>
      </c>
      <c r="K11" s="11">
        <v>1572.3781542379093</v>
      </c>
      <c r="L11" s="11">
        <v>1675.7187589638479</v>
      </c>
      <c r="M11" s="11">
        <v>1205.1659627905167</v>
      </c>
      <c r="N11" s="11">
        <v>1106.1977389697465</v>
      </c>
      <c r="O11" s="11">
        <v>1305.9817272302391</v>
      </c>
      <c r="P11" s="11">
        <v>1568.1150693505563</v>
      </c>
      <c r="Q11" s="11">
        <v>1709.4178785796248</v>
      </c>
      <c r="R11" s="11">
        <v>1151.6121423895456</v>
      </c>
      <c r="S11" s="11">
        <v>879.76411473045459</v>
      </c>
      <c r="T11" s="11">
        <v>798.04558019888191</v>
      </c>
      <c r="U11" s="11">
        <v>575.24055637403092</v>
      </c>
      <c r="V11" s="11">
        <v>278.94385610516667</v>
      </c>
      <c r="W11" s="11">
        <v>83.583867558841263</v>
      </c>
      <c r="X11" s="11">
        <v>17.124124579758927</v>
      </c>
      <c r="Y11" s="11">
        <f t="shared" si="68"/>
        <v>21669.000000000004</v>
      </c>
      <c r="Z11" s="11">
        <f t="shared" si="12"/>
        <v>1380.0074098283931</v>
      </c>
      <c r="AA11" s="11">
        <f t="shared" si="13"/>
        <v>713.79373388454292</v>
      </c>
      <c r="AB11" s="11">
        <f t="shared" si="0"/>
        <v>5493.7321205163053</v>
      </c>
      <c r="AC11" s="11">
        <f t="shared" si="14"/>
        <v>2632.7020995471339</v>
      </c>
      <c r="AD11" s="15">
        <f t="shared" si="15"/>
        <v>0.25352956391694609</v>
      </c>
      <c r="AE11" s="15">
        <f t="shared" si="16"/>
        <v>0.12149624346057195</v>
      </c>
      <c r="AF11" s="11">
        <f t="shared" si="17"/>
        <v>4567.2626505504286</v>
      </c>
      <c r="BH11" s="7" t="str">
        <f t="shared" si="19"/>
        <v>2035_3</v>
      </c>
      <c r="BI11" s="30">
        <f>BI10</f>
        <v>2035</v>
      </c>
      <c r="BJ11" s="5" t="s">
        <v>23</v>
      </c>
      <c r="BK11" s="16">
        <f>BK9+BK10</f>
        <v>888.54397759474023</v>
      </c>
      <c r="BL11" s="16">
        <f t="shared" ref="BL11" si="117">BL9+BL10</f>
        <v>875.19449217397641</v>
      </c>
      <c r="BM11" s="16">
        <f t="shared" ref="BM11" si="118">BM9+BM10</f>
        <v>967.54341379880361</v>
      </c>
      <c r="BN11" s="16">
        <f t="shared" ref="BN11" si="119">BN9+BN10</f>
        <v>1382.4136410622823</v>
      </c>
      <c r="BO11" s="16">
        <f t="shared" ref="BO11" si="120">BO9+BO10</f>
        <v>861.42915494874433</v>
      </c>
      <c r="BP11" s="16">
        <f t="shared" ref="BP11" si="121">BP9+BP10</f>
        <v>1009.3939029600176</v>
      </c>
      <c r="BQ11" s="16">
        <f t="shared" ref="BQ11" si="122">BQ9+BQ10</f>
        <v>899.22487784169448</v>
      </c>
      <c r="BR11" s="16">
        <f t="shared" ref="BR11" si="123">BR9+BR10</f>
        <v>906.0085068581966</v>
      </c>
      <c r="BS11" s="16">
        <f t="shared" ref="BS11" si="124">BS9+BS10</f>
        <v>887.68739169815376</v>
      </c>
      <c r="BT11" s="16">
        <f t="shared" ref="BT11" si="125">BT9+BT10</f>
        <v>1116.4514405225605</v>
      </c>
      <c r="BU11" s="16">
        <f t="shared" ref="BU11" si="126">BU9+BU10</f>
        <v>1434.9209059536488</v>
      </c>
      <c r="BV11" s="16">
        <f t="shared" ref="BV11" si="127">BV9+BV10</f>
        <v>1631.5753427333943</v>
      </c>
      <c r="BW11" s="16">
        <f t="shared" ref="BW11" si="128">BW9+BW10</f>
        <v>1695.1224818704732</v>
      </c>
      <c r="BX11" s="16">
        <f t="shared" ref="BX11" si="129">BX9+BX10</f>
        <v>1185.9817792526208</v>
      </c>
      <c r="BY11" s="16">
        <f t="shared" ref="BY11" si="130">BY9+BY10</f>
        <v>1036.9831597188822</v>
      </c>
      <c r="BZ11" s="16">
        <f t="shared" ref="BZ11" si="131">BZ9+BZ10</f>
        <v>1175.3765054124106</v>
      </c>
      <c r="CA11" s="16">
        <f t="shared" ref="CA11" si="132">CA9+CA10</f>
        <v>1349.5816252668085</v>
      </c>
      <c r="CB11" s="16">
        <f t="shared" ref="CB11" si="133">CB9+CB10</f>
        <v>1267.9708529356208</v>
      </c>
      <c r="CC11" s="16">
        <f t="shared" ref="CC11" si="134">CC9+CC10</f>
        <v>600.59847548943026</v>
      </c>
      <c r="CD11" s="16">
        <f t="shared" ref="CD11" si="135">CD9+CD10</f>
        <v>244.02614740382114</v>
      </c>
      <c r="CE11" s="16">
        <f t="shared" ref="CE11" si="136">CE9+CE10</f>
        <v>70.594009138755595</v>
      </c>
      <c r="CF11" s="11">
        <f t="shared" si="2"/>
        <v>21486.62208463503</v>
      </c>
      <c r="CG11" s="11">
        <f t="shared" si="20"/>
        <v>1105.6427435836681</v>
      </c>
      <c r="CH11" s="11">
        <f t="shared" si="21"/>
        <v>663.50009373197781</v>
      </c>
      <c r="CI11" s="11">
        <f t="shared" si="3"/>
        <v>6931.1125546183512</v>
      </c>
      <c r="CJ11" s="11">
        <f t="shared" si="22"/>
        <v>4708.1476156468461</v>
      </c>
      <c r="CK11" s="15">
        <f t="shared" si="23"/>
        <v>0.32257804541434892</v>
      </c>
      <c r="CL11" s="15">
        <f t="shared" si="24"/>
        <v>0.21911995273624782</v>
      </c>
      <c r="CM11" s="11">
        <f t="shared" si="25"/>
        <v>3676.056442608653</v>
      </c>
      <c r="CO11" s="7" t="str">
        <f t="shared" si="26"/>
        <v>2035_3</v>
      </c>
      <c r="CP11" s="30">
        <f>CP10</f>
        <v>2035</v>
      </c>
      <c r="CQ11" s="5" t="s">
        <v>23</v>
      </c>
      <c r="CR11" s="16">
        <f>CR9+CR10</f>
        <v>893.76190791845988</v>
      </c>
      <c r="CS11" s="16">
        <f t="shared" ref="CS11" si="137">CS9+CS10</f>
        <v>879.14705322734471</v>
      </c>
      <c r="CT11" s="16">
        <f t="shared" ref="CT11" si="138">CT9+CT10</f>
        <v>971.8030120835856</v>
      </c>
      <c r="CU11" s="16">
        <f t="shared" ref="CU11" si="139">CU9+CU10</f>
        <v>1384.9863200369928</v>
      </c>
      <c r="CV11" s="16">
        <f t="shared" ref="CV11" si="140">CV9+CV10</f>
        <v>862.82273432929924</v>
      </c>
      <c r="CW11" s="16">
        <f t="shared" ref="CW11" si="141">CW9+CW10</f>
        <v>1013.3939029600176</v>
      </c>
      <c r="CX11" s="16">
        <f t="shared" ref="CX11" si="142">CX9+CX10</f>
        <v>903.40885500941909</v>
      </c>
      <c r="CY11" s="16">
        <f t="shared" ref="CY11" si="143">CY9+CY10</f>
        <v>910.51539561140123</v>
      </c>
      <c r="CZ11" s="16">
        <f t="shared" ref="CZ11" si="144">CZ9+CZ10</f>
        <v>888.68739169815376</v>
      </c>
      <c r="DA11" s="16">
        <f t="shared" ref="DA11" si="145">DA9+DA10</f>
        <v>1117.48739581618</v>
      </c>
      <c r="DB11" s="16">
        <f t="shared" ref="DB11" si="146">DB9+DB10</f>
        <v>1435.9623872768443</v>
      </c>
      <c r="DC11" s="16">
        <f t="shared" ref="DC11" si="147">DC9+DC10</f>
        <v>1631.5753427333943</v>
      </c>
      <c r="DD11" s="16">
        <f t="shared" ref="DD11" si="148">DD9+DD10</f>
        <v>1695.1224818704732</v>
      </c>
      <c r="DE11" s="16">
        <f t="shared" ref="DE11" si="149">DE9+DE10</f>
        <v>1185.9817792526208</v>
      </c>
      <c r="DF11" s="16">
        <f t="shared" ref="DF11" si="150">DF9+DF10</f>
        <v>1036.9831597188822</v>
      </c>
      <c r="DG11" s="16">
        <f t="shared" ref="DG11" si="151">DG9+DG10</f>
        <v>1175.3765054124106</v>
      </c>
      <c r="DH11" s="16">
        <f t="shared" ref="DH11" si="152">DH9+DH10</f>
        <v>1349.5816252668085</v>
      </c>
      <c r="DI11" s="16">
        <f t="shared" ref="DI11" si="153">DI9+DI10</f>
        <v>1267.9708529356208</v>
      </c>
      <c r="DJ11" s="16">
        <f t="shared" ref="DJ11" si="154">DJ9+DJ10</f>
        <v>600.59847548943026</v>
      </c>
      <c r="DK11" s="16">
        <f t="shared" ref="DK11" si="155">DK9+DK10</f>
        <v>244.02614740382114</v>
      </c>
      <c r="DL11" s="16">
        <f t="shared" ref="DL11" si="156">DL9+DL10</f>
        <v>70.594009138755595</v>
      </c>
      <c r="DM11" s="11">
        <f t="shared" si="69"/>
        <v>21519.786735189915</v>
      </c>
      <c r="DN11" s="11">
        <f t="shared" si="34"/>
        <v>1110.570039186558</v>
      </c>
      <c r="DO11" s="11">
        <f t="shared" si="35"/>
        <v>665.71846884083277</v>
      </c>
      <c r="DP11" s="11">
        <f t="shared" si="6"/>
        <v>6931.1125546183512</v>
      </c>
      <c r="DQ11" s="11">
        <f t="shared" si="36"/>
        <v>4708.1476156468461</v>
      </c>
      <c r="DR11" s="15">
        <f t="shared" si="37"/>
        <v>0.32208091278545764</v>
      </c>
      <c r="DS11" s="15">
        <f t="shared" si="38"/>
        <v>0.21878226181247032</v>
      </c>
      <c r="DT11" s="11">
        <f t="shared" si="70"/>
        <v>3690.1408879101373</v>
      </c>
      <c r="DW11" s="211"/>
      <c r="DX11" s="30">
        <f>DX10</f>
        <v>2035</v>
      </c>
      <c r="DY11" s="5" t="s">
        <v>23</v>
      </c>
      <c r="DZ11" s="16">
        <f>DZ9+DZ10</f>
        <v>1152.9955026129705</v>
      </c>
      <c r="EA11" s="16">
        <f t="shared" ref="EA11" si="157">EA9+EA10</f>
        <v>1098.0464984974687</v>
      </c>
      <c r="EB11" s="16">
        <f t="shared" ref="EB11" si="158">EB9+EB10</f>
        <v>967.54341379880361</v>
      </c>
      <c r="EC11" s="16">
        <f t="shared" ref="EC11" si="159">EC9+EC10</f>
        <v>1382.4136410622823</v>
      </c>
      <c r="ED11" s="16">
        <f t="shared" ref="ED11" si="160">ED9+ED10</f>
        <v>861.42915494874433</v>
      </c>
      <c r="EE11" s="16">
        <f t="shared" ref="EE11" si="161">EE9+EE10</f>
        <v>1197.3939029600176</v>
      </c>
      <c r="EF11" s="16">
        <f t="shared" ref="EF11" si="162">EF9+EF10</f>
        <v>1283.8718047247471</v>
      </c>
      <c r="EG11" s="16">
        <f t="shared" ref="EG11" si="163">EG9+EG10</f>
        <v>1508.3259845087221</v>
      </c>
      <c r="EH11" s="16">
        <f t="shared" ref="EH11" si="164">EH9+EH10</f>
        <v>1278.5242469541695</v>
      </c>
      <c r="EI11" s="16">
        <f t="shared" ref="EI11" si="165">EI9+EI10</f>
        <v>1307.0791630355532</v>
      </c>
      <c r="EJ11" s="16">
        <f t="shared" ref="EJ11" si="166">EJ9+EJ10</f>
        <v>1434.9209059536488</v>
      </c>
      <c r="EK11" s="16">
        <f t="shared" ref="EK11" si="167">EK9+EK10</f>
        <v>1631.5753427333943</v>
      </c>
      <c r="EL11" s="16">
        <f t="shared" ref="EL11" si="168">EL9+EL10</f>
        <v>1695.1224818704732</v>
      </c>
      <c r="EM11" s="16">
        <f t="shared" ref="EM11" si="169">EM9+EM10</f>
        <v>1185.9817792526208</v>
      </c>
      <c r="EN11" s="16">
        <f t="shared" ref="EN11" si="170">EN9+EN10</f>
        <v>1036.9831597188822</v>
      </c>
      <c r="EO11" s="16">
        <f t="shared" ref="EO11" si="171">EO9+EO10</f>
        <v>1175.3765054124106</v>
      </c>
      <c r="EP11" s="16">
        <f t="shared" ref="EP11" si="172">EP9+EP10</f>
        <v>1349.5816252668085</v>
      </c>
      <c r="EQ11" s="16">
        <f t="shared" ref="EQ11" si="173">EQ9+EQ10</f>
        <v>1267.9708529356208</v>
      </c>
      <c r="ER11" s="16">
        <f t="shared" ref="ER11" si="174">ER9+ER10</f>
        <v>600.59847548943026</v>
      </c>
      <c r="ES11" s="16">
        <f t="shared" ref="ES11" si="175">ES9+ES10</f>
        <v>244.02614740382114</v>
      </c>
      <c r="ET11" s="16">
        <f t="shared" ref="ET11" si="176">ET9+ET10</f>
        <v>70.594009138755595</v>
      </c>
      <c r="EU11" s="11">
        <f t="shared" si="71"/>
        <v>23730.35459827934</v>
      </c>
      <c r="EV11" s="11">
        <f t="shared" si="41"/>
        <v>1239.3539473777632</v>
      </c>
      <c r="EW11" s="11">
        <f t="shared" si="42"/>
        <v>663.50009373197781</v>
      </c>
      <c r="EX11" s="11">
        <f t="shared" si="10"/>
        <v>6931.1125546183512</v>
      </c>
      <c r="EY11" s="11">
        <f t="shared" si="43"/>
        <v>4708.1476156468461</v>
      </c>
      <c r="EZ11" s="15">
        <f t="shared" si="44"/>
        <v>0.29207791758497015</v>
      </c>
      <c r="FA11" s="15">
        <f t="shared" si="45"/>
        <v>0.19840190740294408</v>
      </c>
      <c r="FB11" s="11">
        <f t="shared" si="72"/>
        <v>4851.0208471422311</v>
      </c>
    </row>
    <row r="12" spans="1:158" x14ac:dyDescent="0.15">
      <c r="A12" s="7" t="str">
        <f t="shared" si="11"/>
        <v>2020_1</v>
      </c>
      <c r="B12" s="28">
        <v>2020</v>
      </c>
      <c r="C12" s="3" t="s">
        <v>21</v>
      </c>
      <c r="D12" s="9">
        <v>491.67254582955542</v>
      </c>
      <c r="E12" s="9">
        <v>572.90250245073332</v>
      </c>
      <c r="F12" s="9">
        <v>686.75038168831293</v>
      </c>
      <c r="G12" s="9">
        <v>794.75204376450688</v>
      </c>
      <c r="H12" s="9">
        <v>312.24160649040482</v>
      </c>
      <c r="I12" s="9">
        <v>364.08588427987286</v>
      </c>
      <c r="J12" s="9">
        <v>480.40430801723511</v>
      </c>
      <c r="K12" s="9">
        <v>703.2255219774089</v>
      </c>
      <c r="L12" s="9">
        <v>749.03705136676206</v>
      </c>
      <c r="M12" s="9">
        <v>818.07509082388015</v>
      </c>
      <c r="N12" s="9">
        <v>583.03074662196298</v>
      </c>
      <c r="O12" s="9">
        <v>513.74373693969221</v>
      </c>
      <c r="P12" s="9">
        <v>596.95113714172953</v>
      </c>
      <c r="Q12" s="9">
        <v>731.20187528176314</v>
      </c>
      <c r="R12" s="9">
        <v>706.85496778040988</v>
      </c>
      <c r="S12" s="9">
        <v>525.57361764852999</v>
      </c>
      <c r="T12" s="9">
        <v>337.54983344928536</v>
      </c>
      <c r="U12" s="9">
        <v>224.71575819106192</v>
      </c>
      <c r="V12" s="9">
        <v>106.78344559542323</v>
      </c>
      <c r="W12" s="9">
        <v>25.371841136579917</v>
      </c>
      <c r="X12" s="9">
        <v>5.0761035248893949</v>
      </c>
      <c r="Y12" s="9">
        <f t="shared" ref="Y12:Y14" si="177">SUM(D12:X12)</f>
        <v>10330</v>
      </c>
      <c r="Z12" s="9">
        <f>E12*3/5+F12*3/5</f>
        <v>755.79173048342784</v>
      </c>
      <c r="AA12" s="9">
        <f>F12*2/5+G12*1/5</f>
        <v>433.65056142822652</v>
      </c>
      <c r="AB12" s="9">
        <f t="shared" ref="AB12:AB14" si="178">SUM(Q12:X12)</f>
        <v>2663.1274426079422</v>
      </c>
      <c r="AC12" s="9">
        <f>SUM(S12:X12)</f>
        <v>1225.0705995457699</v>
      </c>
      <c r="AD12" s="13">
        <f>AB12/Y12</f>
        <v>0.25780517353416671</v>
      </c>
      <c r="AE12" s="13">
        <f>AC12/Y12</f>
        <v>0.11859347527064569</v>
      </c>
      <c r="AF12" s="9">
        <f>SUM(H12:K12)</f>
        <v>1859.9573207649219</v>
      </c>
      <c r="AK12" s="61">
        <f>管理者入力シート!B5</f>
        <v>2020</v>
      </c>
      <c r="AL12" s="62"/>
      <c r="BH12" s="7" t="str">
        <f t="shared" si="19"/>
        <v>2040_1</v>
      </c>
      <c r="BI12" s="28">
        <f>管理者入力シート!B11</f>
        <v>2040</v>
      </c>
      <c r="BJ12" s="3" t="s">
        <v>21</v>
      </c>
      <c r="BK12" s="9">
        <f>CM13*$AK$13</f>
        <v>462.27584107326408</v>
      </c>
      <c r="BL12" s="9">
        <f>IF(管理者入力シート!$B$14=1,BK9*管理者用人口入力シート!AM$3,IF(管理者入力シート!$B$14=2,BK9*管理者用人口入力シート!AM$7))</f>
        <v>453.03112440880562</v>
      </c>
      <c r="BM12" s="9">
        <f>IF(管理者入力シート!$B$14=1,BL9*管理者用人口入力シート!AN$3,IF(管理者入力シート!$B$14=2,BL9*管理者用人口入力シート!AN$7))</f>
        <v>507.76254515007196</v>
      </c>
      <c r="BN12" s="9">
        <f>IF(管理者入力シート!$B$14=1,BM9*管理者用人口入力シート!AO$3,IF(管理者入力シート!$B$14=2,BM9*管理者用人口入力シート!AO$7))</f>
        <v>702.93337271652274</v>
      </c>
      <c r="BO12" s="9">
        <f>IF(管理者入力シート!$B$14=1,BN9*管理者用人口入力シート!AP$3,IF(管理者入力シート!$B$14=2,BN9*管理者用人口入力シート!AP$7))</f>
        <v>332.25309004089911</v>
      </c>
      <c r="BP12" s="9">
        <f>IF(管理者入力シート!$B$14=1,BO9*管理者用人口入力シート!AQ$3,IF(管理者入力シート!$B$14=2,BO9*管理者用人口入力シート!AQ$7))</f>
        <v>465.63398799927421</v>
      </c>
      <c r="BQ12" s="9">
        <f>IF(管理者入力シート!$B$14=1,BP9*管理者用人口入力シート!AR$3,IF(管理者入力シート!$B$14=2,BP9*管理者用人口入力シート!AR$7))</f>
        <v>502.67872705443551</v>
      </c>
      <c r="BR12" s="9">
        <f>IF(管理者入力シート!$B$14=1,BQ9*管理者用人口入力シート!AS$3,IF(管理者入力シート!$B$14=2,BQ9*管理者用人口入力シート!AS$7))</f>
        <v>463.95296509451089</v>
      </c>
      <c r="BS12" s="9">
        <f>IF(管理者入力シート!$B$14=1,BR9*管理者用人口入力シート!AT$3,IF(管理者入力シート!$B$14=2,BR9*管理者用人口入力シート!AT$7))</f>
        <v>429.82741083126302</v>
      </c>
      <c r="BT12" s="9">
        <f>IF(管理者入力シート!$B$14=1,BS9*管理者用人口入力シート!AU$3,IF(管理者入力シート!$B$14=2,BS9*管理者用人口入力シート!AU$7))</f>
        <v>420.32378032722715</v>
      </c>
      <c r="BU12" s="9">
        <f>IF(管理者入力シート!$B$14=1,BT9*管理者用人口入力シート!AV$3,IF(管理者入力シート!$B$14=2,BT9*管理者用人口入力シート!AV$7))</f>
        <v>531.25375711863262</v>
      </c>
      <c r="BV12" s="9">
        <f>IF(管理者入力シート!$B$14=1,BU9*管理者用人口入力シート!AW$3,IF(管理者入力シート!$B$14=2,BU9*管理者用人口入力シート!AW$7))</f>
        <v>711.77749581445619</v>
      </c>
      <c r="BW12" s="9">
        <f>IF(管理者入力シート!$B$14=1,BV9*管理者用人口入力シート!AX$3,IF(管理者入力シート!$B$14=2,BV9*管理者用人口入力シート!AX$7))</f>
        <v>733.84409304652388</v>
      </c>
      <c r="BX12" s="9">
        <f>IF(管理者入力シート!$B$14=1,BW9*管理者用人口入力シート!AY$3,IF(管理者入力シート!$B$14=2,BW9*管理者用人口入力シート!AY$7))</f>
        <v>808.67010862272059</v>
      </c>
      <c r="BY12" s="9">
        <f>IF(管理者入力シート!$B$14=1,BX9*管理者用人口入力シート!AZ$3,IF(管理者入力シート!$B$14=2,BX9*管理者用人口入力シート!AZ$7))</f>
        <v>525.52925706641963</v>
      </c>
      <c r="BZ12" s="9">
        <f>IF(管理者入力シート!$B$14=1,BY9*管理者用人口入力シート!BA$3,IF(管理者入力シート!$B$14=2,BY9*管理者用人口入力シート!BA$7))</f>
        <v>426.36413510624106</v>
      </c>
      <c r="CA12" s="9">
        <f>IF(管理者入力シート!$B$14=1,BZ9*管理者用人口入力シート!BB$3,IF(管理者入力シート!$B$14=2,BZ9*管理者用人口入力シート!BB$7))</f>
        <v>443.54367981982551</v>
      </c>
      <c r="CB12" s="9">
        <f>IF(管理者入力シート!$B$14=1,CA9*管理者用人口入力シート!BC$3,IF(管理者入力シート!$B$14=2,CA9*管理者用人口入力シート!BC$7))</f>
        <v>401.81308037301699</v>
      </c>
      <c r="CC12" s="9">
        <f>IF(管理者入力シート!$B$14=1,CB9*管理者用人口入力シート!BD$3,IF(管理者入力シート!$B$14=2,CB9*管理者用人口入力シート!BD$7))</f>
        <v>238.33195412640339</v>
      </c>
      <c r="CD12" s="9">
        <f>IF(管理者入力シート!$B$14=1,CC9*管理者用人口入力シート!BE$3,IF(管理者入力シート!$B$14=2,CC9*管理者用人口入力シート!BE$7))</f>
        <v>77.311796997422363</v>
      </c>
      <c r="CE12" s="9">
        <f>IF(管理者入力シート!$B$14=1,CD9*管理者用人口入力シート!BF$3,IF(管理者入力シート!$B$14=2,CD9*管理者用人口入力シート!BF$7))</f>
        <v>16.819980603017449</v>
      </c>
      <c r="CF12" s="9">
        <f t="shared" si="2"/>
        <v>9655.9321833909526</v>
      </c>
      <c r="CG12" s="9">
        <f t="shared" si="20"/>
        <v>576.47620173532653</v>
      </c>
      <c r="CH12" s="9">
        <f t="shared" si="21"/>
        <v>343.69169260333331</v>
      </c>
      <c r="CI12" s="9">
        <f t="shared" si="3"/>
        <v>2938.3839927150666</v>
      </c>
      <c r="CJ12" s="9">
        <f t="shared" si="22"/>
        <v>1604.1846270259268</v>
      </c>
      <c r="CK12" s="13">
        <f t="shared" si="23"/>
        <v>0.30430868163814817</v>
      </c>
      <c r="CL12" s="13">
        <f t="shared" si="24"/>
        <v>0.16613462030991319</v>
      </c>
      <c r="CM12" s="9">
        <f t="shared" si="25"/>
        <v>1764.5187701891196</v>
      </c>
      <c r="CO12" s="7" t="str">
        <f t="shared" si="26"/>
        <v>2040_1</v>
      </c>
      <c r="CP12" s="28">
        <f>管理者入力シート!B11</f>
        <v>2040</v>
      </c>
      <c r="CQ12" s="3" t="s">
        <v>21</v>
      </c>
      <c r="CR12" s="9">
        <f>DT13*$AK$13+将来予測シート②!$G17</f>
        <v>465.14729284524759</v>
      </c>
      <c r="CS12" s="9">
        <f>IF(管理者入力シート!$B$14=1,CR9*管理者用人口入力シート!AM$3,IF(管理者入力シート!$B$14=2,CR9*管理者用人口入力シート!AM$7))+将来予測シート②!$G18</f>
        <v>455.65397228813453</v>
      </c>
      <c r="CT12" s="9">
        <f>IF(管理者入力シート!$B$14=1,CS9*管理者用人口入力シート!AN$3,IF(管理者入力シート!$B$14=2,CS9*管理者用人口入力シート!AN$7))+将来予測シート②!$G19</f>
        <v>511.01000955636141</v>
      </c>
      <c r="CU12" s="9">
        <f>IF(管理者入力シート!$B$14=1,CT9*管理者用人口入力シート!AO$3,IF(管理者入力シート!$B$14=2,CT9*管理者用人口入力シート!AO$7))+将来予測シート②!$G20</f>
        <v>705.89752514293059</v>
      </c>
      <c r="CV12" s="9">
        <f>IF(管理者入力シート!$B$14=1,CU9*管理者用人口入力シート!AP$3,IF(管理者入力シート!$B$14=2,CU9*管理者用人口入力シート!AP$7))+将来予測シート②!$G21</f>
        <v>332.84351877241875</v>
      </c>
      <c r="CW12" s="9">
        <f>IF(管理者入力シート!$B$14=1,CV9*管理者用人口入力シート!AQ$3,IF(管理者入力シート!$B$14=2,CV9*管理者用人口入力シート!AQ$7))+将来予測シート②!$G22</f>
        <v>468.33145068665027</v>
      </c>
      <c r="CX12" s="9">
        <f>IF(管理者入力シート!$B$14=1,CW9*管理者用人口入力シート!AR$3,IF(管理者入力シート!$B$14=2,CW9*管理者用人口入力シート!AR$7))+将来予測シート②!$G23</f>
        <v>504.77766990553391</v>
      </c>
      <c r="CY12" s="9">
        <f>IF(管理者入力シート!$B$14=1,CX9*管理者用人口入力シート!AS$3,IF(管理者入力シート!$B$14=2,CX9*管理者用人口入力シート!AS$7))+将来予測シート②!$G24</f>
        <v>466.26673717004479</v>
      </c>
      <c r="CZ12" s="9">
        <f>IF(管理者入力シート!$B$14=1,CY9*管理者用人口入力シート!AT$3,IF(管理者入力シート!$B$14=2,CY9*管理者用人口入力シート!AT$7))+将来予測シート②!$G25</f>
        <v>432.1580757267634</v>
      </c>
      <c r="DA12" s="9">
        <f>IF(管理者入力シート!$B$14=1,CZ9*管理者用人口入力シート!AU$3,IF(管理者入力シート!$B$14=2,CZ9*管理者用人口入力シート!AU$7))+将来予測シート②!$G26</f>
        <v>420.32378032722715</v>
      </c>
      <c r="DB12" s="9">
        <f>IF(管理者入力シート!$B$14=1,DA9*管理者用人口入力シート!AV$3,IF(管理者入力シート!$B$14=2,DA9*管理者用人口入力シート!AV$7))+将来予測シート②!$G27</f>
        <v>531.25375711863262</v>
      </c>
      <c r="DC12" s="9">
        <f>IF(管理者入力シート!$B$14=1,DB9*管理者用人口入力シート!AW$3,IF(管理者入力シート!$B$14=2,DB9*管理者用人口入力シート!AW$7))+将来予測シート②!$G28</f>
        <v>711.77749581445619</v>
      </c>
      <c r="DD12" s="9">
        <f>IF(管理者入力シート!$B$14=1,DC9*管理者用人口入力シート!AX$3,IF(管理者入力シート!$B$14=2,DC9*管理者用人口入力シート!AX$7))+将来予測シート②!$G29</f>
        <v>733.84409304652388</v>
      </c>
      <c r="DE12" s="9">
        <f>IF(管理者入力シート!$B$14=1,DD9*管理者用人口入力シート!AY$3,IF(管理者入力シート!$B$14=2,DD9*管理者用人口入力シート!AY$7))</f>
        <v>808.67010862272059</v>
      </c>
      <c r="DF12" s="9">
        <f>IF(管理者入力シート!$B$14=1,DE9*管理者用人口入力シート!AZ$3,IF(管理者入力シート!$B$14=2,DE9*管理者用人口入力シート!AZ$7))</f>
        <v>525.52925706641963</v>
      </c>
      <c r="DG12" s="9">
        <f>IF(管理者入力シート!$B$14=1,DF9*管理者用人口入力シート!BA$3,IF(管理者入力シート!$B$14=2,DF9*管理者用人口入力シート!BA$7))</f>
        <v>426.36413510624106</v>
      </c>
      <c r="DH12" s="9">
        <f>IF(管理者入力シート!$B$14=1,DG9*管理者用人口入力シート!BB$3,IF(管理者入力シート!$B$14=2,DG9*管理者用人口入力シート!BB$7))</f>
        <v>443.54367981982551</v>
      </c>
      <c r="DI12" s="9">
        <f>IF(管理者入力シート!$B$14=1,DH9*管理者用人口入力シート!BC$3,IF(管理者入力シート!$B$14=2,DH9*管理者用人口入力シート!BC$7))</f>
        <v>401.81308037301699</v>
      </c>
      <c r="DJ12" s="9">
        <f>IF(管理者入力シート!$B$14=1,DI9*管理者用人口入力シート!BD$3,IF(管理者入力シート!$B$14=2,DI9*管理者用人口入力シート!BD$7))</f>
        <v>238.33195412640339</v>
      </c>
      <c r="DK12" s="9">
        <f>IF(管理者入力シート!$B$14=1,DJ9*管理者用人口入力シート!BE$3,IF(管理者入力シート!$B$14=2,DJ9*管理者用人口入力シート!BE$7))</f>
        <v>77.311796997422363</v>
      </c>
      <c r="DL12" s="9">
        <f>IF(管理者入力シート!$B$14=1,DK9*管理者用人口入力シート!BF$3,IF(管理者入力シート!$B$14=2,DK9*管理者用人口入力シート!BF$7))</f>
        <v>16.819980603017449</v>
      </c>
      <c r="DM12" s="9">
        <f t="shared" si="69"/>
        <v>9677.6693711159915</v>
      </c>
      <c r="DN12" s="9">
        <f t="shared" si="34"/>
        <v>579.99838910669757</v>
      </c>
      <c r="DO12" s="9">
        <f t="shared" si="35"/>
        <v>345.58350885113066</v>
      </c>
      <c r="DP12" s="9">
        <f t="shared" si="6"/>
        <v>2938.3839927150666</v>
      </c>
      <c r="DQ12" s="9">
        <f t="shared" si="36"/>
        <v>1604.1846270259268</v>
      </c>
      <c r="DR12" s="13">
        <f t="shared" si="37"/>
        <v>0.30362516841967951</v>
      </c>
      <c r="DS12" s="13">
        <f t="shared" si="38"/>
        <v>0.16576146234276015</v>
      </c>
      <c r="DT12" s="9">
        <f t="shared" si="70"/>
        <v>1772.2193765346476</v>
      </c>
      <c r="DV12" s="212"/>
      <c r="DX12" s="28">
        <f>管理者入力シート!B11</f>
        <v>2040</v>
      </c>
      <c r="DY12" s="3" t="s">
        <v>21</v>
      </c>
      <c r="DZ12" s="9">
        <f>FB13*$AK$13</f>
        <v>599.55751831530881</v>
      </c>
      <c r="EA12" s="129">
        <f>IF(管理者入力シート!$B$14=1,DZ9*管理者用人口入力シート!AM$3,IF(管理者入力シート!$B$14=2,DZ9*管理者用人口入力シート!AM$7))</f>
        <v>587.86381108677949</v>
      </c>
      <c r="EB12" s="9">
        <f>IF(管理者入力シート!$B$14=1,EA9*管理者用人口入力シート!AN$3,IF(管理者入力シート!$B$14=2,EA9*管理者用人口入力シート!AN$7))</f>
        <v>637.05483724566989</v>
      </c>
      <c r="EC12" s="9">
        <f>IF(管理者入力シート!$B$14=1,EB9*管理者用人口入力シート!AO$3,IF(管理者入力シート!$B$14=2,EB9*管理者用人口入力シート!AO$7))</f>
        <v>702.93337271652274</v>
      </c>
      <c r="ED12" s="9">
        <f>IF(管理者入力シート!$B$14=1,EC9*管理者用人口入力シート!AP$3,IF(管理者入力シート!$B$14=2,EC9*管理者用人口入力シート!AP$7))</f>
        <v>332.25309004089911</v>
      </c>
      <c r="EE12" s="9">
        <f>IF(管理者入力シート!$B$14=1,ED9*管理者用人口入力シート!AQ$3,IF(管理者入力シート!$B$14=2,ED9*管理者用人口入力シート!AQ$7))+DX1</f>
        <v>559.63398799927427</v>
      </c>
      <c r="EF12" s="9">
        <f>IF(管理者入力シート!$B$14=1,EE9*管理者用人口入力シート!AR$3,IF(管理者入力シート!$B$14=2,EE9*管理者用人口入力シート!AR$7))+DX1</f>
        <v>695.32904105606212</v>
      </c>
      <c r="EG12" s="9">
        <f>IF(管理者入力シート!$B$14=1,EF9*管理者用人口入力シート!AS$3,IF(管理者入力シート!$B$14=2,EF9*管理者用人口入力シート!AS$7))+DX1</f>
        <v>770.32126118534495</v>
      </c>
      <c r="EH12" s="9">
        <f>IF(管理者入力シート!$B$14=1,EG9*管理者用人口入力シート!AT$3,IF(管理者入力シート!$B$14=2,EG9*管理者用人口入力シート!AT$7))</f>
        <v>738.43249788521052</v>
      </c>
      <c r="EI12" s="9">
        <f>IF(管理者入力シート!$B$14=1,EH9*管理者用人口入力シート!AU$3,IF(管理者入力シート!$B$14=2,EH9*管理者用人口入力シート!AU$7))</f>
        <v>617.53092794982069</v>
      </c>
      <c r="EJ12" s="9">
        <f>IF(管理者入力シート!$B$14=1,EI9*管理者用人口入力シート!AV$3,IF(管理者入力シート!$B$14=2,EI9*管理者用人口入力シート!AV$7))</f>
        <v>625.55187257077216</v>
      </c>
      <c r="EK12" s="9">
        <f>IF(管理者入力シート!$B$14=1,EJ9*管理者用人口入力シート!AW$3,IF(管理者入力シート!$B$14=2,EJ9*管理者用人口入力シート!AW$7))</f>
        <v>711.77749581445619</v>
      </c>
      <c r="EL12" s="9">
        <f>IF(管理者入力シート!$B$14=1,EK9*管理者用人口入力シート!AX$3,IF(管理者入力シート!$B$14=2,EK9*管理者用人口入力シート!AX$7))</f>
        <v>733.84409304652388</v>
      </c>
      <c r="EM12" s="9">
        <f>IF(管理者入力シート!$B$14=1,EL9*管理者用人口入力シート!AY$3,IF(管理者入力シート!$B$14=2,EL9*管理者用人口入力シート!AY$7))</f>
        <v>808.67010862272059</v>
      </c>
      <c r="EN12" s="9">
        <f>IF(管理者入力シート!$B$14=1,EM9*管理者用人口入力シート!AZ$3,IF(管理者入力シート!$B$14=2,EM9*管理者用人口入力シート!AZ$7))</f>
        <v>525.52925706641963</v>
      </c>
      <c r="EO12" s="9">
        <f>IF(管理者入力シート!$B$14=1,EN9*管理者用人口入力シート!BA$3,IF(管理者入力シート!$B$14=2,EN9*管理者用人口入力シート!BA$7))</f>
        <v>426.36413510624106</v>
      </c>
      <c r="EP12" s="9">
        <f>IF(管理者入力シート!$B$14=1,EO9*管理者用人口入力シート!BB$3,IF(管理者入力シート!$B$14=2,EO9*管理者用人口入力シート!BB$7))</f>
        <v>443.54367981982551</v>
      </c>
      <c r="EQ12" s="9">
        <f>IF(管理者入力シート!$B$14=1,EP9*管理者用人口入力シート!BC$3,IF(管理者入力シート!$B$14=2,EP9*管理者用人口入力シート!BC$7))</f>
        <v>401.81308037301699</v>
      </c>
      <c r="ER12" s="9">
        <f>IF(管理者入力シート!$B$14=1,EQ9*管理者用人口入力シート!BD$3,IF(管理者入力シート!$B$14=2,EQ9*管理者用人口入力シート!BD$7))</f>
        <v>238.33195412640339</v>
      </c>
      <c r="ES12" s="9">
        <f>IF(管理者入力シート!$B$14=1,ER9*管理者用人口入力シート!BE$3,IF(管理者入力シート!$B$14=2,ER9*管理者用人口入力シート!BE$7))</f>
        <v>77.311796997422363</v>
      </c>
      <c r="ET12" s="9">
        <f>IF(管理者入力シート!$B$14=1,ES9*管理者用人口入力シート!BF$3,IF(管理者入力シート!$B$14=2,ES9*管理者用人口入力シート!BF$7))</f>
        <v>16.819980603017449</v>
      </c>
      <c r="EU12" s="9">
        <f t="shared" si="71"/>
        <v>11250.467799627713</v>
      </c>
      <c r="EV12" s="9">
        <f t="shared" si="41"/>
        <v>734.95118899946965</v>
      </c>
      <c r="EW12" s="9">
        <f t="shared" si="42"/>
        <v>395.40860944157248</v>
      </c>
      <c r="EX12" s="9">
        <f t="shared" si="10"/>
        <v>2938.3839927150666</v>
      </c>
      <c r="EY12" s="9">
        <f t="shared" si="43"/>
        <v>1604.1846270259268</v>
      </c>
      <c r="EZ12" s="13">
        <f t="shared" si="44"/>
        <v>0.26117882785392266</v>
      </c>
      <c r="FA12" s="13">
        <f t="shared" si="45"/>
        <v>0.14258825993697885</v>
      </c>
      <c r="FB12" s="9">
        <f t="shared" si="72"/>
        <v>2357.5373802815807</v>
      </c>
    </row>
    <row r="13" spans="1:158" x14ac:dyDescent="0.15">
      <c r="A13" s="7" t="str">
        <f t="shared" si="11"/>
        <v>2020_2</v>
      </c>
      <c r="B13" s="29">
        <v>2020</v>
      </c>
      <c r="C13" s="4" t="s">
        <v>22</v>
      </c>
      <c r="D13" s="10">
        <v>455.45715979732108</v>
      </c>
      <c r="E13" s="10">
        <v>557.91521188302659</v>
      </c>
      <c r="F13" s="10">
        <v>622.61997157480323</v>
      </c>
      <c r="G13" s="10">
        <v>641.2032767208733</v>
      </c>
      <c r="H13" s="10">
        <v>412.07850132487033</v>
      </c>
      <c r="I13" s="10">
        <v>425.02398649101951</v>
      </c>
      <c r="J13" s="10">
        <v>542.70130948526071</v>
      </c>
      <c r="K13" s="10">
        <v>704.42751481481525</v>
      </c>
      <c r="L13" s="10">
        <v>824.04487434309556</v>
      </c>
      <c r="M13" s="10">
        <v>880.50145558696477</v>
      </c>
      <c r="N13" s="10">
        <v>628.53049029015745</v>
      </c>
      <c r="O13" s="10">
        <v>611.4144941751166</v>
      </c>
      <c r="P13" s="10">
        <v>678.08196137781204</v>
      </c>
      <c r="Q13" s="10">
        <v>814.66601592457323</v>
      </c>
      <c r="R13" s="10">
        <v>931.95362080903658</v>
      </c>
      <c r="S13" s="10">
        <v>596.05483956116268</v>
      </c>
      <c r="T13" s="10">
        <v>482.77617587918508</v>
      </c>
      <c r="U13" s="10">
        <v>449.28646504162577</v>
      </c>
      <c r="V13" s="10">
        <v>297.61461134270741</v>
      </c>
      <c r="W13" s="10">
        <v>119.41976997274132</v>
      </c>
      <c r="X13" s="10">
        <v>19.228293603832185</v>
      </c>
      <c r="Y13" s="10">
        <f t="shared" si="177"/>
        <v>11694.999999999998</v>
      </c>
      <c r="Z13" s="10">
        <f t="shared" ref="Z13:Z14" si="179">E13*3/5+F13*3/5</f>
        <v>708.32111007469791</v>
      </c>
      <c r="AA13" s="10">
        <f t="shared" ref="AA13:AA14" si="180">F13*2/5+G13*1/5</f>
        <v>377.28864397409598</v>
      </c>
      <c r="AB13" s="10">
        <f t="shared" si="178"/>
        <v>3710.9997921348649</v>
      </c>
      <c r="AC13" s="10">
        <f t="shared" ref="AC13:AC14" si="181">SUM(S13:X13)</f>
        <v>1964.3801554012543</v>
      </c>
      <c r="AD13" s="14">
        <f t="shared" ref="AD13:AD14" si="182">AB13/Y13</f>
        <v>0.31731507414577731</v>
      </c>
      <c r="AE13" s="14">
        <f t="shared" ref="AE13:AE14" si="183">AC13/Y13</f>
        <v>0.16796752076966692</v>
      </c>
      <c r="AF13" s="10">
        <f t="shared" ref="AF13:AF14" si="184">SUM(H13:K13)</f>
        <v>2084.2313121159659</v>
      </c>
      <c r="AI13" s="60" t="s">
        <v>47</v>
      </c>
      <c r="AJ13" s="1" t="s">
        <v>21</v>
      </c>
      <c r="AK13" s="8">
        <f>VLOOKUP(AK12&amp;"_1",A:D,4,FALSE)/VLOOKUP(AK12&amp;"_2",A:AF,32,FALSE)</f>
        <v>0.23590114157261971</v>
      </c>
      <c r="AL13" s="63"/>
      <c r="BH13" s="7" t="str">
        <f t="shared" si="19"/>
        <v>2040_2</v>
      </c>
      <c r="BI13" s="29">
        <f>BI12</f>
        <v>2040</v>
      </c>
      <c r="BJ13" s="4" t="s">
        <v>22</v>
      </c>
      <c r="BK13" s="10">
        <f>CM13*$AK$14</f>
        <v>428.22574374761899</v>
      </c>
      <c r="BL13" s="10">
        <f>IF(管理者入力シート!$B$14=1,BK10*管理者用人口入力シート!AM$4,IF(管理者入力シート!$B$14=2,BK10*管理者用人口入力シート!AM$8))</f>
        <v>456.91342730274573</v>
      </c>
      <c r="BM13" s="10">
        <f>IF(管理者入力シート!$B$14=1,BL10*管理者用人口入力シート!AN$4,IF(管理者入力シート!$B$14=2,BL10*管理者用人口入力シート!AN$8))</f>
        <v>458.25767736893124</v>
      </c>
      <c r="BN13" s="10">
        <f>IF(管理者入力シート!$B$14=1,BM10*管理者用人口入力シート!AO$4,IF(管理者入力シート!$B$14=2,BM10*管理者用人口入力シート!AO$8))</f>
        <v>546.40871341557795</v>
      </c>
      <c r="BO13" s="10">
        <f>IF(管理者入力シート!$B$14=1,BN10*管理者用人口入力シート!AP$4,IF(管理者入力シート!$B$14=2,BN10*管理者用人口入力シート!AP$8))</f>
        <v>407.89431058832139</v>
      </c>
      <c r="BP13" s="10">
        <f>IF(管理者入力シート!$B$14=1,BO10*管理者用人口入力シート!AQ$4,IF(管理者入力シート!$B$14=2,BO10*管理者用人口入力シート!AQ$8))</f>
        <v>495.61446264248525</v>
      </c>
      <c r="BQ13" s="10">
        <f>IF(管理者入力シート!$B$14=1,BP10*管理者用人口入力シート!AR$4,IF(管理者入力シート!$B$14=2,BP10*管理者用人口入力シート!AR$8))</f>
        <v>552.9627104395878</v>
      </c>
      <c r="BR13" s="10">
        <f>IF(管理者入力シート!$B$14=1,BQ10*管理者用人口入力シート!AS$4,IF(管理者入力シート!$B$14=2,BQ10*管理者用人口入力シート!AS$8))</f>
        <v>503.14532018028694</v>
      </c>
      <c r="BS13" s="10">
        <f>IF(管理者入力シート!$B$14=1,BR10*管理者用人口入力シート!AT$4,IF(管理者入力シート!$B$14=2,BR10*管理者用人口入力シート!AT$8))</f>
        <v>476.56376658144688</v>
      </c>
      <c r="BT13" s="10">
        <f>IF(管理者入力シート!$B$14=1,BS10*管理者用人口入力シート!AU$4,IF(管理者入力シート!$B$14=2,BS10*管理者用人口入力シート!AU$8))</f>
        <v>480.06820645196467</v>
      </c>
      <c r="BU13" s="10">
        <f>IF(管理者入力シート!$B$14=1,BT10*管理者用人口入力シート!AV$4,IF(管理者入力シート!$B$14=2,BT10*管理者用人口入力シート!AV$8))</f>
        <v>591.12269640032912</v>
      </c>
      <c r="BV13" s="10">
        <f>IF(管理者入力シート!$B$14=1,BU10*管理者用人口入力シート!AW$4,IF(管理者入力シート!$B$14=2,BU10*管理者用人口入力シート!AW$8))</f>
        <v>747.05687546536137</v>
      </c>
      <c r="BW13" s="10">
        <f>IF(管理者入力シート!$B$14=1,BV10*管理者用人口入力シート!AX$4,IF(管理者入力シート!$B$14=2,BV10*管理者用人口入力シート!AX$8))</f>
        <v>859.09655588073872</v>
      </c>
      <c r="BX13" s="10">
        <f>IF(管理者入力シート!$B$14=1,BW10*管理者用人口入力シート!AY$4,IF(管理者入力シート!$B$14=2,BW10*管理者用人口入力シート!AY$8))</f>
        <v>862.8736029458604</v>
      </c>
      <c r="BY13" s="10">
        <f>IF(管理者入力シート!$B$14=1,BX10*管理者用人口入力シート!AZ$4,IF(管理者入力シート!$B$14=2,BX10*管理者用人口入力シート!AZ$8))</f>
        <v>608.53121018766603</v>
      </c>
      <c r="BZ13" s="10">
        <f>IF(管理者入力シート!$B$14=1,BY10*管理者用人口入力シート!BA$4,IF(管理者入力シート!$B$14=2,BY10*管理者用人口入力シート!BA$8))</f>
        <v>588.08423709404133</v>
      </c>
      <c r="CA13" s="10">
        <f>IF(管理者入力シート!$B$14=1,BZ10*管理者用人口入力シート!BB$4,IF(管理者入力シート!$B$14=2,BZ10*管理者用人口入力シート!BB$8))</f>
        <v>653.32633988981115</v>
      </c>
      <c r="CB13" s="10">
        <f>IF(管理者入力シート!$B$14=1,CA10*管理者用人口入力シート!BC$4,IF(管理者入力シート!$B$14=2,CA10*管理者用人口入力シート!BC$8))</f>
        <v>732.98314974629602</v>
      </c>
      <c r="CC13" s="10">
        <f>IF(管理者入力シート!$B$14=1,CB10*管理者用人口入力シート!BD$4,IF(管理者入力シート!$B$14=2,CB10*管理者用人口入力シート!BD$8))</f>
        <v>651.95787679287753</v>
      </c>
      <c r="CD13" s="10">
        <f>IF(管理者入力シート!$B$14=1,CC10*管理者用人口入力シート!BE$4,IF(管理者入力シート!$B$14=2,CC10*管理者用人口入力シート!BE$8))</f>
        <v>226.23032417345794</v>
      </c>
      <c r="CE13" s="10">
        <f>IF(管理者入力シート!$B$14=1,CD10*管理者用人口入力シート!BF$4,IF(管理者入力シート!$B$14=2,CD10*管理者用人口入力シート!BF$8))</f>
        <v>54.179471702182411</v>
      </c>
      <c r="CF13" s="10">
        <f t="shared" si="2"/>
        <v>11381.496678997586</v>
      </c>
      <c r="CG13" s="10">
        <f t="shared" si="20"/>
        <v>549.1026628030063</v>
      </c>
      <c r="CH13" s="10">
        <f t="shared" si="21"/>
        <v>292.58481363068813</v>
      </c>
      <c r="CI13" s="10">
        <f t="shared" si="3"/>
        <v>4378.1662125321927</v>
      </c>
      <c r="CJ13" s="10">
        <f t="shared" si="22"/>
        <v>2906.7613993986665</v>
      </c>
      <c r="CK13" s="14">
        <f t="shared" si="23"/>
        <v>0.38467403154554147</v>
      </c>
      <c r="CL13" s="14">
        <f t="shared" si="24"/>
        <v>0.25539359904770248</v>
      </c>
      <c r="CM13" s="10">
        <f t="shared" si="25"/>
        <v>1959.6168038506812</v>
      </c>
      <c r="CO13" s="7" t="str">
        <f t="shared" si="26"/>
        <v>2040_2</v>
      </c>
      <c r="CP13" s="29">
        <f>CP12</f>
        <v>2040</v>
      </c>
      <c r="CQ13" s="4" t="s">
        <v>22</v>
      </c>
      <c r="CR13" s="10">
        <f>DT13*$AK$14+将来予測シート②!$H17</f>
        <v>430.95934900175644</v>
      </c>
      <c r="CS13" s="10">
        <f>IF(管理者入力シート!$B$14=1,CR10*管理者用人口入力シート!AM$4,IF(管理者入力シート!$B$14=2,CR10*管理者用人口入力シート!AM$8))+将来予測シート②!$H18</f>
        <v>459.63751712709575</v>
      </c>
      <c r="CT13" s="10">
        <f>IF(管理者入力シート!$B$14=1,CS10*管理者用人口入力シート!AN$4,IF(管理者入力シート!$B$14=2,CS10*管理者用人口入力シート!AN$8))+将来予測シート②!$H19</f>
        <v>461.36815624783168</v>
      </c>
      <c r="CU13" s="10">
        <f>IF(管理者入力シート!$B$14=1,CT10*管理者用人口入力シート!AO$4,IF(管理者入力シート!$B$14=2,CT10*管理者用人口入力シート!AO$8))+将来予測シート②!$H20</f>
        <v>548.92667372010578</v>
      </c>
      <c r="CV13" s="10">
        <f>IF(管理者入力シート!$B$14=1,CU10*管理者用人口入力シート!AP$4,IF(管理者入力シート!$B$14=2,CU10*管理者用人口入力シート!AP$8))+将来予測シート②!$H21</f>
        <v>408.69746123735655</v>
      </c>
      <c r="CW13" s="10">
        <f>IF(管理者入力シート!$B$14=1,CV10*管理者用人口入力シート!AQ$4,IF(管理者入力シート!$B$14=2,CV10*管理者用人口入力シート!AQ$8))+将来予測シート②!$H22</f>
        <v>498.4663645415676</v>
      </c>
      <c r="CX13" s="10">
        <f>IF(管理者入力シート!$B$14=1,CW10*管理者用人口入力シート!AR$4,IF(管理者入力シート!$B$14=2,CW10*管理者用人口入力シート!AR$8))+将来予測シート②!$H23</f>
        <v>555.04774475621389</v>
      </c>
      <c r="CY13" s="10">
        <f>IF(管理者入力シート!$B$14=1,CX10*管理者用人口入力シート!AS$4,IF(管理者入力シート!$B$14=2,CX10*管理者用人口入力シート!AS$8))+将来予測シート②!$H24</f>
        <v>505.3384368579575</v>
      </c>
      <c r="CZ13" s="10">
        <f>IF(管理者入力シート!$B$14=1,CY10*管理者用人口入力シート!AT$4,IF(管理者入力シート!$B$14=2,CY10*管理者用人口入力シート!AT$8))+将来予測シート②!$H25</f>
        <v>479.74437902548743</v>
      </c>
      <c r="DA13" s="10">
        <f>IF(管理者入力シート!$B$14=1,CZ10*管理者用人口入力シート!AU$4,IF(管理者入力シート!$B$14=2,CZ10*管理者用人口入力シート!AU$8))+将来予測シート②!$H26</f>
        <v>481.10416174558407</v>
      </c>
      <c r="DB13" s="10">
        <f>IF(管理者入力シート!$B$14=1,DA10*管理者用人口入力シート!AV$4,IF(管理者入力シート!$B$14=2,DA10*管理者用人口入力シート!AV$8))+将来予測シート②!$H27</f>
        <v>592.1641777235244</v>
      </c>
      <c r="DC13" s="10">
        <f>IF(管理者入力シート!$B$14=1,DB10*管理者用人口入力シート!AW$4,IF(管理者入力シート!$B$14=2,DB10*管理者用人口入力シート!AW$8))+将来予測シート②!$H28</f>
        <v>748.12347307829486</v>
      </c>
      <c r="DD13" s="10">
        <f>IF(管理者入力シート!$B$14=1,DC10*管理者用人口入力シート!AX$4,IF(管理者入力シート!$B$14=2,DC10*管理者用人口入力シート!AX$8))+将来予測シート②!$H29</f>
        <v>859.09655588073872</v>
      </c>
      <c r="DE13" s="10">
        <f>IF(管理者入力シート!$B$14=1,DD10*管理者用人口入力シート!AY$4,IF(管理者入力シート!$B$14=2,DD10*管理者用人口入力シート!AY$8))</f>
        <v>862.8736029458604</v>
      </c>
      <c r="DF13" s="10">
        <f>IF(管理者入力シート!$B$14=1,DE10*管理者用人口入力シート!AZ$4,IF(管理者入力シート!$B$14=2,DE10*管理者用人口入力シート!AZ$8))</f>
        <v>608.53121018766603</v>
      </c>
      <c r="DG13" s="10">
        <f>IF(管理者入力シート!$B$14=1,DF10*管理者用人口入力シート!BA$4,IF(管理者入力シート!$B$14=2,DF10*管理者用人口入力シート!BA$8))</f>
        <v>588.08423709404133</v>
      </c>
      <c r="DH13" s="10">
        <f>IF(管理者入力シート!$B$14=1,DG10*管理者用人口入力シート!BB$4,IF(管理者入力シート!$B$14=2,DG10*管理者用人口入力シート!BB$8))</f>
        <v>653.32633988981115</v>
      </c>
      <c r="DI13" s="10">
        <f>IF(管理者入力シート!$B$14=1,DH10*管理者用人口入力シート!BC$4,IF(管理者入力シート!$B$14=2,DH10*管理者用人口入力シート!BC$8))</f>
        <v>732.98314974629602</v>
      </c>
      <c r="DJ13" s="10">
        <f>IF(管理者入力シート!$B$14=1,DI10*管理者用人口入力シート!BD$4,IF(管理者入力シート!$B$14=2,DI10*管理者用人口入力シート!BD$8))</f>
        <v>651.95787679287753</v>
      </c>
      <c r="DK13" s="10">
        <f>IF(管理者入力シート!$B$14=1,DJ10*管理者用人口入力シート!BE$4,IF(管理者入力シート!$B$14=2,DJ10*管理者用人口入力シート!BE$8))</f>
        <v>226.23032417345794</v>
      </c>
      <c r="DL13" s="10">
        <f>IF(管理者入力シート!$B$14=1,DK10*管理者用人口入力シート!BF$4,IF(管理者入力シート!$B$14=2,DK10*管理者用人口入力シート!BF$8))</f>
        <v>54.179471702182411</v>
      </c>
      <c r="DM13" s="10">
        <f t="shared" si="69"/>
        <v>11406.840663475705</v>
      </c>
      <c r="DN13" s="10">
        <f t="shared" si="34"/>
        <v>552.60340402495649</v>
      </c>
      <c r="DO13" s="10">
        <f t="shared" si="35"/>
        <v>294.33259724315383</v>
      </c>
      <c r="DP13" s="10">
        <f t="shared" si="6"/>
        <v>4378.1662125321927</v>
      </c>
      <c r="DQ13" s="10">
        <f t="shared" si="36"/>
        <v>2906.7613993986665</v>
      </c>
      <c r="DR13" s="14">
        <f t="shared" si="37"/>
        <v>0.38381935381555071</v>
      </c>
      <c r="DS13" s="14">
        <f t="shared" si="38"/>
        <v>0.25482615959614591</v>
      </c>
      <c r="DT13" s="10">
        <f t="shared" si="70"/>
        <v>1967.5500073930955</v>
      </c>
      <c r="DV13" s="62"/>
      <c r="DX13" s="29">
        <f>DX12</f>
        <v>2040</v>
      </c>
      <c r="DY13" s="4" t="s">
        <v>22</v>
      </c>
      <c r="DZ13" s="10">
        <f>FB13*$AK$14</f>
        <v>555.39559152380457</v>
      </c>
      <c r="EA13" s="10">
        <f>IF(管理者入力シート!$B$14=1,DZ10*管理者用人口入力シート!AM$4,IF(管理者入力シート!$B$14=2,DZ10*管理者用人口入力シート!AM$8))</f>
        <v>592.90157836602145</v>
      </c>
      <c r="EB13" s="10">
        <f>IF(管理者入力シート!$B$14=1,EA10*管理者用人口入力シート!AN$4,IF(管理者入力シート!$B$14=2,EA10*管理者用人口入力シート!AN$8))</f>
        <v>574.94447524986356</v>
      </c>
      <c r="EC13" s="10">
        <f>IF(管理者入力シート!$B$14=1,EB10*管理者用人口入力シート!AO$4,IF(管理者入力シート!$B$14=2,EB10*管理者用人口入力シート!AO$8))</f>
        <v>546.40871341557795</v>
      </c>
      <c r="ED13" s="10">
        <f>IF(管理者入力シート!$B$14=1,EC10*管理者用人口入力シート!AP$4,IF(管理者入力シート!$B$14=2,EC10*管理者用人口入力シート!AP$8))</f>
        <v>407.89431058832139</v>
      </c>
      <c r="EE13" s="10">
        <f>IF(管理者入力シート!$B$14=1,ED10*管理者用人口入力シート!AQ$4,IF(管理者入力シート!$B$14=2,ED10*管理者用人口入力シート!AQ$8))+DX1</f>
        <v>589.61446264248525</v>
      </c>
      <c r="EF13" s="10">
        <f>IF(管理者入力シート!$B$14=1,EE10*管理者用人口入力シート!AR$4,IF(管理者入力シート!$B$14=2,EE10*管理者用人口入力シート!AR$8))+DX1</f>
        <v>744.95932332101393</v>
      </c>
      <c r="EG13" s="10">
        <f>IF(管理者入力シート!$B$14=1,EF10*管理者用人口入力シート!AS$4,IF(管理者入力シート!$B$14=2,EF10*管理者用人口入力シート!AS$8))+DX1</f>
        <v>799.09450173997811</v>
      </c>
      <c r="EH13" s="10">
        <f>IF(管理者入力シート!$B$14=1,EG10*管理者用人口入力シート!AT$4,IF(管理者入力シート!$B$14=2,EG10*管理者用人口入力シート!AT$8))</f>
        <v>770.82556974193335</v>
      </c>
      <c r="EI13" s="10">
        <f>IF(管理者入力シート!$B$14=1,EH10*管理者用人口入力シート!AU$4,IF(管理者入力シート!$B$14=2,EH10*管理者用人口入力シート!AU$8))</f>
        <v>678.73647992346162</v>
      </c>
      <c r="EJ13" s="10">
        <f>IF(管理者入力シート!$B$14=1,EI10*管理者用人口入力シート!AV$4,IF(管理者入力シート!$B$14=2,EI10*管理者用人口入力シート!AV$8))</f>
        <v>688.4637602532257</v>
      </c>
      <c r="EK13" s="10">
        <f>IF(管理者入力シート!$B$14=1,EJ10*管理者用人口入力シート!AW$4,IF(管理者入力シート!$B$14=2,EJ10*管理者用人口入力シート!AW$8))</f>
        <v>747.05687546536137</v>
      </c>
      <c r="EL13" s="10">
        <f>IF(管理者入力シート!$B$14=1,EK10*管理者用人口入力シート!AX$4,IF(管理者入力シート!$B$14=2,EK10*管理者用人口入力シート!AX$8))</f>
        <v>859.09655588073872</v>
      </c>
      <c r="EM13" s="10">
        <f>IF(管理者入力シート!$B$14=1,EL10*管理者用人口入力シート!AY$4,IF(管理者入力シート!$B$14=2,EL10*管理者用人口入力シート!AY$8))</f>
        <v>862.8736029458604</v>
      </c>
      <c r="EN13" s="10">
        <f>IF(管理者入力シート!$B$14=1,EM10*管理者用人口入力シート!AZ$4,IF(管理者入力シート!$B$14=2,EM10*管理者用人口入力シート!AZ$8))</f>
        <v>608.53121018766603</v>
      </c>
      <c r="EO13" s="10">
        <f>IF(管理者入力シート!$B$14=1,EN10*管理者用人口入力シート!BA$4,IF(管理者入力シート!$B$14=2,EN10*管理者用人口入力シート!BA$8))</f>
        <v>588.08423709404133</v>
      </c>
      <c r="EP13" s="10">
        <f>IF(管理者入力シート!$B$14=1,EO10*管理者用人口入力シート!BB$4,IF(管理者入力シート!$B$14=2,EO10*管理者用人口入力シート!BB$8))</f>
        <v>653.32633988981115</v>
      </c>
      <c r="EQ13" s="10">
        <f>IF(管理者入力シート!$B$14=1,EP10*管理者用人口入力シート!BC$4,IF(管理者入力シート!$B$14=2,EP10*管理者用人口入力シート!BC$8))</f>
        <v>732.98314974629602</v>
      </c>
      <c r="ER13" s="10">
        <f>IF(管理者入力シート!$B$14=1,EQ10*管理者用人口入力シート!BD$4,IF(管理者入力シート!$B$14=2,EQ10*管理者用人口入力シート!BD$8))</f>
        <v>651.95787679287753</v>
      </c>
      <c r="ES13" s="10">
        <f>IF(管理者入力シート!$B$14=1,ER10*管理者用人口入力シート!BE$4,IF(管理者入力シート!$B$14=2,ER10*管理者用人口入力シート!BE$8))</f>
        <v>226.23032417345794</v>
      </c>
      <c r="ET13" s="10">
        <f>IF(管理者入力シート!$B$14=1,ES10*管理者用人口入力シート!BF$4,IF(管理者入力シート!$B$14=2,ES10*管理者用人口入力シート!BF$8))</f>
        <v>54.179471702182411</v>
      </c>
      <c r="EU13" s="10">
        <f t="shared" si="71"/>
        <v>12933.558410643978</v>
      </c>
      <c r="EV13" s="10">
        <f t="shared" si="41"/>
        <v>700.70763216953105</v>
      </c>
      <c r="EW13" s="10">
        <f t="shared" si="42"/>
        <v>339.25953278306099</v>
      </c>
      <c r="EX13" s="10">
        <f t="shared" si="10"/>
        <v>4378.1662125321927</v>
      </c>
      <c r="EY13" s="10">
        <f t="shared" si="43"/>
        <v>2906.7613993986665</v>
      </c>
      <c r="EZ13" s="14">
        <f t="shared" si="44"/>
        <v>0.33851211503626699</v>
      </c>
      <c r="FA13" s="14">
        <f t="shared" si="45"/>
        <v>0.22474568151379579</v>
      </c>
      <c r="FB13" s="10">
        <f t="shared" si="72"/>
        <v>2541.5625982917986</v>
      </c>
    </row>
    <row r="14" spans="1:158" x14ac:dyDescent="0.15">
      <c r="A14" s="7" t="str">
        <f t="shared" si="11"/>
        <v>2020_3</v>
      </c>
      <c r="B14" s="30">
        <v>2020</v>
      </c>
      <c r="C14" s="5" t="s">
        <v>23</v>
      </c>
      <c r="D14" s="11">
        <v>947.12970562687656</v>
      </c>
      <c r="E14" s="11">
        <v>1130.8177143337598</v>
      </c>
      <c r="F14" s="11">
        <v>1309.3703532631162</v>
      </c>
      <c r="G14" s="11">
        <v>1435.9553204853801</v>
      </c>
      <c r="H14" s="11">
        <v>724.32010781527515</v>
      </c>
      <c r="I14" s="11">
        <v>789.10987077089237</v>
      </c>
      <c r="J14" s="11">
        <v>1023.1056175024958</v>
      </c>
      <c r="K14" s="11">
        <v>1407.6530367922242</v>
      </c>
      <c r="L14" s="11">
        <v>1573.0819257098576</v>
      </c>
      <c r="M14" s="11">
        <v>1698.5765464108449</v>
      </c>
      <c r="N14" s="11">
        <v>1211.5612369121204</v>
      </c>
      <c r="O14" s="11">
        <v>1125.1582311148088</v>
      </c>
      <c r="P14" s="11">
        <v>1275.0330985195415</v>
      </c>
      <c r="Q14" s="11">
        <v>1545.8678912063365</v>
      </c>
      <c r="R14" s="11">
        <v>1638.8085885894466</v>
      </c>
      <c r="S14" s="11">
        <v>1121.6284572096927</v>
      </c>
      <c r="T14" s="11">
        <v>820.32600932847049</v>
      </c>
      <c r="U14" s="11">
        <v>674.0022232326877</v>
      </c>
      <c r="V14" s="11">
        <v>404.39805693813065</v>
      </c>
      <c r="W14" s="11">
        <v>144.79161110932125</v>
      </c>
      <c r="X14" s="11">
        <v>24.304397128721579</v>
      </c>
      <c r="Y14" s="11">
        <f t="shared" si="177"/>
        <v>22025</v>
      </c>
      <c r="Z14" s="11">
        <f t="shared" si="179"/>
        <v>1464.1128405581255</v>
      </c>
      <c r="AA14" s="11">
        <f t="shared" si="180"/>
        <v>810.9392054023225</v>
      </c>
      <c r="AB14" s="11">
        <f t="shared" si="178"/>
        <v>6374.1272347428076</v>
      </c>
      <c r="AC14" s="11">
        <f t="shared" si="181"/>
        <v>3189.4507549470245</v>
      </c>
      <c r="AD14" s="15">
        <f t="shared" si="182"/>
        <v>0.28940418772952586</v>
      </c>
      <c r="AE14" s="15">
        <f t="shared" si="183"/>
        <v>0.14481047695559704</v>
      </c>
      <c r="AF14" s="11">
        <f t="shared" si="184"/>
        <v>3944.1886328808878</v>
      </c>
      <c r="AI14" s="43"/>
      <c r="AJ14" s="1" t="s">
        <v>22</v>
      </c>
      <c r="AK14" s="8">
        <f>VLOOKUP(AK12&amp;"_2",A:D,4,FALSE)/VLOOKUP(AK12&amp;"_2",A:AF,32,FALSE)</f>
        <v>0.21852524580629637</v>
      </c>
      <c r="AL14" s="63"/>
      <c r="BH14" s="7" t="str">
        <f t="shared" si="19"/>
        <v>2040_3</v>
      </c>
      <c r="BI14" s="30">
        <f>BI13</f>
        <v>2040</v>
      </c>
      <c r="BJ14" s="5" t="s">
        <v>23</v>
      </c>
      <c r="BK14" s="16">
        <f>BK12+BK13</f>
        <v>890.50158482088307</v>
      </c>
      <c r="BL14" s="16">
        <f t="shared" ref="BL14" si="185">BL12+BL13</f>
        <v>909.94455171155141</v>
      </c>
      <c r="BM14" s="16">
        <f t="shared" ref="BM14" si="186">BM12+BM13</f>
        <v>966.02022251900326</v>
      </c>
      <c r="BN14" s="16">
        <f t="shared" ref="BN14" si="187">BN12+BN13</f>
        <v>1249.3420861321006</v>
      </c>
      <c r="BO14" s="16">
        <f t="shared" ref="BO14" si="188">BO12+BO13</f>
        <v>740.14740062922056</v>
      </c>
      <c r="BP14" s="16">
        <f t="shared" ref="BP14" si="189">BP12+BP13</f>
        <v>961.24845064175952</v>
      </c>
      <c r="BQ14" s="16">
        <f t="shared" ref="BQ14" si="190">BQ12+BQ13</f>
        <v>1055.6414374940232</v>
      </c>
      <c r="BR14" s="16">
        <f t="shared" ref="BR14" si="191">BR12+BR13</f>
        <v>967.09828527479783</v>
      </c>
      <c r="BS14" s="16">
        <f t="shared" ref="BS14" si="192">BS12+BS13</f>
        <v>906.39117741270991</v>
      </c>
      <c r="BT14" s="16">
        <f t="shared" ref="BT14" si="193">BT12+BT13</f>
        <v>900.39198677919183</v>
      </c>
      <c r="BU14" s="16">
        <f t="shared" ref="BU14" si="194">BU12+BU13</f>
        <v>1122.3764535189616</v>
      </c>
      <c r="BV14" s="16">
        <f t="shared" ref="BV14" si="195">BV12+BV13</f>
        <v>1458.8343712798176</v>
      </c>
      <c r="BW14" s="16">
        <f t="shared" ref="BW14" si="196">BW12+BW13</f>
        <v>1592.9406489272626</v>
      </c>
      <c r="BX14" s="16">
        <f t="shared" ref="BX14" si="197">BX12+BX13</f>
        <v>1671.5437115685809</v>
      </c>
      <c r="BY14" s="16">
        <f t="shared" ref="BY14" si="198">BY12+BY13</f>
        <v>1134.0604672540858</v>
      </c>
      <c r="BZ14" s="16">
        <f t="shared" ref="BZ14" si="199">BZ12+BZ13</f>
        <v>1014.4483722002824</v>
      </c>
      <c r="CA14" s="16">
        <f t="shared" ref="CA14" si="200">CA12+CA13</f>
        <v>1096.8700197096366</v>
      </c>
      <c r="CB14" s="16">
        <f t="shared" ref="CB14" si="201">CB12+CB13</f>
        <v>1134.7962301193129</v>
      </c>
      <c r="CC14" s="16">
        <f t="shared" ref="CC14" si="202">CC12+CC13</f>
        <v>890.28983091928092</v>
      </c>
      <c r="CD14" s="16">
        <f t="shared" ref="CD14" si="203">CD12+CD13</f>
        <v>303.54212117088031</v>
      </c>
      <c r="CE14" s="16">
        <f t="shared" ref="CE14" si="204">CE12+CE13</f>
        <v>70.999452305199867</v>
      </c>
      <c r="CF14" s="11">
        <f t="shared" si="2"/>
        <v>21037.428862388551</v>
      </c>
      <c r="CG14" s="11">
        <f t="shared" si="20"/>
        <v>1125.5788645383327</v>
      </c>
      <c r="CH14" s="11">
        <f t="shared" si="21"/>
        <v>636.27650623402144</v>
      </c>
      <c r="CI14" s="11">
        <f t="shared" si="3"/>
        <v>7316.5502052472593</v>
      </c>
      <c r="CJ14" s="11">
        <f t="shared" si="22"/>
        <v>4510.9460264245927</v>
      </c>
      <c r="CK14" s="15">
        <f t="shared" si="23"/>
        <v>0.34778728204414955</v>
      </c>
      <c r="CL14" s="15">
        <f t="shared" si="24"/>
        <v>0.21442477861395978</v>
      </c>
      <c r="CM14" s="11">
        <f t="shared" si="25"/>
        <v>3724.1355740398012</v>
      </c>
      <c r="CO14" s="7" t="str">
        <f t="shared" si="26"/>
        <v>2040_3</v>
      </c>
      <c r="CP14" s="30">
        <f>CP13</f>
        <v>2040</v>
      </c>
      <c r="CQ14" s="5" t="s">
        <v>23</v>
      </c>
      <c r="CR14" s="16">
        <f>CR12+CR13</f>
        <v>896.10664184700408</v>
      </c>
      <c r="CS14" s="16">
        <f t="shared" ref="CS14" si="205">CS12+CS13</f>
        <v>915.29148941523022</v>
      </c>
      <c r="CT14" s="16">
        <f t="shared" ref="CT14" si="206">CT12+CT13</f>
        <v>972.37816580419303</v>
      </c>
      <c r="CU14" s="16">
        <f t="shared" ref="CU14" si="207">CU12+CU13</f>
        <v>1254.8241988630364</v>
      </c>
      <c r="CV14" s="16">
        <f t="shared" ref="CV14" si="208">CV12+CV13</f>
        <v>741.54098000977524</v>
      </c>
      <c r="CW14" s="16">
        <f t="shared" ref="CW14" si="209">CW12+CW13</f>
        <v>966.79781522821781</v>
      </c>
      <c r="CX14" s="16">
        <f t="shared" ref="CX14" si="210">CX12+CX13</f>
        <v>1059.8254146617478</v>
      </c>
      <c r="CY14" s="16">
        <f t="shared" ref="CY14" si="211">CY12+CY13</f>
        <v>971.60517402800224</v>
      </c>
      <c r="CZ14" s="16">
        <f t="shared" ref="CZ14" si="212">CZ12+CZ13</f>
        <v>911.90245475225083</v>
      </c>
      <c r="DA14" s="16">
        <f t="shared" ref="DA14" si="213">DA12+DA13</f>
        <v>901.42794207281122</v>
      </c>
      <c r="DB14" s="16">
        <f t="shared" ref="DB14" si="214">DB12+DB13</f>
        <v>1123.4179348421571</v>
      </c>
      <c r="DC14" s="16">
        <f t="shared" ref="DC14" si="215">DC12+DC13</f>
        <v>1459.9009688927511</v>
      </c>
      <c r="DD14" s="16">
        <f t="shared" ref="DD14" si="216">DD12+DD13</f>
        <v>1592.9406489272626</v>
      </c>
      <c r="DE14" s="16">
        <f t="shared" ref="DE14" si="217">DE12+DE13</f>
        <v>1671.5437115685809</v>
      </c>
      <c r="DF14" s="16">
        <f t="shared" ref="DF14" si="218">DF12+DF13</f>
        <v>1134.0604672540858</v>
      </c>
      <c r="DG14" s="16">
        <f t="shared" ref="DG14" si="219">DG12+DG13</f>
        <v>1014.4483722002824</v>
      </c>
      <c r="DH14" s="16">
        <f t="shared" ref="DH14" si="220">DH12+DH13</f>
        <v>1096.8700197096366</v>
      </c>
      <c r="DI14" s="16">
        <f t="shared" ref="DI14" si="221">DI12+DI13</f>
        <v>1134.7962301193129</v>
      </c>
      <c r="DJ14" s="16">
        <f t="shared" ref="DJ14" si="222">DJ12+DJ13</f>
        <v>890.28983091928092</v>
      </c>
      <c r="DK14" s="16">
        <f t="shared" ref="DK14" si="223">DK12+DK13</f>
        <v>303.54212117088031</v>
      </c>
      <c r="DL14" s="16">
        <f t="shared" ref="DL14" si="224">DL12+DL13</f>
        <v>70.999452305199867</v>
      </c>
      <c r="DM14" s="11">
        <f t="shared" si="69"/>
        <v>21084.510034591702</v>
      </c>
      <c r="DN14" s="11">
        <f t="shared" si="34"/>
        <v>1132.6017931316542</v>
      </c>
      <c r="DO14" s="11">
        <f t="shared" si="35"/>
        <v>639.91610609428449</v>
      </c>
      <c r="DP14" s="11">
        <f t="shared" si="6"/>
        <v>7316.5502052472593</v>
      </c>
      <c r="DQ14" s="11">
        <f t="shared" si="36"/>
        <v>4510.9460264245927</v>
      </c>
      <c r="DR14" s="15">
        <f t="shared" si="37"/>
        <v>0.34701068192922524</v>
      </c>
      <c r="DS14" s="15">
        <f t="shared" si="38"/>
        <v>0.21394597356181563</v>
      </c>
      <c r="DT14" s="11">
        <f t="shared" si="70"/>
        <v>3739.7693839277431</v>
      </c>
      <c r="DX14" s="30">
        <f>DX13</f>
        <v>2040</v>
      </c>
      <c r="DY14" s="5" t="s">
        <v>23</v>
      </c>
      <c r="DZ14" s="16">
        <f>DZ12+DZ13</f>
        <v>1154.9531098391135</v>
      </c>
      <c r="EA14" s="16">
        <f t="shared" ref="EA14" si="225">EA12+EA13</f>
        <v>1180.7653894528009</v>
      </c>
      <c r="EB14" s="16">
        <f t="shared" ref="EB14" si="226">EB12+EB13</f>
        <v>1211.9993124955336</v>
      </c>
      <c r="EC14" s="16">
        <f t="shared" ref="EC14" si="227">EC12+EC13</f>
        <v>1249.3420861321006</v>
      </c>
      <c r="ED14" s="16">
        <f t="shared" ref="ED14" si="228">ED12+ED13</f>
        <v>740.14740062922056</v>
      </c>
      <c r="EE14" s="16">
        <f t="shared" ref="EE14" si="229">EE12+EE13</f>
        <v>1149.2484506417595</v>
      </c>
      <c r="EF14" s="16">
        <f t="shared" ref="EF14" si="230">EF12+EF13</f>
        <v>1440.2883643770761</v>
      </c>
      <c r="EG14" s="16">
        <f t="shared" ref="EG14" si="231">EG12+EG13</f>
        <v>1569.4157629253232</v>
      </c>
      <c r="EH14" s="16">
        <f t="shared" ref="EH14" si="232">EH12+EH13</f>
        <v>1509.2580676271439</v>
      </c>
      <c r="EI14" s="16">
        <f t="shared" ref="EI14" si="233">EI12+EI13</f>
        <v>1296.2674078732823</v>
      </c>
      <c r="EJ14" s="16">
        <f t="shared" ref="EJ14" si="234">EJ12+EJ13</f>
        <v>1314.0156328239977</v>
      </c>
      <c r="EK14" s="16">
        <f t="shared" ref="EK14" si="235">EK12+EK13</f>
        <v>1458.8343712798176</v>
      </c>
      <c r="EL14" s="16">
        <f t="shared" ref="EL14" si="236">EL12+EL13</f>
        <v>1592.9406489272626</v>
      </c>
      <c r="EM14" s="16">
        <f t="shared" ref="EM14" si="237">EM12+EM13</f>
        <v>1671.5437115685809</v>
      </c>
      <c r="EN14" s="16">
        <f t="shared" ref="EN14" si="238">EN12+EN13</f>
        <v>1134.0604672540858</v>
      </c>
      <c r="EO14" s="16">
        <f t="shared" ref="EO14" si="239">EO12+EO13</f>
        <v>1014.4483722002824</v>
      </c>
      <c r="EP14" s="16">
        <f t="shared" ref="EP14" si="240">EP12+EP13</f>
        <v>1096.8700197096366</v>
      </c>
      <c r="EQ14" s="16">
        <f t="shared" ref="EQ14" si="241">EQ12+EQ13</f>
        <v>1134.7962301193129</v>
      </c>
      <c r="ER14" s="16">
        <f t="shared" ref="ER14" si="242">ER12+ER13</f>
        <v>890.28983091928092</v>
      </c>
      <c r="ES14" s="16">
        <f t="shared" ref="ES14" si="243">ES12+ES13</f>
        <v>303.54212117088031</v>
      </c>
      <c r="ET14" s="16">
        <f t="shared" ref="ET14" si="244">ET12+ET13</f>
        <v>70.999452305199867</v>
      </c>
      <c r="EU14" s="11">
        <f t="shared" si="71"/>
        <v>24184.026210271702</v>
      </c>
      <c r="EV14" s="11">
        <f t="shared" si="41"/>
        <v>1435.6588211690007</v>
      </c>
      <c r="EW14" s="11">
        <f t="shared" si="42"/>
        <v>734.66814222463358</v>
      </c>
      <c r="EX14" s="11">
        <f t="shared" si="10"/>
        <v>7316.5502052472593</v>
      </c>
      <c r="EY14" s="11">
        <f t="shared" si="43"/>
        <v>4510.9460264245927</v>
      </c>
      <c r="EZ14" s="15">
        <f t="shared" si="44"/>
        <v>0.30253648179308101</v>
      </c>
      <c r="FA14" s="15">
        <f t="shared" si="45"/>
        <v>0.18652584921979015</v>
      </c>
      <c r="FB14" s="11">
        <f t="shared" si="72"/>
        <v>4899.0999785733793</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448.11712788299974</v>
      </c>
      <c r="BL15" s="9">
        <f>IF(管理者入力シート!$B$14=1,BK12*管理者用人口入力シート!AM$3,IF(管理者入力シート!$B$14=2,BK12*管理者用人口入力シート!AM$7))</f>
        <v>454.02922582547495</v>
      </c>
      <c r="BM15" s="9">
        <f>IF(管理者入力シート!$B$14=1,BL12*管理者用人口入力シート!AN$3,IF(管理者入力シート!$B$14=2,BL12*管理者用人口入力シート!AN$7))</f>
        <v>527.9235251753073</v>
      </c>
      <c r="BN15" s="9">
        <f>IF(管理者入力シート!$B$14=1,BM12*管理者用人口入力シート!AO$3,IF(管理者入力シート!$B$14=2,BM12*管理者用人口入力シート!AO$7))</f>
        <v>701.82675365599016</v>
      </c>
      <c r="BO15" s="9">
        <f>IF(管理者入力シート!$B$14=1,BN12*管理者用人口入力シート!AP$3,IF(管理者入力シート!$B$14=2,BN12*管理者用人口入力シート!AP$7))</f>
        <v>300.27030716838243</v>
      </c>
      <c r="BP15" s="9">
        <f>IF(管理者入力シート!$B$14=1,BO12*管理者用人口入力シート!AQ$3,IF(管理者入力シート!$B$14=2,BO12*管理者用人口入力シート!AQ$7))</f>
        <v>392.48451285979559</v>
      </c>
      <c r="BQ15" s="9">
        <f>IF(管理者入力シート!$B$14=1,BP12*管理者用人口入力シート!AR$3,IF(管理者入力シート!$B$14=2,BP12*管理者用人口入力シート!AR$7))</f>
        <v>488.66956516976654</v>
      </c>
      <c r="BR15" s="9">
        <f>IF(管理者入力シート!$B$14=1,BQ12*管理者用人口入力シート!AS$3,IF(管理者入力シート!$B$14=2,BQ12*管理者用人口入力シート!AS$7))</f>
        <v>554.12847520590367</v>
      </c>
      <c r="BS15" s="9">
        <f>IF(管理者入力シート!$B$14=1,BR12*管理者用人口入力シート!AT$3,IF(管理者入力シート!$B$14=2,BR12*管理者用人口入力シート!AT$7))</f>
        <v>467.34027968572229</v>
      </c>
      <c r="BT15" s="9">
        <f>IF(管理者入力シート!$B$14=1,BS12*管理者用人口入力シート!AU$3,IF(管理者入力シート!$B$14=2,BS12*管理者用人口入力シート!AU$7))</f>
        <v>425.8183653656655</v>
      </c>
      <c r="BU15" s="9">
        <f>IF(管理者入力シート!$B$14=1,BT12*管理者用人口入力シート!AV$3,IF(管理者入力シート!$B$14=2,BT12*管理者用人口入力シート!AV$7))</f>
        <v>422.54170564790672</v>
      </c>
      <c r="BV15" s="9">
        <f>IF(管理者入力シート!$B$14=1,BU12*管理者用人口入力シート!AW$3,IF(管理者入力シート!$B$14=2,BU12*管理者用人口入力シート!AW$7))</f>
        <v>536.0144323834985</v>
      </c>
      <c r="BW15" s="9">
        <f>IF(管理者入力シート!$B$14=1,BV12*管理者用人口入力シート!AX$3,IF(管理者入力シート!$B$14=2,BV12*管理者用人口入力シート!AX$7))</f>
        <v>693.99187456319373</v>
      </c>
      <c r="BX15" s="9">
        <f>IF(管理者入力シート!$B$14=1,BW12*管理者用人口入力シート!AY$3,IF(管理者入力シート!$B$14=2,BW12*管理者用人口入力シート!AY$7))</f>
        <v>733.51973449432091</v>
      </c>
      <c r="BY15" s="9">
        <f>IF(管理者入力シート!$B$14=1,BX12*管理者用人口入力シート!AZ$3,IF(管理者入力シート!$B$14=2,BX12*管理者用人口入力シート!AZ$7))</f>
        <v>741.28332271166198</v>
      </c>
      <c r="BZ15" s="9">
        <f>IF(管理者入力シート!$B$14=1,BY12*管理者用人口入力シート!BA$3,IF(管理者入力シート!$B$14=2,BY12*管理者用人口入力シート!BA$7))</f>
        <v>488.2025598969347</v>
      </c>
      <c r="CA15" s="9">
        <f>IF(管理者入力シート!$B$14=1,BZ12*管理者用人口入力シート!BB$3,IF(管理者入力シート!$B$14=2,BZ12*管理者用人口入力シート!BB$7))</f>
        <v>372.18107387054482</v>
      </c>
      <c r="CB15" s="9">
        <f>IF(管理者入力シート!$B$14=1,CA12*管理者用人口入力シート!BC$3,IF(管理者入力シート!$B$14=2,CA12*管理者用人口入力シート!BC$7))</f>
        <v>327.89406616817507</v>
      </c>
      <c r="CC15" s="9">
        <f>IF(管理者入力シート!$B$14=1,CB12*管理者用人口入力シート!BD$3,IF(管理者入力シート!$B$14=2,CB12*管理者用人口入力シート!BD$7))</f>
        <v>225.99669866262812</v>
      </c>
      <c r="CD15" s="9">
        <f>IF(管理者入力シート!$B$14=1,CC12*管理者用人口入力シート!BE$3,IF(管理者入力シート!$B$14=2,CC12*管理者用人口入力シート!BE$7))</f>
        <v>96.593005452554266</v>
      </c>
      <c r="CE15" s="9">
        <f>IF(管理者入力シート!$B$14=1,CD12*管理者用人口入力シート!BF$3,IF(管理者入力シート!$B$14=2,CD12*管理者用人口入力シート!BF$7))</f>
        <v>22.860976033799925</v>
      </c>
      <c r="CF15" s="9">
        <f t="shared" ref="CF15:CF20" si="252">SUM(BK15:CE15)</f>
        <v>9421.6875878802257</v>
      </c>
      <c r="CG15" s="9">
        <f t="shared" ref="CG15:CG20" si="253">BL15*3/5+BM15*3/5</f>
        <v>589.17165060046932</v>
      </c>
      <c r="CH15" s="9">
        <f t="shared" ref="CH15:CH20" si="254">BM15*2/5+BN15*1/5</f>
        <v>351.53476080132094</v>
      </c>
      <c r="CI15" s="9">
        <f t="shared" ref="CI15:CI20" si="255">SUM(BX15:CE15)</f>
        <v>3008.5314372906196</v>
      </c>
      <c r="CJ15" s="9">
        <f t="shared" ref="CJ15:CJ20" si="256">SUM(BZ15:CE15)</f>
        <v>1533.7283800846371</v>
      </c>
      <c r="CK15" s="13">
        <f t="shared" ref="CK15:CK20" si="257">CI15/CF15</f>
        <v>0.31931980435869084</v>
      </c>
      <c r="CL15" s="13">
        <f t="shared" ref="CL15:CL20" si="258">CJ15/CF15</f>
        <v>0.16278701302488305</v>
      </c>
      <c r="CM15" s="9">
        <f t="shared" ref="CM15:CM20" si="259">SUM(BO15:BR15)</f>
        <v>1735.5528604038482</v>
      </c>
      <c r="CO15" s="7" t="str">
        <f t="shared" si="26"/>
        <v>2045_1</v>
      </c>
      <c r="CP15" s="28">
        <f>管理者入力シート!B12</f>
        <v>2045</v>
      </c>
      <c r="CQ15" s="3" t="s">
        <v>21</v>
      </c>
      <c r="CR15" s="9">
        <f>DT16*$AK$13+将来予測シート②!$G17</f>
        <v>451.40935499657274</v>
      </c>
      <c r="CS15" s="9">
        <f>IF(管理者入力シート!$B$14=1,CR12*管理者用人口入力シート!AM$3,IF(管理者入力シート!$B$14=2,CR12*管理者用人口入力シート!AM$7))+将来予測シート②!$G18</f>
        <v>456.84945329399682</v>
      </c>
      <c r="CT15" s="9">
        <f>IF(管理者入力シート!$B$14=1,CS12*管理者用人口入力シート!AN$3,IF(管理者入力シート!$B$14=2,CS12*管理者用人口入力シート!AN$7))+将来予測シート②!$G19</f>
        <v>531.97996660692161</v>
      </c>
      <c r="CU15" s="9">
        <f>IF(管理者入力シート!$B$14=1,CT12*管理者用人口入力シート!AO$3,IF(管理者入力シート!$B$14=2,CT12*管理者用人口入力シート!AO$7))+将来予測シート②!$G20</f>
        <v>706.31538209786527</v>
      </c>
      <c r="CV15" s="9">
        <f>IF(管理者入力シート!$B$14=1,CU12*管理者用人口入力シート!AP$3,IF(管理者入力シート!$B$14=2,CU12*管理者用人口入力シート!AP$7))+将来予測シート②!$G21</f>
        <v>301.53649681610364</v>
      </c>
      <c r="CW15" s="9">
        <f>IF(管理者入力シート!$B$14=1,CV12*管理者用人口入力シート!AQ$3,IF(管理者入力シート!$B$14=2,CV12*管理者用人口入力シート!AQ$7))+将来予測シート②!$G22</f>
        <v>395.18197554717159</v>
      </c>
      <c r="CX15" s="9">
        <f>IF(管理者入力シート!$B$14=1,CW12*管理者用人口入力シート!AR$3,IF(管理者入力シート!$B$14=2,CW12*管理者用人口入力シート!AR$7))+将来予測シート②!$G23</f>
        <v>491.50047518165292</v>
      </c>
      <c r="CY15" s="9">
        <f>IF(管理者入力シート!$B$14=1,CX12*管理者用人口入力シート!AS$3,IF(管理者入力シート!$B$14=2,CX12*管理者用人口入力シート!AS$7))+将来予測シート②!$G24</f>
        <v>556.44224728143763</v>
      </c>
      <c r="CZ15" s="9">
        <f>IF(管理者入力シート!$B$14=1,CY12*管理者用人口入力シート!AT$3,IF(管理者入力シート!$B$14=2,CY12*管理者用人口入力シート!AT$7))+将来予測シート②!$G25</f>
        <v>469.6709445812225</v>
      </c>
      <c r="DA15" s="9">
        <f>IF(管理者入力シート!$B$14=1,CZ12*管理者用人口入力シート!AU$3,IF(管理者入力シート!$B$14=2,CZ12*管理者用人口入力シート!AU$7))+将来予測シート②!$G26</f>
        <v>428.12729190457048</v>
      </c>
      <c r="DB15" s="9">
        <f>IF(管理者入力シート!$B$14=1,DA12*管理者用人口入力シート!AV$3,IF(管理者入力シート!$B$14=2,DA12*管理者用人口入力シート!AV$7))+将来予測シート②!$G27</f>
        <v>422.54170564790672</v>
      </c>
      <c r="DC15" s="9">
        <f>IF(管理者入力シート!$B$14=1,DB12*管理者用人口入力シート!AW$3,IF(管理者入力シート!$B$14=2,DB12*管理者用人口入力シート!AW$7))+将来予測シート②!$G28</f>
        <v>536.0144323834985</v>
      </c>
      <c r="DD15" s="9">
        <f>IF(管理者入力シート!$B$14=1,DC12*管理者用人口入力シート!AX$3,IF(管理者入力シート!$B$14=2,DC12*管理者用人口入力シート!AX$7))+将来予測シート②!$G29</f>
        <v>693.99187456319373</v>
      </c>
      <c r="DE15" s="9">
        <f>IF(管理者入力シート!$B$14=1,DD12*管理者用人口入力シート!AY$3,IF(管理者入力シート!$B$14=2,DD12*管理者用人口入力シート!AY$7))</f>
        <v>733.51973449432091</v>
      </c>
      <c r="DF15" s="9">
        <f>IF(管理者入力シート!$B$14=1,DE12*管理者用人口入力シート!AZ$3,IF(管理者入力シート!$B$14=2,DE12*管理者用人口入力シート!AZ$7))</f>
        <v>741.28332271166198</v>
      </c>
      <c r="DG15" s="9">
        <f>IF(管理者入力シート!$B$14=1,DF12*管理者用人口入力シート!BA$3,IF(管理者入力シート!$B$14=2,DF12*管理者用人口入力シート!BA$7))</f>
        <v>488.2025598969347</v>
      </c>
      <c r="DH15" s="9">
        <f>IF(管理者入力シート!$B$14=1,DG12*管理者用人口入力シート!BB$3,IF(管理者入力シート!$B$14=2,DG12*管理者用人口入力シート!BB$7))</f>
        <v>372.18107387054482</v>
      </c>
      <c r="DI15" s="9">
        <f>IF(管理者入力シート!$B$14=1,DH12*管理者用人口入力シート!BC$3,IF(管理者入力シート!$B$14=2,DH12*管理者用人口入力シート!BC$7))</f>
        <v>327.89406616817507</v>
      </c>
      <c r="DJ15" s="9">
        <f>IF(管理者入力シート!$B$14=1,DI12*管理者用人口入力シート!BD$3,IF(管理者入力シート!$B$14=2,DI12*管理者用人口入力シート!BD$7))</f>
        <v>225.99669866262812</v>
      </c>
      <c r="DK15" s="9">
        <f>IF(管理者入力シート!$B$14=1,DJ12*管理者用人口入力シート!BE$3,IF(管理者入力シート!$B$14=2,DJ12*管理者用人口入力シート!BE$7))</f>
        <v>96.593005452554266</v>
      </c>
      <c r="DL15" s="9">
        <f>IF(管理者入力シート!$B$14=1,DK12*管理者用人口入力シート!BF$3,IF(管理者入力シート!$B$14=2,DK12*管理者用人口入力シート!BF$7))</f>
        <v>22.860976033799925</v>
      </c>
      <c r="DM15" s="9">
        <f t="shared" ref="DM15:DM20" si="260">SUM(CR15:DL15)</f>
        <v>9450.0930381927337</v>
      </c>
      <c r="DN15" s="9">
        <f t="shared" ref="DN15:DN20" si="261">CS15*3/5+CT15*3/5</f>
        <v>593.29765194055108</v>
      </c>
      <c r="DO15" s="9">
        <f t="shared" ref="DO15:DO20" si="262">CT15*2/5+CU15*1/5</f>
        <v>354.05506306234167</v>
      </c>
      <c r="DP15" s="9">
        <f t="shared" ref="DP15:DP20" si="263">SUM(DE15:DL15)</f>
        <v>3008.5314372906196</v>
      </c>
      <c r="DQ15" s="9">
        <f t="shared" ref="DQ15:DQ20" si="264">SUM(DG15:DL15)</f>
        <v>1533.7283800846371</v>
      </c>
      <c r="DR15" s="13">
        <f t="shared" ref="DR15:DR20" si="265">DP15/DM15</f>
        <v>0.31835998070406096</v>
      </c>
      <c r="DS15" s="13">
        <f t="shared" ref="DS15:DS20" si="266">DQ15/DM15</f>
        <v>0.16229770160844387</v>
      </c>
      <c r="DT15" s="9">
        <f t="shared" ref="DT15:DT20" si="267">SUM(CV15:CY15)</f>
        <v>1744.6611948263658</v>
      </c>
      <c r="DV15" s="62" t="s">
        <v>404</v>
      </c>
      <c r="DW15" s="211">
        <f>AK13+AK14</f>
        <v>0.45442638737891605</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415.10992642016913</v>
      </c>
      <c r="BL16" s="10">
        <f>IF(管理者入力シート!$B$14=1,BK13*管理者用人口入力シート!AM$4,IF(管理者入力シート!$B$14=2,BK13*管理者用人口入力シート!AM$8))</f>
        <v>457.92008206555317</v>
      </c>
      <c r="BM16" s="10">
        <f>IF(管理者入力シート!$B$14=1,BL13*管理者用人口入力シート!AN$4,IF(管理者入力シート!$B$14=2,BL13*管理者用人口入力シート!AN$8))</f>
        <v>476.45304047338232</v>
      </c>
      <c r="BN16" s="10">
        <f>IF(管理者入力シート!$B$14=1,BM13*管理者用人口入力シート!AO$4,IF(管理者入力シート!$B$14=2,BM13*管理者用人口入力シート!AO$8))</f>
        <v>545.54850913367</v>
      </c>
      <c r="BO16" s="10">
        <f>IF(管理者入力シート!$B$14=1,BN13*管理者用人口入力シート!AP$4,IF(管理者入力シート!$B$14=2,BN13*管理者用人口入力シート!AP$8))</f>
        <v>368.63028096296779</v>
      </c>
      <c r="BP16" s="10">
        <f>IF(管理者入力シート!$B$14=1,BO13*管理者用人口入力シート!AQ$4,IF(管理者入力シート!$B$14=2,BO13*管理者用人口入力シート!AQ$8))</f>
        <v>432.65349811084695</v>
      </c>
      <c r="BQ16" s="10">
        <f>IF(管理者入力シート!$B$14=1,BP13*管理者用人口入力シート!AR$4,IF(管理者入力シート!$B$14=2,BP13*管理者用人口入力シート!AR$8))</f>
        <v>516.68658121288979</v>
      </c>
      <c r="BR16" s="10">
        <f>IF(管理者入力シート!$B$14=1,BQ13*管理者用人口入力シート!AS$4,IF(管理者入力シート!$B$14=2,BQ13*管理者用人口入力シート!AS$8))</f>
        <v>581.62675440149042</v>
      </c>
      <c r="BS16" s="10">
        <f>IF(管理者入力シート!$B$14=1,BR13*管理者用人口入力シート!AT$4,IF(管理者入力シート!$B$14=2,BR13*管理者用人口入力シート!AT$8))</f>
        <v>500.27659609577063</v>
      </c>
      <c r="BT16" s="10">
        <f>IF(管理者入力シート!$B$14=1,BS13*管理者用人口入力シート!AU$4,IF(管理者入力シート!$B$14=2,BS13*管理者用人口入力シート!AU$8))</f>
        <v>493.69875673724476</v>
      </c>
      <c r="BU16" s="10">
        <f>IF(管理者入力シート!$B$14=1,BT13*管理者用人口入力シート!AV$4,IF(管理者入力シート!$B$14=2,BT13*管理者用人口入力シート!AV$8))</f>
        <v>482.62900335475194</v>
      </c>
      <c r="BV16" s="10">
        <f>IF(管理者入力シート!$B$14=1,BU13*管理者用人口入力シート!AW$4,IF(管理者入力シート!$B$14=2,BU13*管理者用人口入力シート!AW$8))</f>
        <v>605.37816942989821</v>
      </c>
      <c r="BW16" s="10">
        <f>IF(管理者入力シート!$B$14=1,BV13*管理者用人口入力シート!AX$4,IF(管理者入力シート!$B$14=2,BV13*管理者用人口入力シート!AX$8))</f>
        <v>730.20394559041836</v>
      </c>
      <c r="BX16" s="10">
        <f>IF(管理者入力シート!$B$14=1,BW13*管理者用人口入力シート!AY$4,IF(管理者入力シート!$B$14=2,BW13*管理者用人口入力シート!AY$8))</f>
        <v>836.58289629238504</v>
      </c>
      <c r="BY16" s="10">
        <f>IF(管理者入力シート!$B$14=1,BX13*管理者用人口入力シート!AZ$4,IF(管理者入力シート!$B$14=2,BX13*管理者用人口入力シート!AZ$8))</f>
        <v>857.03203802968142</v>
      </c>
      <c r="BZ16" s="10">
        <f>IF(管理者入力シート!$B$14=1,BY13*管理者用人口入力シート!BA$4,IF(管理者入力シート!$B$14=2,BY13*管理者用人口入力シート!BA$8))</f>
        <v>619.1263393176057</v>
      </c>
      <c r="CA16" s="10">
        <f>IF(管理者入力シート!$B$14=1,BZ13*管理者用人口入力シート!BB$4,IF(管理者入力シート!$B$14=2,BZ13*管理者用人口入力シート!BB$8))</f>
        <v>575.80338632516123</v>
      </c>
      <c r="CB16" s="10">
        <f>IF(管理者入力シート!$B$14=1,CA13*管理者用人口入力シート!BC$4,IF(管理者入力シート!$B$14=2,CA13*管理者用人口入力シート!BC$8))</f>
        <v>594.10551732310216</v>
      </c>
      <c r="CC16" s="10">
        <f>IF(管理者入力シート!$B$14=1,CB13*管理者用人口入力シート!BD$4,IF(管理者入力シート!$B$14=2,CB13*管理者用人口入力シート!BD$8))</f>
        <v>566.04989048068535</v>
      </c>
      <c r="CD16" s="10">
        <f>IF(管理者入力シート!$B$14=1,CC13*管理者用人口入力シート!BE$4,IF(管理者入力シート!$B$14=2,CC13*管理者用人口入力シート!BE$8))</f>
        <v>359.87802022953781</v>
      </c>
      <c r="CE16" s="10">
        <f>IF(管理者入力シート!$B$14=1,CD13*管理者用人口入力シート!BF$4,IF(管理者入力シート!$B$14=2,CD13*管理者用人口入力シート!BF$8))</f>
        <v>65.495253888928701</v>
      </c>
      <c r="CF16" s="10">
        <f t="shared" si="252"/>
        <v>11080.888485876141</v>
      </c>
      <c r="CG16" s="10">
        <f t="shared" si="253"/>
        <v>560.62387352336123</v>
      </c>
      <c r="CH16" s="10">
        <f t="shared" si="254"/>
        <v>299.69091801608693</v>
      </c>
      <c r="CI16" s="10">
        <f t="shared" si="255"/>
        <v>4474.0733418870868</v>
      </c>
      <c r="CJ16" s="10">
        <f t="shared" si="256"/>
        <v>2780.4584075650214</v>
      </c>
      <c r="CK16" s="14">
        <f t="shared" si="257"/>
        <v>0.40376485582269006</v>
      </c>
      <c r="CL16" s="14">
        <f t="shared" si="258"/>
        <v>0.25092377845955527</v>
      </c>
      <c r="CM16" s="10">
        <f t="shared" si="259"/>
        <v>1899.5971146881948</v>
      </c>
      <c r="CO16" s="7" t="str">
        <f t="shared" si="26"/>
        <v>2045_2</v>
      </c>
      <c r="CP16" s="29">
        <f>CP15</f>
        <v>2045</v>
      </c>
      <c r="CQ16" s="4" t="s">
        <v>22</v>
      </c>
      <c r="CR16" s="10">
        <f>DT16*$AK$14+将来予測シート②!$H17</f>
        <v>418.23331374291843</v>
      </c>
      <c r="CS16" s="10">
        <f>IF(管理者入力シート!$B$14=1,CR13*管理者用人口入力シート!AM$4,IF(管理者入力シート!$B$14=2,CR13*管理者用人口入力シート!AM$8))+将来予測シート②!$H18</f>
        <v>460.84324294643471</v>
      </c>
      <c r="CT16" s="10">
        <f>IF(管理者入力シート!$B$14=1,CS13*管理者用人口入力シート!AN$4,IF(管理者入力シート!$B$14=2,CS13*管理者用人口入力シート!AN$8))+将来予測シート②!$H19</f>
        <v>480.29362427280341</v>
      </c>
      <c r="CU16" s="10">
        <f>IF(管理者入力シート!$B$14=1,CT13*管理者用人口入力シート!AO$4,IF(管理者入力シート!$B$14=2,CT13*管理者用人口入力シート!AO$8))+将来予測シート②!$H20</f>
        <v>549.25148498956548</v>
      </c>
      <c r="CV16" s="10">
        <f>IF(管理者入力シート!$B$14=1,CU13*管理者用人口入力シート!AP$4,IF(管理者入力シート!$B$14=2,CU13*管理者用人口入力シート!AP$8))+将来予測シート②!$H21</f>
        <v>370.32900280199112</v>
      </c>
      <c r="CW16" s="10">
        <f>IF(管理者入力シート!$B$14=1,CV13*管理者用人口入力シート!AQ$4,IF(管理者入力シート!$B$14=2,CV13*管理者用人口入力シート!AQ$8))+将来予測シート②!$H22</f>
        <v>435.5054000099293</v>
      </c>
      <c r="CX16" s="10">
        <f>IF(管理者入力シート!$B$14=1,CW13*管理者用人口入力シート!AR$4,IF(管理者入力シート!$B$14=2,CW13*管理者用人口入力シート!AR$8))+将来予測シート②!$H23</f>
        <v>519.65973787650864</v>
      </c>
      <c r="CY16" s="10">
        <f>IF(管理者入力シート!$B$14=1,CX13*管理者用人口入力シート!AS$4,IF(管理者入力シート!$B$14=2,CX13*管理者用人口入力シート!AS$8))+将来予測シート②!$H24</f>
        <v>583.81987107916098</v>
      </c>
      <c r="CZ16" s="10">
        <f>IF(管理者入力シート!$B$14=1,CY13*管理者用人口入力シート!AT$4,IF(管理者入力シート!$B$14=2,CY13*管理者用人口入力シート!AT$8))+将来予測シート②!$H25</f>
        <v>503.45720853981118</v>
      </c>
      <c r="DA16" s="10">
        <f>IF(管理者入力シート!$B$14=1,CZ13*管理者用人口入力シート!AU$4,IF(管理者入力シート!$B$14=2,CZ13*管理者用人口入力シート!AU$8))+将来予測シート②!$H26</f>
        <v>496.99372903560027</v>
      </c>
      <c r="DB16" s="10">
        <f>IF(管理者入力シート!$B$14=1,DA13*管理者用人口入力シート!AV$4,IF(管理者入力シート!$B$14=2,DA13*管理者用人口入力シート!AV$8))+将来予測シート②!$H27</f>
        <v>483.67048467794729</v>
      </c>
      <c r="DC16" s="10">
        <f>IF(管理者入力シート!$B$14=1,DB13*管理者用人口入力シート!AW$4,IF(管理者入力シート!$B$14=2,DB13*管理者用人口入力シート!AW$8))+将来予測シート②!$H28</f>
        <v>606.4447670428317</v>
      </c>
      <c r="DD16" s="10">
        <f>IF(管理者入力シート!$B$14=1,DC13*管理者用人口入力シート!AX$4,IF(管理者入力シート!$B$14=2,DC13*管理者用人口入力シート!AX$8))+将来予測シート②!$H29</f>
        <v>731.2464817224045</v>
      </c>
      <c r="DE16" s="10">
        <f>IF(管理者入力シート!$B$14=1,DD13*管理者用人口入力シート!AY$4,IF(管理者入力シート!$B$14=2,DD13*管理者用人口入力シート!AY$8))</f>
        <v>836.58289629238504</v>
      </c>
      <c r="DF16" s="10">
        <f>IF(管理者入力シート!$B$14=1,DE13*管理者用人口入力シート!AZ$4,IF(管理者入力シート!$B$14=2,DE13*管理者用人口入力シート!AZ$8))</f>
        <v>857.03203802968142</v>
      </c>
      <c r="DG16" s="10">
        <f>IF(管理者入力シート!$B$14=1,DF13*管理者用人口入力シート!BA$4,IF(管理者入力シート!$B$14=2,DF13*管理者用人口入力シート!BA$8))</f>
        <v>619.1263393176057</v>
      </c>
      <c r="DH16" s="10">
        <f>IF(管理者入力シート!$B$14=1,DG13*管理者用人口入力シート!BB$4,IF(管理者入力シート!$B$14=2,DG13*管理者用人口入力シート!BB$8))</f>
        <v>575.80338632516123</v>
      </c>
      <c r="DI16" s="10">
        <f>IF(管理者入力シート!$B$14=1,DH13*管理者用人口入力シート!BC$4,IF(管理者入力シート!$B$14=2,DH13*管理者用人口入力シート!BC$8))</f>
        <v>594.10551732310216</v>
      </c>
      <c r="DJ16" s="10">
        <f>IF(管理者入力シート!$B$14=1,DI13*管理者用人口入力シート!BD$4,IF(管理者入力シート!$B$14=2,DI13*管理者用人口入力シート!BD$8))</f>
        <v>566.04989048068535</v>
      </c>
      <c r="DK16" s="10">
        <f>IF(管理者入力シート!$B$14=1,DJ13*管理者用人口入力シート!BE$4,IF(管理者入力シート!$B$14=2,DJ13*管理者用人口入力シート!BE$8))</f>
        <v>359.87802022953781</v>
      </c>
      <c r="DL16" s="10">
        <f>IF(管理者入力シート!$B$14=1,DK13*管理者用人口入力シート!BF$4,IF(管理者入力シート!$B$14=2,DK13*管理者用人口入力シート!BF$8))</f>
        <v>65.495253888928701</v>
      </c>
      <c r="DM16" s="10">
        <f t="shared" si="260"/>
        <v>11113.821690624995</v>
      </c>
      <c r="DN16" s="10">
        <f t="shared" si="261"/>
        <v>564.68212033154293</v>
      </c>
      <c r="DO16" s="10">
        <f t="shared" si="262"/>
        <v>301.96774670703445</v>
      </c>
      <c r="DP16" s="10">
        <f t="shared" si="263"/>
        <v>4474.0733418870868</v>
      </c>
      <c r="DQ16" s="10">
        <f t="shared" si="264"/>
        <v>2780.4584075650214</v>
      </c>
      <c r="DR16" s="14">
        <f t="shared" si="265"/>
        <v>0.40256839334224409</v>
      </c>
      <c r="DS16" s="14">
        <f t="shared" si="266"/>
        <v>0.25018022467559131</v>
      </c>
      <c r="DT16" s="10">
        <f t="shared" si="267"/>
        <v>1909.31401176759</v>
      </c>
      <c r="DV16" s="212" t="s">
        <v>406</v>
      </c>
      <c r="DW16" s="7">
        <f>IF(DW10&lt;0,ABS(DW10)/DW15,0)</f>
        <v>282.33212762366128</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863.22705430316887</v>
      </c>
      <c r="BL17" s="16">
        <f t="shared" ref="BL17:CE17" si="268">BL15+BL16</f>
        <v>911.94930789102818</v>
      </c>
      <c r="BM17" s="16">
        <f t="shared" si="268"/>
        <v>1004.3765656486896</v>
      </c>
      <c r="BN17" s="16">
        <f t="shared" si="268"/>
        <v>1247.3752627896602</v>
      </c>
      <c r="BO17" s="16">
        <f t="shared" si="268"/>
        <v>668.90058813135022</v>
      </c>
      <c r="BP17" s="16">
        <f t="shared" si="268"/>
        <v>825.13801097064254</v>
      </c>
      <c r="BQ17" s="16">
        <f t="shared" si="268"/>
        <v>1005.3561463826563</v>
      </c>
      <c r="BR17" s="16">
        <f t="shared" si="268"/>
        <v>1135.7552296073941</v>
      </c>
      <c r="BS17" s="16">
        <f t="shared" si="268"/>
        <v>967.61687578149292</v>
      </c>
      <c r="BT17" s="16">
        <f t="shared" si="268"/>
        <v>919.51712210291021</v>
      </c>
      <c r="BU17" s="16">
        <f t="shared" si="268"/>
        <v>905.17070900265867</v>
      </c>
      <c r="BV17" s="16">
        <f t="shared" si="268"/>
        <v>1141.3926018133966</v>
      </c>
      <c r="BW17" s="16">
        <f t="shared" si="268"/>
        <v>1424.1958201536122</v>
      </c>
      <c r="BX17" s="16">
        <f t="shared" si="268"/>
        <v>1570.102630786706</v>
      </c>
      <c r="BY17" s="16">
        <f t="shared" si="268"/>
        <v>1598.3153607413433</v>
      </c>
      <c r="BZ17" s="16">
        <f t="shared" si="268"/>
        <v>1107.3288992145403</v>
      </c>
      <c r="CA17" s="16">
        <f t="shared" si="268"/>
        <v>947.98446019570611</v>
      </c>
      <c r="CB17" s="16">
        <f t="shared" si="268"/>
        <v>921.99958349127724</v>
      </c>
      <c r="CC17" s="16">
        <f t="shared" si="268"/>
        <v>792.04658914331344</v>
      </c>
      <c r="CD17" s="16">
        <f t="shared" si="268"/>
        <v>456.47102568209209</v>
      </c>
      <c r="CE17" s="16">
        <f t="shared" si="268"/>
        <v>88.35622992272863</v>
      </c>
      <c r="CF17" s="11">
        <f t="shared" si="252"/>
        <v>20502.576073756361</v>
      </c>
      <c r="CG17" s="11">
        <f t="shared" si="253"/>
        <v>1149.7955241238308</v>
      </c>
      <c r="CH17" s="11">
        <f t="shared" si="254"/>
        <v>651.22567881740792</v>
      </c>
      <c r="CI17" s="11">
        <f t="shared" si="255"/>
        <v>7482.6047791777073</v>
      </c>
      <c r="CJ17" s="11">
        <f t="shared" si="256"/>
        <v>4314.1867876496572</v>
      </c>
      <c r="CK17" s="15">
        <f t="shared" si="257"/>
        <v>0.36495924962110327</v>
      </c>
      <c r="CL17" s="15">
        <f t="shared" si="258"/>
        <v>0.21042169394371316</v>
      </c>
      <c r="CM17" s="11">
        <f t="shared" si="259"/>
        <v>3635.1499750920434</v>
      </c>
      <c r="CO17" s="7" t="str">
        <f t="shared" si="26"/>
        <v>2045_3</v>
      </c>
      <c r="CP17" s="30">
        <f>CP16</f>
        <v>2045</v>
      </c>
      <c r="CQ17" s="5" t="s">
        <v>23</v>
      </c>
      <c r="CR17" s="16">
        <f>CR15+CR16</f>
        <v>869.64266873949123</v>
      </c>
      <c r="CS17" s="16">
        <f>CS15+CS16</f>
        <v>917.69269624043159</v>
      </c>
      <c r="CT17" s="16">
        <f t="shared" ref="CT17:DL17" si="269">CT15+CT16</f>
        <v>1012.273590879725</v>
      </c>
      <c r="CU17" s="16">
        <f t="shared" si="269"/>
        <v>1255.5668670874306</v>
      </c>
      <c r="CV17" s="16">
        <f t="shared" si="269"/>
        <v>671.86549961809476</v>
      </c>
      <c r="CW17" s="16">
        <f t="shared" si="269"/>
        <v>830.68737555710095</v>
      </c>
      <c r="CX17" s="16">
        <f t="shared" si="269"/>
        <v>1011.1602130581616</v>
      </c>
      <c r="CY17" s="16">
        <f t="shared" si="269"/>
        <v>1140.2621183605986</v>
      </c>
      <c r="CZ17" s="16">
        <f t="shared" si="269"/>
        <v>973.12815312103362</v>
      </c>
      <c r="DA17" s="16">
        <f t="shared" si="269"/>
        <v>925.12102094017075</v>
      </c>
      <c r="DB17" s="16">
        <f t="shared" si="269"/>
        <v>906.21219032585395</v>
      </c>
      <c r="DC17" s="16">
        <f t="shared" si="269"/>
        <v>1142.4591994263301</v>
      </c>
      <c r="DD17" s="16">
        <f t="shared" si="269"/>
        <v>1425.2383562855982</v>
      </c>
      <c r="DE17" s="16">
        <f t="shared" si="269"/>
        <v>1570.102630786706</v>
      </c>
      <c r="DF17" s="16">
        <f t="shared" si="269"/>
        <v>1598.3153607413433</v>
      </c>
      <c r="DG17" s="16">
        <f t="shared" si="269"/>
        <v>1107.3288992145403</v>
      </c>
      <c r="DH17" s="16">
        <f t="shared" si="269"/>
        <v>947.98446019570611</v>
      </c>
      <c r="DI17" s="16">
        <f t="shared" si="269"/>
        <v>921.99958349127724</v>
      </c>
      <c r="DJ17" s="16">
        <f t="shared" si="269"/>
        <v>792.04658914331344</v>
      </c>
      <c r="DK17" s="16">
        <f t="shared" si="269"/>
        <v>456.47102568209209</v>
      </c>
      <c r="DL17" s="16">
        <f t="shared" si="269"/>
        <v>88.35622992272863</v>
      </c>
      <c r="DM17" s="11">
        <f t="shared" si="260"/>
        <v>20563.914728817719</v>
      </c>
      <c r="DN17" s="11">
        <f t="shared" si="261"/>
        <v>1157.9797722720941</v>
      </c>
      <c r="DO17" s="11">
        <f t="shared" si="262"/>
        <v>656.02280976937618</v>
      </c>
      <c r="DP17" s="11">
        <f t="shared" si="263"/>
        <v>7482.6047791777073</v>
      </c>
      <c r="DQ17" s="11">
        <f t="shared" si="264"/>
        <v>4314.1867876496572</v>
      </c>
      <c r="DR17" s="15">
        <f t="shared" si="265"/>
        <v>0.36387063834162792</v>
      </c>
      <c r="DS17" s="15">
        <f t="shared" si="266"/>
        <v>0.20979404187101941</v>
      </c>
      <c r="DT17" s="11">
        <f t="shared" si="267"/>
        <v>3653.9752065939565</v>
      </c>
      <c r="DV17" s="62" t="s">
        <v>407</v>
      </c>
      <c r="DW17" s="7">
        <f>IF(DW9&gt;=0,0,IF(AND(DW10&lt;=0,DW9&lt;=0,DW16*2&gt;=ABS(DW9)),ROUND(DW16/3,0),ROUND(ABS(DW9)/6,0)))</f>
        <v>94</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413.67033486363522</v>
      </c>
      <c r="BL18" s="9">
        <f>IF(管理者入力シート!$B$14=1,BK15*管理者用人口入力シート!AM$3,IF(管理者入力シート!$B$14=2,BK15*管理者用人口入力シート!AM$7))</f>
        <v>440.12309226345337</v>
      </c>
      <c r="BM18" s="9">
        <f>IF(管理者入力シート!$B$14=1,BL15*管理者用人口入力シート!AN$3,IF(管理者入力シート!$B$14=2,BL15*管理者用人口入力シート!AN$7))</f>
        <v>529.08662675923972</v>
      </c>
      <c r="BN18" s="9">
        <f>IF(管理者入力シート!$B$14=1,BM15*管理者用人口入力シート!AO$3,IF(管理者入力シート!$B$14=2,BM15*管理者用人口入力シート!AO$7))</f>
        <v>729.69315557315451</v>
      </c>
      <c r="BO18" s="9">
        <f>IF(管理者入力シート!$B$14=1,BN15*管理者用人口入力シート!AP$3,IF(管理者入力シート!$B$14=2,BN15*管理者用人口入力シート!AP$7))</f>
        <v>299.79759544615996</v>
      </c>
      <c r="BP18" s="9">
        <f>IF(管理者入力シート!$B$14=1,BO15*管理者用人口入力シート!AQ$3,IF(管理者入力シート!$B$14=2,BO15*管理者用人口入力シート!AQ$7))</f>
        <v>354.70383502147922</v>
      </c>
      <c r="BQ18" s="9">
        <f>IF(管理者入力シート!$B$14=1,BP15*管理者用人口入力シート!AR$3,IF(管理者入力シート!$B$14=2,BP15*管理者用人口入力シート!AR$7))</f>
        <v>411.90128121696074</v>
      </c>
      <c r="BR18" s="9">
        <f>IF(管理者入力シート!$B$14=1,BQ15*管理者用人口入力シート!AS$3,IF(管理者入力シート!$B$14=2,BQ15*管理者用人口入力シート!AS$7))</f>
        <v>538.68545942611797</v>
      </c>
      <c r="BS18" s="9">
        <f>IF(管理者入力シート!$B$14=1,BR15*管理者用人口入力シート!AT$3,IF(管理者入力シート!$B$14=2,BR15*管理者用人口入力シート!AT$7))</f>
        <v>558.17416002890786</v>
      </c>
      <c r="BT18" s="9">
        <f>IF(管理者入力シート!$B$14=1,BS15*管理者用人口入力シート!AU$3,IF(管理者入力シート!$B$14=2,BS15*管理者用人口入力シート!AU$7))</f>
        <v>462.98134774710604</v>
      </c>
      <c r="BU18" s="9">
        <f>IF(管理者入力シート!$B$14=1,BT15*管理者用人口入力シート!AV$3,IF(管理者入力シート!$B$14=2,BT15*管理者用人口入力シート!AV$7))</f>
        <v>428.0652840001992</v>
      </c>
      <c r="BV18" s="9">
        <f>IF(管理者入力シート!$B$14=1,BU15*管理者用人口入力シート!AW$3,IF(管理者入力シート!$B$14=2,BU15*管理者用人口入力シート!AW$7))</f>
        <v>426.32818963883881</v>
      </c>
      <c r="BW18" s="9">
        <f>IF(管理者入力シート!$B$14=1,BV15*管理者用人口入力シート!AX$3,IF(管理者入力シート!$B$14=2,BV15*管理者用人口入力シート!AX$7))</f>
        <v>522.62071069990589</v>
      </c>
      <c r="BX18" s="9">
        <f>IF(管理者入力シート!$B$14=1,BW15*管理者用人口入力シート!AY$3,IF(管理者入力シート!$B$14=2,BW15*管理者用人口入力シート!AY$7))</f>
        <v>693.68513066240212</v>
      </c>
      <c r="BY18" s="9">
        <f>IF(管理者入力シート!$B$14=1,BX15*管理者用人口入力シート!AZ$3,IF(管理者入力シート!$B$14=2,BX15*管理者用人口入力シート!AZ$7))</f>
        <v>672.39525767386453</v>
      </c>
      <c r="BZ18" s="9">
        <f>IF(管理者入力シート!$B$14=1,BY15*管理者用人口入力シート!BA$3,IF(管理者入力シート!$B$14=2,BY15*管理者用人口入力シート!BA$7))</f>
        <v>688.6322900020773</v>
      </c>
      <c r="CA18" s="9">
        <f>IF(管理者入力シート!$B$14=1,BZ15*管理者用人口入力シート!BB$3,IF(管理者入力シート!$B$14=2,BZ15*管理者用人口入力シート!BB$7))</f>
        <v>426.16096910570195</v>
      </c>
      <c r="CB18" s="9">
        <f>IF(管理者入力シート!$B$14=1,CA15*管理者用人口入力シート!BC$3,IF(管理者入力シート!$B$14=2,CA15*管理者用人口入力シート!BC$7))</f>
        <v>275.1385516570179</v>
      </c>
      <c r="CC18" s="9">
        <f>IF(管理者入力シート!$B$14=1,CB15*管理者用人口入力シート!BD$3,IF(管理者入力シート!$B$14=2,CB15*管理者用人口入力シート!BD$7))</f>
        <v>184.42151359602468</v>
      </c>
      <c r="CD18" s="9">
        <f>IF(管理者入力シート!$B$14=1,CC15*管理者用人口入力シート!BE$3,IF(管理者入力シート!$B$14=2,CC15*管理者用人口入力シート!BE$7))</f>
        <v>91.593678347473073</v>
      </c>
      <c r="CE18" s="9">
        <f>IF(管理者入力シート!$B$14=1,CD15*管理者用人口入力シート!BF$3,IF(管理者入力シート!$B$14=2,CD15*管理者用人口入力シート!BF$7))</f>
        <v>28.562398863360684</v>
      </c>
      <c r="CF18" s="9">
        <f t="shared" si="252"/>
        <v>9176.4208625930823</v>
      </c>
      <c r="CG18" s="9">
        <f t="shared" si="253"/>
        <v>581.52583141361583</v>
      </c>
      <c r="CH18" s="9">
        <f t="shared" si="254"/>
        <v>357.57328181832679</v>
      </c>
      <c r="CI18" s="9">
        <f t="shared" si="255"/>
        <v>3060.5897899079223</v>
      </c>
      <c r="CJ18" s="9">
        <f t="shared" si="256"/>
        <v>1694.5094015716554</v>
      </c>
      <c r="CK18" s="13">
        <f t="shared" si="257"/>
        <v>0.33352761776480438</v>
      </c>
      <c r="CL18" s="13">
        <f t="shared" si="258"/>
        <v>0.18465907644658958</v>
      </c>
      <c r="CM18" s="9">
        <f t="shared" si="259"/>
        <v>1605.0881711107181</v>
      </c>
      <c r="CO18" s="7" t="str">
        <f t="shared" si="26"/>
        <v>2050_1</v>
      </c>
      <c r="CP18" s="28">
        <f>管理者入力シート!B13</f>
        <v>2050</v>
      </c>
      <c r="CQ18" s="3" t="s">
        <v>21</v>
      </c>
      <c r="CR18" s="9">
        <f>DT19*$AK$13+将来予測シート②!$G17</f>
        <v>417.59561537978914</v>
      </c>
      <c r="CS18" s="9">
        <f>IF(管理者入力シート!$B$14=1,CR15*管理者用人口入力シート!AM$3,IF(管理者入力シート!$B$14=2,CR15*管理者用人口入力シート!AM$7))+将来予測シート②!$G18</f>
        <v>443.35658879259665</v>
      </c>
      <c r="CT18" s="9">
        <f>IF(管理者入力シート!$B$14=1,CS15*管理者用人口入力シート!AN$3,IF(管理者入力シート!$B$14=2,CS15*管理者用人口入力シート!AN$7))+将来予測シート②!$G19</f>
        <v>533.37307739532173</v>
      </c>
      <c r="CU18" s="9">
        <f>IF(管理者入力シート!$B$14=1,CT15*管理者用人口入力シート!AO$3,IF(管理者入力シート!$B$14=2,CT15*管理者用人口入力シート!AO$7))+将来予測シート②!$G20</f>
        <v>735.29994785930887</v>
      </c>
      <c r="CV18" s="9">
        <f>IF(管理者入力シート!$B$14=1,CU15*管理者用人口入力シート!AP$3,IF(管理者入力シート!$B$14=2,CU15*管理者用人口入力シート!AP$7))+将来予測シート②!$G21</f>
        <v>301.71499173622072</v>
      </c>
      <c r="CW18" s="9">
        <f>IF(管理者入力シート!$B$14=1,CV15*管理者用人口入力シート!AQ$3,IF(管理者入力シート!$B$14=2,CV15*管理者用人口入力シート!AQ$7))+将来予測シート②!$G22</f>
        <v>358.19956174899528</v>
      </c>
      <c r="CX18" s="9">
        <f>IF(管理者入力シート!$B$14=1,CW15*管理者用人口入力シート!AR$3,IF(管理者入力シート!$B$14=2,CW15*管理者用人口入力シート!AR$7))+将来予測シート②!$G23</f>
        <v>414.73219122884706</v>
      </c>
      <c r="CY18" s="9">
        <f>IF(管理者入力シート!$B$14=1,CX15*管理者用人口入力シート!AS$3,IF(管理者入力シート!$B$14=2,CX15*管理者用人口入力シート!AS$7))+将来予測シート②!$G24</f>
        <v>541.80611634654065</v>
      </c>
      <c r="CZ18" s="9">
        <f>IF(管理者入力シート!$B$14=1,CY15*管理者用人口入力シート!AT$3,IF(管理者入力シート!$B$14=2,CY15*管理者用人口入力シート!AT$7))+将来予測シート②!$G25</f>
        <v>560.50482492440824</v>
      </c>
      <c r="DA18" s="9">
        <f>IF(管理者入力シート!$B$14=1,CZ15*管理者用人口入力シート!AU$3,IF(管理者入力シート!$B$14=2,CZ15*管理者用人口入力シート!AU$7))+将来予測シート②!$G26</f>
        <v>465.2902742860108</v>
      </c>
      <c r="DB18" s="9">
        <f>IF(管理者入力シート!$B$14=1,DA15*管理者用人口入力シート!AV$3,IF(管理者入力シート!$B$14=2,DA15*管理者用人口入力シート!AV$7))+将来予測シート②!$G27</f>
        <v>430.38639406731244</v>
      </c>
      <c r="DC18" s="9">
        <f>IF(管理者入力シート!$B$14=1,DB15*管理者用人口入力シート!AW$3,IF(管理者入力シート!$B$14=2,DB15*管理者用人口入力シート!AW$7))+将来予測シート②!$G28</f>
        <v>426.32818963883881</v>
      </c>
      <c r="DD18" s="9">
        <f>IF(管理者入力シート!$B$14=1,DC15*管理者用人口入力シート!AX$3,IF(管理者入力シート!$B$14=2,DC15*管理者用人口入力シート!AX$7))+将来予測シート②!$G29</f>
        <v>522.62071069990589</v>
      </c>
      <c r="DE18" s="9">
        <f>IF(管理者入力シート!$B$14=1,DD15*管理者用人口入力シート!AY$3,IF(管理者入力シート!$B$14=2,DD15*管理者用人口入力シート!AY$7))</f>
        <v>693.68513066240212</v>
      </c>
      <c r="DF18" s="9">
        <f>IF(管理者入力シート!$B$14=1,DE15*管理者用人口入力シート!AZ$3,IF(管理者入力シート!$B$14=2,DE15*管理者用人口入力シート!AZ$7))</f>
        <v>672.39525767386453</v>
      </c>
      <c r="DG18" s="9">
        <f>IF(管理者入力シート!$B$14=1,DF15*管理者用人口入力シート!BA$3,IF(管理者入力シート!$B$14=2,DF15*管理者用人口入力シート!BA$7))</f>
        <v>688.6322900020773</v>
      </c>
      <c r="DH18" s="9">
        <f>IF(管理者入力シート!$B$14=1,DG15*管理者用人口入力シート!BB$3,IF(管理者入力シート!$B$14=2,DG15*管理者用人口入力シート!BB$7))</f>
        <v>426.16096910570195</v>
      </c>
      <c r="DI18" s="9">
        <f>IF(管理者入力シート!$B$14=1,DH15*管理者用人口入力シート!BC$3,IF(管理者入力シート!$B$14=2,DH15*管理者用人口入力シート!BC$7))</f>
        <v>275.1385516570179</v>
      </c>
      <c r="DJ18" s="9">
        <f>IF(管理者入力シート!$B$14=1,DI15*管理者用人口入力シート!BD$3,IF(管理者入力シート!$B$14=2,DI15*管理者用人口入力シート!BD$7))</f>
        <v>184.42151359602468</v>
      </c>
      <c r="DK18" s="9">
        <f>IF(管理者入力シート!$B$14=1,DJ15*管理者用人口入力シート!BE$3,IF(管理者入力シート!$B$14=2,DJ15*管理者用人口入力シート!BE$7))</f>
        <v>91.593678347473073</v>
      </c>
      <c r="DL18" s="9">
        <f>IF(管理者入力シート!$B$14=1,DK15*管理者用人口入力シート!BF$3,IF(管理者入力シート!$B$14=2,DK15*管理者用人口入力シート!BF$7))</f>
        <v>28.562398863360684</v>
      </c>
      <c r="DM18" s="9">
        <f t="shared" si="260"/>
        <v>9211.7982740120187</v>
      </c>
      <c r="DN18" s="9">
        <f t="shared" si="261"/>
        <v>586.03779971275117</v>
      </c>
      <c r="DO18" s="9">
        <f t="shared" si="262"/>
        <v>360.40922052999042</v>
      </c>
      <c r="DP18" s="9">
        <f t="shared" si="263"/>
        <v>3060.5897899079223</v>
      </c>
      <c r="DQ18" s="9">
        <f t="shared" si="264"/>
        <v>1694.5094015716554</v>
      </c>
      <c r="DR18" s="13">
        <f t="shared" si="265"/>
        <v>0.33224672304671976</v>
      </c>
      <c r="DS18" s="13">
        <f t="shared" si="266"/>
        <v>0.18394990328350352</v>
      </c>
      <c r="DT18" s="9">
        <f t="shared" si="267"/>
        <v>1616.4528610606037</v>
      </c>
      <c r="DX18" s="307">
        <f>DX1</f>
        <v>94</v>
      </c>
      <c r="DY18" s="308"/>
      <c r="DZ18" s="311" t="s">
        <v>0</v>
      </c>
      <c r="EA18" s="311" t="s">
        <v>1</v>
      </c>
      <c r="EB18" s="311" t="s">
        <v>2</v>
      </c>
      <c r="EC18" s="311" t="s">
        <v>3</v>
      </c>
      <c r="ED18" s="311" t="s">
        <v>4</v>
      </c>
      <c r="EE18" s="311" t="s">
        <v>5</v>
      </c>
      <c r="EF18" s="311" t="s">
        <v>6</v>
      </c>
      <c r="EG18" s="311" t="s">
        <v>7</v>
      </c>
      <c r="EH18" s="311" t="s">
        <v>8</v>
      </c>
      <c r="EI18" s="311" t="s">
        <v>9</v>
      </c>
      <c r="EJ18" s="311" t="s">
        <v>10</v>
      </c>
      <c r="EK18" s="311" t="s">
        <v>11</v>
      </c>
      <c r="EL18" s="311" t="s">
        <v>12</v>
      </c>
      <c r="EM18" s="311" t="s">
        <v>13</v>
      </c>
      <c r="EN18" s="311" t="s">
        <v>14</v>
      </c>
      <c r="EO18" s="311" t="s">
        <v>15</v>
      </c>
      <c r="EP18" s="311" t="s">
        <v>16</v>
      </c>
      <c r="EQ18" s="311" t="s">
        <v>17</v>
      </c>
      <c r="ER18" s="311" t="s">
        <v>18</v>
      </c>
      <c r="ES18" s="311" t="s">
        <v>19</v>
      </c>
      <c r="ET18" s="311" t="s">
        <v>20</v>
      </c>
      <c r="EU18" s="311" t="s">
        <v>23</v>
      </c>
      <c r="EV18" s="312" t="s">
        <v>50</v>
      </c>
      <c r="EW18" s="312" t="s">
        <v>51</v>
      </c>
      <c r="EX18" s="313" t="s">
        <v>79</v>
      </c>
      <c r="EY18" s="313" t="s">
        <v>80</v>
      </c>
      <c r="EZ18" s="312" t="s">
        <v>48</v>
      </c>
      <c r="FA18" s="312" t="s">
        <v>49</v>
      </c>
      <c r="FB18" s="31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383.20039914271001</v>
      </c>
      <c r="BL19" s="10">
        <f>IF(管理者入力シート!$B$14=1,BK16*管理者用人口入力シート!AM$4,IF(管理者入力シート!$B$14=2,BK16*管理者用人口入力シート!AM$8))</f>
        <v>443.89477827512445</v>
      </c>
      <c r="BM19" s="10">
        <f>IF(管理者入力シート!$B$14=1,BL16*管理者用人口入力シート!AN$4,IF(管理者入力シート!$B$14=2,BL16*管理者用人口入力シート!AN$8))</f>
        <v>477.50274418919986</v>
      </c>
      <c r="BN19" s="10">
        <f>IF(管理者入力シート!$B$14=1,BM16*管理者用人口入力シート!AO$4,IF(管理者入力シート!$B$14=2,BM16*管理者用人口入力シート!AO$8))</f>
        <v>567.2098008151786</v>
      </c>
      <c r="BO19" s="10">
        <f>IF(管理者入力シート!$B$14=1,BN16*管理者用人口入力シート!AP$4,IF(管理者入力シート!$B$14=2,BN16*管理者用人口入力シート!AP$8))</f>
        <v>368.0499510042028</v>
      </c>
      <c r="BP19" s="10">
        <f>IF(管理者入力シート!$B$14=1,BO16*管理者用人口入力シート!AQ$4,IF(管理者入力シート!$B$14=2,BO16*管理者用人口入力シート!AQ$8))</f>
        <v>391.0061416109852</v>
      </c>
      <c r="BQ19" s="10">
        <f>IF(管理者入力シート!$B$14=1,BP16*管理者用人口入力シート!AR$4,IF(管理者入力シート!$B$14=2,BP16*管理者用人口入力シート!AR$8))</f>
        <v>451.04869538471792</v>
      </c>
      <c r="BR19" s="10">
        <f>IF(管理者入力シート!$B$14=1,BQ16*管理者用人口入力シート!AS$4,IF(管理者入力シート!$B$14=2,BQ16*管理者用人口入力シート!AS$8))</f>
        <v>543.47017185797631</v>
      </c>
      <c r="BS19" s="10">
        <f>IF(管理者入力シート!$B$14=1,BR16*管理者用人口入力シート!AT$4,IF(管理者入力シート!$B$14=2,BR16*管理者用人口入力シート!AT$8))</f>
        <v>578.31056201803995</v>
      </c>
      <c r="BT19" s="10">
        <f>IF(管理者入力シート!$B$14=1,BS16*管理者用人口入力シート!AU$4,IF(管理者入力シート!$B$14=2,BS16*管理者用人口入力シート!AU$8))</f>
        <v>518.26418799930252</v>
      </c>
      <c r="BU19" s="10">
        <f>IF(管理者入力シート!$B$14=1,BT16*管理者用人口入力シート!AV$4,IF(管理者入力シート!$B$14=2,BT16*管理者用人口入力シート!AV$8))</f>
        <v>496.33226220619974</v>
      </c>
      <c r="BV19" s="10">
        <f>IF(管理者入力シート!$B$14=1,BU16*管理者用人口入力シート!AW$4,IF(管理者入力シート!$B$14=2,BU16*管理者用人口入力シート!AW$8))</f>
        <v>494.26805017617869</v>
      </c>
      <c r="BW19" s="10">
        <f>IF(管理者入力シート!$B$14=1,BV16*管理者用人口入力シート!AX$4,IF(管理者入力シート!$B$14=2,BV16*管理者用人口入力シート!AX$8))</f>
        <v>591.72138348456019</v>
      </c>
      <c r="BX19" s="10">
        <f>IF(管理者入力シート!$B$14=1,BW16*管理者用人口入力シート!AY$4,IF(管理者入力シート!$B$14=2,BW16*管理者用人口入力シート!AY$8))</f>
        <v>711.0680720398118</v>
      </c>
      <c r="BY19" s="10">
        <f>IF(管理者入力シート!$B$14=1,BX16*管理者用人口入力シート!AZ$4,IF(管理者入力シート!$B$14=2,BX16*管理者用人口入力シート!AZ$8))</f>
        <v>830.9193167370795</v>
      </c>
      <c r="BZ19" s="10">
        <f>IF(管理者入力シート!$B$14=1,BY16*管理者用人口入力シート!BA$4,IF(管理者入力シート!$B$14=2,BY16*管理者用人口入力シート!BA$8))</f>
        <v>871.9538118999476</v>
      </c>
      <c r="CA19" s="10">
        <f>IF(管理者入力シート!$B$14=1,BZ16*管理者用人口入力シート!BB$4,IF(管理者入力シート!$B$14=2,BZ16*管理者用人口入力シート!BB$8))</f>
        <v>606.1972422586299</v>
      </c>
      <c r="CB19" s="10">
        <f>IF(管理者入力シート!$B$14=1,CA16*管理者用人口入力シート!BC$4,IF(管理者入力シート!$B$14=2,CA16*管理者用人口入力シート!BC$8))</f>
        <v>523.60963858704963</v>
      </c>
      <c r="CC19" s="10">
        <f>IF(管理者入力シート!$B$14=1,CB16*管理者用人口入力シート!BD$4,IF(管理者入力シート!$B$14=2,CB16*管理者用人口入力シート!BD$8))</f>
        <v>458.80094669449431</v>
      </c>
      <c r="CD19" s="10">
        <f>IF(管理者入力シート!$B$14=1,CC16*管理者用人口入力シート!BE$4,IF(管理者入力シート!$B$14=2,CC16*管理者用人口入力シート!BE$8))</f>
        <v>312.4571712200551</v>
      </c>
      <c r="CE19" s="10">
        <f>IF(管理者入力シート!$B$14=1,CD16*管理者用人口入力シート!BF$4,IF(管理者入力シート!$B$14=2,CD16*管理者用人口入力シート!BF$8))</f>
        <v>104.18719236730838</v>
      </c>
      <c r="CF19" s="10">
        <f t="shared" si="252"/>
        <v>10723.472519968755</v>
      </c>
      <c r="CG19" s="10">
        <f t="shared" si="253"/>
        <v>552.83851347859456</v>
      </c>
      <c r="CH19" s="10">
        <f t="shared" si="254"/>
        <v>304.44305783871567</v>
      </c>
      <c r="CI19" s="10">
        <f t="shared" si="255"/>
        <v>4419.193391804376</v>
      </c>
      <c r="CJ19" s="10">
        <f t="shared" si="256"/>
        <v>2877.2060030274847</v>
      </c>
      <c r="CK19" s="14">
        <f t="shared" si="257"/>
        <v>0.41210469682979634</v>
      </c>
      <c r="CL19" s="14">
        <f t="shared" si="258"/>
        <v>0.26830916922383907</v>
      </c>
      <c r="CM19" s="10">
        <f t="shared" si="259"/>
        <v>1753.5749598578823</v>
      </c>
      <c r="CO19" s="7" t="str">
        <f t="shared" si="26"/>
        <v>2050_2</v>
      </c>
      <c r="CP19" s="29">
        <f>CP18</f>
        <v>2050</v>
      </c>
      <c r="CQ19" s="4" t="s">
        <v>22</v>
      </c>
      <c r="CR19" s="10">
        <f>DT19*$AK$14+将来予測シート②!$H17</f>
        <v>386.91021071709838</v>
      </c>
      <c r="CS19" s="10">
        <f>IF(管理者入力シート!$B$14=1,CR16*管理者用人口入力シート!AM$4,IF(管理者入力シート!$B$14=2,CR16*管理者用人口入力シート!AM$8))+将来予測シート②!$H18</f>
        <v>447.23474977389264</v>
      </c>
      <c r="CT19" s="10">
        <f>IF(管理者入力シート!$B$14=1,CS16*管理者用人口入力シート!AN$4,IF(管理者入力シート!$B$14=2,CS16*管理者用人口入力シート!AN$8))+将来予測シート②!$H19</f>
        <v>481.55091219273288</v>
      </c>
      <c r="CU19" s="10">
        <f>IF(管理者入力シート!$B$14=1,CT16*管理者用人口入力シート!AO$4,IF(管理者入力シート!$B$14=2,CT16*管理者用人口入力シート!AO$8))+将来予測シート②!$H20</f>
        <v>571.7819550189156</v>
      </c>
      <c r="CV19" s="10">
        <f>IF(管理者入力シート!$B$14=1,CU16*管理者用人口入力シート!AP$4,IF(管理者入力シート!$B$14=2,CU16*管理者用人口入力シート!AP$8))+将来予測シート②!$H21</f>
        <v>370.54813413460187</v>
      </c>
      <c r="CW19" s="10">
        <f>IF(管理者入力シート!$B$14=1,CV16*管理者用人口入力シート!AQ$4,IF(管理者入力シート!$B$14=2,CV16*管理者用人口入力シート!AQ$8))+将来予測シート②!$H22</f>
        <v>394.80797587758894</v>
      </c>
      <c r="CX19" s="10">
        <f>IF(管理者入力シート!$B$14=1,CW16*管理者用人口入力シート!AR$4,IF(管理者入力シート!$B$14=2,CW16*管理者用人口入力シート!AR$8))+将来予測シート②!$H23</f>
        <v>454.02185204833677</v>
      </c>
      <c r="CY19" s="10">
        <f>IF(管理者入力シート!$B$14=1,CX16*管理者用人口入力シート!AS$4,IF(管理者入力シート!$B$14=2,CX16*管理者用人口入力シート!AS$8))+将来予測シート②!$H24</f>
        <v>546.59744866695519</v>
      </c>
      <c r="CZ19" s="10">
        <f>IF(管理者入力シート!$B$14=1,CY16*管理者用人口入力シート!AT$4,IF(管理者入力シート!$B$14=2,CY16*管理者用人口入力シート!AT$8))+将来予測シート②!$H25</f>
        <v>581.49117446208049</v>
      </c>
      <c r="DA19" s="10">
        <f>IF(管理者入力シート!$B$14=1,CZ16*管理者用人口入力シート!AU$4,IF(管理者入力シート!$B$14=2,CZ16*管理者用人口入力シート!AU$8))+将来予測シート②!$H26</f>
        <v>521.55916029765808</v>
      </c>
      <c r="DB19" s="10">
        <f>IF(管理者入力シート!$B$14=1,DA16*管理者用人口入力シート!AV$4,IF(管理者入力シート!$B$14=2,DA16*管理者用人口入力シート!AV$8))+将来予測シート②!$H27</f>
        <v>499.64481066299066</v>
      </c>
      <c r="DC19" s="10">
        <f>IF(管理者入力シート!$B$14=1,DB16*管理者用人口入力シート!AW$4,IF(管理者入力シート!$B$14=2,DB16*管理者用人口入力シート!AW$8))+将来予測シート②!$H28</f>
        <v>495.33464778911224</v>
      </c>
      <c r="DD19" s="10">
        <f>IF(管理者入力シート!$B$14=1,DC16*管理者用人口入力シート!AX$4,IF(管理者入力シート!$B$14=2,DC16*管理者用人口入力シート!AX$8))+将来予測シート②!$H29</f>
        <v>592.76391961654645</v>
      </c>
      <c r="DE19" s="10">
        <f>IF(管理者入力シート!$B$14=1,DD16*管理者用人口入力シート!AY$4,IF(管理者入力シート!$B$14=2,DD16*管理者用人口入力シート!AY$8))</f>
        <v>712.0832872572588</v>
      </c>
      <c r="DF19" s="10">
        <f>IF(管理者入力シート!$B$14=1,DE16*管理者用人口入力シート!AZ$4,IF(管理者入力シート!$B$14=2,DE16*管理者用人口入力シート!AZ$8))</f>
        <v>830.9193167370795</v>
      </c>
      <c r="DG19" s="10">
        <f>IF(管理者入力シート!$B$14=1,DF16*管理者用人口入力シート!BA$4,IF(管理者入力シート!$B$14=2,DF16*管理者用人口入力シート!BA$8))</f>
        <v>871.9538118999476</v>
      </c>
      <c r="DH19" s="10">
        <f>IF(管理者入力シート!$B$14=1,DG16*管理者用人口入力シート!BB$4,IF(管理者入力シート!$B$14=2,DG16*管理者用人口入力シート!BB$8))</f>
        <v>606.1972422586299</v>
      </c>
      <c r="DI19" s="10">
        <f>IF(管理者入力シート!$B$14=1,DH16*管理者用人口入力シート!BC$4,IF(管理者入力シート!$B$14=2,DH16*管理者用人口入力シート!BC$8))</f>
        <v>523.60963858704963</v>
      </c>
      <c r="DJ19" s="10">
        <f>IF(管理者入力シート!$B$14=1,DI16*管理者用人口入力シート!BD$4,IF(管理者入力シート!$B$14=2,DI16*管理者用人口入力シート!BD$8))</f>
        <v>458.80094669449431</v>
      </c>
      <c r="DK19" s="10">
        <f>IF(管理者入力シート!$B$14=1,DJ16*管理者用人口入力シート!BE$4,IF(管理者入力シート!$B$14=2,DJ16*管理者用人口入力シート!BE$8))</f>
        <v>312.4571712200551</v>
      </c>
      <c r="DL19" s="10">
        <f>IF(管理者入力シート!$B$14=1,DK16*管理者用人口入力シート!BF$4,IF(管理者入力シート!$B$14=2,DK16*管理者用人口入力シート!BF$8))</f>
        <v>104.18719236730838</v>
      </c>
      <c r="DM19" s="10">
        <f t="shared" si="260"/>
        <v>10764.455558280333</v>
      </c>
      <c r="DN19" s="10">
        <f t="shared" si="261"/>
        <v>557.27139717997534</v>
      </c>
      <c r="DO19" s="10">
        <f t="shared" si="262"/>
        <v>306.97675588087628</v>
      </c>
      <c r="DP19" s="10">
        <f t="shared" si="263"/>
        <v>4420.2086070218229</v>
      </c>
      <c r="DQ19" s="10">
        <f t="shared" si="264"/>
        <v>2877.2060030274847</v>
      </c>
      <c r="DR19" s="14">
        <f t="shared" si="265"/>
        <v>0.41063002054216013</v>
      </c>
      <c r="DS19" s="14">
        <f t="shared" si="266"/>
        <v>0.26728764752196443</v>
      </c>
      <c r="DT19" s="10">
        <f t="shared" si="267"/>
        <v>1765.9754107274828</v>
      </c>
      <c r="DX19" s="309"/>
      <c r="DY19" s="310"/>
      <c r="DZ19" s="311"/>
      <c r="EA19" s="311"/>
      <c r="EB19" s="311"/>
      <c r="EC19" s="311"/>
      <c r="ED19" s="311"/>
      <c r="EE19" s="311"/>
      <c r="EF19" s="311"/>
      <c r="EG19" s="311"/>
      <c r="EH19" s="311"/>
      <c r="EI19" s="311"/>
      <c r="EJ19" s="311"/>
      <c r="EK19" s="311"/>
      <c r="EL19" s="311"/>
      <c r="EM19" s="311"/>
      <c r="EN19" s="311"/>
      <c r="EO19" s="311"/>
      <c r="EP19" s="311"/>
      <c r="EQ19" s="311"/>
      <c r="ER19" s="311"/>
      <c r="ES19" s="311"/>
      <c r="ET19" s="311"/>
      <c r="EU19" s="311"/>
      <c r="EV19" s="312"/>
      <c r="EW19" s="312"/>
      <c r="EX19" s="314"/>
      <c r="EY19" s="314"/>
      <c r="EZ19" s="312"/>
      <c r="FA19" s="312"/>
      <c r="FB19" s="31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796.87073400634517</v>
      </c>
      <c r="BL20" s="16">
        <f t="shared" ref="BL20:CE20" si="276">BL18+BL19</f>
        <v>884.01787053857788</v>
      </c>
      <c r="BM20" s="16">
        <f t="shared" si="276"/>
        <v>1006.5893709484396</v>
      </c>
      <c r="BN20" s="16">
        <f t="shared" si="276"/>
        <v>1296.9029563883332</v>
      </c>
      <c r="BO20" s="16">
        <f t="shared" si="276"/>
        <v>667.84754645036276</v>
      </c>
      <c r="BP20" s="16">
        <f t="shared" si="276"/>
        <v>745.70997663246442</v>
      </c>
      <c r="BQ20" s="16">
        <f t="shared" si="276"/>
        <v>862.9499766016786</v>
      </c>
      <c r="BR20" s="16">
        <f t="shared" si="276"/>
        <v>1082.1556312840944</v>
      </c>
      <c r="BS20" s="16">
        <f t="shared" si="276"/>
        <v>1136.4847220469478</v>
      </c>
      <c r="BT20" s="16">
        <f t="shared" si="276"/>
        <v>981.24553574640856</v>
      </c>
      <c r="BU20" s="16">
        <f t="shared" si="276"/>
        <v>924.39754620639894</v>
      </c>
      <c r="BV20" s="16">
        <f t="shared" si="276"/>
        <v>920.5962398150175</v>
      </c>
      <c r="BW20" s="16">
        <f t="shared" si="276"/>
        <v>1114.3420941844661</v>
      </c>
      <c r="BX20" s="16">
        <f t="shared" si="276"/>
        <v>1404.7532027022139</v>
      </c>
      <c r="BY20" s="16">
        <f t="shared" si="276"/>
        <v>1503.314574410944</v>
      </c>
      <c r="BZ20" s="16">
        <f t="shared" si="276"/>
        <v>1560.5861019020249</v>
      </c>
      <c r="CA20" s="16">
        <f t="shared" si="276"/>
        <v>1032.358211364332</v>
      </c>
      <c r="CB20" s="16">
        <f t="shared" si="276"/>
        <v>798.74819024406747</v>
      </c>
      <c r="CC20" s="16">
        <f t="shared" si="276"/>
        <v>643.22246029051894</v>
      </c>
      <c r="CD20" s="16">
        <f t="shared" si="276"/>
        <v>404.05084956752819</v>
      </c>
      <c r="CE20" s="16">
        <f t="shared" si="276"/>
        <v>132.74959123066907</v>
      </c>
      <c r="CF20" s="11">
        <f t="shared" si="252"/>
        <v>19899.89338256183</v>
      </c>
      <c r="CG20" s="11">
        <f t="shared" si="253"/>
        <v>1134.3643448922105</v>
      </c>
      <c r="CH20" s="11">
        <f t="shared" si="254"/>
        <v>662.01633965704252</v>
      </c>
      <c r="CI20" s="11">
        <f t="shared" si="255"/>
        <v>7479.7831817122988</v>
      </c>
      <c r="CJ20" s="11">
        <f t="shared" si="256"/>
        <v>4571.715404599141</v>
      </c>
      <c r="CK20" s="15">
        <f t="shared" si="257"/>
        <v>0.37587051538008703</v>
      </c>
      <c r="CL20" s="15">
        <f t="shared" si="258"/>
        <v>0.22973567328784339</v>
      </c>
      <c r="CM20" s="11">
        <f t="shared" si="259"/>
        <v>3358.6631309686004</v>
      </c>
      <c r="CO20" s="7" t="str">
        <f t="shared" si="26"/>
        <v>2050_3</v>
      </c>
      <c r="CP20" s="30">
        <f>CP19</f>
        <v>2050</v>
      </c>
      <c r="CQ20" s="5" t="s">
        <v>23</v>
      </c>
      <c r="CR20" s="16">
        <f>CR18+CR19</f>
        <v>804.50582609688752</v>
      </c>
      <c r="CS20" s="16">
        <f t="shared" ref="CS20:DL20" si="277">CS18+CS19</f>
        <v>890.5913385664893</v>
      </c>
      <c r="CT20" s="16">
        <f t="shared" si="277"/>
        <v>1014.9239895880546</v>
      </c>
      <c r="CU20" s="16">
        <f t="shared" si="277"/>
        <v>1307.0819028782244</v>
      </c>
      <c r="CV20" s="16">
        <f t="shared" si="277"/>
        <v>672.26312587082259</v>
      </c>
      <c r="CW20" s="16">
        <f t="shared" si="277"/>
        <v>753.00753762658428</v>
      </c>
      <c r="CX20" s="16">
        <f t="shared" si="277"/>
        <v>868.75404327718388</v>
      </c>
      <c r="CY20" s="16">
        <f t="shared" si="277"/>
        <v>1088.4035650134958</v>
      </c>
      <c r="CZ20" s="16">
        <f t="shared" si="277"/>
        <v>1141.9959993864886</v>
      </c>
      <c r="DA20" s="16">
        <f t="shared" si="277"/>
        <v>986.84943458366888</v>
      </c>
      <c r="DB20" s="16">
        <f t="shared" si="277"/>
        <v>930.0312047303031</v>
      </c>
      <c r="DC20" s="16">
        <f t="shared" si="277"/>
        <v>921.66283742795099</v>
      </c>
      <c r="DD20" s="16">
        <f t="shared" si="277"/>
        <v>1115.3846303164523</v>
      </c>
      <c r="DE20" s="16">
        <f t="shared" si="277"/>
        <v>1405.7684179196608</v>
      </c>
      <c r="DF20" s="16">
        <f t="shared" si="277"/>
        <v>1503.314574410944</v>
      </c>
      <c r="DG20" s="16">
        <f t="shared" si="277"/>
        <v>1560.5861019020249</v>
      </c>
      <c r="DH20" s="16">
        <f t="shared" si="277"/>
        <v>1032.358211364332</v>
      </c>
      <c r="DI20" s="16">
        <f t="shared" si="277"/>
        <v>798.74819024406747</v>
      </c>
      <c r="DJ20" s="16">
        <f t="shared" si="277"/>
        <v>643.22246029051894</v>
      </c>
      <c r="DK20" s="16">
        <f t="shared" si="277"/>
        <v>404.05084956752819</v>
      </c>
      <c r="DL20" s="16">
        <f t="shared" si="277"/>
        <v>132.74959123066907</v>
      </c>
      <c r="DM20" s="11">
        <f t="shared" si="260"/>
        <v>19976.25383229235</v>
      </c>
      <c r="DN20" s="11">
        <f t="shared" si="261"/>
        <v>1143.3091968927263</v>
      </c>
      <c r="DO20" s="11">
        <f t="shared" si="262"/>
        <v>667.38597641086676</v>
      </c>
      <c r="DP20" s="11">
        <f t="shared" si="263"/>
        <v>7480.7983969297456</v>
      </c>
      <c r="DQ20" s="11">
        <f t="shared" si="264"/>
        <v>4571.715404599141</v>
      </c>
      <c r="DR20" s="15">
        <f t="shared" si="265"/>
        <v>0.37448454849110696</v>
      </c>
      <c r="DS20" s="15">
        <f t="shared" si="266"/>
        <v>0.22885749465241551</v>
      </c>
      <c r="DT20" s="11">
        <f t="shared" si="267"/>
        <v>3382.4282717880869</v>
      </c>
      <c r="DX20" s="28">
        <f>DX3</f>
        <v>2025</v>
      </c>
      <c r="DY20" s="3" t="s">
        <v>21</v>
      </c>
      <c r="DZ20" s="9">
        <f t="shared" ref="DZ20:ET20" si="278">ROUND(DZ3,0)</f>
        <v>444</v>
      </c>
      <c r="EA20" s="9">
        <f t="shared" si="278"/>
        <v>483</v>
      </c>
      <c r="EB20" s="9">
        <f t="shared" si="278"/>
        <v>668</v>
      </c>
      <c r="EC20" s="9">
        <f t="shared" si="278"/>
        <v>949</v>
      </c>
      <c r="ED20" s="9">
        <f t="shared" si="278"/>
        <v>339</v>
      </c>
      <c r="EE20" s="9">
        <f t="shared" si="278"/>
        <v>463</v>
      </c>
      <c r="EF20" s="9">
        <f t="shared" si="278"/>
        <v>476</v>
      </c>
      <c r="EG20" s="9">
        <f t="shared" si="278"/>
        <v>624</v>
      </c>
      <c r="EH20" s="9">
        <f t="shared" si="278"/>
        <v>708</v>
      </c>
      <c r="EI20" s="9">
        <f t="shared" si="278"/>
        <v>742</v>
      </c>
      <c r="EJ20" s="9">
        <f t="shared" si="278"/>
        <v>822</v>
      </c>
      <c r="EK20" s="9">
        <f t="shared" si="278"/>
        <v>588</v>
      </c>
      <c r="EL20" s="9">
        <f t="shared" si="278"/>
        <v>501</v>
      </c>
      <c r="EM20" s="9">
        <f t="shared" si="278"/>
        <v>597</v>
      </c>
      <c r="EN20" s="9">
        <f t="shared" si="278"/>
        <v>670</v>
      </c>
      <c r="EO20" s="9">
        <f t="shared" si="278"/>
        <v>657</v>
      </c>
      <c r="EP20" s="9">
        <f t="shared" si="278"/>
        <v>459</v>
      </c>
      <c r="EQ20" s="9">
        <f t="shared" si="278"/>
        <v>250</v>
      </c>
      <c r="ER20" s="9">
        <f t="shared" si="278"/>
        <v>126</v>
      </c>
      <c r="ES20" s="9">
        <f t="shared" si="278"/>
        <v>43</v>
      </c>
      <c r="ET20" s="9">
        <f t="shared" si="278"/>
        <v>8</v>
      </c>
      <c r="EU20" s="9">
        <f t="shared" ref="EU20:EU21" si="279">SUM(DZ20:ET20)</f>
        <v>10617</v>
      </c>
      <c r="EV20" s="9">
        <f>EA20*3/5+EB20*3/5</f>
        <v>690.6</v>
      </c>
      <c r="EW20" s="9">
        <f>EB20*2/5+EC20*1/5</f>
        <v>457</v>
      </c>
      <c r="EX20" s="9">
        <f t="shared" ref="EX20:EX31" si="280">SUM(EM20:ET20)</f>
        <v>2810</v>
      </c>
      <c r="EY20" s="9">
        <f>SUM(EO20:ET20)</f>
        <v>1543</v>
      </c>
      <c r="EZ20" s="13">
        <f>EX20/EU20</f>
        <v>0.26466986907789397</v>
      </c>
      <c r="FA20" s="13">
        <f>EY20/EU20</f>
        <v>0.1453329565790713</v>
      </c>
      <c r="FB20" s="9">
        <f>SUM(ED20:EG20)</f>
        <v>1902</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412</v>
      </c>
      <c r="EA21" s="10">
        <f t="shared" si="281"/>
        <v>487</v>
      </c>
      <c r="EB21" s="10">
        <f t="shared" si="281"/>
        <v>582</v>
      </c>
      <c r="EC21" s="10">
        <f t="shared" si="281"/>
        <v>741</v>
      </c>
      <c r="ED21" s="10">
        <f t="shared" si="281"/>
        <v>433</v>
      </c>
      <c r="EE21" s="10">
        <f t="shared" si="281"/>
        <v>531</v>
      </c>
      <c r="EF21" s="10">
        <f t="shared" si="281"/>
        <v>537</v>
      </c>
      <c r="EG21" s="10">
        <f t="shared" si="281"/>
        <v>665</v>
      </c>
      <c r="EH21" s="10">
        <f t="shared" si="281"/>
        <v>700</v>
      </c>
      <c r="EI21" s="10">
        <f t="shared" si="281"/>
        <v>854</v>
      </c>
      <c r="EJ21" s="10">
        <f t="shared" si="281"/>
        <v>885</v>
      </c>
      <c r="EK21" s="10">
        <f t="shared" si="281"/>
        <v>644</v>
      </c>
      <c r="EL21" s="10">
        <f t="shared" si="281"/>
        <v>598</v>
      </c>
      <c r="EM21" s="10">
        <f t="shared" si="281"/>
        <v>660</v>
      </c>
      <c r="EN21" s="10">
        <f t="shared" si="281"/>
        <v>809</v>
      </c>
      <c r="EO21" s="10">
        <f t="shared" si="281"/>
        <v>948</v>
      </c>
      <c r="EP21" s="10">
        <f t="shared" si="281"/>
        <v>584</v>
      </c>
      <c r="EQ21" s="10">
        <f t="shared" si="281"/>
        <v>439</v>
      </c>
      <c r="ER21" s="10">
        <f t="shared" si="281"/>
        <v>347</v>
      </c>
      <c r="ES21" s="10">
        <f t="shared" si="281"/>
        <v>164</v>
      </c>
      <c r="ET21" s="10">
        <f t="shared" si="281"/>
        <v>35</v>
      </c>
      <c r="EU21" s="10">
        <f t="shared" si="279"/>
        <v>12055</v>
      </c>
      <c r="EV21" s="10">
        <f t="shared" ref="EV21:EV31" si="282">EA21*3/5+EB21*3/5</f>
        <v>641.4</v>
      </c>
      <c r="EW21" s="10">
        <f t="shared" ref="EW21:EW31" si="283">EB21*2/5+EC21*1/5</f>
        <v>381</v>
      </c>
      <c r="EX21" s="10">
        <f t="shared" si="280"/>
        <v>3986</v>
      </c>
      <c r="EY21" s="10">
        <f t="shared" ref="EY21:EY31" si="284">SUM(EO21:ET21)</f>
        <v>2517</v>
      </c>
      <c r="EZ21" s="14">
        <f t="shared" ref="EZ21:EZ31" si="285">EX21/EU21</f>
        <v>0.33065118208212357</v>
      </c>
      <c r="FA21" s="14">
        <f t="shared" ref="FA21:FA31" si="286">EY21/EU21</f>
        <v>0.20879303193695561</v>
      </c>
      <c r="FB21" s="10">
        <f>SUM(ED21:EG21)</f>
        <v>2166</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856</v>
      </c>
      <c r="EA22" s="16">
        <f t="shared" ref="EA22:ET22" si="287">EA20+EA21</f>
        <v>970</v>
      </c>
      <c r="EB22" s="16">
        <f t="shared" si="287"/>
        <v>1250</v>
      </c>
      <c r="EC22" s="16">
        <f t="shared" si="287"/>
        <v>1690</v>
      </c>
      <c r="ED22" s="16">
        <f t="shared" si="287"/>
        <v>772</v>
      </c>
      <c r="EE22" s="16">
        <f t="shared" si="287"/>
        <v>994</v>
      </c>
      <c r="EF22" s="16">
        <f t="shared" si="287"/>
        <v>1013</v>
      </c>
      <c r="EG22" s="16">
        <f t="shared" si="287"/>
        <v>1289</v>
      </c>
      <c r="EH22" s="16">
        <f t="shared" si="287"/>
        <v>1408</v>
      </c>
      <c r="EI22" s="16">
        <f t="shared" si="287"/>
        <v>1596</v>
      </c>
      <c r="EJ22" s="16">
        <f t="shared" si="287"/>
        <v>1707</v>
      </c>
      <c r="EK22" s="16">
        <f t="shared" si="287"/>
        <v>1232</v>
      </c>
      <c r="EL22" s="16">
        <f t="shared" si="287"/>
        <v>1099</v>
      </c>
      <c r="EM22" s="16">
        <f t="shared" si="287"/>
        <v>1257</v>
      </c>
      <c r="EN22" s="16">
        <f t="shared" si="287"/>
        <v>1479</v>
      </c>
      <c r="EO22" s="16">
        <f t="shared" si="287"/>
        <v>1605</v>
      </c>
      <c r="EP22" s="16">
        <f t="shared" si="287"/>
        <v>1043</v>
      </c>
      <c r="EQ22" s="16">
        <f t="shared" si="287"/>
        <v>689</v>
      </c>
      <c r="ER22" s="16">
        <f t="shared" si="287"/>
        <v>473</v>
      </c>
      <c r="ES22" s="16">
        <f t="shared" si="287"/>
        <v>207</v>
      </c>
      <c r="ET22" s="16">
        <f t="shared" si="287"/>
        <v>43</v>
      </c>
      <c r="EU22" s="11">
        <f>SUM(DZ22:ET22)</f>
        <v>22672</v>
      </c>
      <c r="EV22" s="11">
        <f t="shared" si="282"/>
        <v>1332</v>
      </c>
      <c r="EW22" s="11">
        <f t="shared" si="283"/>
        <v>838</v>
      </c>
      <c r="EX22" s="11">
        <f t="shared" si="280"/>
        <v>6796</v>
      </c>
      <c r="EY22" s="11">
        <f t="shared" si="284"/>
        <v>4060</v>
      </c>
      <c r="EZ22" s="15">
        <f t="shared" si="285"/>
        <v>0.29975299929428367</v>
      </c>
      <c r="FA22" s="15">
        <f t="shared" si="286"/>
        <v>0.17907551164431898</v>
      </c>
      <c r="FB22" s="11">
        <f>SUM(ED22:EG22)</f>
        <v>4068</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557</v>
      </c>
      <c r="EA23" s="9">
        <f t="shared" si="288"/>
        <v>436</v>
      </c>
      <c r="EB23" s="9">
        <f t="shared" si="288"/>
        <v>563</v>
      </c>
      <c r="EC23" s="9">
        <f t="shared" si="288"/>
        <v>923</v>
      </c>
      <c r="ED23" s="9">
        <f t="shared" si="288"/>
        <v>405</v>
      </c>
      <c r="EE23" s="9">
        <f t="shared" si="288"/>
        <v>495</v>
      </c>
      <c r="EF23" s="9">
        <f t="shared" si="288"/>
        <v>580</v>
      </c>
      <c r="EG23" s="9">
        <f t="shared" si="288"/>
        <v>619</v>
      </c>
      <c r="EH23" s="9">
        <f t="shared" si="288"/>
        <v>628</v>
      </c>
      <c r="EI23" s="9">
        <f t="shared" si="288"/>
        <v>702</v>
      </c>
      <c r="EJ23" s="9">
        <f t="shared" si="288"/>
        <v>746</v>
      </c>
      <c r="EK23" s="9">
        <f t="shared" si="288"/>
        <v>830</v>
      </c>
      <c r="EL23" s="9">
        <f t="shared" si="288"/>
        <v>574</v>
      </c>
      <c r="EM23" s="9">
        <f t="shared" si="288"/>
        <v>501</v>
      </c>
      <c r="EN23" s="9">
        <f t="shared" si="288"/>
        <v>547</v>
      </c>
      <c r="EO23" s="9">
        <f t="shared" si="288"/>
        <v>623</v>
      </c>
      <c r="EP23" s="9">
        <f t="shared" si="288"/>
        <v>573</v>
      </c>
      <c r="EQ23" s="9">
        <f t="shared" si="288"/>
        <v>339</v>
      </c>
      <c r="ER23" s="9">
        <f t="shared" si="288"/>
        <v>140</v>
      </c>
      <c r="ES23" s="9">
        <f t="shared" si="288"/>
        <v>51</v>
      </c>
      <c r="ET23" s="9">
        <f t="shared" si="288"/>
        <v>13</v>
      </c>
      <c r="EU23" s="9">
        <f t="shared" ref="EU23:EU31" si="289">SUM(DZ23:ET23)</f>
        <v>10845</v>
      </c>
      <c r="EV23" s="9">
        <f t="shared" si="282"/>
        <v>599.40000000000009</v>
      </c>
      <c r="EW23" s="9">
        <f t="shared" si="283"/>
        <v>409.79999999999995</v>
      </c>
      <c r="EX23" s="9">
        <f t="shared" si="280"/>
        <v>2787</v>
      </c>
      <c r="EY23" s="9">
        <f t="shared" si="284"/>
        <v>1739</v>
      </c>
      <c r="EZ23" s="13">
        <f t="shared" si="285"/>
        <v>0.25698478561549098</v>
      </c>
      <c r="FA23" s="13">
        <f t="shared" si="286"/>
        <v>0.16035039188566161</v>
      </c>
      <c r="FB23" s="9">
        <f t="shared" ref="FB23:FB31" si="290">SUM(ED23:EG23)</f>
        <v>2099</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516</v>
      </c>
      <c r="EA24" s="10">
        <f t="shared" si="291"/>
        <v>440</v>
      </c>
      <c r="EB24" s="10">
        <f t="shared" si="291"/>
        <v>508</v>
      </c>
      <c r="EC24" s="10">
        <f t="shared" si="291"/>
        <v>693</v>
      </c>
      <c r="ED24" s="10">
        <f t="shared" si="291"/>
        <v>500</v>
      </c>
      <c r="EE24" s="10">
        <f t="shared" si="291"/>
        <v>553</v>
      </c>
      <c r="EF24" s="10">
        <f t="shared" si="291"/>
        <v>648</v>
      </c>
      <c r="EG24" s="10">
        <f t="shared" si="291"/>
        <v>659</v>
      </c>
      <c r="EH24" s="10">
        <f t="shared" si="291"/>
        <v>661</v>
      </c>
      <c r="EI24" s="10">
        <f t="shared" si="291"/>
        <v>726</v>
      </c>
      <c r="EJ24" s="10">
        <f t="shared" si="291"/>
        <v>858</v>
      </c>
      <c r="EK24" s="10">
        <f t="shared" si="291"/>
        <v>907</v>
      </c>
      <c r="EL24" s="10">
        <f t="shared" si="291"/>
        <v>629</v>
      </c>
      <c r="EM24" s="10">
        <f t="shared" si="291"/>
        <v>582</v>
      </c>
      <c r="EN24" s="10">
        <f t="shared" si="291"/>
        <v>656</v>
      </c>
      <c r="EO24" s="10">
        <f t="shared" si="291"/>
        <v>823</v>
      </c>
      <c r="EP24" s="10">
        <f t="shared" si="291"/>
        <v>928</v>
      </c>
      <c r="EQ24" s="10">
        <f t="shared" si="291"/>
        <v>531</v>
      </c>
      <c r="ER24" s="10">
        <f t="shared" si="291"/>
        <v>339</v>
      </c>
      <c r="ES24" s="10">
        <f t="shared" si="291"/>
        <v>192</v>
      </c>
      <c r="ET24" s="10">
        <f t="shared" si="291"/>
        <v>48</v>
      </c>
      <c r="EU24" s="10">
        <f t="shared" si="289"/>
        <v>12397</v>
      </c>
      <c r="EV24" s="10">
        <f t="shared" si="282"/>
        <v>568.79999999999995</v>
      </c>
      <c r="EW24" s="10">
        <f t="shared" si="283"/>
        <v>341.79999999999995</v>
      </c>
      <c r="EX24" s="10">
        <f t="shared" si="280"/>
        <v>4099</v>
      </c>
      <c r="EY24" s="10">
        <f t="shared" si="284"/>
        <v>2861</v>
      </c>
      <c r="EZ24" s="14">
        <f t="shared" si="285"/>
        <v>0.33064451076873436</v>
      </c>
      <c r="FA24" s="14">
        <f t="shared" si="286"/>
        <v>0.23078164071952892</v>
      </c>
      <c r="FB24" s="10">
        <f t="shared" si="290"/>
        <v>2360</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1073</v>
      </c>
      <c r="EA25" s="16">
        <f t="shared" ref="EA25:ET25" si="292">EA23+EA24</f>
        <v>876</v>
      </c>
      <c r="EB25" s="16">
        <f t="shared" si="292"/>
        <v>1071</v>
      </c>
      <c r="EC25" s="16">
        <f t="shared" si="292"/>
        <v>1616</v>
      </c>
      <c r="ED25" s="16">
        <f t="shared" si="292"/>
        <v>905</v>
      </c>
      <c r="EE25" s="16">
        <f t="shared" si="292"/>
        <v>1048</v>
      </c>
      <c r="EF25" s="16">
        <f t="shared" si="292"/>
        <v>1228</v>
      </c>
      <c r="EG25" s="16">
        <f t="shared" si="292"/>
        <v>1278</v>
      </c>
      <c r="EH25" s="16">
        <f t="shared" si="292"/>
        <v>1289</v>
      </c>
      <c r="EI25" s="16">
        <f t="shared" si="292"/>
        <v>1428</v>
      </c>
      <c r="EJ25" s="16">
        <f t="shared" si="292"/>
        <v>1604</v>
      </c>
      <c r="EK25" s="16">
        <f t="shared" si="292"/>
        <v>1737</v>
      </c>
      <c r="EL25" s="16">
        <f t="shared" si="292"/>
        <v>1203</v>
      </c>
      <c r="EM25" s="16">
        <f t="shared" si="292"/>
        <v>1083</v>
      </c>
      <c r="EN25" s="16">
        <f t="shared" si="292"/>
        <v>1203</v>
      </c>
      <c r="EO25" s="16">
        <f t="shared" si="292"/>
        <v>1446</v>
      </c>
      <c r="EP25" s="16">
        <f t="shared" si="292"/>
        <v>1501</v>
      </c>
      <c r="EQ25" s="16">
        <f t="shared" si="292"/>
        <v>870</v>
      </c>
      <c r="ER25" s="16">
        <f t="shared" si="292"/>
        <v>479</v>
      </c>
      <c r="ES25" s="16">
        <f t="shared" si="292"/>
        <v>243</v>
      </c>
      <c r="ET25" s="16">
        <f t="shared" si="292"/>
        <v>61</v>
      </c>
      <c r="EU25" s="11">
        <f t="shared" si="289"/>
        <v>23242</v>
      </c>
      <c r="EV25" s="11">
        <f t="shared" si="282"/>
        <v>1168.2</v>
      </c>
      <c r="EW25" s="11">
        <f t="shared" si="283"/>
        <v>751.59999999999991</v>
      </c>
      <c r="EX25" s="11">
        <f t="shared" si="280"/>
        <v>6886</v>
      </c>
      <c r="EY25" s="11">
        <f t="shared" si="284"/>
        <v>4600</v>
      </c>
      <c r="EZ25" s="15">
        <f t="shared" si="285"/>
        <v>0.29627398674812838</v>
      </c>
      <c r="FA25" s="15">
        <f t="shared" si="286"/>
        <v>0.19791756303244126</v>
      </c>
      <c r="FB25" s="11">
        <f t="shared" si="290"/>
        <v>4459</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599</v>
      </c>
      <c r="EA26" s="9">
        <f t="shared" si="293"/>
        <v>547</v>
      </c>
      <c r="EB26" s="9">
        <f t="shared" si="293"/>
        <v>509</v>
      </c>
      <c r="EC26" s="9">
        <f t="shared" si="293"/>
        <v>778</v>
      </c>
      <c r="ED26" s="9">
        <f t="shared" si="293"/>
        <v>394</v>
      </c>
      <c r="EE26" s="9">
        <f t="shared" si="293"/>
        <v>573</v>
      </c>
      <c r="EF26" s="9">
        <f t="shared" si="293"/>
        <v>614</v>
      </c>
      <c r="EG26" s="9">
        <f t="shared" si="293"/>
        <v>733</v>
      </c>
      <c r="EH26" s="9">
        <f t="shared" si="293"/>
        <v>623</v>
      </c>
      <c r="EI26" s="9">
        <f t="shared" si="293"/>
        <v>622</v>
      </c>
      <c r="EJ26" s="9">
        <f t="shared" si="293"/>
        <v>705</v>
      </c>
      <c r="EK26" s="9">
        <f t="shared" si="293"/>
        <v>753</v>
      </c>
      <c r="EL26" s="9">
        <f t="shared" si="293"/>
        <v>809</v>
      </c>
      <c r="EM26" s="9">
        <f t="shared" si="293"/>
        <v>573</v>
      </c>
      <c r="EN26" s="9">
        <f t="shared" si="293"/>
        <v>459</v>
      </c>
      <c r="EO26" s="9">
        <f t="shared" si="293"/>
        <v>508</v>
      </c>
      <c r="EP26" s="9">
        <f t="shared" si="293"/>
        <v>544</v>
      </c>
      <c r="EQ26" s="9">
        <f t="shared" si="293"/>
        <v>424</v>
      </c>
      <c r="ER26" s="9">
        <f t="shared" si="293"/>
        <v>191</v>
      </c>
      <c r="ES26" s="9">
        <f t="shared" si="293"/>
        <v>57</v>
      </c>
      <c r="ET26" s="9">
        <f t="shared" si="293"/>
        <v>15</v>
      </c>
      <c r="EU26" s="9">
        <f t="shared" si="289"/>
        <v>11030</v>
      </c>
      <c r="EV26" s="9">
        <f t="shared" si="282"/>
        <v>633.59999999999991</v>
      </c>
      <c r="EW26" s="9">
        <f t="shared" si="283"/>
        <v>359.2</v>
      </c>
      <c r="EX26" s="9">
        <f t="shared" si="280"/>
        <v>2771</v>
      </c>
      <c r="EY26" s="9">
        <f t="shared" si="284"/>
        <v>1739</v>
      </c>
      <c r="EZ26" s="13">
        <f t="shared" si="285"/>
        <v>0.25122393472348142</v>
      </c>
      <c r="FA26" s="13">
        <f t="shared" si="286"/>
        <v>0.15766092475067997</v>
      </c>
      <c r="FB26" s="9">
        <f t="shared" si="290"/>
        <v>2314</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554</v>
      </c>
      <c r="EA27" s="10">
        <f t="shared" si="294"/>
        <v>551</v>
      </c>
      <c r="EB27" s="10">
        <f t="shared" si="294"/>
        <v>459</v>
      </c>
      <c r="EC27" s="10">
        <f t="shared" si="294"/>
        <v>605</v>
      </c>
      <c r="ED27" s="10">
        <f t="shared" si="294"/>
        <v>467</v>
      </c>
      <c r="EE27" s="10">
        <f t="shared" si="294"/>
        <v>624</v>
      </c>
      <c r="EF27" s="10">
        <f t="shared" si="294"/>
        <v>670</v>
      </c>
      <c r="EG27" s="10">
        <f t="shared" si="294"/>
        <v>775</v>
      </c>
      <c r="EH27" s="10">
        <f t="shared" si="294"/>
        <v>655</v>
      </c>
      <c r="EI27" s="10">
        <f t="shared" si="294"/>
        <v>685</v>
      </c>
      <c r="EJ27" s="10">
        <f t="shared" si="294"/>
        <v>729</v>
      </c>
      <c r="EK27" s="10">
        <f t="shared" si="294"/>
        <v>879</v>
      </c>
      <c r="EL27" s="10">
        <f t="shared" si="294"/>
        <v>886</v>
      </c>
      <c r="EM27" s="10">
        <f t="shared" si="294"/>
        <v>613</v>
      </c>
      <c r="EN27" s="10">
        <f t="shared" si="294"/>
        <v>578</v>
      </c>
      <c r="EO27" s="10">
        <f t="shared" si="294"/>
        <v>667</v>
      </c>
      <c r="EP27" s="10">
        <f t="shared" si="294"/>
        <v>806</v>
      </c>
      <c r="EQ27" s="10">
        <f t="shared" si="294"/>
        <v>844</v>
      </c>
      <c r="ER27" s="10">
        <f t="shared" si="294"/>
        <v>410</v>
      </c>
      <c r="ES27" s="10">
        <f t="shared" si="294"/>
        <v>187</v>
      </c>
      <c r="ET27" s="10">
        <f t="shared" si="294"/>
        <v>55</v>
      </c>
      <c r="EU27" s="10">
        <f t="shared" si="289"/>
        <v>12699</v>
      </c>
      <c r="EV27" s="10">
        <f t="shared" si="282"/>
        <v>606</v>
      </c>
      <c r="EW27" s="10">
        <f t="shared" si="283"/>
        <v>304.60000000000002</v>
      </c>
      <c r="EX27" s="10">
        <f t="shared" si="280"/>
        <v>4160</v>
      </c>
      <c r="EY27" s="10">
        <f t="shared" si="284"/>
        <v>2969</v>
      </c>
      <c r="EZ27" s="14">
        <f t="shared" si="285"/>
        <v>0.32758484920072445</v>
      </c>
      <c r="FA27" s="14">
        <f t="shared" si="286"/>
        <v>0.23379793684542091</v>
      </c>
      <c r="FB27" s="10">
        <f t="shared" si="290"/>
        <v>2536</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1153</v>
      </c>
      <c r="EA28" s="16">
        <f t="shared" ref="EA28:ET28" si="295">EA26+EA27</f>
        <v>1098</v>
      </c>
      <c r="EB28" s="16">
        <f t="shared" si="295"/>
        <v>968</v>
      </c>
      <c r="EC28" s="16">
        <f t="shared" si="295"/>
        <v>1383</v>
      </c>
      <c r="ED28" s="16">
        <f t="shared" si="295"/>
        <v>861</v>
      </c>
      <c r="EE28" s="16">
        <f t="shared" si="295"/>
        <v>1197</v>
      </c>
      <c r="EF28" s="16">
        <f t="shared" si="295"/>
        <v>1284</v>
      </c>
      <c r="EG28" s="16">
        <f t="shared" si="295"/>
        <v>1508</v>
      </c>
      <c r="EH28" s="16">
        <f t="shared" si="295"/>
        <v>1278</v>
      </c>
      <c r="EI28" s="16">
        <f t="shared" si="295"/>
        <v>1307</v>
      </c>
      <c r="EJ28" s="16">
        <f t="shared" si="295"/>
        <v>1434</v>
      </c>
      <c r="EK28" s="16">
        <f t="shared" si="295"/>
        <v>1632</v>
      </c>
      <c r="EL28" s="16">
        <f t="shared" si="295"/>
        <v>1695</v>
      </c>
      <c r="EM28" s="16">
        <f t="shared" si="295"/>
        <v>1186</v>
      </c>
      <c r="EN28" s="16">
        <f t="shared" si="295"/>
        <v>1037</v>
      </c>
      <c r="EO28" s="16">
        <f t="shared" si="295"/>
        <v>1175</v>
      </c>
      <c r="EP28" s="16">
        <f t="shared" si="295"/>
        <v>1350</v>
      </c>
      <c r="EQ28" s="16">
        <f t="shared" si="295"/>
        <v>1268</v>
      </c>
      <c r="ER28" s="16">
        <f t="shared" si="295"/>
        <v>601</v>
      </c>
      <c r="ES28" s="16">
        <f t="shared" si="295"/>
        <v>244</v>
      </c>
      <c r="ET28" s="16">
        <f t="shared" si="295"/>
        <v>70</v>
      </c>
      <c r="EU28" s="11">
        <f t="shared" si="289"/>
        <v>23729</v>
      </c>
      <c r="EV28" s="11">
        <f t="shared" si="282"/>
        <v>1239.5999999999999</v>
      </c>
      <c r="EW28" s="11">
        <f t="shared" si="283"/>
        <v>663.8</v>
      </c>
      <c r="EX28" s="11">
        <f t="shared" si="280"/>
        <v>6931</v>
      </c>
      <c r="EY28" s="11">
        <f t="shared" si="284"/>
        <v>4708</v>
      </c>
      <c r="EZ28" s="15">
        <f t="shared" si="285"/>
        <v>0.29208984786548103</v>
      </c>
      <c r="FA28" s="15">
        <f t="shared" si="286"/>
        <v>0.19840701251633022</v>
      </c>
      <c r="FB28" s="11">
        <f t="shared" si="290"/>
        <v>4850</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600</v>
      </c>
      <c r="EA29" s="9">
        <f t="shared" si="296"/>
        <v>588</v>
      </c>
      <c r="EB29" s="9">
        <f t="shared" si="296"/>
        <v>637</v>
      </c>
      <c r="EC29" s="9">
        <f t="shared" si="296"/>
        <v>703</v>
      </c>
      <c r="ED29" s="9">
        <f t="shared" si="296"/>
        <v>332</v>
      </c>
      <c r="EE29" s="9">
        <f t="shared" si="296"/>
        <v>560</v>
      </c>
      <c r="EF29" s="9">
        <f t="shared" si="296"/>
        <v>695</v>
      </c>
      <c r="EG29" s="9">
        <f t="shared" si="296"/>
        <v>770</v>
      </c>
      <c r="EH29" s="9">
        <f t="shared" si="296"/>
        <v>738</v>
      </c>
      <c r="EI29" s="9">
        <f t="shared" si="296"/>
        <v>618</v>
      </c>
      <c r="EJ29" s="9">
        <f t="shared" si="296"/>
        <v>626</v>
      </c>
      <c r="EK29" s="9">
        <f t="shared" si="296"/>
        <v>712</v>
      </c>
      <c r="EL29" s="9">
        <f t="shared" si="296"/>
        <v>734</v>
      </c>
      <c r="EM29" s="9">
        <f t="shared" si="296"/>
        <v>809</v>
      </c>
      <c r="EN29" s="9">
        <f t="shared" si="296"/>
        <v>526</v>
      </c>
      <c r="EO29" s="9">
        <f t="shared" si="296"/>
        <v>426</v>
      </c>
      <c r="EP29" s="9">
        <f t="shared" si="296"/>
        <v>444</v>
      </c>
      <c r="EQ29" s="9">
        <f t="shared" si="296"/>
        <v>402</v>
      </c>
      <c r="ER29" s="9">
        <f t="shared" si="296"/>
        <v>238</v>
      </c>
      <c r="ES29" s="9">
        <f t="shared" si="296"/>
        <v>77</v>
      </c>
      <c r="ET29" s="9">
        <f t="shared" si="296"/>
        <v>17</v>
      </c>
      <c r="EU29" s="9">
        <f t="shared" si="289"/>
        <v>11252</v>
      </c>
      <c r="EV29" s="9">
        <f t="shared" si="282"/>
        <v>735</v>
      </c>
      <c r="EW29" s="9">
        <f t="shared" si="283"/>
        <v>395.4</v>
      </c>
      <c r="EX29" s="9">
        <f t="shared" si="280"/>
        <v>2939</v>
      </c>
      <c r="EY29" s="9">
        <f t="shared" si="284"/>
        <v>1604</v>
      </c>
      <c r="EZ29" s="13">
        <f t="shared" si="285"/>
        <v>0.26119800924280129</v>
      </c>
      <c r="FA29" s="13">
        <f t="shared" si="286"/>
        <v>0.14255243512264487</v>
      </c>
      <c r="FB29" s="9">
        <f t="shared" si="290"/>
        <v>2357</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555</v>
      </c>
      <c r="EA30" s="10">
        <f t="shared" si="297"/>
        <v>593</v>
      </c>
      <c r="EB30" s="10">
        <f t="shared" si="297"/>
        <v>575</v>
      </c>
      <c r="EC30" s="10">
        <f t="shared" si="297"/>
        <v>546</v>
      </c>
      <c r="ED30" s="10">
        <f t="shared" si="297"/>
        <v>408</v>
      </c>
      <c r="EE30" s="10">
        <f t="shared" si="297"/>
        <v>590</v>
      </c>
      <c r="EF30" s="10">
        <f t="shared" si="297"/>
        <v>745</v>
      </c>
      <c r="EG30" s="10">
        <f t="shared" si="297"/>
        <v>799</v>
      </c>
      <c r="EH30" s="10">
        <f t="shared" si="297"/>
        <v>771</v>
      </c>
      <c r="EI30" s="10">
        <f t="shared" si="297"/>
        <v>679</v>
      </c>
      <c r="EJ30" s="10">
        <f t="shared" si="297"/>
        <v>688</v>
      </c>
      <c r="EK30" s="10">
        <f t="shared" si="297"/>
        <v>747</v>
      </c>
      <c r="EL30" s="10">
        <f t="shared" si="297"/>
        <v>859</v>
      </c>
      <c r="EM30" s="10">
        <f t="shared" si="297"/>
        <v>863</v>
      </c>
      <c r="EN30" s="10">
        <f t="shared" si="297"/>
        <v>609</v>
      </c>
      <c r="EO30" s="10">
        <f t="shared" si="297"/>
        <v>588</v>
      </c>
      <c r="EP30" s="10">
        <f t="shared" si="297"/>
        <v>653</v>
      </c>
      <c r="EQ30" s="10">
        <f t="shared" si="297"/>
        <v>733</v>
      </c>
      <c r="ER30" s="10">
        <f t="shared" si="297"/>
        <v>652</v>
      </c>
      <c r="ES30" s="10">
        <f t="shared" si="297"/>
        <v>226</v>
      </c>
      <c r="ET30" s="10">
        <f t="shared" si="297"/>
        <v>54</v>
      </c>
      <c r="EU30" s="10">
        <f t="shared" si="289"/>
        <v>12933</v>
      </c>
      <c r="EV30" s="10">
        <f t="shared" si="282"/>
        <v>700.8</v>
      </c>
      <c r="EW30" s="10">
        <f t="shared" si="283"/>
        <v>339.2</v>
      </c>
      <c r="EX30" s="10">
        <f t="shared" si="280"/>
        <v>4378</v>
      </c>
      <c r="EY30" s="10">
        <f t="shared" si="284"/>
        <v>2906</v>
      </c>
      <c r="EZ30" s="14">
        <f t="shared" si="285"/>
        <v>0.33851387922369131</v>
      </c>
      <c r="FA30" s="14">
        <f t="shared" si="286"/>
        <v>0.22469651279672156</v>
      </c>
      <c r="FB30" s="10">
        <f t="shared" si="290"/>
        <v>2542</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1155</v>
      </c>
      <c r="EA31" s="16">
        <f t="shared" ref="EA31:ET31" si="298">EA29+EA30</f>
        <v>1181</v>
      </c>
      <c r="EB31" s="16">
        <f t="shared" si="298"/>
        <v>1212</v>
      </c>
      <c r="EC31" s="16">
        <f t="shared" si="298"/>
        <v>1249</v>
      </c>
      <c r="ED31" s="16">
        <f t="shared" si="298"/>
        <v>740</v>
      </c>
      <c r="EE31" s="16">
        <f t="shared" si="298"/>
        <v>1150</v>
      </c>
      <c r="EF31" s="16">
        <f t="shared" si="298"/>
        <v>1440</v>
      </c>
      <c r="EG31" s="16">
        <f t="shared" si="298"/>
        <v>1569</v>
      </c>
      <c r="EH31" s="16">
        <f t="shared" si="298"/>
        <v>1509</v>
      </c>
      <c r="EI31" s="16">
        <f t="shared" si="298"/>
        <v>1297</v>
      </c>
      <c r="EJ31" s="16">
        <f t="shared" si="298"/>
        <v>1314</v>
      </c>
      <c r="EK31" s="16">
        <f t="shared" si="298"/>
        <v>1459</v>
      </c>
      <c r="EL31" s="16">
        <f t="shared" si="298"/>
        <v>1593</v>
      </c>
      <c r="EM31" s="16">
        <f t="shared" si="298"/>
        <v>1672</v>
      </c>
      <c r="EN31" s="16">
        <f t="shared" si="298"/>
        <v>1135</v>
      </c>
      <c r="EO31" s="16">
        <f t="shared" si="298"/>
        <v>1014</v>
      </c>
      <c r="EP31" s="16">
        <f t="shared" si="298"/>
        <v>1097</v>
      </c>
      <c r="EQ31" s="16">
        <f t="shared" si="298"/>
        <v>1135</v>
      </c>
      <c r="ER31" s="16">
        <f t="shared" si="298"/>
        <v>890</v>
      </c>
      <c r="ES31" s="16">
        <f t="shared" si="298"/>
        <v>303</v>
      </c>
      <c r="ET31" s="16">
        <f t="shared" si="298"/>
        <v>71</v>
      </c>
      <c r="EU31" s="11">
        <f t="shared" si="289"/>
        <v>24185</v>
      </c>
      <c r="EV31" s="11">
        <f t="shared" si="282"/>
        <v>1435.8000000000002</v>
      </c>
      <c r="EW31" s="11">
        <f t="shared" si="283"/>
        <v>734.6</v>
      </c>
      <c r="EX31" s="11">
        <f t="shared" si="280"/>
        <v>7317</v>
      </c>
      <c r="EY31" s="11">
        <f t="shared" si="284"/>
        <v>4510</v>
      </c>
      <c r="EZ31" s="15">
        <f t="shared" si="285"/>
        <v>0.30254289849080007</v>
      </c>
      <c r="FA31" s="15">
        <f t="shared" si="286"/>
        <v>0.18647922265867273</v>
      </c>
      <c r="FB31" s="11">
        <f t="shared" si="290"/>
        <v>4899</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9850</v>
      </c>
      <c r="D4" s="17">
        <f>SUM(C41:C61)</f>
        <v>11192</v>
      </c>
      <c r="E4" s="17">
        <f>C4+D4</f>
        <v>21042</v>
      </c>
      <c r="F4" s="85"/>
      <c r="G4" s="1" t="s">
        <v>58</v>
      </c>
      <c r="H4" s="1">
        <f>B4</f>
        <v>2010</v>
      </c>
      <c r="I4" s="17">
        <f>C4</f>
        <v>9850</v>
      </c>
      <c r="J4" s="17">
        <f>D4</f>
        <v>11192</v>
      </c>
      <c r="K4" s="17">
        <f>I4+J4</f>
        <v>21042</v>
      </c>
      <c r="N4" s="1" t="s">
        <v>58</v>
      </c>
      <c r="O4" s="1">
        <f>H4</f>
        <v>2010</v>
      </c>
      <c r="P4" s="17">
        <f>I4</f>
        <v>9850</v>
      </c>
      <c r="Q4" s="17">
        <f t="shared" ref="Q4:R4" si="0">J4</f>
        <v>11192</v>
      </c>
      <c r="R4" s="17">
        <f t="shared" si="0"/>
        <v>21042</v>
      </c>
      <c r="S4" s="1"/>
      <c r="T4" s="1"/>
      <c r="U4" s="1"/>
    </row>
    <row r="5" spans="1:21" x14ac:dyDescent="0.15">
      <c r="A5" s="1" t="s">
        <v>61</v>
      </c>
      <c r="B5" s="1">
        <f>管理者入力シート!B6</f>
        <v>2015</v>
      </c>
      <c r="C5" s="17">
        <f>SUM(B65:B85)</f>
        <v>10188</v>
      </c>
      <c r="D5" s="17">
        <f>SUM(C65:C85)</f>
        <v>11483</v>
      </c>
      <c r="E5" s="17">
        <f t="shared" ref="E5" si="1">C5+D5</f>
        <v>21671</v>
      </c>
      <c r="F5" s="85"/>
      <c r="G5" s="1" t="s">
        <v>57</v>
      </c>
      <c r="H5" s="1">
        <f t="shared" ref="H5:H6" si="2">B5</f>
        <v>2015</v>
      </c>
      <c r="I5" s="17">
        <f t="shared" ref="I5" si="3">C5</f>
        <v>10188</v>
      </c>
      <c r="J5" s="17">
        <f>D5</f>
        <v>11483</v>
      </c>
      <c r="K5" s="17">
        <f t="shared" ref="K5:K10" si="4">I5+J5</f>
        <v>21671</v>
      </c>
      <c r="N5" s="1" t="s">
        <v>57</v>
      </c>
      <c r="O5" s="1">
        <f t="shared" ref="O5:O10" si="5">H5</f>
        <v>2015</v>
      </c>
      <c r="P5" s="17">
        <f t="shared" ref="P5:P10" si="6">I5</f>
        <v>10188</v>
      </c>
      <c r="Q5" s="17">
        <f t="shared" ref="Q5:Q10" si="7">J5</f>
        <v>11483</v>
      </c>
      <c r="R5" s="17">
        <f t="shared" ref="R5:R10" si="8">K5</f>
        <v>21671</v>
      </c>
      <c r="S5" s="1"/>
      <c r="T5" s="1"/>
      <c r="U5" s="1"/>
    </row>
    <row r="6" spans="1:21" x14ac:dyDescent="0.15">
      <c r="A6" s="1" t="s">
        <v>62</v>
      </c>
      <c r="B6" s="1">
        <f>管理者入力シート!B5</f>
        <v>2020</v>
      </c>
      <c r="C6" s="17">
        <f>SUM(B89:B109)</f>
        <v>10331</v>
      </c>
      <c r="D6" s="17">
        <f>SUM(C89:C109)</f>
        <v>11695</v>
      </c>
      <c r="E6" s="17">
        <f>C6+D6</f>
        <v>22026</v>
      </c>
      <c r="F6" s="85"/>
      <c r="G6" s="1" t="s">
        <v>62</v>
      </c>
      <c r="H6" s="1">
        <f t="shared" si="2"/>
        <v>2020</v>
      </c>
      <c r="I6" s="17">
        <f>C6</f>
        <v>10331</v>
      </c>
      <c r="J6" s="17">
        <f>D6</f>
        <v>11695</v>
      </c>
      <c r="K6" s="17">
        <f t="shared" si="4"/>
        <v>22026</v>
      </c>
      <c r="N6" s="1" t="s">
        <v>62</v>
      </c>
      <c r="O6" s="1">
        <f t="shared" si="5"/>
        <v>2020</v>
      </c>
      <c r="P6" s="17">
        <f t="shared" si="6"/>
        <v>10331</v>
      </c>
      <c r="Q6" s="17">
        <f t="shared" si="7"/>
        <v>11695</v>
      </c>
      <c r="R6" s="17">
        <f t="shared" si="8"/>
        <v>22026</v>
      </c>
      <c r="S6" s="1"/>
      <c r="T6" s="1"/>
      <c r="U6" s="1"/>
    </row>
    <row r="7" spans="1:21" x14ac:dyDescent="0.15">
      <c r="G7" s="1" t="s">
        <v>106</v>
      </c>
      <c r="H7" s="1">
        <f>管理者入力シート!B8</f>
        <v>2025</v>
      </c>
      <c r="I7" s="17">
        <f>SUM(H69:H89)</f>
        <v>10335</v>
      </c>
      <c r="J7" s="17">
        <f>SUM(I69:I89)</f>
        <v>11773</v>
      </c>
      <c r="K7" s="17">
        <f t="shared" si="4"/>
        <v>22108</v>
      </c>
      <c r="N7" s="1" t="s">
        <v>106</v>
      </c>
      <c r="O7" s="1">
        <f t="shared" si="5"/>
        <v>2025</v>
      </c>
      <c r="P7" s="17">
        <f t="shared" si="6"/>
        <v>10335</v>
      </c>
      <c r="Q7" s="17">
        <f t="shared" si="7"/>
        <v>11773</v>
      </c>
      <c r="R7" s="17">
        <f t="shared" si="8"/>
        <v>22108</v>
      </c>
      <c r="S7" s="236">
        <f>SUM(O69:O89)</f>
        <v>10339</v>
      </c>
      <c r="T7" s="236">
        <f>SUM(P69:P89)</f>
        <v>11778</v>
      </c>
      <c r="U7" s="236">
        <f>S7+T7</f>
        <v>22117</v>
      </c>
    </row>
    <row r="8" spans="1:21" x14ac:dyDescent="0.15">
      <c r="A8" s="69" t="s">
        <v>71</v>
      </c>
      <c r="G8" s="1" t="s">
        <v>107</v>
      </c>
      <c r="H8" s="1">
        <f>管理者入力シート!B9</f>
        <v>2030</v>
      </c>
      <c r="I8" s="17">
        <f>SUM(H93:H113)</f>
        <v>10152</v>
      </c>
      <c r="J8" s="17">
        <f>SUM(I93:I113)</f>
        <v>11720</v>
      </c>
      <c r="K8" s="17">
        <f t="shared" si="4"/>
        <v>21872</v>
      </c>
      <c r="N8" s="1" t="s">
        <v>107</v>
      </c>
      <c r="O8" s="1">
        <f t="shared" si="5"/>
        <v>2030</v>
      </c>
      <c r="P8" s="17">
        <f t="shared" si="6"/>
        <v>10152</v>
      </c>
      <c r="Q8" s="17">
        <f t="shared" si="7"/>
        <v>11720</v>
      </c>
      <c r="R8" s="17">
        <f t="shared" si="8"/>
        <v>21872</v>
      </c>
      <c r="S8" s="236">
        <f>SUM(O93:O113)</f>
        <v>10161</v>
      </c>
      <c r="T8" s="236">
        <f>SUM(P93:P113)</f>
        <v>11731</v>
      </c>
      <c r="U8" s="236">
        <f t="shared" ref="U8:U10" si="9">S8+T8</f>
        <v>21892</v>
      </c>
    </row>
    <row r="9" spans="1:21" x14ac:dyDescent="0.15">
      <c r="A9" s="2" t="s">
        <v>72</v>
      </c>
      <c r="G9" s="1" t="s">
        <v>108</v>
      </c>
      <c r="H9" s="1">
        <f>管理者入力シート!B10</f>
        <v>2035</v>
      </c>
      <c r="I9" s="17">
        <f>SUM(H117:H137)</f>
        <v>9895</v>
      </c>
      <c r="J9" s="17">
        <f>SUM(I117:I137)</f>
        <v>11589</v>
      </c>
      <c r="K9" s="17">
        <f t="shared" si="4"/>
        <v>21484</v>
      </c>
      <c r="N9" s="1" t="s">
        <v>108</v>
      </c>
      <c r="O9" s="1">
        <f t="shared" si="5"/>
        <v>2035</v>
      </c>
      <c r="P9" s="17">
        <f t="shared" si="6"/>
        <v>9895</v>
      </c>
      <c r="Q9" s="17">
        <f t="shared" si="7"/>
        <v>11589</v>
      </c>
      <c r="R9" s="17">
        <f t="shared" si="8"/>
        <v>21484</v>
      </c>
      <c r="S9" s="236">
        <f>SUM(O117:O137)</f>
        <v>9910</v>
      </c>
      <c r="T9" s="236">
        <f>SUM(P117:P137)</f>
        <v>11608</v>
      </c>
      <c r="U9" s="236">
        <f t="shared" si="9"/>
        <v>21518</v>
      </c>
    </row>
    <row r="10" spans="1:21" x14ac:dyDescent="0.15">
      <c r="A10" s="1" t="s">
        <v>58</v>
      </c>
      <c r="B10" s="1">
        <f>B4</f>
        <v>2010</v>
      </c>
      <c r="C10" s="17">
        <f>ROUND(VLOOKUP(B10&amp;"_3",管理者用人口入力シート!A:AA,26,FALSE),0)</f>
        <v>1235</v>
      </c>
      <c r="D10" s="12"/>
      <c r="E10" s="12"/>
      <c r="G10" s="1" t="s">
        <v>109</v>
      </c>
      <c r="H10" s="1">
        <f>管理者入力シート!B11</f>
        <v>2040</v>
      </c>
      <c r="I10" s="17">
        <f>SUM(H141:H161)</f>
        <v>9657</v>
      </c>
      <c r="J10" s="17">
        <f>SUM(I141:I161)</f>
        <v>11381</v>
      </c>
      <c r="K10" s="17">
        <f t="shared" si="4"/>
        <v>21038</v>
      </c>
      <c r="N10" s="1" t="s">
        <v>109</v>
      </c>
      <c r="O10" s="1">
        <f t="shared" si="5"/>
        <v>2040</v>
      </c>
      <c r="P10" s="17">
        <f t="shared" si="6"/>
        <v>9657</v>
      </c>
      <c r="Q10" s="17">
        <f t="shared" si="7"/>
        <v>11381</v>
      </c>
      <c r="R10" s="17">
        <f t="shared" si="8"/>
        <v>21038</v>
      </c>
      <c r="S10" s="236">
        <f>SUM(O141:O161)</f>
        <v>9678</v>
      </c>
      <c r="T10" s="236">
        <f>SUM(P141:P161)</f>
        <v>11406</v>
      </c>
      <c r="U10" s="236">
        <f t="shared" si="9"/>
        <v>21084</v>
      </c>
    </row>
    <row r="11" spans="1:21" x14ac:dyDescent="0.15">
      <c r="A11" s="1" t="s">
        <v>61</v>
      </c>
      <c r="B11" s="1">
        <f t="shared" ref="B11:B12" si="10">B5</f>
        <v>2015</v>
      </c>
      <c r="C11" s="17">
        <f>ROUND(VLOOKUP(B11&amp;"_3",管理者用人口入力シート!A:AA,26,FALSE),0)</f>
        <v>1380</v>
      </c>
      <c r="D11" s="12"/>
      <c r="E11" s="12"/>
      <c r="I11" s="12"/>
      <c r="J11" s="12"/>
      <c r="K11" s="12"/>
      <c r="P11" s="12"/>
    </row>
    <row r="12" spans="1:21" x14ac:dyDescent="0.15">
      <c r="A12" s="1" t="s">
        <v>62</v>
      </c>
      <c r="B12" s="1">
        <f t="shared" si="10"/>
        <v>2020</v>
      </c>
      <c r="C12" s="17">
        <f>ROUND(VLOOKUP(B12&amp;"_3",管理者用人口入力シート!A:AA,26,FALSE),0)</f>
        <v>1464</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651</v>
      </c>
      <c r="D14" s="12"/>
      <c r="E14" s="12"/>
      <c r="G14" s="1" t="s">
        <v>58</v>
      </c>
      <c r="H14" s="1">
        <f>H4</f>
        <v>2010</v>
      </c>
      <c r="I14" s="17">
        <f>C10</f>
        <v>1235</v>
      </c>
      <c r="J14" s="12"/>
      <c r="K14" s="12"/>
      <c r="N14" s="1" t="s">
        <v>58</v>
      </c>
      <c r="O14" s="1">
        <f>O4</f>
        <v>2010</v>
      </c>
      <c r="P14" s="17">
        <f>I14</f>
        <v>1235</v>
      </c>
      <c r="Q14" s="17"/>
    </row>
    <row r="15" spans="1:21" x14ac:dyDescent="0.15">
      <c r="A15" s="1" t="s">
        <v>61</v>
      </c>
      <c r="B15" s="1">
        <f t="shared" ref="B15:B16" si="11">B5</f>
        <v>2015</v>
      </c>
      <c r="C15" s="17">
        <f>ROUND(VLOOKUP(B15&amp;"_3",管理者用人口入力シート!A:AA,27,FALSE),0)</f>
        <v>714</v>
      </c>
      <c r="D15" s="12"/>
      <c r="E15" s="12"/>
      <c r="G15" s="1" t="s">
        <v>57</v>
      </c>
      <c r="H15" s="1">
        <f t="shared" ref="H15:H20" si="12">H5</f>
        <v>2015</v>
      </c>
      <c r="I15" s="17">
        <f>C11</f>
        <v>1380</v>
      </c>
      <c r="J15" s="12"/>
      <c r="K15" s="12"/>
      <c r="N15" s="1" t="s">
        <v>57</v>
      </c>
      <c r="O15" s="1">
        <f t="shared" ref="O15:O20" si="13">O5</f>
        <v>2015</v>
      </c>
      <c r="P15" s="17">
        <f t="shared" ref="P15:P20" si="14">I15</f>
        <v>1380</v>
      </c>
      <c r="Q15" s="17"/>
    </row>
    <row r="16" spans="1:21" x14ac:dyDescent="0.15">
      <c r="A16" s="1" t="s">
        <v>62</v>
      </c>
      <c r="B16" s="1">
        <f t="shared" si="11"/>
        <v>2020</v>
      </c>
      <c r="C16" s="17">
        <f>ROUND(VLOOKUP(B16&amp;"_3",管理者用人口入力シート!A:AA,27,FALSE),0)</f>
        <v>811</v>
      </c>
      <c r="D16" s="12"/>
      <c r="E16" s="12"/>
      <c r="G16" s="1" t="s">
        <v>62</v>
      </c>
      <c r="H16" s="1">
        <f t="shared" si="12"/>
        <v>2020</v>
      </c>
      <c r="I16" s="17">
        <f>C12</f>
        <v>1464</v>
      </c>
      <c r="J16" s="12"/>
      <c r="K16" s="12"/>
      <c r="N16" s="1" t="s">
        <v>62</v>
      </c>
      <c r="O16" s="1">
        <f t="shared" si="13"/>
        <v>2020</v>
      </c>
      <c r="P16" s="17">
        <f t="shared" si="14"/>
        <v>1464</v>
      </c>
      <c r="Q16" s="17"/>
    </row>
    <row r="17" spans="1:17" x14ac:dyDescent="0.15">
      <c r="G17" s="1" t="s">
        <v>106</v>
      </c>
      <c r="H17" s="1">
        <f t="shared" si="12"/>
        <v>2025</v>
      </c>
      <c r="I17" s="17">
        <f>ROUND(VLOOKUP(H17&amp;"_3",管理者用人口入力シート!BH:CM,26,FALSE),0)</f>
        <v>1332</v>
      </c>
      <c r="J17" s="12"/>
      <c r="K17" s="12"/>
      <c r="N17" s="1" t="s">
        <v>106</v>
      </c>
      <c r="O17" s="1">
        <f t="shared" si="13"/>
        <v>2025</v>
      </c>
      <c r="P17" s="17">
        <f t="shared" si="14"/>
        <v>1332</v>
      </c>
      <c r="Q17" s="17">
        <f>ROUND(VLOOKUP(H17&amp;"_3",管理者用人口入力シート!CO:DT,26,FALSE),0)</f>
        <v>1333</v>
      </c>
    </row>
    <row r="18" spans="1:17" x14ac:dyDescent="0.15">
      <c r="A18" s="69" t="s">
        <v>110</v>
      </c>
      <c r="G18" s="1" t="s">
        <v>107</v>
      </c>
      <c r="H18" s="1">
        <f t="shared" si="12"/>
        <v>2030</v>
      </c>
      <c r="I18" s="17">
        <f>ROUND(VLOOKUP(H18&amp;"_3",管理者用人口入力シート!BH:CM,26,FALSE),0)</f>
        <v>1168</v>
      </c>
      <c r="J18" s="12"/>
      <c r="K18" s="12"/>
      <c r="N18" s="1" t="s">
        <v>107</v>
      </c>
      <c r="O18" s="1">
        <f t="shared" si="13"/>
        <v>2030</v>
      </c>
      <c r="P18" s="17">
        <f t="shared" si="14"/>
        <v>1168</v>
      </c>
      <c r="Q18" s="17">
        <f>ROUND(VLOOKUP(H18&amp;"_3",管理者用人口入力シート!CO:DT,26,FALSE),0)</f>
        <v>1171</v>
      </c>
    </row>
    <row r="19" spans="1:17" x14ac:dyDescent="0.15">
      <c r="A19" s="2" t="s">
        <v>84</v>
      </c>
      <c r="G19" s="1" t="s">
        <v>108</v>
      </c>
      <c r="H19" s="1">
        <f t="shared" si="12"/>
        <v>2035</v>
      </c>
      <c r="I19" s="17">
        <f>ROUND(VLOOKUP(H19&amp;"_3",管理者用人口入力シート!BH:CM,26,FALSE),0)</f>
        <v>1106</v>
      </c>
      <c r="J19" s="12"/>
      <c r="K19" s="12"/>
      <c r="N19" s="1" t="s">
        <v>108</v>
      </c>
      <c r="O19" s="1">
        <f t="shared" si="13"/>
        <v>2035</v>
      </c>
      <c r="P19" s="17">
        <f t="shared" si="14"/>
        <v>1106</v>
      </c>
      <c r="Q19" s="17">
        <f>ROUND(VLOOKUP(H19&amp;"_3",管理者用人口入力シート!CO:DT,26,FALSE),0)</f>
        <v>1111</v>
      </c>
    </row>
    <row r="20" spans="1:17" x14ac:dyDescent="0.15">
      <c r="A20" s="1" t="s">
        <v>58</v>
      </c>
      <c r="B20" s="1">
        <f>B4</f>
        <v>2010</v>
      </c>
      <c r="C20" s="17">
        <f>SUM(B54:C61)</f>
        <v>4457</v>
      </c>
      <c r="D20" s="12"/>
      <c r="E20" s="12"/>
      <c r="G20" s="1" t="s">
        <v>109</v>
      </c>
      <c r="H20" s="1">
        <f t="shared" si="12"/>
        <v>2040</v>
      </c>
      <c r="I20" s="17">
        <f>ROUND(VLOOKUP(H20&amp;"_3",管理者用人口入力シート!BH:CM,26,FALSE),0)</f>
        <v>1126</v>
      </c>
      <c r="J20" s="12"/>
      <c r="K20" s="12"/>
      <c r="N20" s="1" t="s">
        <v>109</v>
      </c>
      <c r="O20" s="1">
        <f t="shared" si="13"/>
        <v>2040</v>
      </c>
      <c r="P20" s="17">
        <f t="shared" si="14"/>
        <v>1126</v>
      </c>
      <c r="Q20" s="17">
        <f>ROUND(VLOOKUP(H20&amp;"_3",管理者用人口入力シート!CO:DT,26,FALSE),0)</f>
        <v>1133</v>
      </c>
    </row>
    <row r="21" spans="1:17" x14ac:dyDescent="0.15">
      <c r="A21" s="1" t="s">
        <v>61</v>
      </c>
      <c r="B21" s="1">
        <f t="shared" ref="B21:B22" si="15">B5</f>
        <v>2015</v>
      </c>
      <c r="C21" s="17">
        <f>SUM(B78:C85)</f>
        <v>5493</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6375</v>
      </c>
      <c r="D22" s="12"/>
      <c r="E22" s="12"/>
      <c r="G22" s="1" t="s">
        <v>58</v>
      </c>
      <c r="H22" s="1">
        <f>H4</f>
        <v>2010</v>
      </c>
      <c r="I22" s="17">
        <f>C14</f>
        <v>651</v>
      </c>
      <c r="J22" s="12"/>
      <c r="K22" s="12"/>
      <c r="N22" s="1" t="s">
        <v>58</v>
      </c>
      <c r="O22" s="1">
        <f>O4</f>
        <v>2010</v>
      </c>
      <c r="P22" s="17">
        <f>I22</f>
        <v>651</v>
      </c>
      <c r="Q22" s="17"/>
    </row>
    <row r="23" spans="1:17" x14ac:dyDescent="0.15">
      <c r="A23" s="2" t="s">
        <v>86</v>
      </c>
      <c r="G23" s="1" t="s">
        <v>57</v>
      </c>
      <c r="H23" s="1">
        <f t="shared" ref="H23:H28" si="16">H5</f>
        <v>2015</v>
      </c>
      <c r="I23" s="17">
        <f t="shared" ref="I23:I24" si="17">C15</f>
        <v>714</v>
      </c>
      <c r="J23" s="12"/>
      <c r="K23" s="12"/>
      <c r="N23" s="1" t="s">
        <v>57</v>
      </c>
      <c r="O23" s="1">
        <f t="shared" ref="O23:O28" si="18">O5</f>
        <v>2015</v>
      </c>
      <c r="P23" s="17">
        <f t="shared" ref="P23:P28" si="19">I23</f>
        <v>714</v>
      </c>
      <c r="Q23" s="17"/>
    </row>
    <row r="24" spans="1:17" x14ac:dyDescent="0.15">
      <c r="A24" s="1" t="s">
        <v>58</v>
      </c>
      <c r="B24" s="1">
        <f>B4</f>
        <v>2010</v>
      </c>
      <c r="C24" s="17">
        <f>SUM(B56:C61)</f>
        <v>2295</v>
      </c>
      <c r="D24" s="12"/>
      <c r="E24" s="12"/>
      <c r="G24" s="1" t="s">
        <v>62</v>
      </c>
      <c r="H24" s="1">
        <f t="shared" si="16"/>
        <v>2020</v>
      </c>
      <c r="I24" s="17">
        <f t="shared" si="17"/>
        <v>811</v>
      </c>
      <c r="J24" s="12"/>
      <c r="K24" s="12"/>
      <c r="N24" s="1" t="s">
        <v>62</v>
      </c>
      <c r="O24" s="1">
        <f t="shared" si="18"/>
        <v>2020</v>
      </c>
      <c r="P24" s="17">
        <f t="shared" si="19"/>
        <v>811</v>
      </c>
      <c r="Q24" s="17"/>
    </row>
    <row r="25" spans="1:17" x14ac:dyDescent="0.15">
      <c r="A25" s="1" t="s">
        <v>61</v>
      </c>
      <c r="B25" s="1">
        <f t="shared" ref="B25:B26" si="20">B5</f>
        <v>2015</v>
      </c>
      <c r="C25" s="17">
        <f>SUM(B80:C85)</f>
        <v>2632</v>
      </c>
      <c r="D25" s="12"/>
      <c r="E25" s="12"/>
      <c r="G25" s="1" t="s">
        <v>106</v>
      </c>
      <c r="H25" s="1">
        <f t="shared" si="16"/>
        <v>2025</v>
      </c>
      <c r="I25" s="17">
        <f>ROUND(VLOOKUP(H25&amp;"_3",管理者用人口入力シート!BH:CM,27,FALSE),0)</f>
        <v>838</v>
      </c>
      <c r="J25" s="12"/>
      <c r="K25" s="12"/>
      <c r="N25" s="1" t="s">
        <v>106</v>
      </c>
      <c r="O25" s="1">
        <f t="shared" si="18"/>
        <v>2025</v>
      </c>
      <c r="P25" s="17">
        <f t="shared" si="19"/>
        <v>838</v>
      </c>
      <c r="Q25" s="17">
        <f>ROUND(VLOOKUP(H17&amp;"_3",管理者用人口入力シート!CO:DT,27,FALSE),0)</f>
        <v>839</v>
      </c>
    </row>
    <row r="26" spans="1:17" x14ac:dyDescent="0.15">
      <c r="A26" s="1" t="s">
        <v>62</v>
      </c>
      <c r="B26" s="1">
        <f t="shared" si="20"/>
        <v>2020</v>
      </c>
      <c r="C26" s="17">
        <f>SUM(B104:C109)</f>
        <v>3190</v>
      </c>
      <c r="D26" s="12"/>
      <c r="E26" s="12"/>
      <c r="G26" s="1" t="s">
        <v>107</v>
      </c>
      <c r="H26" s="1">
        <f t="shared" si="16"/>
        <v>2030</v>
      </c>
      <c r="I26" s="17">
        <f>ROUND(VLOOKUP(H26&amp;"_3",管理者用人口入力シート!BH:CM,27,FALSE),0)</f>
        <v>751</v>
      </c>
      <c r="J26" s="12"/>
      <c r="K26" s="12"/>
      <c r="N26" s="1" t="s">
        <v>107</v>
      </c>
      <c r="O26" s="1">
        <f t="shared" si="18"/>
        <v>2030</v>
      </c>
      <c r="P26" s="17">
        <f t="shared" si="19"/>
        <v>751</v>
      </c>
      <c r="Q26" s="17">
        <f>ROUND(VLOOKUP(H18&amp;"_3",管理者用人口入力シート!CO:DT,27,FALSE),0)</f>
        <v>753</v>
      </c>
    </row>
    <row r="27" spans="1:17" x14ac:dyDescent="0.15">
      <c r="G27" s="1" t="s">
        <v>108</v>
      </c>
      <c r="H27" s="1">
        <f t="shared" si="16"/>
        <v>2035</v>
      </c>
      <c r="I27" s="17">
        <f>ROUND(VLOOKUP(H27&amp;"_3",管理者用人口入力シート!BH:CM,27,FALSE),0)</f>
        <v>664</v>
      </c>
      <c r="J27" s="12"/>
      <c r="K27" s="12"/>
      <c r="N27" s="1" t="s">
        <v>108</v>
      </c>
      <c r="O27" s="1">
        <f t="shared" si="18"/>
        <v>2035</v>
      </c>
      <c r="P27" s="17">
        <f t="shared" si="19"/>
        <v>664</v>
      </c>
      <c r="Q27" s="17">
        <f>ROUND(VLOOKUP(H19&amp;"_3",管理者用人口入力シート!CO:DT,27,FALSE),0)</f>
        <v>666</v>
      </c>
    </row>
    <row r="28" spans="1:17" x14ac:dyDescent="0.15">
      <c r="A28" s="69" t="s">
        <v>85</v>
      </c>
      <c r="G28" s="1" t="s">
        <v>109</v>
      </c>
      <c r="H28" s="1">
        <f t="shared" si="16"/>
        <v>2040</v>
      </c>
      <c r="I28" s="17">
        <f>ROUND(VLOOKUP(H28&amp;"_3",管理者用人口入力シート!BH:CM,27,FALSE),0)</f>
        <v>636</v>
      </c>
      <c r="J28" s="12"/>
      <c r="K28" s="12"/>
      <c r="N28" s="1" t="s">
        <v>109</v>
      </c>
      <c r="O28" s="1">
        <f t="shared" si="18"/>
        <v>2040</v>
      </c>
      <c r="P28" s="17">
        <f t="shared" si="19"/>
        <v>636</v>
      </c>
      <c r="Q28" s="17">
        <f>ROUND(VLOOKUP(H20&amp;"_3",管理者用人口入力シート!CO:DT,27,FALSE),0)</f>
        <v>640</v>
      </c>
    </row>
    <row r="29" spans="1:17" x14ac:dyDescent="0.15">
      <c r="A29" s="2" t="s">
        <v>84</v>
      </c>
    </row>
    <row r="30" spans="1:17" x14ac:dyDescent="0.15">
      <c r="A30" s="1" t="s">
        <v>58</v>
      </c>
      <c r="B30" s="1">
        <f>B4</f>
        <v>2010</v>
      </c>
      <c r="C30" s="38">
        <f>ROUND((SUM(B54:C61)/SUM(B41:C61)),2)</f>
        <v>0.21</v>
      </c>
      <c r="D30" s="205"/>
      <c r="E30" s="205"/>
      <c r="G30" s="69" t="s">
        <v>110</v>
      </c>
      <c r="N30" s="69" t="s">
        <v>110</v>
      </c>
    </row>
    <row r="31" spans="1:17" x14ac:dyDescent="0.15">
      <c r="A31" s="1" t="s">
        <v>61</v>
      </c>
      <c r="B31" s="1">
        <f t="shared" ref="B31:B32" si="21">B5</f>
        <v>2015</v>
      </c>
      <c r="C31" s="38">
        <f>ROUND((SUM(B78:C85)/SUM(B65:C85)),2)</f>
        <v>0.25</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0.28999999999999998</v>
      </c>
      <c r="D32" s="205"/>
      <c r="E32" s="205"/>
      <c r="G32" s="1" t="s">
        <v>58</v>
      </c>
      <c r="H32" s="1">
        <f>H4</f>
        <v>2010</v>
      </c>
      <c r="I32" s="17">
        <f>C20</f>
        <v>4457</v>
      </c>
      <c r="J32" s="12"/>
      <c r="K32" s="12"/>
      <c r="N32" s="1" t="s">
        <v>58</v>
      </c>
      <c r="O32" s="1">
        <f>O4</f>
        <v>2010</v>
      </c>
      <c r="P32" s="17">
        <f>I32</f>
        <v>4457</v>
      </c>
      <c r="Q32" s="17"/>
    </row>
    <row r="33" spans="1:17" x14ac:dyDescent="0.15">
      <c r="A33" s="2" t="s">
        <v>86</v>
      </c>
      <c r="G33" s="1" t="s">
        <v>57</v>
      </c>
      <c r="H33" s="1">
        <f t="shared" ref="H33:H38" si="22">H5</f>
        <v>2015</v>
      </c>
      <c r="I33" s="17">
        <f>C21</f>
        <v>5493</v>
      </c>
      <c r="J33" s="12"/>
      <c r="K33" s="12"/>
      <c r="N33" s="1" t="s">
        <v>57</v>
      </c>
      <c r="O33" s="1">
        <f t="shared" ref="O33:O38" si="23">O5</f>
        <v>2015</v>
      </c>
      <c r="P33" s="17">
        <f t="shared" ref="P33:P38" si="24">I33</f>
        <v>5493</v>
      </c>
      <c r="Q33" s="17"/>
    </row>
    <row r="34" spans="1:17" x14ac:dyDescent="0.15">
      <c r="A34" s="1" t="s">
        <v>58</v>
      </c>
      <c r="B34" s="1">
        <f>B4</f>
        <v>2010</v>
      </c>
      <c r="C34" s="38">
        <f>ROUND((SUM(B56:C61)/SUM(B41:C61)),2)</f>
        <v>0.11</v>
      </c>
      <c r="D34" s="205"/>
      <c r="E34" s="205"/>
      <c r="G34" s="1" t="s">
        <v>62</v>
      </c>
      <c r="H34" s="1">
        <f t="shared" si="22"/>
        <v>2020</v>
      </c>
      <c r="I34" s="17">
        <f>C22</f>
        <v>6375</v>
      </c>
      <c r="J34" s="12"/>
      <c r="K34" s="12"/>
      <c r="N34" s="1" t="s">
        <v>62</v>
      </c>
      <c r="O34" s="1">
        <f t="shared" si="23"/>
        <v>2020</v>
      </c>
      <c r="P34" s="17">
        <f t="shared" si="24"/>
        <v>6375</v>
      </c>
      <c r="Q34" s="17"/>
    </row>
    <row r="35" spans="1:17" x14ac:dyDescent="0.15">
      <c r="A35" s="1" t="s">
        <v>61</v>
      </c>
      <c r="B35" s="1">
        <f t="shared" ref="B35:B36" si="25">B5</f>
        <v>2015</v>
      </c>
      <c r="C35" s="38">
        <f>ROUND((SUM(B80:C85)/SUM(B65:C85)),2)</f>
        <v>0.12</v>
      </c>
      <c r="D35" s="205"/>
      <c r="E35" s="205"/>
      <c r="G35" s="1" t="s">
        <v>106</v>
      </c>
      <c r="H35" s="1">
        <f t="shared" si="22"/>
        <v>2025</v>
      </c>
      <c r="I35" s="17">
        <f>SUM(H82:I89)</f>
        <v>6796</v>
      </c>
      <c r="J35" s="12"/>
      <c r="K35" s="12"/>
      <c r="N35" s="1" t="s">
        <v>106</v>
      </c>
      <c r="O35" s="1">
        <f t="shared" si="23"/>
        <v>2025</v>
      </c>
      <c r="P35" s="17">
        <f t="shared" si="24"/>
        <v>6796</v>
      </c>
      <c r="Q35" s="17">
        <f>SUM(O82:P89)</f>
        <v>6796</v>
      </c>
    </row>
    <row r="36" spans="1:17" x14ac:dyDescent="0.15">
      <c r="A36" s="1" t="s">
        <v>62</v>
      </c>
      <c r="B36" s="1">
        <f t="shared" si="25"/>
        <v>2020</v>
      </c>
      <c r="C36" s="38">
        <f>ROUND((SUM(B104:C109)/SUM(B89:C109)),2)</f>
        <v>0.14000000000000001</v>
      </c>
      <c r="D36" s="205"/>
      <c r="E36" s="205"/>
      <c r="G36" s="1" t="s">
        <v>107</v>
      </c>
      <c r="H36" s="1">
        <f t="shared" si="22"/>
        <v>2030</v>
      </c>
      <c r="I36" s="17">
        <f>SUM(H106:I113)</f>
        <v>6886</v>
      </c>
      <c r="J36" s="12"/>
      <c r="K36" s="12"/>
      <c r="N36" s="1" t="s">
        <v>107</v>
      </c>
      <c r="O36" s="1">
        <f t="shared" si="23"/>
        <v>2030</v>
      </c>
      <c r="P36" s="17">
        <f t="shared" si="24"/>
        <v>6886</v>
      </c>
      <c r="Q36" s="17">
        <f>SUM(O106:P113)</f>
        <v>6886</v>
      </c>
    </row>
    <row r="37" spans="1:17" x14ac:dyDescent="0.15">
      <c r="G37" s="1" t="s">
        <v>108</v>
      </c>
      <c r="H37" s="1">
        <f t="shared" si="22"/>
        <v>2035</v>
      </c>
      <c r="I37" s="17">
        <f>SUM(H130:I137)</f>
        <v>6931</v>
      </c>
      <c r="J37" s="12"/>
      <c r="K37" s="12"/>
      <c r="N37" s="1" t="s">
        <v>108</v>
      </c>
      <c r="O37" s="1">
        <f t="shared" si="23"/>
        <v>2035</v>
      </c>
      <c r="P37" s="17">
        <f t="shared" si="24"/>
        <v>6931</v>
      </c>
      <c r="Q37" s="17">
        <f>SUM(O130:P137)</f>
        <v>6931</v>
      </c>
    </row>
    <row r="38" spans="1:17" x14ac:dyDescent="0.15">
      <c r="A38" s="69" t="s">
        <v>113</v>
      </c>
      <c r="G38" s="1" t="s">
        <v>109</v>
      </c>
      <c r="H38" s="1">
        <f t="shared" si="22"/>
        <v>2040</v>
      </c>
      <c r="I38" s="17">
        <f>SUM(H154:I161)</f>
        <v>7317</v>
      </c>
      <c r="J38" s="12"/>
      <c r="K38" s="12"/>
      <c r="N38" s="1" t="s">
        <v>109</v>
      </c>
      <c r="O38" s="1">
        <f t="shared" si="23"/>
        <v>2040</v>
      </c>
      <c r="P38" s="17">
        <f t="shared" si="24"/>
        <v>7317</v>
      </c>
      <c r="Q38" s="17">
        <f>SUM(O154:P161)</f>
        <v>7317</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2295</v>
      </c>
      <c r="J40" s="12"/>
      <c r="K40" s="12"/>
      <c r="N40" s="1" t="s">
        <v>58</v>
      </c>
      <c r="O40" s="1">
        <f>O4</f>
        <v>2010</v>
      </c>
      <c r="P40" s="17">
        <f>I40</f>
        <v>2295</v>
      </c>
      <c r="Q40" s="17"/>
    </row>
    <row r="41" spans="1:17" x14ac:dyDescent="0.15">
      <c r="A41" s="2" t="s">
        <v>0</v>
      </c>
      <c r="B41" s="17">
        <f>ROUND(VLOOKUP(B$39&amp;"_1",管理者用人口入力シート!A:X,D41,FALSE),0)</f>
        <v>594</v>
      </c>
      <c r="C41" s="17">
        <f>ROUND(VLOOKUP(B$39&amp;"_2",管理者用人口入力シート!A:X,D41,FALSE),0)</f>
        <v>571</v>
      </c>
      <c r="D41" s="2">
        <v>4</v>
      </c>
      <c r="G41" s="1" t="s">
        <v>57</v>
      </c>
      <c r="H41" s="1">
        <f t="shared" ref="H41:H46" si="26">H5</f>
        <v>2015</v>
      </c>
      <c r="I41" s="17">
        <f>C25</f>
        <v>2632</v>
      </c>
      <c r="J41" s="12"/>
      <c r="K41" s="12"/>
      <c r="N41" s="1" t="s">
        <v>57</v>
      </c>
      <c r="O41" s="1">
        <f t="shared" ref="O41:O46" si="27">O5</f>
        <v>2015</v>
      </c>
      <c r="P41" s="17">
        <f t="shared" ref="P41:P46" si="28">I41</f>
        <v>2632</v>
      </c>
      <c r="Q41" s="17"/>
    </row>
    <row r="42" spans="1:17" x14ac:dyDescent="0.15">
      <c r="A42" s="2" t="s">
        <v>1</v>
      </c>
      <c r="B42" s="17">
        <f>ROUND(VLOOKUP(B$39&amp;"_1",管理者用人口入力シート!A:X,D42,FALSE),0)</f>
        <v>557</v>
      </c>
      <c r="C42" s="17">
        <f>ROUND(VLOOKUP(B$39&amp;"_2",管理者用人口入力シート!A:X,D42,FALSE),0)</f>
        <v>502</v>
      </c>
      <c r="D42" s="2">
        <v>5</v>
      </c>
      <c r="G42" s="1" t="s">
        <v>62</v>
      </c>
      <c r="H42" s="1">
        <f t="shared" si="26"/>
        <v>2020</v>
      </c>
      <c r="I42" s="17">
        <f>C26</f>
        <v>3190</v>
      </c>
      <c r="J42" s="12"/>
      <c r="K42" s="12"/>
      <c r="N42" s="1" t="s">
        <v>62</v>
      </c>
      <c r="O42" s="1">
        <f t="shared" si="27"/>
        <v>2020</v>
      </c>
      <c r="P42" s="17">
        <f t="shared" si="28"/>
        <v>3190</v>
      </c>
      <c r="Q42" s="17"/>
    </row>
    <row r="43" spans="1:17" x14ac:dyDescent="0.15">
      <c r="A43" s="2" t="s">
        <v>2</v>
      </c>
      <c r="B43" s="17">
        <f>ROUND(VLOOKUP(B$39&amp;"_1",管理者用人口入力シート!A:X,D43,FALSE),0)</f>
        <v>507</v>
      </c>
      <c r="C43" s="17">
        <f>ROUND(VLOOKUP(B$39&amp;"_2",管理者用人口入力シート!A:X,D43,FALSE),0)</f>
        <v>492</v>
      </c>
      <c r="D43" s="2">
        <v>6</v>
      </c>
      <c r="G43" s="1" t="s">
        <v>106</v>
      </c>
      <c r="H43" s="1">
        <f t="shared" si="26"/>
        <v>2025</v>
      </c>
      <c r="I43" s="17">
        <f>SUM(H84:I89)</f>
        <v>4060</v>
      </c>
      <c r="J43" s="12"/>
      <c r="K43" s="12"/>
      <c r="N43" s="1" t="s">
        <v>106</v>
      </c>
      <c r="O43" s="1">
        <f t="shared" si="27"/>
        <v>2025</v>
      </c>
      <c r="P43" s="17">
        <f t="shared" si="28"/>
        <v>4060</v>
      </c>
      <c r="Q43" s="17">
        <f>SUM(O84:P89)</f>
        <v>4060</v>
      </c>
    </row>
    <row r="44" spans="1:17" x14ac:dyDescent="0.15">
      <c r="A44" s="2" t="s">
        <v>3</v>
      </c>
      <c r="B44" s="17">
        <f>ROUND(VLOOKUP(B$39&amp;"_1",管理者用人口入力シート!A:X,D44,FALSE),0)</f>
        <v>653</v>
      </c>
      <c r="C44" s="17">
        <f>ROUND(VLOOKUP(B$39&amp;"_2",管理者用人口入力シート!A:X,D44,FALSE),0)</f>
        <v>604</v>
      </c>
      <c r="D44" s="2">
        <v>7</v>
      </c>
      <c r="G44" s="1" t="s">
        <v>107</v>
      </c>
      <c r="H44" s="1">
        <f t="shared" si="26"/>
        <v>2030</v>
      </c>
      <c r="I44" s="17">
        <f>SUM(H108:I113)</f>
        <v>4600</v>
      </c>
      <c r="J44" s="12"/>
      <c r="K44" s="12"/>
      <c r="N44" s="1" t="s">
        <v>107</v>
      </c>
      <c r="O44" s="1">
        <f t="shared" si="27"/>
        <v>2030</v>
      </c>
      <c r="P44" s="17">
        <f t="shared" si="28"/>
        <v>4600</v>
      </c>
      <c r="Q44" s="17">
        <f>SUM(O108:P113)</f>
        <v>4600</v>
      </c>
    </row>
    <row r="45" spans="1:17" x14ac:dyDescent="0.15">
      <c r="A45" s="2" t="s">
        <v>4</v>
      </c>
      <c r="B45" s="17">
        <f>ROUND(VLOOKUP(B$39&amp;"_1",管理者用人口入力シート!A:X,D45,FALSE),0)</f>
        <v>327</v>
      </c>
      <c r="C45" s="17">
        <f>ROUND(VLOOKUP(B$39&amp;"_2",管理者用人口入力シート!A:X,D45,FALSE),0)</f>
        <v>462</v>
      </c>
      <c r="D45" s="2">
        <v>8</v>
      </c>
      <c r="G45" s="1" t="s">
        <v>108</v>
      </c>
      <c r="H45" s="1">
        <f t="shared" si="26"/>
        <v>2035</v>
      </c>
      <c r="I45" s="17">
        <f>SUM(H132:I137)</f>
        <v>4708</v>
      </c>
      <c r="J45" s="12"/>
      <c r="K45" s="12"/>
      <c r="N45" s="1" t="s">
        <v>108</v>
      </c>
      <c r="O45" s="1">
        <f t="shared" si="27"/>
        <v>2035</v>
      </c>
      <c r="P45" s="17">
        <f t="shared" si="28"/>
        <v>4708</v>
      </c>
      <c r="Q45" s="17">
        <f>SUM(O132:P137)</f>
        <v>4708</v>
      </c>
    </row>
    <row r="46" spans="1:17" x14ac:dyDescent="0.15">
      <c r="A46" s="2" t="s">
        <v>5</v>
      </c>
      <c r="B46" s="17">
        <f>ROUND(VLOOKUP(B$39&amp;"_1",管理者用人口入力シート!A:X,D46,FALSE),0)</f>
        <v>581</v>
      </c>
      <c r="C46" s="17">
        <f>ROUND(VLOOKUP(B$39&amp;"_2",管理者用人口入力シート!A:X,D46,FALSE),0)</f>
        <v>680</v>
      </c>
      <c r="D46" s="2">
        <v>9</v>
      </c>
      <c r="G46" s="1" t="s">
        <v>109</v>
      </c>
      <c r="H46" s="1">
        <f t="shared" si="26"/>
        <v>2040</v>
      </c>
      <c r="I46" s="17">
        <f>SUM(H156:I161)</f>
        <v>4510</v>
      </c>
      <c r="J46" s="12"/>
      <c r="K46" s="12"/>
      <c r="N46" s="1" t="s">
        <v>109</v>
      </c>
      <c r="O46" s="1">
        <f t="shared" si="27"/>
        <v>2040</v>
      </c>
      <c r="P46" s="17">
        <f t="shared" si="28"/>
        <v>4510</v>
      </c>
      <c r="Q46" s="17">
        <f>SUM(O156:P161)</f>
        <v>4510</v>
      </c>
    </row>
    <row r="47" spans="1:17" x14ac:dyDescent="0.15">
      <c r="A47" s="2" t="s">
        <v>6</v>
      </c>
      <c r="B47" s="17">
        <f>ROUND(VLOOKUP(B$39&amp;"_1",管理者用人口入力シート!A:X,D47,FALSE),0)</f>
        <v>736</v>
      </c>
      <c r="C47" s="17">
        <f>ROUND(VLOOKUP(B$39&amp;"_2",管理者用人口入力シート!A:X,D47,FALSE),0)</f>
        <v>811</v>
      </c>
      <c r="D47" s="2">
        <v>10</v>
      </c>
    </row>
    <row r="48" spans="1:17" x14ac:dyDescent="0.15">
      <c r="A48" s="2" t="s">
        <v>7</v>
      </c>
      <c r="B48" s="17">
        <f>ROUND(VLOOKUP(B$39&amp;"_1",管理者用人口入力シート!A:X,D48,FALSE),0)</f>
        <v>803</v>
      </c>
      <c r="C48" s="17">
        <f>ROUND(VLOOKUP(B$39&amp;"_2",管理者用人口入力シート!A:X,D48,FALSE),0)</f>
        <v>850</v>
      </c>
      <c r="D48" s="2">
        <v>11</v>
      </c>
      <c r="G48" s="69" t="s">
        <v>85</v>
      </c>
      <c r="N48" s="69" t="s">
        <v>85</v>
      </c>
    </row>
    <row r="49" spans="1:17" x14ac:dyDescent="0.15">
      <c r="A49" s="2" t="s">
        <v>8</v>
      </c>
      <c r="B49" s="17">
        <f>ROUND(VLOOKUP(B$39&amp;"_1",管理者用人口入力シート!A:X,D49,FALSE),0)</f>
        <v>583</v>
      </c>
      <c r="C49" s="17">
        <f>ROUND(VLOOKUP(B$39&amp;"_2",管理者用人口入力シート!A:X,D49,FALSE),0)</f>
        <v>620</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522</v>
      </c>
      <c r="C50" s="17">
        <f>ROUND(VLOOKUP(B$39&amp;"_2",管理者用人口入力シート!A:X,D50,FALSE),0)</f>
        <v>579</v>
      </c>
      <c r="D50" s="2">
        <v>13</v>
      </c>
      <c r="G50" s="1" t="s">
        <v>58</v>
      </c>
      <c r="H50" s="1">
        <f>H4</f>
        <v>2010</v>
      </c>
      <c r="I50" s="38">
        <f>C30</f>
        <v>0.21</v>
      </c>
      <c r="J50" s="205"/>
      <c r="K50" s="205"/>
      <c r="N50" s="1" t="s">
        <v>58</v>
      </c>
      <c r="O50" s="1">
        <f>O4</f>
        <v>2010</v>
      </c>
      <c r="P50" s="38">
        <f t="shared" ref="P50:P56" si="29">I50</f>
        <v>0.21</v>
      </c>
      <c r="Q50" s="1"/>
    </row>
    <row r="51" spans="1:17" x14ac:dyDescent="0.15">
      <c r="A51" s="2" t="s">
        <v>10</v>
      </c>
      <c r="B51" s="17">
        <f>ROUND(VLOOKUP(B$39&amp;"_1",管理者用人口入力シート!A:X,D51,FALSE),0)</f>
        <v>583</v>
      </c>
      <c r="C51" s="17">
        <f>ROUND(VLOOKUP(B$39&amp;"_2",管理者用人口入力シート!A:X,D51,FALSE),0)</f>
        <v>689</v>
      </c>
      <c r="D51" s="2">
        <v>14</v>
      </c>
      <c r="G51" s="1" t="s">
        <v>57</v>
      </c>
      <c r="H51" s="1">
        <f t="shared" ref="H51:H56" si="30">H5</f>
        <v>2015</v>
      </c>
      <c r="I51" s="38">
        <f t="shared" ref="I51:I52" si="31">C31</f>
        <v>0.25</v>
      </c>
      <c r="J51" s="205"/>
      <c r="K51" s="205"/>
      <c r="N51" s="1" t="s">
        <v>57</v>
      </c>
      <c r="O51" s="1">
        <f t="shared" ref="O51:O56" si="32">O5</f>
        <v>2015</v>
      </c>
      <c r="P51" s="38">
        <f t="shared" si="29"/>
        <v>0.25</v>
      </c>
      <c r="Q51" s="1"/>
    </row>
    <row r="52" spans="1:17" x14ac:dyDescent="0.15">
      <c r="A52" s="2" t="s">
        <v>11</v>
      </c>
      <c r="B52" s="17">
        <f>ROUND(VLOOKUP(B$39&amp;"_1",管理者用人口入力シート!A:X,D52,FALSE),0)</f>
        <v>708</v>
      </c>
      <c r="C52" s="17">
        <f>ROUND(VLOOKUP(B$39&amp;"_2",管理者用人口入力シート!A:X,D52,FALSE),0)</f>
        <v>826</v>
      </c>
      <c r="D52" s="2">
        <v>15</v>
      </c>
      <c r="G52" s="1" t="s">
        <v>62</v>
      </c>
      <c r="H52" s="1">
        <f t="shared" si="30"/>
        <v>2020</v>
      </c>
      <c r="I52" s="38">
        <f t="shared" si="31"/>
        <v>0.28999999999999998</v>
      </c>
      <c r="J52" s="205"/>
      <c r="K52" s="205"/>
      <c r="N52" s="1" t="s">
        <v>62</v>
      </c>
      <c r="O52" s="1">
        <f t="shared" si="32"/>
        <v>2020</v>
      </c>
      <c r="P52" s="38">
        <f t="shared" si="29"/>
        <v>0.28999999999999998</v>
      </c>
      <c r="Q52" s="1"/>
    </row>
    <row r="53" spans="1:17" x14ac:dyDescent="0.15">
      <c r="A53" s="2" t="s">
        <v>12</v>
      </c>
      <c r="B53" s="17">
        <f>ROUND(VLOOKUP(B$39&amp;"_1",管理者用人口入力シート!A:X,D53,FALSE),0)</f>
        <v>787</v>
      </c>
      <c r="C53" s="17">
        <f>ROUND(VLOOKUP(B$39&amp;"_2",管理者用人口入力シート!A:X,D53,FALSE),0)</f>
        <v>958</v>
      </c>
      <c r="D53" s="2">
        <v>16</v>
      </c>
      <c r="G53" s="1" t="s">
        <v>106</v>
      </c>
      <c r="H53" s="1">
        <f t="shared" si="30"/>
        <v>2025</v>
      </c>
      <c r="I53" s="38">
        <f>ROUND((SUM(H82:I89)/SUM(H69:I89)),2)</f>
        <v>0.31</v>
      </c>
      <c r="J53" s="205"/>
      <c r="K53" s="205"/>
      <c r="L53" s="70"/>
      <c r="M53" s="70"/>
      <c r="N53" s="1" t="s">
        <v>106</v>
      </c>
      <c r="O53" s="1">
        <f t="shared" si="32"/>
        <v>2025</v>
      </c>
      <c r="P53" s="38">
        <f t="shared" si="29"/>
        <v>0.31</v>
      </c>
      <c r="Q53" s="38">
        <f>ROUND((SUM(O82:P89)/SUM(O69:P89)),2)</f>
        <v>0.31</v>
      </c>
    </row>
    <row r="54" spans="1:17" x14ac:dyDescent="0.15">
      <c r="A54" s="2" t="s">
        <v>13</v>
      </c>
      <c r="B54" s="17">
        <f>ROUND(VLOOKUP(B$39&amp;"_1",管理者用人口入力シート!A:X,D54,FALSE),0)</f>
        <v>619</v>
      </c>
      <c r="C54" s="17">
        <f>ROUND(VLOOKUP(B$39&amp;"_2",管理者用人口入力シート!A:X,D54,FALSE),0)</f>
        <v>585</v>
      </c>
      <c r="D54" s="2">
        <v>17</v>
      </c>
      <c r="G54" s="1" t="s">
        <v>107</v>
      </c>
      <c r="H54" s="1">
        <f t="shared" si="30"/>
        <v>2030</v>
      </c>
      <c r="I54" s="38">
        <f>ROUND((SUM(H106:I113)/SUM(H93:I113)),2)</f>
        <v>0.31</v>
      </c>
      <c r="J54" s="205"/>
      <c r="K54" s="205"/>
      <c r="N54" s="1" t="s">
        <v>107</v>
      </c>
      <c r="O54" s="1">
        <f t="shared" si="32"/>
        <v>2030</v>
      </c>
      <c r="P54" s="38">
        <f t="shared" si="29"/>
        <v>0.31</v>
      </c>
      <c r="Q54" s="38">
        <f>ROUND((SUM(O106:P113)/SUM(O93:P113)),2)</f>
        <v>0.31</v>
      </c>
    </row>
    <row r="55" spans="1:17" x14ac:dyDescent="0.15">
      <c r="A55" s="2" t="s">
        <v>14</v>
      </c>
      <c r="B55" s="17">
        <f>ROUND(VLOOKUP(B$39&amp;"_1",管理者用人口入力シート!A:X,D55,FALSE),0)</f>
        <v>441</v>
      </c>
      <c r="C55" s="17">
        <f>ROUND(VLOOKUP(B$39&amp;"_2",管理者用人口入力シート!A:X,D55,FALSE),0)</f>
        <v>517</v>
      </c>
      <c r="D55" s="2">
        <v>18</v>
      </c>
      <c r="G55" s="1" t="s">
        <v>108</v>
      </c>
      <c r="H55" s="1">
        <f t="shared" si="30"/>
        <v>2035</v>
      </c>
      <c r="I55" s="38">
        <f>ROUND((SUM(H130:I137)/SUM(H117:I137)),2)</f>
        <v>0.32</v>
      </c>
      <c r="J55" s="205"/>
      <c r="K55" s="205"/>
      <c r="N55" s="1" t="s">
        <v>108</v>
      </c>
      <c r="O55" s="1">
        <f t="shared" si="32"/>
        <v>2035</v>
      </c>
      <c r="P55" s="38">
        <f t="shared" si="29"/>
        <v>0.32</v>
      </c>
      <c r="Q55" s="38">
        <f>ROUND((SUM(O130:P137)/SUM(O117:P137)),2)</f>
        <v>0.32</v>
      </c>
    </row>
    <row r="56" spans="1:17" x14ac:dyDescent="0.15">
      <c r="A56" s="2" t="s">
        <v>15</v>
      </c>
      <c r="B56" s="17">
        <f>ROUND(VLOOKUP(B$39&amp;"_1",管理者用人口入力シート!A:X,D56,FALSE),0)</f>
        <v>364</v>
      </c>
      <c r="C56" s="17">
        <f>ROUND(VLOOKUP(B$39&amp;"_2",管理者用人口入力シート!A:X,D56,FALSE),0)</f>
        <v>508</v>
      </c>
      <c r="D56" s="2">
        <v>19</v>
      </c>
      <c r="G56" s="1" t="s">
        <v>109</v>
      </c>
      <c r="H56" s="1">
        <f t="shared" si="30"/>
        <v>2040</v>
      </c>
      <c r="I56" s="38">
        <f>ROUND((SUM(H154:I161)/SUM(H141:I161)),2)</f>
        <v>0.35</v>
      </c>
      <c r="J56" s="205"/>
      <c r="K56" s="205"/>
      <c r="N56" s="1" t="s">
        <v>109</v>
      </c>
      <c r="O56" s="1">
        <f t="shared" si="32"/>
        <v>2040</v>
      </c>
      <c r="P56" s="38">
        <f t="shared" si="29"/>
        <v>0.35</v>
      </c>
      <c r="Q56" s="38">
        <f>ROUND((SUM(O154:P161)/SUM(O141:P161)),2)</f>
        <v>0.35</v>
      </c>
    </row>
    <row r="57" spans="1:17" x14ac:dyDescent="0.15">
      <c r="A57" s="2" t="s">
        <v>16</v>
      </c>
      <c r="B57" s="17">
        <f>ROUND(VLOOKUP(B$39&amp;"_1",管理者用人口入力シート!A:X,D57,FALSE),0)</f>
        <v>287</v>
      </c>
      <c r="C57" s="17">
        <f>ROUND(VLOOKUP(B$39&amp;"_2",管理者用人口入力シート!A:X,D57,FALSE),0)</f>
        <v>463</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125</v>
      </c>
      <c r="C58" s="17">
        <f>ROUND(VLOOKUP(B$39&amp;"_2",管理者用人口入力シート!A:X,D58,FALSE),0)</f>
        <v>276</v>
      </c>
      <c r="D58" s="2">
        <v>21</v>
      </c>
      <c r="G58" s="1" t="s">
        <v>58</v>
      </c>
      <c r="H58" s="1">
        <f>H4</f>
        <v>2010</v>
      </c>
      <c r="I58" s="38">
        <f>C34</f>
        <v>0.11</v>
      </c>
      <c r="J58" s="205"/>
      <c r="K58" s="205"/>
      <c r="N58" s="1" t="s">
        <v>58</v>
      </c>
      <c r="O58" s="1">
        <f>O4</f>
        <v>2010</v>
      </c>
      <c r="P58" s="38">
        <f t="shared" ref="P58:P64" si="33">I58</f>
        <v>0.11</v>
      </c>
      <c r="Q58" s="1"/>
    </row>
    <row r="59" spans="1:17" x14ac:dyDescent="0.15">
      <c r="A59" s="2" t="s">
        <v>18</v>
      </c>
      <c r="B59" s="17">
        <f>ROUND(VLOOKUP(B$39&amp;"_1",管理者用人口入力シート!A:X,D59,FALSE),0)</f>
        <v>56</v>
      </c>
      <c r="C59" s="17">
        <f>ROUND(VLOOKUP(B$39&amp;"_2",管理者用人口入力シート!A:X,D59,FALSE),0)</f>
        <v>146</v>
      </c>
      <c r="D59" s="2">
        <v>22</v>
      </c>
      <c r="G59" s="1" t="s">
        <v>57</v>
      </c>
      <c r="H59" s="1">
        <f t="shared" ref="H59:H64" si="34">H5</f>
        <v>2015</v>
      </c>
      <c r="I59" s="38">
        <f t="shared" ref="I59:I60" si="35">C35</f>
        <v>0.12</v>
      </c>
      <c r="J59" s="205"/>
      <c r="K59" s="205"/>
      <c r="N59" s="1" t="s">
        <v>57</v>
      </c>
      <c r="O59" s="1">
        <f t="shared" ref="O59:O64" si="36">O5</f>
        <v>2015</v>
      </c>
      <c r="P59" s="38">
        <f t="shared" si="33"/>
        <v>0.12</v>
      </c>
      <c r="Q59" s="1"/>
    </row>
    <row r="60" spans="1:17" x14ac:dyDescent="0.15">
      <c r="A60" s="2" t="s">
        <v>19</v>
      </c>
      <c r="B60" s="17">
        <f>ROUND(VLOOKUP(B$39&amp;"_1",管理者用人口入力シート!A:X,D60,FALSE),0)</f>
        <v>17</v>
      </c>
      <c r="C60" s="17">
        <f>ROUND(VLOOKUP(B$39&amp;"_2",管理者用人口入力シート!A:X,D60,FALSE),0)</f>
        <v>46</v>
      </c>
      <c r="D60" s="2">
        <v>23</v>
      </c>
      <c r="G60" s="1" t="s">
        <v>62</v>
      </c>
      <c r="H60" s="1">
        <f t="shared" si="34"/>
        <v>2020</v>
      </c>
      <c r="I60" s="38">
        <f t="shared" si="35"/>
        <v>0.14000000000000001</v>
      </c>
      <c r="J60" s="205"/>
      <c r="K60" s="205"/>
      <c r="N60" s="1" t="s">
        <v>62</v>
      </c>
      <c r="O60" s="1">
        <f t="shared" si="36"/>
        <v>2020</v>
      </c>
      <c r="P60" s="38">
        <f t="shared" si="33"/>
        <v>0.14000000000000001</v>
      </c>
      <c r="Q60" s="1"/>
    </row>
    <row r="61" spans="1:17" x14ac:dyDescent="0.15">
      <c r="A61" s="2" t="s">
        <v>20</v>
      </c>
      <c r="B61" s="17">
        <f>ROUND(VLOOKUP(B$39&amp;"_1",管理者用人口入力シート!A:X,D61,FALSE),0)</f>
        <v>0</v>
      </c>
      <c r="C61" s="17">
        <f>ROUND(VLOOKUP(B$39&amp;"_2",管理者用人口入力シート!A:X,D61,FALSE),0)</f>
        <v>7</v>
      </c>
      <c r="D61" s="2">
        <v>24</v>
      </c>
      <c r="G61" s="1" t="s">
        <v>106</v>
      </c>
      <c r="H61" s="1">
        <f t="shared" si="34"/>
        <v>2025</v>
      </c>
      <c r="I61" s="38">
        <f>ROUND((SUM(H84:I89)/SUM(H69:I89)),2)</f>
        <v>0.18</v>
      </c>
      <c r="J61" s="205"/>
      <c r="K61" s="205"/>
      <c r="N61" s="1" t="s">
        <v>106</v>
      </c>
      <c r="O61" s="1">
        <f t="shared" si="36"/>
        <v>2025</v>
      </c>
      <c r="P61" s="38">
        <f t="shared" si="33"/>
        <v>0.18</v>
      </c>
      <c r="Q61" s="38">
        <f>ROUND((SUM(O84:P89)/SUM(O69:P89)),2)</f>
        <v>0.18</v>
      </c>
    </row>
    <row r="62" spans="1:17" x14ac:dyDescent="0.15">
      <c r="G62" s="1" t="s">
        <v>107</v>
      </c>
      <c r="H62" s="1">
        <f t="shared" si="34"/>
        <v>2030</v>
      </c>
      <c r="I62" s="38">
        <f>ROUND((SUM(H108:I113)/SUM(H93:I113)),2)</f>
        <v>0.21</v>
      </c>
      <c r="J62" s="205"/>
      <c r="K62" s="205"/>
      <c r="N62" s="1" t="s">
        <v>107</v>
      </c>
      <c r="O62" s="1">
        <f t="shared" si="36"/>
        <v>2030</v>
      </c>
      <c r="P62" s="38">
        <f t="shared" si="33"/>
        <v>0.21</v>
      </c>
      <c r="Q62" s="38">
        <f>ROUND((SUM(O108:P113)/SUM(O93:P113)),2)</f>
        <v>0.21</v>
      </c>
    </row>
    <row r="63" spans="1:17" x14ac:dyDescent="0.15">
      <c r="A63" s="2" t="s">
        <v>384</v>
      </c>
      <c r="B63" s="315">
        <f>管理者入力シート!B6</f>
        <v>2015</v>
      </c>
      <c r="C63" s="316"/>
      <c r="D63" s="2" t="s">
        <v>114</v>
      </c>
      <c r="G63" s="1" t="s">
        <v>108</v>
      </c>
      <c r="H63" s="1">
        <f t="shared" si="34"/>
        <v>2035</v>
      </c>
      <c r="I63" s="38">
        <f>ROUND((SUM(H132:I137)/SUM(H117:I137)),2)</f>
        <v>0.22</v>
      </c>
      <c r="J63" s="205"/>
      <c r="K63" s="205"/>
      <c r="N63" s="1" t="s">
        <v>108</v>
      </c>
      <c r="O63" s="1">
        <f t="shared" si="36"/>
        <v>2035</v>
      </c>
      <c r="P63" s="38">
        <f t="shared" si="33"/>
        <v>0.22</v>
      </c>
      <c r="Q63" s="38">
        <f>ROUND((SUM(O132:P137)/SUM(O117:P137)),2)</f>
        <v>0.22</v>
      </c>
    </row>
    <row r="64" spans="1:17" x14ac:dyDescent="0.15">
      <c r="A64" s="2" t="s">
        <v>115</v>
      </c>
      <c r="B64" s="18" t="s">
        <v>21</v>
      </c>
      <c r="C64" s="18" t="s">
        <v>22</v>
      </c>
      <c r="G64" s="1" t="s">
        <v>109</v>
      </c>
      <c r="H64" s="1">
        <f t="shared" si="34"/>
        <v>2040</v>
      </c>
      <c r="I64" s="38">
        <f>ROUND((SUM(H156:I161)/SUM(H141:I161)),2)</f>
        <v>0.21</v>
      </c>
      <c r="J64" s="205"/>
      <c r="K64" s="205"/>
      <c r="N64" s="1" t="s">
        <v>109</v>
      </c>
      <c r="O64" s="1">
        <f t="shared" si="36"/>
        <v>2040</v>
      </c>
      <c r="P64" s="38">
        <f t="shared" si="33"/>
        <v>0.21</v>
      </c>
      <c r="Q64" s="38">
        <f>ROUND((SUM(O156:P161)/SUM(O141:P161)),2)</f>
        <v>0.21</v>
      </c>
    </row>
    <row r="65" spans="1:21" x14ac:dyDescent="0.15">
      <c r="A65" s="2" t="s">
        <v>0</v>
      </c>
      <c r="B65" s="17">
        <f>ROUND(VLOOKUP(B$63&amp;"_1",管理者用人口入力シート!A:X,D65,FALSE),0)</f>
        <v>583</v>
      </c>
      <c r="C65" s="17">
        <f>ROUND(VLOOKUP(B$63&amp;"_2",管理者用人口入力シート!A:X,D65,FALSE),0)</f>
        <v>522</v>
      </c>
      <c r="D65" s="2">
        <v>4</v>
      </c>
    </row>
    <row r="66" spans="1:21" x14ac:dyDescent="0.15">
      <c r="A66" s="2" t="s">
        <v>1</v>
      </c>
      <c r="B66" s="17">
        <f>ROUND(VLOOKUP(B$63&amp;"_1",管理者用人口入力シート!A:X,D66,FALSE),0)</f>
        <v>589</v>
      </c>
      <c r="C66" s="17">
        <f>ROUND(VLOOKUP(B$63&amp;"_2",管理者用人口入力シート!A:X,D66,FALSE),0)</f>
        <v>597</v>
      </c>
      <c r="D66" s="2">
        <v>5</v>
      </c>
      <c r="G66" s="69" t="s">
        <v>113</v>
      </c>
      <c r="N66" s="69" t="s">
        <v>113</v>
      </c>
    </row>
    <row r="67" spans="1:21" x14ac:dyDescent="0.15">
      <c r="A67" s="2" t="s">
        <v>2</v>
      </c>
      <c r="B67" s="17">
        <f>ROUND(VLOOKUP(B$63&amp;"_1",管理者用人口入力シート!A:X,D67,FALSE),0)</f>
        <v>575</v>
      </c>
      <c r="C67" s="17">
        <f>ROUND(VLOOKUP(B$63&amp;"_2",管理者用人口入力シート!A:X,D67,FALSE),0)</f>
        <v>539</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731</v>
      </c>
      <c r="C68" s="17">
        <f>ROUND(VLOOKUP(B$63&amp;"_2",管理者用人口入力シート!A:X,D68,FALSE),0)</f>
        <v>611</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308</v>
      </c>
      <c r="C69" s="17">
        <f>ROUND(VLOOKUP(B$63&amp;"_2",管理者用人口入力シート!A:X,D69,FALSE),0)</f>
        <v>401</v>
      </c>
      <c r="D69" s="2">
        <v>8</v>
      </c>
      <c r="G69" s="2" t="s">
        <v>0</v>
      </c>
      <c r="H69" s="17">
        <f>ROUND(VLOOKUP(H$67&amp;"_1",管理者用人口入力シート!BH:CE,J69,FALSE),0)</f>
        <v>444</v>
      </c>
      <c r="I69" s="17">
        <f>ROUND(VLOOKUP(H$67&amp;"_2",管理者用人口入力シート!BH:CE,J69,FALSE),0)</f>
        <v>412</v>
      </c>
      <c r="J69" s="2">
        <v>4</v>
      </c>
      <c r="K69" s="12"/>
      <c r="N69" s="2" t="s">
        <v>0</v>
      </c>
      <c r="O69" s="17">
        <f>ROUND(VLOOKUP(O$67&amp;"_1",管理者用人口入力シート!CO:DL,Q69,FALSE),0)</f>
        <v>445</v>
      </c>
      <c r="P69" s="17">
        <f>ROUND(VLOOKUP(O$67&amp;"_2",管理者用人口入力シート!CO:DL,Q69,FALSE),0)</f>
        <v>413</v>
      </c>
      <c r="Q69" s="2">
        <v>4</v>
      </c>
      <c r="U69" s="85"/>
    </row>
    <row r="70" spans="1:21" x14ac:dyDescent="0.15">
      <c r="A70" s="2" t="s">
        <v>5</v>
      </c>
      <c r="B70" s="17">
        <f>ROUND(VLOOKUP(B$63&amp;"_1",管理者用人口入力シート!A:X,D70,FALSE),0)</f>
        <v>458</v>
      </c>
      <c r="C70" s="17">
        <f>ROUND(VLOOKUP(B$63&amp;"_2",管理者用人口入力シート!A:X,D70,FALSE),0)</f>
        <v>521</v>
      </c>
      <c r="D70" s="2">
        <v>9</v>
      </c>
      <c r="G70" s="2" t="s">
        <v>1</v>
      </c>
      <c r="H70" s="17">
        <f>ROUND(VLOOKUP(H$67&amp;"_1",管理者用人口入力シート!BH:CE,J70,FALSE),0)</f>
        <v>483</v>
      </c>
      <c r="I70" s="17">
        <f>ROUND(VLOOKUP(H$67&amp;"_2",管理者用人口入力シート!BH:CE,J70,FALSE),0)</f>
        <v>487</v>
      </c>
      <c r="J70" s="2">
        <v>5</v>
      </c>
      <c r="K70" s="12"/>
      <c r="N70" s="2" t="s">
        <v>1</v>
      </c>
      <c r="O70" s="17">
        <f>ROUND(VLOOKUP(O$67&amp;"_1",管理者用人口入力シート!CO:DL,Q70,FALSE),0)</f>
        <v>483</v>
      </c>
      <c r="P70" s="17">
        <f>ROUND(VLOOKUP(O$67&amp;"_2",管理者用人口入力シート!CO:DL,Q70,FALSE),0)</f>
        <v>487</v>
      </c>
      <c r="Q70" s="2">
        <v>5</v>
      </c>
      <c r="U70" s="85"/>
    </row>
    <row r="71" spans="1:21" x14ac:dyDescent="0.15">
      <c r="A71" s="2" t="s">
        <v>6</v>
      </c>
      <c r="B71" s="17">
        <f>ROUND(VLOOKUP(B$63&amp;"_1",管理者用人口入力シート!A:X,D71,FALSE),0)</f>
        <v>638</v>
      </c>
      <c r="C71" s="17">
        <f>ROUND(VLOOKUP(B$63&amp;"_2",管理者用人口入力シート!A:X,D71,FALSE),0)</f>
        <v>670</v>
      </c>
      <c r="D71" s="2">
        <v>10</v>
      </c>
      <c r="G71" s="2" t="s">
        <v>2</v>
      </c>
      <c r="H71" s="17">
        <f>ROUND(VLOOKUP(H$67&amp;"_1",管理者用人口入力シート!BH:CE,J71,FALSE),0)</f>
        <v>668</v>
      </c>
      <c r="I71" s="17">
        <f>ROUND(VLOOKUP(H$67&amp;"_2",管理者用人口入力シート!BH:CE,J71,FALSE),0)</f>
        <v>582</v>
      </c>
      <c r="J71" s="2">
        <v>6</v>
      </c>
      <c r="K71" s="12"/>
      <c r="N71" s="2" t="s">
        <v>2</v>
      </c>
      <c r="O71" s="17">
        <f>ROUND(VLOOKUP(O$67&amp;"_1",管理者用人口入力シート!CO:DL,Q71,FALSE),0)</f>
        <v>669</v>
      </c>
      <c r="P71" s="17">
        <f>ROUND(VLOOKUP(O$67&amp;"_2",管理者用人口入力シート!CO:DL,Q71,FALSE),0)</f>
        <v>583</v>
      </c>
      <c r="Q71" s="2">
        <v>6</v>
      </c>
      <c r="U71" s="85"/>
    </row>
    <row r="72" spans="1:21" x14ac:dyDescent="0.15">
      <c r="A72" s="2" t="s">
        <v>7</v>
      </c>
      <c r="B72" s="17">
        <f>ROUND(VLOOKUP(B$63&amp;"_1",管理者用人口入力シート!A:X,D72,FALSE),0)</f>
        <v>744</v>
      </c>
      <c r="C72" s="17">
        <f>ROUND(VLOOKUP(B$63&amp;"_2",管理者用人口入力シート!A:X,D72,FALSE),0)</f>
        <v>829</v>
      </c>
      <c r="D72" s="2">
        <v>11</v>
      </c>
      <c r="G72" s="2" t="s">
        <v>3</v>
      </c>
      <c r="H72" s="17">
        <f>ROUND(VLOOKUP(H$67&amp;"_1",管理者用人口入力シート!BH:CE,J72,FALSE),0)</f>
        <v>949</v>
      </c>
      <c r="I72" s="17">
        <f>ROUND(VLOOKUP(H$67&amp;"_2",管理者用人口入力シート!BH:CE,J72,FALSE),0)</f>
        <v>741</v>
      </c>
      <c r="J72" s="2">
        <v>7</v>
      </c>
      <c r="K72" s="12"/>
      <c r="N72" s="2" t="s">
        <v>3</v>
      </c>
      <c r="O72" s="17">
        <f>ROUND(VLOOKUP(O$67&amp;"_1",管理者用人口入力シート!CO:DL,Q72,FALSE),0)</f>
        <v>949</v>
      </c>
      <c r="P72" s="17">
        <f>ROUND(VLOOKUP(O$67&amp;"_2",管理者用人口入力シート!CO:DL,Q72,FALSE),0)</f>
        <v>741</v>
      </c>
      <c r="Q72" s="2">
        <v>7</v>
      </c>
      <c r="U72" s="85"/>
    </row>
    <row r="73" spans="1:21" x14ac:dyDescent="0.15">
      <c r="A73" s="2" t="s">
        <v>8</v>
      </c>
      <c r="B73" s="17">
        <f>ROUND(VLOOKUP(B$63&amp;"_1",管理者用人口入力シート!A:X,D73,FALSE),0)</f>
        <v>826</v>
      </c>
      <c r="C73" s="17">
        <f>ROUND(VLOOKUP(B$63&amp;"_2",管理者用人口入力シート!A:X,D73,FALSE),0)</f>
        <v>850</v>
      </c>
      <c r="D73" s="2">
        <v>12</v>
      </c>
      <c r="G73" s="2" t="s">
        <v>4</v>
      </c>
      <c r="H73" s="17">
        <f>ROUND(VLOOKUP(H$67&amp;"_1",管理者用人口入力シート!BH:CE,J73,FALSE),0)</f>
        <v>339</v>
      </c>
      <c r="I73" s="17">
        <f>ROUND(VLOOKUP(H$67&amp;"_2",管理者用人口入力シート!BH:CE,J73,FALSE),0)</f>
        <v>433</v>
      </c>
      <c r="J73" s="2">
        <v>8</v>
      </c>
      <c r="K73" s="12"/>
      <c r="N73" s="2" t="s">
        <v>4</v>
      </c>
      <c r="O73" s="17">
        <f>ROUND(VLOOKUP(O$67&amp;"_1",管理者用人口入力シート!CO:DL,Q73,FALSE),0)</f>
        <v>339</v>
      </c>
      <c r="P73" s="17">
        <f>ROUND(VLOOKUP(O$67&amp;"_2",管理者用人口入力シート!CO:DL,Q73,FALSE),0)</f>
        <v>433</v>
      </c>
      <c r="Q73" s="2">
        <v>8</v>
      </c>
      <c r="U73" s="85"/>
    </row>
    <row r="74" spans="1:21" x14ac:dyDescent="0.15">
      <c r="A74" s="2" t="s">
        <v>9</v>
      </c>
      <c r="B74" s="17">
        <f>ROUND(VLOOKUP(B$63&amp;"_1",管理者用人口入力シート!A:X,D74,FALSE),0)</f>
        <v>580</v>
      </c>
      <c r="C74" s="17">
        <f>ROUND(VLOOKUP(B$63&amp;"_2",管理者用人口入力シート!A:X,D74,FALSE),0)</f>
        <v>625</v>
      </c>
      <c r="D74" s="2">
        <v>13</v>
      </c>
      <c r="G74" s="2" t="s">
        <v>5</v>
      </c>
      <c r="H74" s="17">
        <f>ROUND(VLOOKUP(H$67&amp;"_1",管理者用人口入力シート!BH:CE,J74,FALSE),0)</f>
        <v>369</v>
      </c>
      <c r="I74" s="17">
        <f>ROUND(VLOOKUP(H$67&amp;"_2",管理者用人口入力シート!BH:CE,J74,FALSE),0)</f>
        <v>437</v>
      </c>
      <c r="J74" s="2">
        <v>9</v>
      </c>
      <c r="K74" s="12"/>
      <c r="N74" s="2" t="s">
        <v>5</v>
      </c>
      <c r="O74" s="17">
        <f>ROUND(VLOOKUP(O$67&amp;"_1",管理者用人口入力シート!CO:DL,Q74,FALSE),0)</f>
        <v>371</v>
      </c>
      <c r="P74" s="17">
        <f>ROUND(VLOOKUP(O$67&amp;"_2",管理者用人口入力シート!CO:DL,Q74,FALSE),0)</f>
        <v>439</v>
      </c>
      <c r="Q74" s="2">
        <v>9</v>
      </c>
      <c r="U74" s="85"/>
    </row>
    <row r="75" spans="1:21" x14ac:dyDescent="0.15">
      <c r="A75" s="2" t="s">
        <v>10</v>
      </c>
      <c r="B75" s="17">
        <f>ROUND(VLOOKUP(B$63&amp;"_1",管理者用人口入力シート!A:X,D75,FALSE),0)</f>
        <v>509</v>
      </c>
      <c r="C75" s="17">
        <f>ROUND(VLOOKUP(B$63&amp;"_2",管理者用人口入力シート!A:X,D75,FALSE),0)</f>
        <v>597</v>
      </c>
      <c r="D75" s="2">
        <v>14</v>
      </c>
      <c r="G75" s="2" t="s">
        <v>6</v>
      </c>
      <c r="H75" s="17">
        <f>ROUND(VLOOKUP(H$67&amp;"_1",管理者用人口入力シート!BH:CE,J75,FALSE),0)</f>
        <v>382</v>
      </c>
      <c r="I75" s="17">
        <f>ROUND(VLOOKUP(H$67&amp;"_2",管理者用人口入力シート!BH:CE,J75,FALSE),0)</f>
        <v>443</v>
      </c>
      <c r="J75" s="2">
        <v>10</v>
      </c>
      <c r="K75" s="12"/>
      <c r="N75" s="2" t="s">
        <v>6</v>
      </c>
      <c r="O75" s="17">
        <f>ROUND(VLOOKUP(O$67&amp;"_1",管理者用人口入力シート!CO:DL,Q75,FALSE),0)</f>
        <v>382</v>
      </c>
      <c r="P75" s="17">
        <f>ROUND(VLOOKUP(O$67&amp;"_2",管理者用人口入力シート!CO:DL,Q75,FALSE),0)</f>
        <v>443</v>
      </c>
      <c r="Q75" s="2">
        <v>10</v>
      </c>
      <c r="U75" s="85"/>
    </row>
    <row r="76" spans="1:21" x14ac:dyDescent="0.15">
      <c r="A76" s="2" t="s">
        <v>11</v>
      </c>
      <c r="B76" s="17">
        <f>ROUND(VLOOKUP(B$63&amp;"_1",管理者用人口入力シート!A:X,D76,FALSE),0)</f>
        <v>612</v>
      </c>
      <c r="C76" s="17">
        <f>ROUND(VLOOKUP(B$63&amp;"_2",管理者用人口入力シート!A:X,D76,FALSE),0)</f>
        <v>694</v>
      </c>
      <c r="D76" s="2">
        <v>15</v>
      </c>
      <c r="G76" s="2" t="s">
        <v>7</v>
      </c>
      <c r="H76" s="17">
        <f>ROUND(VLOOKUP(H$67&amp;"_1",管理者用人口入力シート!BH:CE,J76,FALSE),0)</f>
        <v>530</v>
      </c>
      <c r="I76" s="17">
        <f>ROUND(VLOOKUP(H$67&amp;"_2",管理者用人口入力シート!BH:CE,J76,FALSE),0)</f>
        <v>571</v>
      </c>
      <c r="J76" s="2">
        <v>11</v>
      </c>
      <c r="K76" s="12"/>
      <c r="N76" s="2" t="s">
        <v>7</v>
      </c>
      <c r="O76" s="17">
        <f>ROUND(VLOOKUP(O$67&amp;"_1",管理者用人口入力シート!CO:DL,Q76,FALSE),0)</f>
        <v>530</v>
      </c>
      <c r="P76" s="17">
        <f>ROUND(VLOOKUP(O$67&amp;"_2",管理者用人口入力シート!CO:DL,Q76,FALSE),0)</f>
        <v>571</v>
      </c>
      <c r="Q76" s="2">
        <v>11</v>
      </c>
      <c r="U76" s="85"/>
    </row>
    <row r="77" spans="1:21" x14ac:dyDescent="0.15">
      <c r="A77" s="2" t="s">
        <v>12</v>
      </c>
      <c r="B77" s="17">
        <f>ROUND(VLOOKUP(B$63&amp;"_1",管理者用人口入力シート!A:X,D77,FALSE),0)</f>
        <v>732</v>
      </c>
      <c r="C77" s="17">
        <f>ROUND(VLOOKUP(B$63&amp;"_2",管理者用人口入力シート!A:X,D77,FALSE),0)</f>
        <v>837</v>
      </c>
      <c r="D77" s="2">
        <v>16</v>
      </c>
      <c r="G77" s="2" t="s">
        <v>8</v>
      </c>
      <c r="H77" s="17">
        <f>ROUND(VLOOKUP(H$67&amp;"_1",管理者用人口入力シート!BH:CE,J77,FALSE),0)</f>
        <v>708</v>
      </c>
      <c r="I77" s="17">
        <f>ROUND(VLOOKUP(H$67&amp;"_2",管理者用人口入力シート!BH:CE,J77,FALSE),0)</f>
        <v>700</v>
      </c>
      <c r="J77" s="2">
        <v>12</v>
      </c>
      <c r="K77" s="12"/>
      <c r="N77" s="2" t="s">
        <v>8</v>
      </c>
      <c r="O77" s="17">
        <f>ROUND(VLOOKUP(O$67&amp;"_1",管理者用人口入力シート!CO:DL,Q77,FALSE),0)</f>
        <v>708</v>
      </c>
      <c r="P77" s="17">
        <f>ROUND(VLOOKUP(O$67&amp;"_2",管理者用人口入力シート!CO:DL,Q77,FALSE),0)</f>
        <v>701</v>
      </c>
      <c r="Q77" s="2">
        <v>12</v>
      </c>
      <c r="U77" s="85"/>
    </row>
    <row r="78" spans="1:21" x14ac:dyDescent="0.15">
      <c r="A78" s="2" t="s">
        <v>13</v>
      </c>
      <c r="B78" s="17">
        <f>ROUND(VLOOKUP(B$63&amp;"_1",管理者用人口入力シート!A:X,D78,FALSE),0)</f>
        <v>771</v>
      </c>
      <c r="C78" s="17">
        <f>ROUND(VLOOKUP(B$63&amp;"_2",管理者用人口入力シート!A:X,D78,FALSE),0)</f>
        <v>938</v>
      </c>
      <c r="D78" s="2">
        <v>17</v>
      </c>
      <c r="G78" s="2" t="s">
        <v>9</v>
      </c>
      <c r="H78" s="17">
        <f>ROUND(VLOOKUP(H$67&amp;"_1",管理者用人口入力シート!BH:CE,J78,FALSE),0)</f>
        <v>742</v>
      </c>
      <c r="I78" s="17">
        <f>ROUND(VLOOKUP(H$67&amp;"_2",管理者用人口入力シート!BH:CE,J78,FALSE),0)</f>
        <v>854</v>
      </c>
      <c r="J78" s="2">
        <v>13</v>
      </c>
      <c r="K78" s="12"/>
      <c r="N78" s="2" t="s">
        <v>9</v>
      </c>
      <c r="O78" s="17">
        <f>ROUND(VLOOKUP(O$67&amp;"_1",管理者用人口入力シート!CO:DL,Q78,FALSE),0)</f>
        <v>742</v>
      </c>
      <c r="P78" s="17">
        <f>ROUND(VLOOKUP(O$67&amp;"_2",管理者用人口入力シート!CO:DL,Q78,FALSE),0)</f>
        <v>854</v>
      </c>
      <c r="Q78" s="2">
        <v>13</v>
      </c>
      <c r="U78" s="85"/>
    </row>
    <row r="79" spans="1:21" x14ac:dyDescent="0.15">
      <c r="A79" s="2" t="s">
        <v>14</v>
      </c>
      <c r="B79" s="17">
        <f>ROUND(VLOOKUP(B$63&amp;"_1",管理者用人口入力シート!A:X,D79,FALSE),0)</f>
        <v>566</v>
      </c>
      <c r="C79" s="17">
        <f>ROUND(VLOOKUP(B$63&amp;"_2",管理者用人口入力シート!A:X,D79,FALSE),0)</f>
        <v>586</v>
      </c>
      <c r="D79" s="2">
        <v>18</v>
      </c>
      <c r="G79" s="2" t="s">
        <v>10</v>
      </c>
      <c r="H79" s="17">
        <f>ROUND(VLOOKUP(H$67&amp;"_1",管理者用人口入力シート!BH:CE,J79,FALSE),0)</f>
        <v>822</v>
      </c>
      <c r="I79" s="17">
        <f>ROUND(VLOOKUP(H$67&amp;"_2",管理者用人口入力シート!BH:CE,J79,FALSE),0)</f>
        <v>885</v>
      </c>
      <c r="J79" s="2">
        <v>14</v>
      </c>
      <c r="K79" s="12"/>
      <c r="N79" s="2" t="s">
        <v>10</v>
      </c>
      <c r="O79" s="17">
        <f>ROUND(VLOOKUP(O$67&amp;"_1",管理者用人口入力シート!CO:DL,Q79,FALSE),0)</f>
        <v>822</v>
      </c>
      <c r="P79" s="17">
        <f>ROUND(VLOOKUP(O$67&amp;"_2",管理者用人口入力シート!CO:DL,Q79,FALSE),0)</f>
        <v>885</v>
      </c>
      <c r="Q79" s="2">
        <v>14</v>
      </c>
      <c r="U79" s="85"/>
    </row>
    <row r="80" spans="1:21" x14ac:dyDescent="0.15">
      <c r="A80" s="2" t="s">
        <v>15</v>
      </c>
      <c r="B80" s="17">
        <f>ROUND(VLOOKUP(B$63&amp;"_1",管理者用人口入力シート!A:X,D80,FALSE),0)</f>
        <v>387</v>
      </c>
      <c r="C80" s="17">
        <f>ROUND(VLOOKUP(B$63&amp;"_2",管理者用人口入力シート!A:X,D80,FALSE),0)</f>
        <v>493</v>
      </c>
      <c r="D80" s="2">
        <v>19</v>
      </c>
      <c r="G80" s="2" t="s">
        <v>11</v>
      </c>
      <c r="H80" s="17">
        <f>ROUND(VLOOKUP(H$67&amp;"_1",管理者用人口入力シート!BH:CE,J80,FALSE),0)</f>
        <v>588</v>
      </c>
      <c r="I80" s="17">
        <f>ROUND(VLOOKUP(H$67&amp;"_2",管理者用人口入力シート!BH:CE,J80,FALSE),0)</f>
        <v>644</v>
      </c>
      <c r="J80" s="2">
        <v>15</v>
      </c>
      <c r="K80" s="12"/>
      <c r="N80" s="2" t="s">
        <v>11</v>
      </c>
      <c r="O80" s="17">
        <f>ROUND(VLOOKUP(O$67&amp;"_1",管理者用人口入力シート!CO:DL,Q80,FALSE),0)</f>
        <v>588</v>
      </c>
      <c r="P80" s="17">
        <f>ROUND(VLOOKUP(O$67&amp;"_2",管理者用人口入力シート!CO:DL,Q80,FALSE),0)</f>
        <v>644</v>
      </c>
      <c r="Q80" s="2">
        <v>15</v>
      </c>
      <c r="U80" s="85"/>
    </row>
    <row r="81" spans="1:21" x14ac:dyDescent="0.15">
      <c r="A81" s="2" t="s">
        <v>16</v>
      </c>
      <c r="B81" s="17">
        <f>ROUND(VLOOKUP(B$63&amp;"_1",管理者用人口入力シート!A:X,D81,FALSE),0)</f>
        <v>304</v>
      </c>
      <c r="C81" s="17">
        <f>ROUND(VLOOKUP(B$63&amp;"_2",管理者用人口入力シート!A:X,D81,FALSE),0)</f>
        <v>494</v>
      </c>
      <c r="D81" s="2">
        <v>20</v>
      </c>
      <c r="G81" s="2" t="s">
        <v>12</v>
      </c>
      <c r="H81" s="17">
        <f>ROUND(VLOOKUP(H$67&amp;"_1",管理者用人口入力シート!BH:CE,J81,FALSE),0)</f>
        <v>501</v>
      </c>
      <c r="I81" s="17">
        <f>ROUND(VLOOKUP(H$67&amp;"_2",管理者用人口入力シート!BH:CE,J81,FALSE),0)</f>
        <v>598</v>
      </c>
      <c r="J81" s="2">
        <v>16</v>
      </c>
      <c r="K81" s="12"/>
      <c r="N81" s="2" t="s">
        <v>12</v>
      </c>
      <c r="O81" s="17">
        <f>ROUND(VLOOKUP(O$67&amp;"_1",管理者用人口入力シート!CO:DL,Q81,FALSE),0)</f>
        <v>501</v>
      </c>
      <c r="P81" s="17">
        <f>ROUND(VLOOKUP(O$67&amp;"_2",管理者用人口入力シート!CO:DL,Q81,FALSE),0)</f>
        <v>598</v>
      </c>
      <c r="Q81" s="2">
        <v>16</v>
      </c>
      <c r="U81" s="85"/>
    </row>
    <row r="82" spans="1:21" x14ac:dyDescent="0.15">
      <c r="A82" s="2" t="s">
        <v>17</v>
      </c>
      <c r="B82" s="17">
        <f>ROUND(VLOOKUP(B$63&amp;"_1",管理者用人口入力シート!A:X,D82,FALSE),0)</f>
        <v>190</v>
      </c>
      <c r="C82" s="17">
        <f>ROUND(VLOOKUP(B$63&amp;"_2",管理者用人口入力シート!A:X,D82,FALSE),0)</f>
        <v>385</v>
      </c>
      <c r="D82" s="2">
        <v>21</v>
      </c>
      <c r="G82" s="2" t="s">
        <v>13</v>
      </c>
      <c r="H82" s="17">
        <f>ROUND(VLOOKUP(H$67&amp;"_1",管理者用人口入力シート!BH:CE,J82,FALSE),0)</f>
        <v>597</v>
      </c>
      <c r="I82" s="17">
        <f>ROUND(VLOOKUP(H$67&amp;"_2",管理者用人口入力シート!BH:CE,J82,FALSE),0)</f>
        <v>660</v>
      </c>
      <c r="J82" s="2">
        <v>17</v>
      </c>
      <c r="K82" s="12"/>
      <c r="N82" s="2" t="s">
        <v>13</v>
      </c>
      <c r="O82" s="17">
        <f>ROUND(VLOOKUP(O$67&amp;"_1",管理者用人口入力シート!CO:DL,Q82,FALSE),0)</f>
        <v>597</v>
      </c>
      <c r="P82" s="17">
        <f>ROUND(VLOOKUP(O$67&amp;"_2",管理者用人口入力シート!CO:DL,Q82,FALSE),0)</f>
        <v>660</v>
      </c>
      <c r="Q82" s="2">
        <v>17</v>
      </c>
      <c r="U82" s="85"/>
    </row>
    <row r="83" spans="1:21" x14ac:dyDescent="0.15">
      <c r="A83" s="2" t="s">
        <v>18</v>
      </c>
      <c r="B83" s="17">
        <f>ROUND(VLOOKUP(B$63&amp;"_1",管理者用人口入力シート!A:X,D83,FALSE),0)</f>
        <v>63</v>
      </c>
      <c r="C83" s="17">
        <f>ROUND(VLOOKUP(B$63&amp;"_2",管理者用人口入力シート!A:X,D83,FALSE),0)</f>
        <v>216</v>
      </c>
      <c r="D83" s="2">
        <v>22</v>
      </c>
      <c r="G83" s="2" t="s">
        <v>14</v>
      </c>
      <c r="H83" s="17">
        <f>ROUND(VLOOKUP(H$67&amp;"_1",管理者用人口入力シート!BH:CE,J83,FALSE),0)</f>
        <v>670</v>
      </c>
      <c r="I83" s="17">
        <f>ROUND(VLOOKUP(H$67&amp;"_2",管理者用人口入力シート!BH:CE,J83,FALSE),0)</f>
        <v>809</v>
      </c>
      <c r="J83" s="2">
        <v>18</v>
      </c>
      <c r="K83" s="12"/>
      <c r="N83" s="2" t="s">
        <v>14</v>
      </c>
      <c r="O83" s="17">
        <f>ROUND(VLOOKUP(O$67&amp;"_1",管理者用人口入力シート!CO:DL,Q83,FALSE),0)</f>
        <v>670</v>
      </c>
      <c r="P83" s="17">
        <f>ROUND(VLOOKUP(O$67&amp;"_2",管理者用人口入力シート!CO:DL,Q83,FALSE),0)</f>
        <v>809</v>
      </c>
      <c r="Q83" s="2">
        <v>18</v>
      </c>
      <c r="U83" s="85"/>
    </row>
    <row r="84" spans="1:21" x14ac:dyDescent="0.15">
      <c r="A84" s="2" t="s">
        <v>19</v>
      </c>
      <c r="B84" s="17">
        <f>ROUND(VLOOKUP(B$63&amp;"_1",管理者用人口入力シート!A:X,D84,FALSE),0)</f>
        <v>17</v>
      </c>
      <c r="C84" s="17">
        <f>ROUND(VLOOKUP(B$63&amp;"_2",管理者用人口入力シート!A:X,D84,FALSE),0)</f>
        <v>66</v>
      </c>
      <c r="D84" s="2">
        <v>23</v>
      </c>
      <c r="G84" s="2" t="s">
        <v>15</v>
      </c>
      <c r="H84" s="17">
        <f>ROUND(VLOOKUP(H$67&amp;"_1",管理者用人口入力シート!BH:CE,J84,FALSE),0)</f>
        <v>657</v>
      </c>
      <c r="I84" s="17">
        <f>ROUND(VLOOKUP(H$67&amp;"_2",管理者用人口入力シート!BH:CE,J84,FALSE),0)</f>
        <v>948</v>
      </c>
      <c r="J84" s="2">
        <v>19</v>
      </c>
      <c r="K84" s="12"/>
      <c r="N84" s="2" t="s">
        <v>15</v>
      </c>
      <c r="O84" s="17">
        <f>ROUND(VLOOKUP(O$67&amp;"_1",管理者用人口入力シート!CO:DL,Q84,FALSE),0)</f>
        <v>657</v>
      </c>
      <c r="P84" s="17">
        <f>ROUND(VLOOKUP(O$67&amp;"_2",管理者用人口入力シート!CO:DL,Q84,FALSE),0)</f>
        <v>948</v>
      </c>
      <c r="Q84" s="2">
        <v>19</v>
      </c>
      <c r="U84" s="85"/>
    </row>
    <row r="85" spans="1:21" x14ac:dyDescent="0.15">
      <c r="A85" s="2" t="s">
        <v>20</v>
      </c>
      <c r="B85" s="17">
        <f>ROUND(VLOOKUP(B$63&amp;"_1",管理者用人口入力シート!A:X,D85,FALSE),0)</f>
        <v>5</v>
      </c>
      <c r="C85" s="17">
        <f>ROUND(VLOOKUP(B$63&amp;"_2",管理者用人口入力シート!A:X,D85,FALSE),0)</f>
        <v>12</v>
      </c>
      <c r="D85" s="2">
        <v>24</v>
      </c>
      <c r="G85" s="2" t="s">
        <v>16</v>
      </c>
      <c r="H85" s="17">
        <f>ROUND(VLOOKUP(H$67&amp;"_1",管理者用人口入力シート!BH:CE,J85,FALSE),0)</f>
        <v>459</v>
      </c>
      <c r="I85" s="17">
        <f>ROUND(VLOOKUP(H$67&amp;"_2",管理者用人口入力シート!BH:CE,J85,FALSE),0)</f>
        <v>584</v>
      </c>
      <c r="J85" s="2">
        <v>20</v>
      </c>
      <c r="K85" s="12"/>
      <c r="N85" s="2" t="s">
        <v>16</v>
      </c>
      <c r="O85" s="17">
        <f>ROUND(VLOOKUP(O$67&amp;"_1",管理者用人口入力シート!CO:DL,Q85,FALSE),0)</f>
        <v>459</v>
      </c>
      <c r="P85" s="17">
        <f>ROUND(VLOOKUP(O$67&amp;"_2",管理者用人口入力シート!CO:DL,Q85,FALSE),0)</f>
        <v>584</v>
      </c>
      <c r="Q85" s="2">
        <v>20</v>
      </c>
      <c r="U85" s="85"/>
    </row>
    <row r="86" spans="1:21" x14ac:dyDescent="0.15">
      <c r="G86" s="2" t="s">
        <v>17</v>
      </c>
      <c r="H86" s="17">
        <f>ROUND(VLOOKUP(H$67&amp;"_1",管理者用人口入力シート!BH:CE,J86,FALSE),0)</f>
        <v>250</v>
      </c>
      <c r="I86" s="17">
        <f>ROUND(VLOOKUP(H$67&amp;"_2",管理者用人口入力シート!BH:CE,J86,FALSE),0)</f>
        <v>439</v>
      </c>
      <c r="J86" s="2">
        <v>21</v>
      </c>
      <c r="K86" s="12"/>
      <c r="N86" s="2" t="s">
        <v>17</v>
      </c>
      <c r="O86" s="17">
        <f>ROUND(VLOOKUP(O$67&amp;"_1",管理者用人口入力シート!CO:DL,Q86,FALSE),0)</f>
        <v>250</v>
      </c>
      <c r="P86" s="17">
        <f>ROUND(VLOOKUP(O$67&amp;"_2",管理者用人口入力シート!CO:DL,Q86,FALSE),0)</f>
        <v>439</v>
      </c>
      <c r="Q86" s="2">
        <v>21</v>
      </c>
      <c r="U86" s="85"/>
    </row>
    <row r="87" spans="1:21" x14ac:dyDescent="0.15">
      <c r="A87" s="2" t="s">
        <v>62</v>
      </c>
      <c r="B87" s="315">
        <f>管理者入力シート!B5</f>
        <v>2020</v>
      </c>
      <c r="C87" s="316"/>
      <c r="D87" s="2" t="s">
        <v>114</v>
      </c>
      <c r="G87" s="2" t="s">
        <v>18</v>
      </c>
      <c r="H87" s="17">
        <f>ROUND(VLOOKUP(H$67&amp;"_1",管理者用人口入力シート!BH:CE,J87,FALSE),0)</f>
        <v>126</v>
      </c>
      <c r="I87" s="17">
        <f>ROUND(VLOOKUP(H$67&amp;"_2",管理者用人口入力シート!BH:CE,J87,FALSE),0)</f>
        <v>347</v>
      </c>
      <c r="J87" s="2">
        <v>22</v>
      </c>
      <c r="K87" s="12"/>
      <c r="N87" s="2" t="s">
        <v>18</v>
      </c>
      <c r="O87" s="17">
        <f>ROUND(VLOOKUP(O$67&amp;"_1",管理者用人口入力シート!CO:DL,Q87,FALSE),0)</f>
        <v>126</v>
      </c>
      <c r="P87" s="17">
        <f>ROUND(VLOOKUP(O$67&amp;"_2",管理者用人口入力シート!CO:DL,Q87,FALSE),0)</f>
        <v>347</v>
      </c>
      <c r="Q87" s="2">
        <v>22</v>
      </c>
      <c r="U87" s="85"/>
    </row>
    <row r="88" spans="1:21" x14ac:dyDescent="0.15">
      <c r="A88" s="2" t="s">
        <v>115</v>
      </c>
      <c r="B88" s="18" t="s">
        <v>21</v>
      </c>
      <c r="C88" s="18" t="s">
        <v>22</v>
      </c>
      <c r="G88" s="2" t="s">
        <v>19</v>
      </c>
      <c r="H88" s="17">
        <f>ROUND(VLOOKUP(H$67&amp;"_1",管理者用人口入力シート!BH:CE,J88,FALSE),0)</f>
        <v>43</v>
      </c>
      <c r="I88" s="17">
        <f>ROUND(VLOOKUP(H$67&amp;"_2",管理者用人口入力シート!BH:CE,J88,FALSE),0)</f>
        <v>164</v>
      </c>
      <c r="J88" s="2">
        <v>23</v>
      </c>
      <c r="K88" s="12"/>
      <c r="N88" s="2" t="s">
        <v>19</v>
      </c>
      <c r="O88" s="17">
        <f>ROUND(VLOOKUP(O$67&amp;"_1",管理者用人口入力シート!CO:DL,Q88,FALSE),0)</f>
        <v>43</v>
      </c>
      <c r="P88" s="17">
        <f>ROUND(VLOOKUP(O$67&amp;"_2",管理者用人口入力シート!CO:DL,Q88,FALSE),0)</f>
        <v>164</v>
      </c>
      <c r="Q88" s="2">
        <v>23</v>
      </c>
      <c r="U88" s="85"/>
    </row>
    <row r="89" spans="1:21" x14ac:dyDescent="0.15">
      <c r="A89" s="2" t="s">
        <v>0</v>
      </c>
      <c r="B89" s="17">
        <f>ROUND(VLOOKUP(B$87&amp;"_1",管理者用人口入力シート!A:X,D89,FALSE),0)</f>
        <v>492</v>
      </c>
      <c r="C89" s="17">
        <f>ROUND(VLOOKUP(B$87&amp;"_2",管理者用人口入力シート!A:X,D89,FALSE),0)</f>
        <v>455</v>
      </c>
      <c r="D89" s="2">
        <v>4</v>
      </c>
      <c r="G89" s="2" t="s">
        <v>20</v>
      </c>
      <c r="H89" s="17">
        <f>ROUND(VLOOKUP(H$67&amp;"_1",管理者用人口入力シート!BH:CE,J89,FALSE),0)</f>
        <v>8</v>
      </c>
      <c r="I89" s="17">
        <f>ROUND(VLOOKUP(H$67&amp;"_2",管理者用人口入力シート!BH:CE,J89,FALSE),0)</f>
        <v>35</v>
      </c>
      <c r="J89" s="2">
        <v>24</v>
      </c>
      <c r="K89" s="12"/>
      <c r="N89" s="2" t="s">
        <v>20</v>
      </c>
      <c r="O89" s="17">
        <f>ROUND(VLOOKUP(O$67&amp;"_1",管理者用人口入力シート!CO:DL,Q89,FALSE),0)</f>
        <v>8</v>
      </c>
      <c r="P89" s="17">
        <f>ROUND(VLOOKUP(O$67&amp;"_2",管理者用人口入力シート!CO:DL,Q89,FALSE),0)</f>
        <v>35</v>
      </c>
      <c r="Q89" s="2">
        <v>24</v>
      </c>
      <c r="U89" s="85"/>
    </row>
    <row r="90" spans="1:21" x14ac:dyDescent="0.15">
      <c r="A90" s="2" t="s">
        <v>1</v>
      </c>
      <c r="B90" s="17">
        <f>ROUND(VLOOKUP(B$87&amp;"_1",管理者用人口入力シート!A:X,D90,FALSE),0)</f>
        <v>573</v>
      </c>
      <c r="C90" s="17">
        <f>ROUND(VLOOKUP(B$87&amp;"_2",管理者用人口入力シート!A:X,D90,FALSE),0)</f>
        <v>558</v>
      </c>
      <c r="D90" s="2">
        <v>5</v>
      </c>
    </row>
    <row r="91" spans="1:21" x14ac:dyDescent="0.15">
      <c r="A91" s="2" t="s">
        <v>2</v>
      </c>
      <c r="B91" s="17">
        <f>ROUND(VLOOKUP(B$87&amp;"_1",管理者用人口入力シート!A:X,D91,FALSE),0)</f>
        <v>687</v>
      </c>
      <c r="C91" s="17">
        <f>ROUND(VLOOKUP(B$87&amp;"_2",管理者用人口入力シート!A:X,D91,FALSE),0)</f>
        <v>623</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795</v>
      </c>
      <c r="C92" s="17">
        <f>ROUND(VLOOKUP(B$87&amp;"_2",管理者用人口入力シート!A:X,D92,FALSE),0)</f>
        <v>641</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312</v>
      </c>
      <c r="C93" s="17">
        <f>ROUND(VLOOKUP(B$87&amp;"_2",管理者用人口入力シート!A:X,D93,FALSE),0)</f>
        <v>412</v>
      </c>
      <c r="D93" s="2">
        <v>8</v>
      </c>
      <c r="G93" s="2" t="s">
        <v>0</v>
      </c>
      <c r="H93" s="17">
        <f>ROUND(VLOOKUP(H$91&amp;"_1",管理者用人口入力シート!BH:CE,J93,FALSE),0)</f>
        <v>444</v>
      </c>
      <c r="I93" s="17">
        <f>ROUND(VLOOKUP(H$91&amp;"_2",管理者用人口入力シート!BH:CE,J93,FALSE),0)</f>
        <v>411</v>
      </c>
      <c r="J93" s="2">
        <v>4</v>
      </c>
      <c r="K93" s="12"/>
      <c r="N93" s="2" t="s">
        <v>0</v>
      </c>
      <c r="O93" s="17">
        <f>ROUND(VLOOKUP(O$91&amp;"_1",管理者用人口入力シート!CO:DL,Q93,FALSE),0)</f>
        <v>446</v>
      </c>
      <c r="P93" s="17">
        <f>ROUND(VLOOKUP(O$91&amp;"_2",管理者用人口入力シート!CO:DL,Q93,FALSE),0)</f>
        <v>413</v>
      </c>
      <c r="Q93" s="2">
        <v>4</v>
      </c>
      <c r="T93" s="85"/>
    </row>
    <row r="94" spans="1:21" x14ac:dyDescent="0.15">
      <c r="A94" s="2" t="s">
        <v>5</v>
      </c>
      <c r="B94" s="17">
        <f>ROUND(VLOOKUP(B$87&amp;"_1",管理者用人口入力シート!A:X,D94,FALSE),0)</f>
        <v>364</v>
      </c>
      <c r="C94" s="17">
        <f>ROUND(VLOOKUP(B$87&amp;"_2",管理者用人口入力シート!A:X,D94,FALSE),0)</f>
        <v>425</v>
      </c>
      <c r="D94" s="2">
        <v>9</v>
      </c>
      <c r="G94" s="2" t="s">
        <v>1</v>
      </c>
      <c r="H94" s="17">
        <f>ROUND(VLOOKUP(H$91&amp;"_1",管理者用人口入力シート!BH:CE,J94,FALSE),0)</f>
        <v>436</v>
      </c>
      <c r="I94" s="17">
        <f>ROUND(VLOOKUP(H$91&amp;"_2",管理者用人口入力シート!BH:CE,J94,FALSE),0)</f>
        <v>440</v>
      </c>
      <c r="J94" s="2">
        <v>5</v>
      </c>
      <c r="K94" s="12"/>
      <c r="N94" s="2" t="s">
        <v>1</v>
      </c>
      <c r="O94" s="17">
        <f>ROUND(VLOOKUP(O$91&amp;"_1",管理者用人口入力シート!CO:DL,Q94,FALSE),0)</f>
        <v>437</v>
      </c>
      <c r="P94" s="17">
        <f>ROUND(VLOOKUP(O$91&amp;"_2",管理者用人口入力シート!CO:DL,Q94,FALSE),0)</f>
        <v>441</v>
      </c>
      <c r="Q94" s="2">
        <v>5</v>
      </c>
      <c r="T94" s="85"/>
    </row>
    <row r="95" spans="1:21" x14ac:dyDescent="0.15">
      <c r="A95" s="2" t="s">
        <v>6</v>
      </c>
      <c r="B95" s="17">
        <f>ROUND(VLOOKUP(B$87&amp;"_1",管理者用人口入力シート!A:X,D95,FALSE),0)</f>
        <v>480</v>
      </c>
      <c r="C95" s="17">
        <f>ROUND(VLOOKUP(B$87&amp;"_2",管理者用人口入力シート!A:X,D95,FALSE),0)</f>
        <v>543</v>
      </c>
      <c r="D95" s="2">
        <v>10</v>
      </c>
      <c r="G95" s="2" t="s">
        <v>2</v>
      </c>
      <c r="H95" s="17">
        <f>ROUND(VLOOKUP(H$91&amp;"_1",管理者用人口入力シート!BH:CE,J95,FALSE),0)</f>
        <v>563</v>
      </c>
      <c r="I95" s="17">
        <f>ROUND(VLOOKUP(H$91&amp;"_2",管理者用人口入力シート!BH:CE,J95,FALSE),0)</f>
        <v>508</v>
      </c>
      <c r="J95" s="2">
        <v>6</v>
      </c>
      <c r="K95" s="12"/>
      <c r="N95" s="2" t="s">
        <v>2</v>
      </c>
      <c r="O95" s="17">
        <f>ROUND(VLOOKUP(O$91&amp;"_1",管理者用人口入力シート!CO:DL,Q95,FALSE),0)</f>
        <v>564</v>
      </c>
      <c r="P95" s="17">
        <f>ROUND(VLOOKUP(O$91&amp;"_2",管理者用人口入力シート!CO:DL,Q95,FALSE),0)</f>
        <v>509</v>
      </c>
      <c r="Q95" s="2">
        <v>6</v>
      </c>
      <c r="T95" s="85"/>
    </row>
    <row r="96" spans="1:21" x14ac:dyDescent="0.15">
      <c r="A96" s="2" t="s">
        <v>7</v>
      </c>
      <c r="B96" s="17">
        <f>ROUND(VLOOKUP(B$87&amp;"_1",管理者用人口入力シート!A:X,D96,FALSE),0)</f>
        <v>703</v>
      </c>
      <c r="C96" s="17">
        <f>ROUND(VLOOKUP(B$87&amp;"_2",管理者用人口入力シート!A:X,D96,FALSE),0)</f>
        <v>704</v>
      </c>
      <c r="D96" s="2">
        <v>11</v>
      </c>
      <c r="G96" s="2" t="s">
        <v>3</v>
      </c>
      <c r="H96" s="17">
        <f>ROUND(VLOOKUP(H$91&amp;"_1",管理者用人口入力シート!BH:CE,J96,FALSE),0)</f>
        <v>923</v>
      </c>
      <c r="I96" s="17">
        <f>ROUND(VLOOKUP(H$91&amp;"_2",管理者用人口入力シート!BH:CE,J96,FALSE),0)</f>
        <v>693</v>
      </c>
      <c r="J96" s="2">
        <v>7</v>
      </c>
      <c r="K96" s="12"/>
      <c r="N96" s="2" t="s">
        <v>3</v>
      </c>
      <c r="O96" s="17">
        <f>ROUND(VLOOKUP(O$91&amp;"_1",管理者用人口入力シート!CO:DL,Q96,FALSE),0)</f>
        <v>924</v>
      </c>
      <c r="P96" s="17">
        <f>ROUND(VLOOKUP(O$91&amp;"_2",管理者用人口入力シート!CO:DL,Q96,FALSE),0)</f>
        <v>694</v>
      </c>
      <c r="Q96" s="2">
        <v>7</v>
      </c>
      <c r="T96" s="85"/>
    </row>
    <row r="97" spans="1:20" x14ac:dyDescent="0.15">
      <c r="A97" s="2" t="s">
        <v>8</v>
      </c>
      <c r="B97" s="17">
        <f>ROUND(VLOOKUP(B$87&amp;"_1",管理者用人口入力シート!A:X,D97,FALSE),0)</f>
        <v>749</v>
      </c>
      <c r="C97" s="17">
        <f>ROUND(VLOOKUP(B$87&amp;"_2",管理者用人口入力シート!A:X,D97,FALSE),0)</f>
        <v>824</v>
      </c>
      <c r="D97" s="2">
        <v>12</v>
      </c>
      <c r="G97" s="2" t="s">
        <v>4</v>
      </c>
      <c r="H97" s="17">
        <f>ROUND(VLOOKUP(H$91&amp;"_1",管理者用人口入力シート!BH:CE,J97,FALSE),0)</f>
        <v>405</v>
      </c>
      <c r="I97" s="17">
        <f>ROUND(VLOOKUP(H$91&amp;"_2",管理者用人口入力シート!BH:CE,J97,FALSE),0)</f>
        <v>500</v>
      </c>
      <c r="J97" s="2">
        <v>8</v>
      </c>
      <c r="K97" s="12"/>
      <c r="N97" s="2" t="s">
        <v>4</v>
      </c>
      <c r="O97" s="17">
        <f>ROUND(VLOOKUP(O$91&amp;"_1",管理者用人口入力シート!CO:DL,Q97,FALSE),0)</f>
        <v>405</v>
      </c>
      <c r="P97" s="17">
        <f>ROUND(VLOOKUP(O$91&amp;"_2",管理者用人口入力シート!CO:DL,Q97,FALSE),0)</f>
        <v>500</v>
      </c>
      <c r="Q97" s="2">
        <v>8</v>
      </c>
      <c r="T97" s="85"/>
    </row>
    <row r="98" spans="1:20" x14ac:dyDescent="0.15">
      <c r="A98" s="2" t="s">
        <v>9</v>
      </c>
      <c r="B98" s="17">
        <f>ROUND(VLOOKUP(B$87&amp;"_1",管理者用人口入力シート!A:X,D98,FALSE),0)</f>
        <v>818</v>
      </c>
      <c r="C98" s="17">
        <f>ROUND(VLOOKUP(B$87&amp;"_2",管理者用人口入力シート!A:X,D98,FALSE),0)</f>
        <v>881</v>
      </c>
      <c r="D98" s="2">
        <v>13</v>
      </c>
      <c r="G98" s="2" t="s">
        <v>5</v>
      </c>
      <c r="H98" s="17">
        <f>ROUND(VLOOKUP(H$91&amp;"_1",管理者用人口入力シート!BH:CE,J98,FALSE),0)</f>
        <v>401</v>
      </c>
      <c r="I98" s="17">
        <f>ROUND(VLOOKUP(H$91&amp;"_2",管理者用人口入力シート!BH:CE,J98,FALSE),0)</f>
        <v>459</v>
      </c>
      <c r="J98" s="2">
        <v>9</v>
      </c>
      <c r="K98" s="12"/>
      <c r="N98" s="2" t="s">
        <v>5</v>
      </c>
      <c r="O98" s="17">
        <f>ROUND(VLOOKUP(O$91&amp;"_1",管理者用人口入力シート!CO:DL,Q98,FALSE),0)</f>
        <v>403</v>
      </c>
      <c r="P98" s="17">
        <f>ROUND(VLOOKUP(O$91&amp;"_2",管理者用人口入力シート!CO:DL,Q98,FALSE),0)</f>
        <v>461</v>
      </c>
      <c r="Q98" s="2">
        <v>9</v>
      </c>
      <c r="T98" s="85"/>
    </row>
    <row r="99" spans="1:20" x14ac:dyDescent="0.15">
      <c r="A99" s="2" t="s">
        <v>10</v>
      </c>
      <c r="B99" s="17">
        <f>ROUND(VLOOKUP(B$87&amp;"_1",管理者用人口入力シート!A:X,D99,FALSE),0)</f>
        <v>583</v>
      </c>
      <c r="C99" s="17">
        <f>ROUND(VLOOKUP(B$87&amp;"_2",管理者用人口入力シート!A:X,D99,FALSE),0)</f>
        <v>629</v>
      </c>
      <c r="D99" s="2">
        <v>14</v>
      </c>
      <c r="G99" s="2" t="s">
        <v>6</v>
      </c>
      <c r="H99" s="17">
        <f>ROUND(VLOOKUP(H$91&amp;"_1",管理者用人口入力シート!BH:CE,J99,FALSE),0)</f>
        <v>387</v>
      </c>
      <c r="I99" s="17">
        <f>ROUND(VLOOKUP(H$91&amp;"_2",管理者用人口入力シート!BH:CE,J99,FALSE),0)</f>
        <v>456</v>
      </c>
      <c r="J99" s="2">
        <v>10</v>
      </c>
      <c r="K99" s="12"/>
      <c r="N99" s="2" t="s">
        <v>6</v>
      </c>
      <c r="O99" s="17">
        <f>ROUND(VLOOKUP(O$91&amp;"_1",管理者用人口入力シート!CO:DL,Q99,FALSE),0)</f>
        <v>389</v>
      </c>
      <c r="P99" s="17">
        <f>ROUND(VLOOKUP(O$91&amp;"_2",管理者用人口入力シート!CO:DL,Q99,FALSE),0)</f>
        <v>458</v>
      </c>
      <c r="Q99" s="2">
        <v>10</v>
      </c>
      <c r="T99" s="85"/>
    </row>
    <row r="100" spans="1:20" x14ac:dyDescent="0.15">
      <c r="A100" s="2" t="s">
        <v>11</v>
      </c>
      <c r="B100" s="17">
        <f>ROUND(VLOOKUP(B$87&amp;"_1",管理者用人口入力シート!A:X,D100,FALSE),0)</f>
        <v>514</v>
      </c>
      <c r="C100" s="17">
        <f>ROUND(VLOOKUP(B$87&amp;"_2",管理者用人口入力シート!A:X,D100,FALSE),0)</f>
        <v>611</v>
      </c>
      <c r="D100" s="2">
        <v>15</v>
      </c>
      <c r="G100" s="2" t="s">
        <v>7</v>
      </c>
      <c r="H100" s="17">
        <f>ROUND(VLOOKUP(H$91&amp;"_1",管理者用人口入力シート!BH:CE,J100,FALSE),0)</f>
        <v>421</v>
      </c>
      <c r="I100" s="17">
        <f>ROUND(VLOOKUP(H$91&amp;"_2",管理者用人口入力シート!BH:CE,J100,FALSE),0)</f>
        <v>466</v>
      </c>
      <c r="J100" s="2">
        <v>11</v>
      </c>
      <c r="K100" s="12"/>
      <c r="N100" s="2" t="s">
        <v>7</v>
      </c>
      <c r="O100" s="17">
        <f>ROUND(VLOOKUP(O$91&amp;"_1",管理者用人口入力シート!CO:DL,Q100,FALSE),0)</f>
        <v>421</v>
      </c>
      <c r="P100" s="17">
        <f>ROUND(VLOOKUP(O$91&amp;"_2",管理者用人口入力シート!CO:DL,Q100,FALSE),0)</f>
        <v>466</v>
      </c>
      <c r="Q100" s="2">
        <v>11</v>
      </c>
      <c r="T100" s="85"/>
    </row>
    <row r="101" spans="1:20" x14ac:dyDescent="0.15">
      <c r="A101" s="2" t="s">
        <v>12</v>
      </c>
      <c r="B101" s="17">
        <f>ROUND(VLOOKUP(B$87&amp;"_1",管理者用人口入力シート!A:X,D101,FALSE),0)</f>
        <v>597</v>
      </c>
      <c r="C101" s="17">
        <f>ROUND(VLOOKUP(B$87&amp;"_2",管理者用人口入力シート!A:X,D101,FALSE),0)</f>
        <v>678</v>
      </c>
      <c r="D101" s="2">
        <v>16</v>
      </c>
      <c r="G101" s="2" t="s">
        <v>8</v>
      </c>
      <c r="H101" s="17">
        <f>ROUND(VLOOKUP(H$91&amp;"_1",管理者用人口入力シート!BH:CE,J101,FALSE),0)</f>
        <v>533</v>
      </c>
      <c r="I101" s="17">
        <f>ROUND(VLOOKUP(H$91&amp;"_2",管理者用人口入力シート!BH:CE,J101,FALSE),0)</f>
        <v>568</v>
      </c>
      <c r="J101" s="2">
        <v>12</v>
      </c>
      <c r="K101" s="12"/>
      <c r="N101" s="2" t="s">
        <v>8</v>
      </c>
      <c r="O101" s="17">
        <f>ROUND(VLOOKUP(O$91&amp;"_1",管理者用人口入力シート!CO:DL,Q101,FALSE),0)</f>
        <v>533</v>
      </c>
      <c r="P101" s="17">
        <f>ROUND(VLOOKUP(O$91&amp;"_2",管理者用人口入力シート!CO:DL,Q101,FALSE),0)</f>
        <v>569</v>
      </c>
      <c r="Q101" s="2">
        <v>12</v>
      </c>
      <c r="T101" s="85"/>
    </row>
    <row r="102" spans="1:20" x14ac:dyDescent="0.15">
      <c r="A102" s="2" t="s">
        <v>13</v>
      </c>
      <c r="B102" s="17">
        <f>ROUND(VLOOKUP(B$87&amp;"_1",管理者用人口入力シート!A:X,D102,FALSE),0)</f>
        <v>731</v>
      </c>
      <c r="C102" s="17">
        <f>ROUND(VLOOKUP(B$87&amp;"_2",管理者用人口入力シート!A:X,D102,FALSE),0)</f>
        <v>815</v>
      </c>
      <c r="D102" s="2">
        <v>17</v>
      </c>
      <c r="G102" s="2" t="s">
        <v>9</v>
      </c>
      <c r="H102" s="17">
        <f>ROUND(VLOOKUP(H$91&amp;"_1",管理者用人口入力シート!BH:CE,J102,FALSE),0)</f>
        <v>702</v>
      </c>
      <c r="I102" s="17">
        <f>ROUND(VLOOKUP(H$91&amp;"_2",管理者用人口入力シート!BH:CE,J102,FALSE),0)</f>
        <v>726</v>
      </c>
      <c r="J102" s="2">
        <v>13</v>
      </c>
      <c r="K102" s="12"/>
      <c r="N102" s="2" t="s">
        <v>9</v>
      </c>
      <c r="O102" s="17">
        <f>ROUND(VLOOKUP(O$91&amp;"_1",管理者用人口入力シート!CO:DL,Q102,FALSE),0)</f>
        <v>702</v>
      </c>
      <c r="P102" s="17">
        <f>ROUND(VLOOKUP(O$91&amp;"_2",管理者用人口入力シート!CO:DL,Q102,FALSE),0)</f>
        <v>727</v>
      </c>
      <c r="Q102" s="2">
        <v>13</v>
      </c>
      <c r="T102" s="85"/>
    </row>
    <row r="103" spans="1:20" x14ac:dyDescent="0.15">
      <c r="A103" s="2" t="s">
        <v>14</v>
      </c>
      <c r="B103" s="17">
        <f>ROUND(VLOOKUP(B$87&amp;"_1",管理者用人口入力シート!A:X,D103,FALSE),0)</f>
        <v>707</v>
      </c>
      <c r="C103" s="17">
        <f>ROUND(VLOOKUP(B$87&amp;"_2",管理者用人口入力シート!A:X,D103,FALSE),0)</f>
        <v>932</v>
      </c>
      <c r="D103" s="2">
        <v>18</v>
      </c>
      <c r="G103" s="2" t="s">
        <v>10</v>
      </c>
      <c r="H103" s="17">
        <f>ROUND(VLOOKUP(H$91&amp;"_1",管理者用人口入力シート!BH:CE,J103,FALSE),0)</f>
        <v>746</v>
      </c>
      <c r="I103" s="17">
        <f>ROUND(VLOOKUP(H$91&amp;"_2",管理者用人口入力シート!BH:CE,J103,FALSE),0)</f>
        <v>858</v>
      </c>
      <c r="J103" s="2">
        <v>14</v>
      </c>
      <c r="K103" s="12"/>
      <c r="N103" s="2" t="s">
        <v>10</v>
      </c>
      <c r="O103" s="17">
        <f>ROUND(VLOOKUP(O$91&amp;"_1",管理者用人口入力シート!CO:DL,Q103,FALSE),0)</f>
        <v>746</v>
      </c>
      <c r="P103" s="17">
        <f>ROUND(VLOOKUP(O$91&amp;"_2",管理者用人口入力シート!CO:DL,Q103,FALSE),0)</f>
        <v>858</v>
      </c>
      <c r="Q103" s="2">
        <v>14</v>
      </c>
      <c r="T103" s="85"/>
    </row>
    <row r="104" spans="1:20" x14ac:dyDescent="0.15">
      <c r="A104" s="2" t="s">
        <v>15</v>
      </c>
      <c r="B104" s="17">
        <f>ROUND(VLOOKUP(B$87&amp;"_1",管理者用人口入力シート!A:X,D104,FALSE),0)</f>
        <v>526</v>
      </c>
      <c r="C104" s="17">
        <f>ROUND(VLOOKUP(B$87&amp;"_2",管理者用人口入力シート!A:X,D104,FALSE),0)</f>
        <v>596</v>
      </c>
      <c r="D104" s="2">
        <v>19</v>
      </c>
      <c r="G104" s="2" t="s">
        <v>11</v>
      </c>
      <c r="H104" s="17">
        <f>ROUND(VLOOKUP(H$91&amp;"_1",管理者用人口入力シート!BH:CE,J104,FALSE),0)</f>
        <v>830</v>
      </c>
      <c r="I104" s="17">
        <f>ROUND(VLOOKUP(H$91&amp;"_2",管理者用人口入力シート!BH:CE,J104,FALSE),0)</f>
        <v>907</v>
      </c>
      <c r="J104" s="2">
        <v>15</v>
      </c>
      <c r="K104" s="12"/>
      <c r="N104" s="2" t="s">
        <v>11</v>
      </c>
      <c r="O104" s="17">
        <f>ROUND(VLOOKUP(O$91&amp;"_1",管理者用人口入力シート!CO:DL,Q104,FALSE),0)</f>
        <v>830</v>
      </c>
      <c r="P104" s="17">
        <f>ROUND(VLOOKUP(O$91&amp;"_2",管理者用人口入力シート!CO:DL,Q104,FALSE),0)</f>
        <v>907</v>
      </c>
      <c r="Q104" s="2">
        <v>15</v>
      </c>
      <c r="T104" s="85"/>
    </row>
    <row r="105" spans="1:20" x14ac:dyDescent="0.15">
      <c r="A105" s="2" t="s">
        <v>16</v>
      </c>
      <c r="B105" s="17">
        <f>ROUND(VLOOKUP(B$87&amp;"_1",管理者用人口入力シート!A:X,D105,FALSE),0)</f>
        <v>338</v>
      </c>
      <c r="C105" s="17">
        <f>ROUND(VLOOKUP(B$87&amp;"_2",管理者用人口入力シート!A:X,D105,FALSE),0)</f>
        <v>483</v>
      </c>
      <c r="D105" s="2">
        <v>20</v>
      </c>
      <c r="G105" s="2" t="s">
        <v>12</v>
      </c>
      <c r="H105" s="17">
        <f>ROUND(VLOOKUP(H$91&amp;"_1",管理者用人口入力シート!BH:CE,J105,FALSE),0)</f>
        <v>574</v>
      </c>
      <c r="I105" s="17">
        <f>ROUND(VLOOKUP(H$91&amp;"_2",管理者用人口入力シート!BH:CE,J105,FALSE),0)</f>
        <v>629</v>
      </c>
      <c r="J105" s="2">
        <v>16</v>
      </c>
      <c r="K105" s="12"/>
      <c r="N105" s="2" t="s">
        <v>12</v>
      </c>
      <c r="O105" s="17">
        <f>ROUND(VLOOKUP(O$91&amp;"_1",管理者用人口入力シート!CO:DL,Q105,FALSE),0)</f>
        <v>574</v>
      </c>
      <c r="P105" s="17">
        <f>ROUND(VLOOKUP(O$91&amp;"_2",管理者用人口入力シート!CO:DL,Q105,FALSE),0)</f>
        <v>629</v>
      </c>
      <c r="Q105" s="2">
        <v>16</v>
      </c>
      <c r="T105" s="85"/>
    </row>
    <row r="106" spans="1:20" x14ac:dyDescent="0.15">
      <c r="A106" s="2" t="s">
        <v>17</v>
      </c>
      <c r="B106" s="17">
        <f>ROUND(VLOOKUP(B$87&amp;"_1",管理者用人口入力シート!A:X,D106,FALSE),0)</f>
        <v>225</v>
      </c>
      <c r="C106" s="17">
        <f>ROUND(VLOOKUP(B$87&amp;"_2",管理者用人口入力シート!A:X,D106,FALSE),0)</f>
        <v>449</v>
      </c>
      <c r="D106" s="2">
        <v>21</v>
      </c>
      <c r="G106" s="2" t="s">
        <v>13</v>
      </c>
      <c r="H106" s="17">
        <f>ROUND(VLOOKUP(H$91&amp;"_1",管理者用人口入力シート!BH:CE,J106,FALSE),0)</f>
        <v>501</v>
      </c>
      <c r="I106" s="17">
        <f>ROUND(VLOOKUP(H$91&amp;"_2",管理者用人口入力シート!BH:CE,J106,FALSE),0)</f>
        <v>582</v>
      </c>
      <c r="J106" s="2">
        <v>17</v>
      </c>
      <c r="K106" s="12"/>
      <c r="N106" s="2" t="s">
        <v>13</v>
      </c>
      <c r="O106" s="17">
        <f>ROUND(VLOOKUP(O$91&amp;"_1",管理者用人口入力シート!CO:DL,Q106,FALSE),0)</f>
        <v>501</v>
      </c>
      <c r="P106" s="17">
        <f>ROUND(VLOOKUP(O$91&amp;"_2",管理者用人口入力シート!CO:DL,Q106,FALSE),0)</f>
        <v>582</v>
      </c>
      <c r="Q106" s="2">
        <v>17</v>
      </c>
      <c r="T106" s="85"/>
    </row>
    <row r="107" spans="1:20" x14ac:dyDescent="0.15">
      <c r="A107" s="2" t="s">
        <v>18</v>
      </c>
      <c r="B107" s="17">
        <f>ROUND(VLOOKUP(B$87&amp;"_1",管理者用人口入力シート!A:X,D107,FALSE),0)</f>
        <v>107</v>
      </c>
      <c r="C107" s="17">
        <f>ROUND(VLOOKUP(B$87&amp;"_2",管理者用人口入力シート!A:X,D107,FALSE),0)</f>
        <v>298</v>
      </c>
      <c r="D107" s="2">
        <v>22</v>
      </c>
      <c r="G107" s="2" t="s">
        <v>14</v>
      </c>
      <c r="H107" s="17">
        <f>ROUND(VLOOKUP(H$91&amp;"_1",管理者用人口入力シート!BH:CE,J107,FALSE),0)</f>
        <v>547</v>
      </c>
      <c r="I107" s="17">
        <f>ROUND(VLOOKUP(H$91&amp;"_2",管理者用人口入力シート!BH:CE,J107,FALSE),0)</f>
        <v>656</v>
      </c>
      <c r="J107" s="2">
        <v>18</v>
      </c>
      <c r="K107" s="12"/>
      <c r="N107" s="2" t="s">
        <v>14</v>
      </c>
      <c r="O107" s="17">
        <f>ROUND(VLOOKUP(O$91&amp;"_1",管理者用人口入力シート!CO:DL,Q107,FALSE),0)</f>
        <v>547</v>
      </c>
      <c r="P107" s="17">
        <f>ROUND(VLOOKUP(O$91&amp;"_2",管理者用人口入力シート!CO:DL,Q107,FALSE),0)</f>
        <v>656</v>
      </c>
      <c r="Q107" s="2">
        <v>18</v>
      </c>
      <c r="T107" s="85"/>
    </row>
    <row r="108" spans="1:20" x14ac:dyDescent="0.15">
      <c r="A108" s="2" t="s">
        <v>19</v>
      </c>
      <c r="B108" s="17">
        <f>ROUND(VLOOKUP(B$87&amp;"_1",管理者用人口入力シート!A:X,D108,FALSE),0)</f>
        <v>25</v>
      </c>
      <c r="C108" s="17">
        <f>ROUND(VLOOKUP(B$87&amp;"_2",管理者用人口入力シート!A:X,D108,FALSE),0)</f>
        <v>119</v>
      </c>
      <c r="D108" s="2">
        <v>23</v>
      </c>
      <c r="G108" s="2" t="s">
        <v>15</v>
      </c>
      <c r="H108" s="17">
        <f>ROUND(VLOOKUP(H$91&amp;"_1",管理者用人口入力シート!BH:CE,J108,FALSE),0)</f>
        <v>623</v>
      </c>
      <c r="I108" s="17">
        <f>ROUND(VLOOKUP(H$91&amp;"_2",管理者用人口入力シート!BH:CE,J108,FALSE),0)</f>
        <v>823</v>
      </c>
      <c r="J108" s="2">
        <v>19</v>
      </c>
      <c r="K108" s="12"/>
      <c r="N108" s="2" t="s">
        <v>15</v>
      </c>
      <c r="O108" s="17">
        <f>ROUND(VLOOKUP(O$91&amp;"_1",管理者用人口入力シート!CO:DL,Q108,FALSE),0)</f>
        <v>623</v>
      </c>
      <c r="P108" s="17">
        <f>ROUND(VLOOKUP(O$91&amp;"_2",管理者用人口入力シート!CO:DL,Q108,FALSE),0)</f>
        <v>823</v>
      </c>
      <c r="Q108" s="2">
        <v>19</v>
      </c>
      <c r="T108" s="85"/>
    </row>
    <row r="109" spans="1:20" x14ac:dyDescent="0.15">
      <c r="A109" s="2" t="s">
        <v>20</v>
      </c>
      <c r="B109" s="17">
        <f>ROUND(VLOOKUP(B$87&amp;"_1",管理者用人口入力シート!A:X,D109,FALSE),0)</f>
        <v>5</v>
      </c>
      <c r="C109" s="17">
        <f>ROUND(VLOOKUP(B$87&amp;"_2",管理者用人口入力シート!A:X,D109,FALSE),0)</f>
        <v>19</v>
      </c>
      <c r="D109" s="2">
        <v>24</v>
      </c>
      <c r="G109" s="2" t="s">
        <v>16</v>
      </c>
      <c r="H109" s="17">
        <f>ROUND(VLOOKUP(H$91&amp;"_1",管理者用人口入力シート!BH:CE,J109,FALSE),0)</f>
        <v>573</v>
      </c>
      <c r="I109" s="17">
        <f>ROUND(VLOOKUP(H$91&amp;"_2",管理者用人口入力シート!BH:CE,J109,FALSE),0)</f>
        <v>928</v>
      </c>
      <c r="J109" s="2">
        <v>20</v>
      </c>
      <c r="K109" s="12"/>
      <c r="N109" s="2" t="s">
        <v>16</v>
      </c>
      <c r="O109" s="17">
        <f>ROUND(VLOOKUP(O$91&amp;"_1",管理者用人口入力シート!CO:DL,Q109,FALSE),0)</f>
        <v>573</v>
      </c>
      <c r="P109" s="17">
        <f>ROUND(VLOOKUP(O$91&amp;"_2",管理者用人口入力シート!CO:DL,Q109,FALSE),0)</f>
        <v>928</v>
      </c>
      <c r="Q109" s="2">
        <v>20</v>
      </c>
      <c r="T109" s="85"/>
    </row>
    <row r="110" spans="1:20" x14ac:dyDescent="0.15">
      <c r="G110" s="2" t="s">
        <v>17</v>
      </c>
      <c r="H110" s="17">
        <f>ROUND(VLOOKUP(H$91&amp;"_1",管理者用人口入力シート!BH:CE,J110,FALSE),0)</f>
        <v>339</v>
      </c>
      <c r="I110" s="17">
        <f>ROUND(VLOOKUP(H$91&amp;"_2",管理者用人口入力シート!BH:CE,J110,FALSE),0)</f>
        <v>531</v>
      </c>
      <c r="J110" s="2">
        <v>21</v>
      </c>
      <c r="K110" s="12"/>
      <c r="N110" s="2" t="s">
        <v>17</v>
      </c>
      <c r="O110" s="17">
        <f>ROUND(VLOOKUP(O$91&amp;"_1",管理者用人口入力シート!CO:DL,Q110,FALSE),0)</f>
        <v>339</v>
      </c>
      <c r="P110" s="17">
        <f>ROUND(VLOOKUP(O$91&amp;"_2",管理者用人口入力シート!CO:DL,Q110,FALSE),0)</f>
        <v>531</v>
      </c>
      <c r="Q110" s="2">
        <v>21</v>
      </c>
      <c r="T110" s="85"/>
    </row>
    <row r="111" spans="1:20" x14ac:dyDescent="0.15">
      <c r="G111" s="2" t="s">
        <v>18</v>
      </c>
      <c r="H111" s="17">
        <f>ROUND(VLOOKUP(H$91&amp;"_1",管理者用人口入力シート!BH:CE,J111,FALSE),0)</f>
        <v>140</v>
      </c>
      <c r="I111" s="17">
        <f>ROUND(VLOOKUP(H$91&amp;"_2",管理者用人口入力シート!BH:CE,J111,FALSE),0)</f>
        <v>339</v>
      </c>
      <c r="J111" s="2">
        <v>22</v>
      </c>
      <c r="K111" s="12"/>
      <c r="N111" s="2" t="s">
        <v>18</v>
      </c>
      <c r="O111" s="17">
        <f>ROUND(VLOOKUP(O$91&amp;"_1",管理者用人口入力シート!CO:DL,Q111,FALSE),0)</f>
        <v>140</v>
      </c>
      <c r="P111" s="17">
        <f>ROUND(VLOOKUP(O$91&amp;"_2",管理者用人口入力シート!CO:DL,Q111,FALSE),0)</f>
        <v>339</v>
      </c>
      <c r="Q111" s="2">
        <v>22</v>
      </c>
      <c r="T111" s="85"/>
    </row>
    <row r="112" spans="1:20" x14ac:dyDescent="0.15">
      <c r="G112" s="2" t="s">
        <v>19</v>
      </c>
      <c r="H112" s="17">
        <f>ROUND(VLOOKUP(H$91&amp;"_1",管理者用人口入力シート!BH:CE,J112,FALSE),0)</f>
        <v>51</v>
      </c>
      <c r="I112" s="17">
        <f>ROUND(VLOOKUP(H$91&amp;"_2",管理者用人口入力シート!BH:CE,J112,FALSE),0)</f>
        <v>192</v>
      </c>
      <c r="J112" s="2">
        <v>23</v>
      </c>
      <c r="K112" s="12"/>
      <c r="N112" s="2" t="s">
        <v>19</v>
      </c>
      <c r="O112" s="17">
        <f>ROUND(VLOOKUP(O$91&amp;"_1",管理者用人口入力シート!CO:DL,Q112,FALSE),0)</f>
        <v>51</v>
      </c>
      <c r="P112" s="17">
        <f>ROUND(VLOOKUP(O$91&amp;"_2",管理者用人口入力シート!CO:DL,Q112,FALSE),0)</f>
        <v>192</v>
      </c>
      <c r="Q112" s="2">
        <v>23</v>
      </c>
      <c r="T112" s="85"/>
    </row>
    <row r="113" spans="7:20" x14ac:dyDescent="0.15">
      <c r="G113" s="2" t="s">
        <v>20</v>
      </c>
      <c r="H113" s="17">
        <f>ROUND(VLOOKUP(H$91&amp;"_1",管理者用人口入力シート!BH:CE,J113,FALSE),0)</f>
        <v>13</v>
      </c>
      <c r="I113" s="17">
        <f>ROUND(VLOOKUP(H$91&amp;"_2",管理者用人口入力シート!BH:CE,J113,FALSE),0)</f>
        <v>48</v>
      </c>
      <c r="J113" s="2">
        <v>24</v>
      </c>
      <c r="K113" s="12"/>
      <c r="N113" s="2" t="s">
        <v>20</v>
      </c>
      <c r="O113" s="17">
        <f>ROUND(VLOOKUP(O$91&amp;"_1",管理者用人口入力シート!CO:DL,Q113,FALSE),0)</f>
        <v>13</v>
      </c>
      <c r="P113" s="17">
        <f>ROUND(VLOOKUP(O$91&amp;"_2",管理者用人口入力シート!CO:DL,Q113,FALSE),0)</f>
        <v>48</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461</v>
      </c>
      <c r="I117" s="17">
        <f>ROUND(VLOOKUP(H$115&amp;"_2",管理者用人口入力シート!BH:CE,J117,FALSE),0)</f>
        <v>427</v>
      </c>
      <c r="J117" s="2">
        <v>4</v>
      </c>
      <c r="N117" s="2" t="s">
        <v>0</v>
      </c>
      <c r="O117" s="17">
        <f>ROUND(VLOOKUP(O$115&amp;"_1",管理者用人口入力シート!CO:DL,Q117,FALSE),0)</f>
        <v>464</v>
      </c>
      <c r="P117" s="17">
        <f>ROUND(VLOOKUP(O$115&amp;"_2",管理者用人口入力シート!CO:DL,Q117,FALSE),0)</f>
        <v>430</v>
      </c>
      <c r="Q117" s="2">
        <v>4</v>
      </c>
      <c r="T117" s="85"/>
    </row>
    <row r="118" spans="7:20" x14ac:dyDescent="0.15">
      <c r="G118" s="2" t="s">
        <v>1</v>
      </c>
      <c r="H118" s="17">
        <f>ROUND(VLOOKUP(H$115&amp;"_1",管理者用人口入力シート!BH:CE,J118,FALSE),0)</f>
        <v>436</v>
      </c>
      <c r="I118" s="17">
        <f>ROUND(VLOOKUP(H$115&amp;"_2",管理者用人口入力シート!BH:CE,J118,FALSE),0)</f>
        <v>439</v>
      </c>
      <c r="J118" s="2">
        <v>5</v>
      </c>
      <c r="N118" s="2" t="s">
        <v>1</v>
      </c>
      <c r="O118" s="17">
        <f>ROUND(VLOOKUP(O$115&amp;"_1",管理者用人口入力シート!CO:DL,Q118,FALSE),0)</f>
        <v>438</v>
      </c>
      <c r="P118" s="17">
        <f>ROUND(VLOOKUP(O$115&amp;"_2",管理者用人口入力シート!CO:DL,Q118,FALSE),0)</f>
        <v>441</v>
      </c>
      <c r="Q118" s="2">
        <v>5</v>
      </c>
      <c r="T118" s="85"/>
    </row>
    <row r="119" spans="7:20" x14ac:dyDescent="0.15">
      <c r="G119" s="2" t="s">
        <v>2</v>
      </c>
      <c r="H119" s="17">
        <f>ROUND(VLOOKUP(H$115&amp;"_1",管理者用人口入力シート!BH:CE,J119,FALSE),0)</f>
        <v>509</v>
      </c>
      <c r="I119" s="17">
        <f>ROUND(VLOOKUP(H$115&amp;"_2",管理者用人口入力シート!BH:CE,J119,FALSE),0)</f>
        <v>459</v>
      </c>
      <c r="J119" s="2">
        <v>6</v>
      </c>
      <c r="N119" s="2" t="s">
        <v>2</v>
      </c>
      <c r="O119" s="17">
        <f>ROUND(VLOOKUP(O$115&amp;"_1",管理者用人口入力シート!CO:DL,Q119,FALSE),0)</f>
        <v>511</v>
      </c>
      <c r="P119" s="17">
        <f>ROUND(VLOOKUP(O$115&amp;"_2",管理者用人口入力シート!CO:DL,Q119,FALSE),0)</f>
        <v>461</v>
      </c>
      <c r="Q119" s="2">
        <v>6</v>
      </c>
      <c r="T119" s="85"/>
    </row>
    <row r="120" spans="7:20" x14ac:dyDescent="0.15">
      <c r="G120" s="2" t="s">
        <v>3</v>
      </c>
      <c r="H120" s="17">
        <f>ROUND(VLOOKUP(H$115&amp;"_1",管理者用人口入力シート!BH:CE,J120,FALSE),0)</f>
        <v>778</v>
      </c>
      <c r="I120" s="17">
        <f>ROUND(VLOOKUP(H$115&amp;"_2",管理者用人口入力シート!BH:CE,J120,FALSE),0)</f>
        <v>605</v>
      </c>
      <c r="J120" s="2">
        <v>7</v>
      </c>
      <c r="N120" s="2" t="s">
        <v>3</v>
      </c>
      <c r="O120" s="17">
        <f>ROUND(VLOOKUP(O$115&amp;"_1",管理者用人口入力シート!CO:DL,Q120,FALSE),0)</f>
        <v>779</v>
      </c>
      <c r="P120" s="17">
        <f>ROUND(VLOOKUP(O$115&amp;"_2",管理者用人口入力シート!CO:DL,Q120,FALSE),0)</f>
        <v>606</v>
      </c>
      <c r="Q120" s="2">
        <v>7</v>
      </c>
      <c r="T120" s="85"/>
    </row>
    <row r="121" spans="7:20" x14ac:dyDescent="0.15">
      <c r="G121" s="2" t="s">
        <v>4</v>
      </c>
      <c r="H121" s="17">
        <f>ROUND(VLOOKUP(H$115&amp;"_1",管理者用人口入力シート!BH:CE,J121,FALSE),0)</f>
        <v>394</v>
      </c>
      <c r="I121" s="17">
        <f>ROUND(VLOOKUP(H$115&amp;"_2",管理者用人口入力シート!BH:CE,J121,FALSE),0)</f>
        <v>467</v>
      </c>
      <c r="J121" s="2">
        <v>8</v>
      </c>
      <c r="N121" s="2" t="s">
        <v>4</v>
      </c>
      <c r="O121" s="17">
        <f>ROUND(VLOOKUP(O$115&amp;"_1",管理者用人口入力シート!CO:DL,Q121,FALSE),0)</f>
        <v>395</v>
      </c>
      <c r="P121" s="17">
        <f>ROUND(VLOOKUP(O$115&amp;"_2",管理者用人口入力シート!CO:DL,Q121,FALSE),0)</f>
        <v>468</v>
      </c>
      <c r="Q121" s="2">
        <v>8</v>
      </c>
      <c r="T121" s="85"/>
    </row>
    <row r="122" spans="7:20" x14ac:dyDescent="0.15">
      <c r="G122" s="2" t="s">
        <v>5</v>
      </c>
      <c r="H122" s="17">
        <f>ROUND(VLOOKUP(H$115&amp;"_1",管理者用人口入力シート!BH:CE,J122,FALSE),0)</f>
        <v>479</v>
      </c>
      <c r="I122" s="17">
        <f>ROUND(VLOOKUP(H$115&amp;"_2",管理者用人口入力シート!BH:CE,J122,FALSE),0)</f>
        <v>530</v>
      </c>
      <c r="J122" s="2">
        <v>9</v>
      </c>
      <c r="N122" s="2" t="s">
        <v>5</v>
      </c>
      <c r="O122" s="17">
        <f>ROUND(VLOOKUP(O$115&amp;"_1",管理者用人口入力シート!CO:DL,Q122,FALSE),0)</f>
        <v>481</v>
      </c>
      <c r="P122" s="17">
        <f>ROUND(VLOOKUP(O$115&amp;"_2",管理者用人口入力シート!CO:DL,Q122,FALSE),0)</f>
        <v>532</v>
      </c>
      <c r="Q122" s="2">
        <v>9</v>
      </c>
      <c r="T122" s="85"/>
    </row>
    <row r="123" spans="7:20" x14ac:dyDescent="0.15">
      <c r="G123" s="2" t="s">
        <v>6</v>
      </c>
      <c r="H123" s="17">
        <f>ROUND(VLOOKUP(H$115&amp;"_1",管理者用人口入力シート!BH:CE,J123,FALSE),0)</f>
        <v>421</v>
      </c>
      <c r="I123" s="17">
        <f>ROUND(VLOOKUP(H$115&amp;"_2",管理者用人口入力シート!BH:CE,J123,FALSE),0)</f>
        <v>478</v>
      </c>
      <c r="J123" s="2">
        <v>10</v>
      </c>
      <c r="N123" s="2" t="s">
        <v>6</v>
      </c>
      <c r="O123" s="17">
        <f>ROUND(VLOOKUP(O$115&amp;"_1",管理者用人口入力シート!CO:DL,Q123,FALSE),0)</f>
        <v>423</v>
      </c>
      <c r="P123" s="17">
        <f>ROUND(VLOOKUP(O$115&amp;"_2",管理者用人口入力シート!CO:DL,Q123,FALSE),0)</f>
        <v>480</v>
      </c>
      <c r="Q123" s="2">
        <v>10</v>
      </c>
      <c r="T123" s="85"/>
    </row>
    <row r="124" spans="7:20" x14ac:dyDescent="0.15">
      <c r="G124" s="2" t="s">
        <v>7</v>
      </c>
      <c r="H124" s="17">
        <f>ROUND(VLOOKUP(H$115&amp;"_1",管理者用人口入力シート!BH:CE,J124,FALSE),0)</f>
        <v>427</v>
      </c>
      <c r="I124" s="17">
        <f>ROUND(VLOOKUP(H$115&amp;"_2",管理者用人口入力シート!BH:CE,J124,FALSE),0)</f>
        <v>479</v>
      </c>
      <c r="J124" s="2">
        <v>11</v>
      </c>
      <c r="N124" s="2" t="s">
        <v>7</v>
      </c>
      <c r="O124" s="17">
        <f>ROUND(VLOOKUP(O$115&amp;"_1",管理者用人口入力シート!CO:DL,Q124,FALSE),0)</f>
        <v>429</v>
      </c>
      <c r="P124" s="17">
        <f>ROUND(VLOOKUP(O$115&amp;"_2",管理者用人口入力シート!CO:DL,Q124,FALSE),0)</f>
        <v>481</v>
      </c>
      <c r="Q124" s="2">
        <v>11</v>
      </c>
      <c r="T124" s="85"/>
    </row>
    <row r="125" spans="7:20" x14ac:dyDescent="0.15">
      <c r="G125" s="2" t="s">
        <v>8</v>
      </c>
      <c r="H125" s="17">
        <f>ROUND(VLOOKUP(H$115&amp;"_1",管理者用人口入力シート!BH:CE,J125,FALSE),0)</f>
        <v>424</v>
      </c>
      <c r="I125" s="17">
        <f>ROUND(VLOOKUP(H$115&amp;"_2",管理者用人口入力シート!BH:CE,J125,FALSE),0)</f>
        <v>463</v>
      </c>
      <c r="J125" s="2">
        <v>12</v>
      </c>
      <c r="N125" s="2" t="s">
        <v>8</v>
      </c>
      <c r="O125" s="17">
        <f>ROUND(VLOOKUP(O$115&amp;"_1",管理者用人口入力シート!CO:DL,Q125,FALSE),0)</f>
        <v>424</v>
      </c>
      <c r="P125" s="17">
        <f>ROUND(VLOOKUP(O$115&amp;"_2",管理者用人口入力シート!CO:DL,Q125,FALSE),0)</f>
        <v>464</v>
      </c>
      <c r="Q125" s="2">
        <v>12</v>
      </c>
      <c r="T125" s="85"/>
    </row>
    <row r="126" spans="7:20" x14ac:dyDescent="0.15">
      <c r="G126" s="2" t="s">
        <v>9</v>
      </c>
      <c r="H126" s="17">
        <f>ROUND(VLOOKUP(H$115&amp;"_1",管理者用人口入力シート!BH:CE,J126,FALSE),0)</f>
        <v>528</v>
      </c>
      <c r="I126" s="17">
        <f>ROUND(VLOOKUP(H$115&amp;"_2",管理者用人口入力シート!BH:CE,J126,FALSE),0)</f>
        <v>588</v>
      </c>
      <c r="J126" s="2">
        <v>13</v>
      </c>
      <c r="N126" s="2" t="s">
        <v>9</v>
      </c>
      <c r="O126" s="17">
        <f>ROUND(VLOOKUP(O$115&amp;"_1",管理者用人口入力シート!CO:DL,Q126,FALSE),0)</f>
        <v>528</v>
      </c>
      <c r="P126" s="17">
        <f>ROUND(VLOOKUP(O$115&amp;"_2",管理者用人口入力シート!CO:DL,Q126,FALSE),0)</f>
        <v>589</v>
      </c>
      <c r="Q126" s="2">
        <v>13</v>
      </c>
      <c r="T126" s="85"/>
    </row>
    <row r="127" spans="7:20" x14ac:dyDescent="0.15">
      <c r="G127" s="2" t="s">
        <v>10</v>
      </c>
      <c r="H127" s="17">
        <f>ROUND(VLOOKUP(H$115&amp;"_1",管理者用人口入力シート!BH:CE,J127,FALSE),0)</f>
        <v>705</v>
      </c>
      <c r="I127" s="17">
        <f>ROUND(VLOOKUP(H$115&amp;"_2",管理者用人口入力シート!BH:CE,J127,FALSE),0)</f>
        <v>729</v>
      </c>
      <c r="J127" s="2">
        <v>14</v>
      </c>
      <c r="N127" s="2" t="s">
        <v>10</v>
      </c>
      <c r="O127" s="17">
        <f>ROUND(VLOOKUP(O$115&amp;"_1",管理者用人口入力シート!CO:DL,Q127,FALSE),0)</f>
        <v>705</v>
      </c>
      <c r="P127" s="17">
        <f>ROUND(VLOOKUP(O$115&amp;"_2",管理者用人口入力シート!CO:DL,Q127,FALSE),0)</f>
        <v>731</v>
      </c>
      <c r="Q127" s="2">
        <v>14</v>
      </c>
      <c r="T127" s="85"/>
    </row>
    <row r="128" spans="7:20" x14ac:dyDescent="0.15">
      <c r="G128" s="2" t="s">
        <v>11</v>
      </c>
      <c r="H128" s="17">
        <f>ROUND(VLOOKUP(H$115&amp;"_1",管理者用人口入力シート!BH:CE,J128,FALSE),0)</f>
        <v>753</v>
      </c>
      <c r="I128" s="17">
        <f>ROUND(VLOOKUP(H$115&amp;"_2",管理者用人口入力シート!BH:CE,J128,FALSE),0)</f>
        <v>879</v>
      </c>
      <c r="J128" s="2">
        <v>15</v>
      </c>
      <c r="N128" s="2" t="s">
        <v>11</v>
      </c>
      <c r="O128" s="17">
        <f>ROUND(VLOOKUP(O$115&amp;"_1",管理者用人口入力シート!CO:DL,Q128,FALSE),0)</f>
        <v>753</v>
      </c>
      <c r="P128" s="17">
        <f>ROUND(VLOOKUP(O$115&amp;"_2",管理者用人口入力シート!CO:DL,Q128,FALSE),0)</f>
        <v>879</v>
      </c>
      <c r="Q128" s="2">
        <v>15</v>
      </c>
      <c r="T128" s="85"/>
    </row>
    <row r="129" spans="7:20" x14ac:dyDescent="0.15">
      <c r="G129" s="2" t="s">
        <v>12</v>
      </c>
      <c r="H129" s="17">
        <f>ROUND(VLOOKUP(H$115&amp;"_1",管理者用人口入力シート!BH:CE,J129,FALSE),0)</f>
        <v>809</v>
      </c>
      <c r="I129" s="17">
        <f>ROUND(VLOOKUP(H$115&amp;"_2",管理者用人口入力シート!BH:CE,J129,FALSE),0)</f>
        <v>886</v>
      </c>
      <c r="J129" s="2">
        <v>16</v>
      </c>
      <c r="N129" s="2" t="s">
        <v>12</v>
      </c>
      <c r="O129" s="17">
        <f>ROUND(VLOOKUP(O$115&amp;"_1",管理者用人口入力シート!CO:DL,Q129,FALSE),0)</f>
        <v>809</v>
      </c>
      <c r="P129" s="17">
        <f>ROUND(VLOOKUP(O$115&amp;"_2",管理者用人口入力シート!CO:DL,Q129,FALSE),0)</f>
        <v>886</v>
      </c>
      <c r="Q129" s="2">
        <v>16</v>
      </c>
      <c r="T129" s="85"/>
    </row>
    <row r="130" spans="7:20" x14ac:dyDescent="0.15">
      <c r="G130" s="2" t="s">
        <v>13</v>
      </c>
      <c r="H130" s="17">
        <f>ROUND(VLOOKUP(H$115&amp;"_1",管理者用人口入力シート!BH:CE,J130,FALSE),0)</f>
        <v>573</v>
      </c>
      <c r="I130" s="17">
        <f>ROUND(VLOOKUP(H$115&amp;"_2",管理者用人口入力シート!BH:CE,J130,FALSE),0)</f>
        <v>613</v>
      </c>
      <c r="J130" s="2">
        <v>17</v>
      </c>
      <c r="N130" s="2" t="s">
        <v>13</v>
      </c>
      <c r="O130" s="17">
        <f>ROUND(VLOOKUP(O$115&amp;"_1",管理者用人口入力シート!CO:DL,Q130,FALSE),0)</f>
        <v>573</v>
      </c>
      <c r="P130" s="17">
        <f>ROUND(VLOOKUP(O$115&amp;"_2",管理者用人口入力シート!CO:DL,Q130,FALSE),0)</f>
        <v>613</v>
      </c>
      <c r="Q130" s="2">
        <v>17</v>
      </c>
      <c r="T130" s="85"/>
    </row>
    <row r="131" spans="7:20" x14ac:dyDescent="0.15">
      <c r="G131" s="2" t="s">
        <v>14</v>
      </c>
      <c r="H131" s="17">
        <f>ROUND(VLOOKUP(H$115&amp;"_1",管理者用人口入力シート!BH:CE,J131,FALSE),0)</f>
        <v>459</v>
      </c>
      <c r="I131" s="17">
        <f>ROUND(VLOOKUP(H$115&amp;"_2",管理者用人口入力シート!BH:CE,J131,FALSE),0)</f>
        <v>578</v>
      </c>
      <c r="J131" s="2">
        <v>18</v>
      </c>
      <c r="N131" s="2" t="s">
        <v>14</v>
      </c>
      <c r="O131" s="17">
        <f>ROUND(VLOOKUP(O$115&amp;"_1",管理者用人口入力シート!CO:DL,Q131,FALSE),0)</f>
        <v>459</v>
      </c>
      <c r="P131" s="17">
        <f>ROUND(VLOOKUP(O$115&amp;"_2",管理者用人口入力シート!CO:DL,Q131,FALSE),0)</f>
        <v>578</v>
      </c>
      <c r="Q131" s="2">
        <v>18</v>
      </c>
      <c r="T131" s="85"/>
    </row>
    <row r="132" spans="7:20" x14ac:dyDescent="0.15">
      <c r="G132" s="2" t="s">
        <v>15</v>
      </c>
      <c r="H132" s="17">
        <f>ROUND(VLOOKUP(H$115&amp;"_1",管理者用人口入力シート!BH:CE,J132,FALSE),0)</f>
        <v>508</v>
      </c>
      <c r="I132" s="17">
        <f>ROUND(VLOOKUP(H$115&amp;"_2",管理者用人口入力シート!BH:CE,J132,FALSE),0)</f>
        <v>667</v>
      </c>
      <c r="J132" s="2">
        <v>19</v>
      </c>
      <c r="N132" s="2" t="s">
        <v>15</v>
      </c>
      <c r="O132" s="17">
        <f>ROUND(VLOOKUP(O$115&amp;"_1",管理者用人口入力シート!CO:DL,Q132,FALSE),0)</f>
        <v>508</v>
      </c>
      <c r="P132" s="17">
        <f>ROUND(VLOOKUP(O$115&amp;"_2",管理者用人口入力シート!CO:DL,Q132,FALSE),0)</f>
        <v>667</v>
      </c>
      <c r="Q132" s="2">
        <v>19</v>
      </c>
      <c r="T132" s="85"/>
    </row>
    <row r="133" spans="7:20" x14ac:dyDescent="0.15">
      <c r="G133" s="2" t="s">
        <v>16</v>
      </c>
      <c r="H133" s="17">
        <f>ROUND(VLOOKUP(H$115&amp;"_1",管理者用人口入力シート!BH:CE,J133,FALSE),0)</f>
        <v>544</v>
      </c>
      <c r="I133" s="17">
        <f>ROUND(VLOOKUP(H$115&amp;"_2",管理者用人口入力シート!BH:CE,J133,FALSE),0)</f>
        <v>806</v>
      </c>
      <c r="J133" s="2">
        <v>20</v>
      </c>
      <c r="N133" s="2" t="s">
        <v>16</v>
      </c>
      <c r="O133" s="17">
        <f>ROUND(VLOOKUP(O$115&amp;"_1",管理者用人口入力シート!CO:DL,Q133,FALSE),0)</f>
        <v>544</v>
      </c>
      <c r="P133" s="17">
        <f>ROUND(VLOOKUP(O$115&amp;"_2",管理者用人口入力シート!CO:DL,Q133,FALSE),0)</f>
        <v>806</v>
      </c>
      <c r="Q133" s="2">
        <v>20</v>
      </c>
      <c r="T133" s="85"/>
    </row>
    <row r="134" spans="7:20" x14ac:dyDescent="0.15">
      <c r="G134" s="2" t="s">
        <v>17</v>
      </c>
      <c r="H134" s="17">
        <f>ROUND(VLOOKUP(H$115&amp;"_1",管理者用人口入力シート!BH:CE,J134,FALSE),0)</f>
        <v>424</v>
      </c>
      <c r="I134" s="17">
        <f>ROUND(VLOOKUP(H$115&amp;"_2",管理者用人口入力シート!BH:CE,J134,FALSE),0)</f>
        <v>844</v>
      </c>
      <c r="J134" s="2">
        <v>21</v>
      </c>
      <c r="N134" s="2" t="s">
        <v>17</v>
      </c>
      <c r="O134" s="17">
        <f>ROUND(VLOOKUP(O$115&amp;"_1",管理者用人口入力シート!CO:DL,Q134,FALSE),0)</f>
        <v>424</v>
      </c>
      <c r="P134" s="17">
        <f>ROUND(VLOOKUP(O$115&amp;"_2",管理者用人口入力シート!CO:DL,Q134,FALSE),0)</f>
        <v>844</v>
      </c>
      <c r="Q134" s="2">
        <v>21</v>
      </c>
      <c r="T134" s="85"/>
    </row>
    <row r="135" spans="7:20" x14ac:dyDescent="0.15">
      <c r="G135" s="2" t="s">
        <v>18</v>
      </c>
      <c r="H135" s="17">
        <f>ROUND(VLOOKUP(H$115&amp;"_1",管理者用人口入力シート!BH:CE,J135,FALSE),0)</f>
        <v>191</v>
      </c>
      <c r="I135" s="17">
        <f>ROUND(VLOOKUP(H$115&amp;"_2",管理者用人口入力シート!BH:CE,J135,FALSE),0)</f>
        <v>410</v>
      </c>
      <c r="J135" s="2">
        <v>22</v>
      </c>
      <c r="N135" s="2" t="s">
        <v>18</v>
      </c>
      <c r="O135" s="17">
        <f>ROUND(VLOOKUP(O$115&amp;"_1",管理者用人口入力シート!CO:DL,Q135,FALSE),0)</f>
        <v>191</v>
      </c>
      <c r="P135" s="17">
        <f>ROUND(VLOOKUP(O$115&amp;"_2",管理者用人口入力シート!CO:DL,Q135,FALSE),0)</f>
        <v>410</v>
      </c>
      <c r="Q135" s="2">
        <v>22</v>
      </c>
      <c r="T135" s="85"/>
    </row>
    <row r="136" spans="7:20" x14ac:dyDescent="0.15">
      <c r="G136" s="2" t="s">
        <v>19</v>
      </c>
      <c r="H136" s="17">
        <f>ROUND(VLOOKUP(H$115&amp;"_1",管理者用人口入力シート!BH:CE,J136,FALSE),0)</f>
        <v>57</v>
      </c>
      <c r="I136" s="17">
        <f>ROUND(VLOOKUP(H$115&amp;"_2",管理者用人口入力シート!BH:CE,J136,FALSE),0)</f>
        <v>187</v>
      </c>
      <c r="J136" s="2">
        <v>23</v>
      </c>
      <c r="N136" s="2" t="s">
        <v>19</v>
      </c>
      <c r="O136" s="17">
        <f>ROUND(VLOOKUP(O$115&amp;"_1",管理者用人口入力シート!CO:DL,Q136,FALSE),0)</f>
        <v>57</v>
      </c>
      <c r="P136" s="17">
        <f>ROUND(VLOOKUP(O$115&amp;"_2",管理者用人口入力シート!CO:DL,Q136,FALSE),0)</f>
        <v>187</v>
      </c>
      <c r="Q136" s="2">
        <v>23</v>
      </c>
      <c r="T136" s="85"/>
    </row>
    <row r="137" spans="7:20" x14ac:dyDescent="0.15">
      <c r="G137" s="2" t="s">
        <v>20</v>
      </c>
      <c r="H137" s="17">
        <f>ROUND(VLOOKUP(H$115&amp;"_1",管理者用人口入力シート!BH:CE,J137,FALSE),0)</f>
        <v>15</v>
      </c>
      <c r="I137" s="17">
        <f>ROUND(VLOOKUP(H$115&amp;"_2",管理者用人口入力シート!BH:CE,J137,FALSE),0)</f>
        <v>55</v>
      </c>
      <c r="J137" s="2">
        <v>24</v>
      </c>
      <c r="N137" s="2" t="s">
        <v>20</v>
      </c>
      <c r="O137" s="17">
        <f>ROUND(VLOOKUP(O$115&amp;"_1",管理者用人口入力シート!CO:DL,Q137,FALSE),0)</f>
        <v>15</v>
      </c>
      <c r="P137" s="17">
        <f>ROUND(VLOOKUP(O$115&amp;"_2",管理者用人口入力シート!CO:DL,Q137,FALSE),0)</f>
        <v>55</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462</v>
      </c>
      <c r="I141" s="17">
        <f>ROUND(VLOOKUP(H$139&amp;"_2",管理者用人口入力シート!BH:CE,J141,FALSE),0)</f>
        <v>428</v>
      </c>
      <c r="J141" s="2">
        <v>4</v>
      </c>
      <c r="N141" s="2" t="s">
        <v>0</v>
      </c>
      <c r="O141" s="17">
        <f>ROUND(VLOOKUP(O$139&amp;"_1",管理者用人口入力シート!CO:DL,Q141,FALSE),0)</f>
        <v>465</v>
      </c>
      <c r="P141" s="17">
        <f>ROUND(VLOOKUP(O$139&amp;"_2",管理者用人口入力シート!CO:DL,Q141,FALSE),0)</f>
        <v>431</v>
      </c>
      <c r="Q141" s="2">
        <v>4</v>
      </c>
    </row>
    <row r="142" spans="7:20" x14ac:dyDescent="0.15">
      <c r="G142" s="2" t="s">
        <v>1</v>
      </c>
      <c r="H142" s="17">
        <f>ROUND(VLOOKUP(H$139&amp;"_1",管理者用人口入力シート!BH:CE,J142,FALSE),0)</f>
        <v>453</v>
      </c>
      <c r="I142" s="17">
        <f>ROUND(VLOOKUP(H$139&amp;"_2",管理者用人口入力シート!BH:CE,J142,FALSE),0)</f>
        <v>457</v>
      </c>
      <c r="J142" s="2">
        <v>5</v>
      </c>
      <c r="N142" s="2" t="s">
        <v>1</v>
      </c>
      <c r="O142" s="17">
        <f>ROUND(VLOOKUP(O$139&amp;"_1",管理者用人口入力シート!CO:DL,Q142,FALSE),0)</f>
        <v>456</v>
      </c>
      <c r="P142" s="17">
        <f>ROUND(VLOOKUP(O$139&amp;"_2",管理者用人口入力シート!CO:DL,Q142,FALSE),0)</f>
        <v>460</v>
      </c>
      <c r="Q142" s="2">
        <v>5</v>
      </c>
    </row>
    <row r="143" spans="7:20" x14ac:dyDescent="0.15">
      <c r="G143" s="2" t="s">
        <v>2</v>
      </c>
      <c r="H143" s="17">
        <f>ROUND(VLOOKUP(H$139&amp;"_1",管理者用人口入力シート!BH:CE,J143,FALSE),0)</f>
        <v>508</v>
      </c>
      <c r="I143" s="17">
        <f>ROUND(VLOOKUP(H$139&amp;"_2",管理者用人口入力シート!BH:CE,J143,FALSE),0)</f>
        <v>458</v>
      </c>
      <c r="J143" s="2">
        <v>6</v>
      </c>
      <c r="N143" s="2" t="s">
        <v>2</v>
      </c>
      <c r="O143" s="17">
        <f>ROUND(VLOOKUP(O$139&amp;"_1",管理者用人口入力シート!CO:DL,Q143,FALSE),0)</f>
        <v>511</v>
      </c>
      <c r="P143" s="17">
        <f>ROUND(VLOOKUP(O$139&amp;"_2",管理者用人口入力シート!CO:DL,Q143,FALSE),0)</f>
        <v>461</v>
      </c>
      <c r="Q143" s="2">
        <v>6</v>
      </c>
    </row>
    <row r="144" spans="7:20" x14ac:dyDescent="0.15">
      <c r="G144" s="2" t="s">
        <v>3</v>
      </c>
      <c r="H144" s="17">
        <f>ROUND(VLOOKUP(H$139&amp;"_1",管理者用人口入力シート!BH:CE,J144,FALSE),0)</f>
        <v>703</v>
      </c>
      <c r="I144" s="17">
        <f>ROUND(VLOOKUP(H$139&amp;"_2",管理者用人口入力シート!BH:CE,J144,FALSE),0)</f>
        <v>546</v>
      </c>
      <c r="J144" s="2">
        <v>7</v>
      </c>
      <c r="N144" s="2" t="s">
        <v>3</v>
      </c>
      <c r="O144" s="17">
        <f>ROUND(VLOOKUP(O$139&amp;"_1",管理者用人口入力シート!CO:DL,Q144,FALSE),0)</f>
        <v>706</v>
      </c>
      <c r="P144" s="17">
        <f>ROUND(VLOOKUP(O$139&amp;"_2",管理者用人口入力シート!CO:DL,Q144,FALSE),0)</f>
        <v>549</v>
      </c>
      <c r="Q144" s="2">
        <v>7</v>
      </c>
    </row>
    <row r="145" spans="7:17" x14ac:dyDescent="0.15">
      <c r="G145" s="2" t="s">
        <v>4</v>
      </c>
      <c r="H145" s="17">
        <f>ROUND(VLOOKUP(H$139&amp;"_1",管理者用人口入力シート!BH:CE,J145,FALSE),0)</f>
        <v>332</v>
      </c>
      <c r="I145" s="17">
        <f>ROUND(VLOOKUP(H$139&amp;"_2",管理者用人口入力シート!BH:CE,J145,FALSE),0)</f>
        <v>408</v>
      </c>
      <c r="J145" s="2">
        <v>8</v>
      </c>
      <c r="N145" s="2" t="s">
        <v>4</v>
      </c>
      <c r="O145" s="17">
        <f>ROUND(VLOOKUP(O$139&amp;"_1",管理者用人口入力シート!CO:DL,Q145,FALSE),0)</f>
        <v>333</v>
      </c>
      <c r="P145" s="17">
        <f>ROUND(VLOOKUP(O$139&amp;"_2",管理者用人口入力シート!CO:DL,Q145,FALSE),0)</f>
        <v>409</v>
      </c>
      <c r="Q145" s="2">
        <v>8</v>
      </c>
    </row>
    <row r="146" spans="7:17" x14ac:dyDescent="0.15">
      <c r="G146" s="2" t="s">
        <v>5</v>
      </c>
      <c r="H146" s="17">
        <f>ROUND(VLOOKUP(H$139&amp;"_1",管理者用人口入力シート!BH:CE,J146,FALSE),0)</f>
        <v>466</v>
      </c>
      <c r="I146" s="17">
        <f>ROUND(VLOOKUP(H$139&amp;"_2",管理者用人口入力シート!BH:CE,J146,FALSE),0)</f>
        <v>496</v>
      </c>
      <c r="J146" s="2">
        <v>9</v>
      </c>
      <c r="N146" s="2" t="s">
        <v>5</v>
      </c>
      <c r="O146" s="17">
        <f>ROUND(VLOOKUP(O$139&amp;"_1",管理者用人口入力シート!CO:DL,Q146,FALSE),0)</f>
        <v>468</v>
      </c>
      <c r="P146" s="17">
        <f>ROUND(VLOOKUP(O$139&amp;"_2",管理者用人口入力シート!CO:DL,Q146,FALSE),0)</f>
        <v>498</v>
      </c>
      <c r="Q146" s="2">
        <v>9</v>
      </c>
    </row>
    <row r="147" spans="7:17" x14ac:dyDescent="0.15">
      <c r="G147" s="2" t="s">
        <v>6</v>
      </c>
      <c r="H147" s="17">
        <f>ROUND(VLOOKUP(H$139&amp;"_1",管理者用人口入力シート!BH:CE,J147,FALSE),0)</f>
        <v>503</v>
      </c>
      <c r="I147" s="17">
        <f>ROUND(VLOOKUP(H$139&amp;"_2",管理者用人口入力シート!BH:CE,J147,FALSE),0)</f>
        <v>553</v>
      </c>
      <c r="J147" s="2">
        <v>10</v>
      </c>
      <c r="N147" s="2" t="s">
        <v>6</v>
      </c>
      <c r="O147" s="17">
        <f>ROUND(VLOOKUP(O$139&amp;"_1",管理者用人口入力シート!CO:DL,Q147,FALSE),0)</f>
        <v>505</v>
      </c>
      <c r="P147" s="17">
        <f>ROUND(VLOOKUP(O$139&amp;"_2",管理者用人口入力シート!CO:DL,Q147,FALSE),0)</f>
        <v>555</v>
      </c>
      <c r="Q147" s="2">
        <v>10</v>
      </c>
    </row>
    <row r="148" spans="7:17" x14ac:dyDescent="0.15">
      <c r="G148" s="2" t="s">
        <v>7</v>
      </c>
      <c r="H148" s="17">
        <f>ROUND(VLOOKUP(H$139&amp;"_1",管理者用人口入力シート!BH:CE,J148,FALSE),0)</f>
        <v>464</v>
      </c>
      <c r="I148" s="17">
        <f>ROUND(VLOOKUP(H$139&amp;"_2",管理者用人口入力シート!BH:CE,J148,FALSE),0)</f>
        <v>503</v>
      </c>
      <c r="J148" s="2">
        <v>11</v>
      </c>
      <c r="N148" s="2" t="s">
        <v>7</v>
      </c>
      <c r="O148" s="17">
        <f>ROUND(VLOOKUP(O$139&amp;"_1",管理者用人口入力シート!CO:DL,Q148,FALSE),0)</f>
        <v>466</v>
      </c>
      <c r="P148" s="17">
        <f>ROUND(VLOOKUP(O$139&amp;"_2",管理者用人口入力シート!CO:DL,Q148,FALSE),0)</f>
        <v>505</v>
      </c>
      <c r="Q148" s="2">
        <v>11</v>
      </c>
    </row>
    <row r="149" spans="7:17" x14ac:dyDescent="0.15">
      <c r="G149" s="2" t="s">
        <v>8</v>
      </c>
      <c r="H149" s="17">
        <f>ROUND(VLOOKUP(H$139&amp;"_1",管理者用人口入力シート!BH:CE,J149,FALSE),0)</f>
        <v>430</v>
      </c>
      <c r="I149" s="17">
        <f>ROUND(VLOOKUP(H$139&amp;"_2",管理者用人口入力シート!BH:CE,J149,FALSE),0)</f>
        <v>477</v>
      </c>
      <c r="J149" s="2">
        <v>12</v>
      </c>
      <c r="N149" s="2" t="s">
        <v>8</v>
      </c>
      <c r="O149" s="17">
        <f>ROUND(VLOOKUP(O$139&amp;"_1",管理者用人口入力シート!CO:DL,Q149,FALSE),0)</f>
        <v>432</v>
      </c>
      <c r="P149" s="17">
        <f>ROUND(VLOOKUP(O$139&amp;"_2",管理者用人口入力シート!CO:DL,Q149,FALSE),0)</f>
        <v>480</v>
      </c>
      <c r="Q149" s="2">
        <v>12</v>
      </c>
    </row>
    <row r="150" spans="7:17" x14ac:dyDescent="0.15">
      <c r="G150" s="2" t="s">
        <v>9</v>
      </c>
      <c r="H150" s="17">
        <f>ROUND(VLOOKUP(H$139&amp;"_1",管理者用人口入力シート!BH:CE,J150,FALSE),0)</f>
        <v>420</v>
      </c>
      <c r="I150" s="17">
        <f>ROUND(VLOOKUP(H$139&amp;"_2",管理者用人口入力シート!BH:CE,J150,FALSE),0)</f>
        <v>480</v>
      </c>
      <c r="J150" s="2">
        <v>13</v>
      </c>
      <c r="N150" s="2" t="s">
        <v>9</v>
      </c>
      <c r="O150" s="17">
        <f>ROUND(VLOOKUP(O$139&amp;"_1",管理者用人口入力シート!CO:DL,Q150,FALSE),0)</f>
        <v>420</v>
      </c>
      <c r="P150" s="17">
        <f>ROUND(VLOOKUP(O$139&amp;"_2",管理者用人口入力シート!CO:DL,Q150,FALSE),0)</f>
        <v>481</v>
      </c>
      <c r="Q150" s="2">
        <v>13</v>
      </c>
    </row>
    <row r="151" spans="7:17" x14ac:dyDescent="0.15">
      <c r="G151" s="2" t="s">
        <v>10</v>
      </c>
      <c r="H151" s="17">
        <f>ROUND(VLOOKUP(H$139&amp;"_1",管理者用人口入力シート!BH:CE,J151,FALSE),0)</f>
        <v>531</v>
      </c>
      <c r="I151" s="17">
        <f>ROUND(VLOOKUP(H$139&amp;"_2",管理者用人口入力シート!BH:CE,J151,FALSE),0)</f>
        <v>591</v>
      </c>
      <c r="J151" s="2">
        <v>14</v>
      </c>
      <c r="N151" s="2" t="s">
        <v>10</v>
      </c>
      <c r="O151" s="17">
        <f>ROUND(VLOOKUP(O$139&amp;"_1",管理者用人口入力シート!CO:DL,Q151,FALSE),0)</f>
        <v>531</v>
      </c>
      <c r="P151" s="17">
        <f>ROUND(VLOOKUP(O$139&amp;"_2",管理者用人口入力シート!CO:DL,Q151,FALSE),0)</f>
        <v>592</v>
      </c>
      <c r="Q151" s="2">
        <v>14</v>
      </c>
    </row>
    <row r="152" spans="7:17" x14ac:dyDescent="0.15">
      <c r="G152" s="2" t="s">
        <v>11</v>
      </c>
      <c r="H152" s="17">
        <f>ROUND(VLOOKUP(H$139&amp;"_1",管理者用人口入力シート!BH:CE,J152,FALSE),0)</f>
        <v>712</v>
      </c>
      <c r="I152" s="17">
        <f>ROUND(VLOOKUP(H$139&amp;"_2",管理者用人口入力シート!BH:CE,J152,FALSE),0)</f>
        <v>747</v>
      </c>
      <c r="J152" s="2">
        <v>15</v>
      </c>
      <c r="N152" s="2" t="s">
        <v>11</v>
      </c>
      <c r="O152" s="17">
        <f>ROUND(VLOOKUP(O$139&amp;"_1",管理者用人口入力シート!CO:DL,Q152,FALSE),0)</f>
        <v>712</v>
      </c>
      <c r="P152" s="17">
        <f>ROUND(VLOOKUP(O$139&amp;"_2",管理者用人口入力シート!CO:DL,Q152,FALSE),0)</f>
        <v>748</v>
      </c>
      <c r="Q152" s="2">
        <v>15</v>
      </c>
    </row>
    <row r="153" spans="7:17" x14ac:dyDescent="0.15">
      <c r="G153" s="2" t="s">
        <v>12</v>
      </c>
      <c r="H153" s="17">
        <f>ROUND(VLOOKUP(H$139&amp;"_1",管理者用人口入力シート!BH:CE,J153,FALSE),0)</f>
        <v>734</v>
      </c>
      <c r="I153" s="17">
        <f>ROUND(VLOOKUP(H$139&amp;"_2",管理者用人口入力シート!BH:CE,J153,FALSE),0)</f>
        <v>859</v>
      </c>
      <c r="J153" s="2">
        <v>16</v>
      </c>
      <c r="N153" s="2" t="s">
        <v>12</v>
      </c>
      <c r="O153" s="17">
        <f>ROUND(VLOOKUP(O$139&amp;"_1",管理者用人口入力シート!CO:DL,Q153,FALSE),0)</f>
        <v>734</v>
      </c>
      <c r="P153" s="17">
        <f>ROUND(VLOOKUP(O$139&amp;"_2",管理者用人口入力シート!CO:DL,Q153,FALSE),0)</f>
        <v>859</v>
      </c>
      <c r="Q153" s="2">
        <v>16</v>
      </c>
    </row>
    <row r="154" spans="7:17" x14ac:dyDescent="0.15">
      <c r="G154" s="2" t="s">
        <v>13</v>
      </c>
      <c r="H154" s="17">
        <f>ROUND(VLOOKUP(H$139&amp;"_1",管理者用人口入力シート!BH:CE,J154,FALSE),0)</f>
        <v>809</v>
      </c>
      <c r="I154" s="17">
        <f>ROUND(VLOOKUP(H$139&amp;"_2",管理者用人口入力シート!BH:CE,J154,FALSE),0)</f>
        <v>863</v>
      </c>
      <c r="J154" s="2">
        <v>17</v>
      </c>
      <c r="N154" s="2" t="s">
        <v>13</v>
      </c>
      <c r="O154" s="17">
        <f>ROUND(VLOOKUP(O$139&amp;"_1",管理者用人口入力シート!CO:DL,Q154,FALSE),0)</f>
        <v>809</v>
      </c>
      <c r="P154" s="17">
        <f>ROUND(VLOOKUP(O$139&amp;"_2",管理者用人口入力シート!CO:DL,Q154,FALSE),0)</f>
        <v>863</v>
      </c>
      <c r="Q154" s="2">
        <v>17</v>
      </c>
    </row>
    <row r="155" spans="7:17" x14ac:dyDescent="0.15">
      <c r="G155" s="2" t="s">
        <v>14</v>
      </c>
      <c r="H155" s="17">
        <f>ROUND(VLOOKUP(H$139&amp;"_1",管理者用人口入力シート!BH:CE,J155,FALSE),0)</f>
        <v>526</v>
      </c>
      <c r="I155" s="17">
        <f>ROUND(VLOOKUP(H$139&amp;"_2",管理者用人口入力シート!BH:CE,J155,FALSE),0)</f>
        <v>609</v>
      </c>
      <c r="J155" s="2">
        <v>18</v>
      </c>
      <c r="N155" s="2" t="s">
        <v>14</v>
      </c>
      <c r="O155" s="17">
        <f>ROUND(VLOOKUP(O$139&amp;"_1",管理者用人口入力シート!CO:DL,Q155,FALSE),0)</f>
        <v>526</v>
      </c>
      <c r="P155" s="17">
        <f>ROUND(VLOOKUP(O$139&amp;"_2",管理者用人口入力シート!CO:DL,Q155,FALSE),0)</f>
        <v>609</v>
      </c>
      <c r="Q155" s="2">
        <v>18</v>
      </c>
    </row>
    <row r="156" spans="7:17" x14ac:dyDescent="0.15">
      <c r="G156" s="2" t="s">
        <v>15</v>
      </c>
      <c r="H156" s="17">
        <f>ROUND(VLOOKUP(H$139&amp;"_1",管理者用人口入力シート!BH:CE,J156,FALSE),0)</f>
        <v>426</v>
      </c>
      <c r="I156" s="17">
        <f>ROUND(VLOOKUP(H$139&amp;"_2",管理者用人口入力シート!BH:CE,J156,FALSE),0)</f>
        <v>588</v>
      </c>
      <c r="J156" s="2">
        <v>19</v>
      </c>
      <c r="N156" s="2" t="s">
        <v>15</v>
      </c>
      <c r="O156" s="17">
        <f>ROUND(VLOOKUP(O$139&amp;"_1",管理者用人口入力シート!CO:DL,Q156,FALSE),0)</f>
        <v>426</v>
      </c>
      <c r="P156" s="17">
        <f>ROUND(VLOOKUP(O$139&amp;"_2",管理者用人口入力シート!CO:DL,Q156,FALSE),0)</f>
        <v>588</v>
      </c>
      <c r="Q156" s="2">
        <v>19</v>
      </c>
    </row>
    <row r="157" spans="7:17" x14ac:dyDescent="0.15">
      <c r="G157" s="2" t="s">
        <v>16</v>
      </c>
      <c r="H157" s="17">
        <f>ROUND(VLOOKUP(H$139&amp;"_1",管理者用人口入力シート!BH:CE,J157,FALSE),0)</f>
        <v>444</v>
      </c>
      <c r="I157" s="17">
        <f>ROUND(VLOOKUP(H$139&amp;"_2",管理者用人口入力シート!BH:CE,J157,FALSE),0)</f>
        <v>653</v>
      </c>
      <c r="J157" s="2">
        <v>20</v>
      </c>
      <c r="N157" s="2" t="s">
        <v>16</v>
      </c>
      <c r="O157" s="17">
        <f>ROUND(VLOOKUP(O$139&amp;"_1",管理者用人口入力シート!CO:DL,Q157,FALSE),0)</f>
        <v>444</v>
      </c>
      <c r="P157" s="17">
        <f>ROUND(VLOOKUP(O$139&amp;"_2",管理者用人口入力シート!CO:DL,Q157,FALSE),0)</f>
        <v>653</v>
      </c>
      <c r="Q157" s="2">
        <v>20</v>
      </c>
    </row>
    <row r="158" spans="7:17" x14ac:dyDescent="0.15">
      <c r="G158" s="2" t="s">
        <v>17</v>
      </c>
      <c r="H158" s="17">
        <f>ROUND(VLOOKUP(H$139&amp;"_1",管理者用人口入力シート!BH:CE,J158,FALSE),0)</f>
        <v>402</v>
      </c>
      <c r="I158" s="17">
        <f>ROUND(VLOOKUP(H$139&amp;"_2",管理者用人口入力シート!BH:CE,J158,FALSE),0)</f>
        <v>733</v>
      </c>
      <c r="J158" s="2">
        <v>21</v>
      </c>
      <c r="N158" s="2" t="s">
        <v>17</v>
      </c>
      <c r="O158" s="17">
        <f>ROUND(VLOOKUP(O$139&amp;"_1",管理者用人口入力シート!CO:DL,Q158,FALSE),0)</f>
        <v>402</v>
      </c>
      <c r="P158" s="17">
        <f>ROUND(VLOOKUP(O$139&amp;"_2",管理者用人口入力シート!CO:DL,Q158,FALSE),0)</f>
        <v>733</v>
      </c>
      <c r="Q158" s="2">
        <v>21</v>
      </c>
    </row>
    <row r="159" spans="7:17" x14ac:dyDescent="0.15">
      <c r="G159" s="2" t="s">
        <v>18</v>
      </c>
      <c r="H159" s="17">
        <f>ROUND(VLOOKUP(H$139&amp;"_1",管理者用人口入力シート!BH:CE,J159,FALSE),0)</f>
        <v>238</v>
      </c>
      <c r="I159" s="17">
        <f>ROUND(VLOOKUP(H$139&amp;"_2",管理者用人口入力シート!BH:CE,J159,FALSE),0)</f>
        <v>652</v>
      </c>
      <c r="J159" s="2">
        <v>22</v>
      </c>
      <c r="N159" s="2" t="s">
        <v>18</v>
      </c>
      <c r="O159" s="17">
        <f>ROUND(VLOOKUP(O$139&amp;"_1",管理者用人口入力シート!CO:DL,Q159,FALSE),0)</f>
        <v>238</v>
      </c>
      <c r="P159" s="17">
        <f>ROUND(VLOOKUP(O$139&amp;"_2",管理者用人口入力シート!CO:DL,Q159,FALSE),0)</f>
        <v>652</v>
      </c>
      <c r="Q159" s="2">
        <v>22</v>
      </c>
    </row>
    <row r="160" spans="7:17" x14ac:dyDescent="0.15">
      <c r="G160" s="2" t="s">
        <v>19</v>
      </c>
      <c r="H160" s="17">
        <f>ROUND(VLOOKUP(H$139&amp;"_1",管理者用人口入力シート!BH:CE,J160,FALSE),0)</f>
        <v>77</v>
      </c>
      <c r="I160" s="17">
        <f>ROUND(VLOOKUP(H$139&amp;"_2",管理者用人口入力シート!BH:CE,J160,FALSE),0)</f>
        <v>226</v>
      </c>
      <c r="J160" s="2">
        <v>23</v>
      </c>
      <c r="N160" s="2" t="s">
        <v>19</v>
      </c>
      <c r="O160" s="17">
        <f>ROUND(VLOOKUP(O$139&amp;"_1",管理者用人口入力シート!CO:DL,Q160,FALSE),0)</f>
        <v>77</v>
      </c>
      <c r="P160" s="17">
        <f>ROUND(VLOOKUP(O$139&amp;"_2",管理者用人口入力シート!CO:DL,Q160,FALSE),0)</f>
        <v>226</v>
      </c>
      <c r="Q160" s="2">
        <v>23</v>
      </c>
    </row>
    <row r="161" spans="7:17" x14ac:dyDescent="0.15">
      <c r="G161" s="2" t="s">
        <v>20</v>
      </c>
      <c r="H161" s="17">
        <f>ROUND(VLOOKUP(H$139&amp;"_1",管理者用人口入力シート!BH:CE,J161,FALSE),0)</f>
        <v>17</v>
      </c>
      <c r="I161" s="17">
        <f>ROUND(VLOOKUP(H$139&amp;"_2",管理者用人口入力シート!BH:CE,J161,FALSE),0)</f>
        <v>54</v>
      </c>
      <c r="J161" s="2">
        <v>24</v>
      </c>
      <c r="N161" s="2" t="s">
        <v>20</v>
      </c>
      <c r="O161" s="17">
        <f>ROUND(VLOOKUP(O$139&amp;"_1",管理者用人口入力シート!CO:DL,Q161,FALSE),0)</f>
        <v>17</v>
      </c>
      <c r="P161" s="17">
        <f>ROUND(VLOOKUP(O$139&amp;"_2",管理者用人口入力シート!CO:DL,Q161,FALSE),0)</f>
        <v>54</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448</v>
      </c>
      <c r="I165" s="17">
        <f>ROUND(VLOOKUP(H$163&amp;"_2",管理者用人口入力シート!BH:CE,J165,FALSE),0)</f>
        <v>415</v>
      </c>
      <c r="J165" s="2">
        <v>4</v>
      </c>
      <c r="N165" s="2" t="s">
        <v>0</v>
      </c>
      <c r="O165" s="17">
        <f>ROUND(VLOOKUP(O$163&amp;"_1",管理者用人口入力シート!CO:DL,Q165,FALSE),0)</f>
        <v>451</v>
      </c>
      <c r="P165" s="17">
        <f>ROUND(VLOOKUP(O$163&amp;"_2",管理者用人口入力シート!CO:DL,Q165,FALSE),0)</f>
        <v>418</v>
      </c>
      <c r="Q165" s="2">
        <v>4</v>
      </c>
    </row>
    <row r="166" spans="7:17" x14ac:dyDescent="0.15">
      <c r="G166" s="2" t="s">
        <v>1</v>
      </c>
      <c r="H166" s="17">
        <f>ROUND(VLOOKUP(H$163&amp;"_1",管理者用人口入力シート!BH:CE,J166,FALSE),0)</f>
        <v>454</v>
      </c>
      <c r="I166" s="17">
        <f>ROUND(VLOOKUP(H$163&amp;"_2",管理者用人口入力シート!BH:CE,J166,FALSE),0)</f>
        <v>458</v>
      </c>
      <c r="J166" s="2">
        <v>5</v>
      </c>
      <c r="N166" s="2" t="s">
        <v>1</v>
      </c>
      <c r="O166" s="17">
        <f>ROUND(VLOOKUP(O$163&amp;"_1",管理者用人口入力シート!CO:DL,Q166,FALSE),0)</f>
        <v>457</v>
      </c>
      <c r="P166" s="17">
        <f>ROUND(VLOOKUP(O$163&amp;"_2",管理者用人口入力シート!CO:DL,Q166,FALSE),0)</f>
        <v>461</v>
      </c>
      <c r="Q166" s="2">
        <v>5</v>
      </c>
    </row>
    <row r="167" spans="7:17" x14ac:dyDescent="0.15">
      <c r="G167" s="2" t="s">
        <v>2</v>
      </c>
      <c r="H167" s="17">
        <f>ROUND(VLOOKUP(H$163&amp;"_1",管理者用人口入力シート!BH:CE,J167,FALSE),0)</f>
        <v>528</v>
      </c>
      <c r="I167" s="17">
        <f>ROUND(VLOOKUP(H$163&amp;"_2",管理者用人口入力シート!BH:CE,J167,FALSE),0)</f>
        <v>476</v>
      </c>
      <c r="J167" s="2">
        <v>6</v>
      </c>
      <c r="N167" s="2" t="s">
        <v>2</v>
      </c>
      <c r="O167" s="17">
        <f>ROUND(VLOOKUP(O$163&amp;"_1",管理者用人口入力シート!CO:DL,Q167,FALSE),0)</f>
        <v>532</v>
      </c>
      <c r="P167" s="17">
        <f>ROUND(VLOOKUP(O$163&amp;"_2",管理者用人口入力シート!CO:DL,Q167,FALSE),0)</f>
        <v>480</v>
      </c>
      <c r="Q167" s="2">
        <v>6</v>
      </c>
    </row>
    <row r="168" spans="7:17" x14ac:dyDescent="0.15">
      <c r="G168" s="2" t="s">
        <v>3</v>
      </c>
      <c r="H168" s="17">
        <f>ROUND(VLOOKUP(H$163&amp;"_1",管理者用人口入力シート!BH:CE,J168,FALSE),0)</f>
        <v>702</v>
      </c>
      <c r="I168" s="17">
        <f>ROUND(VLOOKUP(H$163&amp;"_2",管理者用人口入力シート!BH:CE,J168,FALSE),0)</f>
        <v>546</v>
      </c>
      <c r="J168" s="2">
        <v>7</v>
      </c>
      <c r="N168" s="2" t="s">
        <v>3</v>
      </c>
      <c r="O168" s="17">
        <f>ROUND(VLOOKUP(O$163&amp;"_1",管理者用人口入力シート!CO:DL,Q168,FALSE),0)</f>
        <v>706</v>
      </c>
      <c r="P168" s="17">
        <f>ROUND(VLOOKUP(O$163&amp;"_2",管理者用人口入力シート!CO:DL,Q168,FALSE),0)</f>
        <v>549</v>
      </c>
      <c r="Q168" s="2">
        <v>7</v>
      </c>
    </row>
    <row r="169" spans="7:17" x14ac:dyDescent="0.15">
      <c r="G169" s="2" t="s">
        <v>4</v>
      </c>
      <c r="H169" s="17">
        <f>ROUND(VLOOKUP(H$163&amp;"_1",管理者用人口入力シート!BH:CE,J169,FALSE),0)</f>
        <v>300</v>
      </c>
      <c r="I169" s="17">
        <f>ROUND(VLOOKUP(H$163&amp;"_2",管理者用人口入力シート!BH:CE,J169,FALSE),0)</f>
        <v>369</v>
      </c>
      <c r="J169" s="2">
        <v>8</v>
      </c>
      <c r="N169" s="2" t="s">
        <v>4</v>
      </c>
      <c r="O169" s="17">
        <f>ROUND(VLOOKUP(O$163&amp;"_1",管理者用人口入力シート!CO:DL,Q169,FALSE),0)</f>
        <v>302</v>
      </c>
      <c r="P169" s="17">
        <f>ROUND(VLOOKUP(O$163&amp;"_2",管理者用人口入力シート!CO:DL,Q169,FALSE),0)</f>
        <v>370</v>
      </c>
      <c r="Q169" s="2">
        <v>8</v>
      </c>
    </row>
    <row r="170" spans="7:17" x14ac:dyDescent="0.15">
      <c r="G170" s="2" t="s">
        <v>5</v>
      </c>
      <c r="H170" s="17">
        <f>ROUND(VLOOKUP(H$163&amp;"_1",管理者用人口入力シート!BH:CE,J170,FALSE),0)</f>
        <v>392</v>
      </c>
      <c r="I170" s="17">
        <f>ROUND(VLOOKUP(H$163&amp;"_2",管理者用人口入力シート!BH:CE,J170,FALSE),0)</f>
        <v>433</v>
      </c>
      <c r="J170" s="2">
        <v>9</v>
      </c>
      <c r="N170" s="2" t="s">
        <v>5</v>
      </c>
      <c r="O170" s="17">
        <f>ROUND(VLOOKUP(O$163&amp;"_1",管理者用人口入力シート!CO:DL,Q170,FALSE),0)</f>
        <v>395</v>
      </c>
      <c r="P170" s="17">
        <f>ROUND(VLOOKUP(O$163&amp;"_2",管理者用人口入力シート!CO:DL,Q170,FALSE),0)</f>
        <v>436</v>
      </c>
      <c r="Q170" s="2">
        <v>9</v>
      </c>
    </row>
    <row r="171" spans="7:17" x14ac:dyDescent="0.15">
      <c r="G171" s="2" t="s">
        <v>6</v>
      </c>
      <c r="H171" s="17">
        <f>ROUND(VLOOKUP(H$163&amp;"_1",管理者用人口入力シート!BH:CE,J171,FALSE),0)</f>
        <v>489</v>
      </c>
      <c r="I171" s="17">
        <f>ROUND(VLOOKUP(H$163&amp;"_2",管理者用人口入力シート!BH:CE,J171,FALSE),0)</f>
        <v>517</v>
      </c>
      <c r="J171" s="2">
        <v>10</v>
      </c>
      <c r="N171" s="2" t="s">
        <v>6</v>
      </c>
      <c r="O171" s="17">
        <f>ROUND(VLOOKUP(O$163&amp;"_1",管理者用人口入力シート!CO:DL,Q171,FALSE),0)</f>
        <v>492</v>
      </c>
      <c r="P171" s="17">
        <f>ROUND(VLOOKUP(O$163&amp;"_2",管理者用人口入力シート!CO:DL,Q171,FALSE),0)</f>
        <v>520</v>
      </c>
      <c r="Q171" s="2">
        <v>10</v>
      </c>
    </row>
    <row r="172" spans="7:17" x14ac:dyDescent="0.15">
      <c r="G172" s="2" t="s">
        <v>7</v>
      </c>
      <c r="H172" s="17">
        <f>ROUND(VLOOKUP(H$163&amp;"_1",管理者用人口入力シート!BH:CE,J172,FALSE),0)</f>
        <v>554</v>
      </c>
      <c r="I172" s="17">
        <f>ROUND(VLOOKUP(H$163&amp;"_2",管理者用人口入力シート!BH:CE,J172,FALSE),0)</f>
        <v>582</v>
      </c>
      <c r="J172" s="2">
        <v>11</v>
      </c>
      <c r="N172" s="2" t="s">
        <v>7</v>
      </c>
      <c r="O172" s="17">
        <f>ROUND(VLOOKUP(O$163&amp;"_1",管理者用人口入力シート!CO:DL,Q172,FALSE),0)</f>
        <v>556</v>
      </c>
      <c r="P172" s="17">
        <f>ROUND(VLOOKUP(O$163&amp;"_2",管理者用人口入力シート!CO:DL,Q172,FALSE),0)</f>
        <v>584</v>
      </c>
      <c r="Q172" s="2">
        <v>11</v>
      </c>
    </row>
    <row r="173" spans="7:17" x14ac:dyDescent="0.15">
      <c r="G173" s="2" t="s">
        <v>8</v>
      </c>
      <c r="H173" s="17">
        <f>ROUND(VLOOKUP(H$163&amp;"_1",管理者用人口入力シート!BH:CE,J173,FALSE),0)</f>
        <v>467</v>
      </c>
      <c r="I173" s="17">
        <f>ROUND(VLOOKUP(H$163&amp;"_2",管理者用人口入力シート!BH:CE,J173,FALSE),0)</f>
        <v>500</v>
      </c>
      <c r="J173" s="2">
        <v>12</v>
      </c>
      <c r="N173" s="2" t="s">
        <v>8</v>
      </c>
      <c r="O173" s="17">
        <f>ROUND(VLOOKUP(O$163&amp;"_1",管理者用人口入力シート!CO:DL,Q173,FALSE),0)</f>
        <v>470</v>
      </c>
      <c r="P173" s="17">
        <f>ROUND(VLOOKUP(O$163&amp;"_2",管理者用人口入力シート!CO:DL,Q173,FALSE),0)</f>
        <v>503</v>
      </c>
      <c r="Q173" s="2">
        <v>12</v>
      </c>
    </row>
    <row r="174" spans="7:17" x14ac:dyDescent="0.15">
      <c r="G174" s="2" t="s">
        <v>9</v>
      </c>
      <c r="H174" s="17">
        <f>ROUND(VLOOKUP(H$163&amp;"_1",管理者用人口入力シート!BH:CE,J174,FALSE),0)</f>
        <v>426</v>
      </c>
      <c r="I174" s="17">
        <f>ROUND(VLOOKUP(H$163&amp;"_2",管理者用人口入力シート!BH:CE,J174,FALSE),0)</f>
        <v>494</v>
      </c>
      <c r="J174" s="2">
        <v>13</v>
      </c>
      <c r="N174" s="2" t="s">
        <v>9</v>
      </c>
      <c r="O174" s="17">
        <f>ROUND(VLOOKUP(O$163&amp;"_1",管理者用人口入力シート!CO:DL,Q174,FALSE),0)</f>
        <v>428</v>
      </c>
      <c r="P174" s="17">
        <f>ROUND(VLOOKUP(O$163&amp;"_2",管理者用人口入力シート!CO:DL,Q174,FALSE),0)</f>
        <v>497</v>
      </c>
      <c r="Q174" s="2">
        <v>13</v>
      </c>
    </row>
    <row r="175" spans="7:17" x14ac:dyDescent="0.15">
      <c r="G175" s="2" t="s">
        <v>10</v>
      </c>
      <c r="H175" s="17">
        <f>ROUND(VLOOKUP(H$163&amp;"_1",管理者用人口入力シート!BH:CE,J175,FALSE),0)</f>
        <v>423</v>
      </c>
      <c r="I175" s="17">
        <f>ROUND(VLOOKUP(H$163&amp;"_2",管理者用人口入力シート!BH:CE,J175,FALSE),0)</f>
        <v>483</v>
      </c>
      <c r="J175" s="2">
        <v>14</v>
      </c>
      <c r="N175" s="2" t="s">
        <v>10</v>
      </c>
      <c r="O175" s="17">
        <f>ROUND(VLOOKUP(O$163&amp;"_1",管理者用人口入力シート!CO:DL,Q175,FALSE),0)</f>
        <v>423</v>
      </c>
      <c r="P175" s="17">
        <f>ROUND(VLOOKUP(O$163&amp;"_2",管理者用人口入力シート!CO:DL,Q175,FALSE),0)</f>
        <v>484</v>
      </c>
      <c r="Q175" s="2">
        <v>14</v>
      </c>
    </row>
    <row r="176" spans="7:17" x14ac:dyDescent="0.15">
      <c r="G176" s="2" t="s">
        <v>11</v>
      </c>
      <c r="H176" s="17">
        <f>ROUND(VLOOKUP(H$163&amp;"_1",管理者用人口入力シート!BH:CE,J176,FALSE),0)</f>
        <v>536</v>
      </c>
      <c r="I176" s="17">
        <f>ROUND(VLOOKUP(H$163&amp;"_2",管理者用人口入力シート!BH:CE,J176,FALSE),0)</f>
        <v>605</v>
      </c>
      <c r="J176" s="2">
        <v>15</v>
      </c>
      <c r="N176" s="2" t="s">
        <v>11</v>
      </c>
      <c r="O176" s="17">
        <f>ROUND(VLOOKUP(O$163&amp;"_1",管理者用人口入力シート!CO:DL,Q176,FALSE),0)</f>
        <v>536</v>
      </c>
      <c r="P176" s="17">
        <f>ROUND(VLOOKUP(O$163&amp;"_2",管理者用人口入力シート!CO:DL,Q176,FALSE),0)</f>
        <v>606</v>
      </c>
      <c r="Q176" s="2">
        <v>15</v>
      </c>
    </row>
    <row r="177" spans="7:17" x14ac:dyDescent="0.15">
      <c r="G177" s="2" t="s">
        <v>12</v>
      </c>
      <c r="H177" s="17">
        <f>ROUND(VLOOKUP(H$163&amp;"_1",管理者用人口入力シート!BH:CE,J177,FALSE),0)</f>
        <v>694</v>
      </c>
      <c r="I177" s="17">
        <f>ROUND(VLOOKUP(H$163&amp;"_2",管理者用人口入力シート!BH:CE,J177,FALSE),0)</f>
        <v>730</v>
      </c>
      <c r="J177" s="2">
        <v>16</v>
      </c>
      <c r="N177" s="2" t="s">
        <v>12</v>
      </c>
      <c r="O177" s="17">
        <f>ROUND(VLOOKUP(O$163&amp;"_1",管理者用人口入力シート!CO:DL,Q177,FALSE),0)</f>
        <v>694</v>
      </c>
      <c r="P177" s="17">
        <f>ROUND(VLOOKUP(O$163&amp;"_2",管理者用人口入力シート!CO:DL,Q177,FALSE),0)</f>
        <v>731</v>
      </c>
      <c r="Q177" s="2">
        <v>16</v>
      </c>
    </row>
    <row r="178" spans="7:17" x14ac:dyDescent="0.15">
      <c r="G178" s="2" t="s">
        <v>13</v>
      </c>
      <c r="H178" s="17">
        <f>ROUND(VLOOKUP(H$163&amp;"_1",管理者用人口入力シート!BH:CE,J178,FALSE),0)</f>
        <v>734</v>
      </c>
      <c r="I178" s="17">
        <f>ROUND(VLOOKUP(H$163&amp;"_2",管理者用人口入力シート!BH:CE,J178,FALSE),0)</f>
        <v>837</v>
      </c>
      <c r="J178" s="2">
        <v>17</v>
      </c>
      <c r="N178" s="2" t="s">
        <v>13</v>
      </c>
      <c r="O178" s="17">
        <f>ROUND(VLOOKUP(O$163&amp;"_1",管理者用人口入力シート!CO:DL,Q178,FALSE),0)</f>
        <v>734</v>
      </c>
      <c r="P178" s="17">
        <f>ROUND(VLOOKUP(O$163&amp;"_2",管理者用人口入力シート!CO:DL,Q178,FALSE),0)</f>
        <v>837</v>
      </c>
      <c r="Q178" s="2">
        <v>17</v>
      </c>
    </row>
    <row r="179" spans="7:17" x14ac:dyDescent="0.15">
      <c r="G179" s="2" t="s">
        <v>14</v>
      </c>
      <c r="H179" s="17">
        <f>ROUND(VLOOKUP(H$163&amp;"_1",管理者用人口入力シート!BH:CE,J179,FALSE),0)</f>
        <v>741</v>
      </c>
      <c r="I179" s="17">
        <f>ROUND(VLOOKUP(H$163&amp;"_2",管理者用人口入力シート!BH:CE,J179,FALSE),0)</f>
        <v>857</v>
      </c>
      <c r="J179" s="2">
        <v>18</v>
      </c>
      <c r="N179" s="2" t="s">
        <v>14</v>
      </c>
      <c r="O179" s="17">
        <f>ROUND(VLOOKUP(O$163&amp;"_1",管理者用人口入力シート!CO:DL,Q179,FALSE),0)</f>
        <v>741</v>
      </c>
      <c r="P179" s="17">
        <f>ROUND(VLOOKUP(O$163&amp;"_2",管理者用人口入力シート!CO:DL,Q179,FALSE),0)</f>
        <v>857</v>
      </c>
      <c r="Q179" s="2">
        <v>18</v>
      </c>
    </row>
    <row r="180" spans="7:17" x14ac:dyDescent="0.15">
      <c r="G180" s="2" t="s">
        <v>15</v>
      </c>
      <c r="H180" s="17">
        <f>ROUND(VLOOKUP(H$163&amp;"_1",管理者用人口入力シート!BH:CE,J180,FALSE),0)</f>
        <v>488</v>
      </c>
      <c r="I180" s="17">
        <f>ROUND(VLOOKUP(H$163&amp;"_2",管理者用人口入力シート!BH:CE,J180,FALSE),0)</f>
        <v>619</v>
      </c>
      <c r="J180" s="2">
        <v>19</v>
      </c>
      <c r="N180" s="2" t="s">
        <v>15</v>
      </c>
      <c r="O180" s="17">
        <f>ROUND(VLOOKUP(O$163&amp;"_1",管理者用人口入力シート!CO:DL,Q180,FALSE),0)</f>
        <v>488</v>
      </c>
      <c r="P180" s="17">
        <f>ROUND(VLOOKUP(O$163&amp;"_2",管理者用人口入力シート!CO:DL,Q180,FALSE),0)</f>
        <v>619</v>
      </c>
      <c r="Q180" s="2">
        <v>19</v>
      </c>
    </row>
    <row r="181" spans="7:17" x14ac:dyDescent="0.15">
      <c r="G181" s="2" t="s">
        <v>16</v>
      </c>
      <c r="H181" s="17">
        <f>ROUND(VLOOKUP(H$163&amp;"_1",管理者用人口入力シート!BH:CE,J181,FALSE),0)</f>
        <v>372</v>
      </c>
      <c r="I181" s="17">
        <f>ROUND(VLOOKUP(H$163&amp;"_2",管理者用人口入力シート!BH:CE,J181,FALSE),0)</f>
        <v>576</v>
      </c>
      <c r="J181" s="2">
        <v>20</v>
      </c>
      <c r="N181" s="2" t="s">
        <v>16</v>
      </c>
      <c r="O181" s="17">
        <f>ROUND(VLOOKUP(O$163&amp;"_1",管理者用人口入力シート!CO:DL,Q181,FALSE),0)</f>
        <v>372</v>
      </c>
      <c r="P181" s="17">
        <f>ROUND(VLOOKUP(O$163&amp;"_2",管理者用人口入力シート!CO:DL,Q181,FALSE),0)</f>
        <v>576</v>
      </c>
      <c r="Q181" s="2">
        <v>20</v>
      </c>
    </row>
    <row r="182" spans="7:17" x14ac:dyDescent="0.15">
      <c r="G182" s="2" t="s">
        <v>17</v>
      </c>
      <c r="H182" s="17">
        <f>ROUND(VLOOKUP(H$163&amp;"_1",管理者用人口入力シート!BH:CE,J182,FALSE),0)</f>
        <v>328</v>
      </c>
      <c r="I182" s="17">
        <f>ROUND(VLOOKUP(H$163&amp;"_2",管理者用人口入力シート!BH:CE,J182,FALSE),0)</f>
        <v>594</v>
      </c>
      <c r="J182" s="2">
        <v>21</v>
      </c>
      <c r="N182" s="2" t="s">
        <v>17</v>
      </c>
      <c r="O182" s="17">
        <f>ROUND(VLOOKUP(O$163&amp;"_1",管理者用人口入力シート!CO:DL,Q182,FALSE),0)</f>
        <v>328</v>
      </c>
      <c r="P182" s="17">
        <f>ROUND(VLOOKUP(O$163&amp;"_2",管理者用人口入力シート!CO:DL,Q182,FALSE),0)</f>
        <v>594</v>
      </c>
      <c r="Q182" s="2">
        <v>21</v>
      </c>
    </row>
    <row r="183" spans="7:17" x14ac:dyDescent="0.15">
      <c r="G183" s="2" t="s">
        <v>18</v>
      </c>
      <c r="H183" s="17">
        <f>ROUND(VLOOKUP(H$163&amp;"_1",管理者用人口入力シート!BH:CE,J183,FALSE),0)</f>
        <v>226</v>
      </c>
      <c r="I183" s="17">
        <f>ROUND(VLOOKUP(H$163&amp;"_2",管理者用人口入力シート!BH:CE,J183,FALSE),0)</f>
        <v>566</v>
      </c>
      <c r="J183" s="2">
        <v>22</v>
      </c>
      <c r="N183" s="2" t="s">
        <v>18</v>
      </c>
      <c r="O183" s="17">
        <f>ROUND(VLOOKUP(O$163&amp;"_1",管理者用人口入力シート!CO:DL,Q183,FALSE),0)</f>
        <v>226</v>
      </c>
      <c r="P183" s="17">
        <f>ROUND(VLOOKUP(O$163&amp;"_2",管理者用人口入力シート!CO:DL,Q183,FALSE),0)</f>
        <v>566</v>
      </c>
      <c r="Q183" s="2">
        <v>22</v>
      </c>
    </row>
    <row r="184" spans="7:17" x14ac:dyDescent="0.15">
      <c r="G184" s="2" t="s">
        <v>19</v>
      </c>
      <c r="H184" s="17">
        <f>ROUND(VLOOKUP(H$163&amp;"_1",管理者用人口入力シート!BH:CE,J184,FALSE),0)</f>
        <v>97</v>
      </c>
      <c r="I184" s="17">
        <f>ROUND(VLOOKUP(H$163&amp;"_2",管理者用人口入力シート!BH:CE,J184,FALSE),0)</f>
        <v>360</v>
      </c>
      <c r="J184" s="2">
        <v>23</v>
      </c>
      <c r="N184" s="2" t="s">
        <v>19</v>
      </c>
      <c r="O184" s="17">
        <f>ROUND(VLOOKUP(O$163&amp;"_1",管理者用人口入力シート!CO:DL,Q184,FALSE),0)</f>
        <v>97</v>
      </c>
      <c r="P184" s="17">
        <f>ROUND(VLOOKUP(O$163&amp;"_2",管理者用人口入力シート!CO:DL,Q184,FALSE),0)</f>
        <v>360</v>
      </c>
      <c r="Q184" s="2">
        <v>23</v>
      </c>
    </row>
    <row r="185" spans="7:17" x14ac:dyDescent="0.15">
      <c r="G185" s="2" t="s">
        <v>20</v>
      </c>
      <c r="H185" s="17">
        <f>ROUND(VLOOKUP(H$163&amp;"_1",管理者用人口入力シート!BH:CE,J185,FALSE),0)</f>
        <v>23</v>
      </c>
      <c r="I185" s="17">
        <f>ROUND(VLOOKUP(H$163&amp;"_2",管理者用人口入力シート!BH:CE,J185,FALSE),0)</f>
        <v>65</v>
      </c>
      <c r="J185" s="2">
        <v>24</v>
      </c>
      <c r="N185" s="2" t="s">
        <v>20</v>
      </c>
      <c r="O185" s="17">
        <f>ROUND(VLOOKUP(O$163&amp;"_1",管理者用人口入力シート!CO:DL,Q185,FALSE),0)</f>
        <v>23</v>
      </c>
      <c r="P185" s="17">
        <f>ROUND(VLOOKUP(O$163&amp;"_2",管理者用人口入力シート!CO:DL,Q185,FALSE),0)</f>
        <v>65</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414</v>
      </c>
      <c r="I189" s="17">
        <f>ROUND(VLOOKUP(H$187&amp;"_2",管理者用人口入力シート!BH:CE,J189,FALSE),0)</f>
        <v>383</v>
      </c>
      <c r="J189" s="2">
        <v>4</v>
      </c>
      <c r="N189" s="2" t="s">
        <v>0</v>
      </c>
      <c r="O189" s="17">
        <f>ROUND(VLOOKUP(O$187&amp;"_1",管理者用人口入力シート!CO:DL,Q189,FALSE),0)</f>
        <v>418</v>
      </c>
      <c r="P189" s="17">
        <f>ROUND(VLOOKUP(O$187&amp;"_2",管理者用人口入力シート!CO:DL,Q189,FALSE),0)</f>
        <v>387</v>
      </c>
      <c r="Q189" s="2">
        <v>4</v>
      </c>
    </row>
    <row r="190" spans="7:17" x14ac:dyDescent="0.15">
      <c r="G190" s="2" t="s">
        <v>1</v>
      </c>
      <c r="H190" s="17">
        <f>ROUND(VLOOKUP(H$187&amp;"_1",管理者用人口入力シート!BH:CE,J190,FALSE),0)</f>
        <v>440</v>
      </c>
      <c r="I190" s="17">
        <f>ROUND(VLOOKUP(H$187&amp;"_2",管理者用人口入力シート!BH:CE,J190,FALSE),0)</f>
        <v>444</v>
      </c>
      <c r="J190" s="2">
        <v>5</v>
      </c>
      <c r="N190" s="2" t="s">
        <v>1</v>
      </c>
      <c r="O190" s="17">
        <f>ROUND(VLOOKUP(O$187&amp;"_1",管理者用人口入力シート!CO:DL,Q190,FALSE),0)</f>
        <v>443</v>
      </c>
      <c r="P190" s="17">
        <f>ROUND(VLOOKUP(O$187&amp;"_2",管理者用人口入力シート!CO:DL,Q190,FALSE),0)</f>
        <v>447</v>
      </c>
      <c r="Q190" s="2">
        <v>5</v>
      </c>
    </row>
    <row r="191" spans="7:17" x14ac:dyDescent="0.15">
      <c r="G191" s="2" t="s">
        <v>2</v>
      </c>
      <c r="H191" s="17">
        <f>ROUND(VLOOKUP(H$187&amp;"_1",管理者用人口入力シート!BH:CE,J191,FALSE),0)</f>
        <v>529</v>
      </c>
      <c r="I191" s="17">
        <f>ROUND(VLOOKUP(H$187&amp;"_2",管理者用人口入力シート!BH:CE,J191,FALSE),0)</f>
        <v>478</v>
      </c>
      <c r="J191" s="2">
        <v>6</v>
      </c>
      <c r="N191" s="2" t="s">
        <v>2</v>
      </c>
      <c r="O191" s="17">
        <f>ROUND(VLOOKUP(O$187&amp;"_1",管理者用人口入力シート!CO:DL,Q191,FALSE),0)</f>
        <v>533</v>
      </c>
      <c r="P191" s="17">
        <f>ROUND(VLOOKUP(O$187&amp;"_2",管理者用人口入力シート!CO:DL,Q191,FALSE),0)</f>
        <v>482</v>
      </c>
      <c r="Q191" s="2">
        <v>6</v>
      </c>
    </row>
    <row r="192" spans="7:17" x14ac:dyDescent="0.15">
      <c r="G192" s="2" t="s">
        <v>3</v>
      </c>
      <c r="H192" s="17">
        <f>ROUND(VLOOKUP(H$187&amp;"_1",管理者用人口入力シート!BH:CE,J192,FALSE),0)</f>
        <v>730</v>
      </c>
      <c r="I192" s="17">
        <f>ROUND(VLOOKUP(H$187&amp;"_2",管理者用人口入力シート!BH:CE,J192,FALSE),0)</f>
        <v>567</v>
      </c>
      <c r="J192" s="2">
        <v>7</v>
      </c>
      <c r="N192" s="2" t="s">
        <v>3</v>
      </c>
      <c r="O192" s="17">
        <f>ROUND(VLOOKUP(O$187&amp;"_1",管理者用人口入力シート!CO:DL,Q192,FALSE),0)</f>
        <v>735</v>
      </c>
      <c r="P192" s="17">
        <f>ROUND(VLOOKUP(O$187&amp;"_2",管理者用人口入力シート!CO:DL,Q192,FALSE),0)</f>
        <v>572</v>
      </c>
      <c r="Q192" s="2">
        <v>7</v>
      </c>
    </row>
    <row r="193" spans="7:17" x14ac:dyDescent="0.15">
      <c r="G193" s="2" t="s">
        <v>4</v>
      </c>
      <c r="H193" s="17">
        <f>ROUND(VLOOKUP(H$187&amp;"_1",管理者用人口入力シート!BH:CE,J193,FALSE),0)</f>
        <v>300</v>
      </c>
      <c r="I193" s="17">
        <f>ROUND(VLOOKUP(H$187&amp;"_2",管理者用人口入力シート!BH:CE,J193,FALSE),0)</f>
        <v>368</v>
      </c>
      <c r="J193" s="2">
        <v>8</v>
      </c>
      <c r="N193" s="2" t="s">
        <v>4</v>
      </c>
      <c r="O193" s="17">
        <f>ROUND(VLOOKUP(O$187&amp;"_1",管理者用人口入力シート!CO:DL,Q193,FALSE),0)</f>
        <v>302</v>
      </c>
      <c r="P193" s="17">
        <f>ROUND(VLOOKUP(O$187&amp;"_2",管理者用人口入力シート!CO:DL,Q193,FALSE),0)</f>
        <v>371</v>
      </c>
      <c r="Q193" s="2">
        <v>8</v>
      </c>
    </row>
    <row r="194" spans="7:17" x14ac:dyDescent="0.15">
      <c r="G194" s="2" t="s">
        <v>5</v>
      </c>
      <c r="H194" s="17">
        <f>ROUND(VLOOKUP(H$187&amp;"_1",管理者用人口入力シート!BH:CE,J194,FALSE),0)</f>
        <v>355</v>
      </c>
      <c r="I194" s="17">
        <f>ROUND(VLOOKUP(H$187&amp;"_2",管理者用人口入力シート!BH:CE,J194,FALSE),0)</f>
        <v>391</v>
      </c>
      <c r="J194" s="2">
        <v>9</v>
      </c>
      <c r="N194" s="2" t="s">
        <v>5</v>
      </c>
      <c r="O194" s="17">
        <f>ROUND(VLOOKUP(O$187&amp;"_1",管理者用人口入力シート!CO:DL,Q194,FALSE),0)</f>
        <v>358</v>
      </c>
      <c r="P194" s="17">
        <f>ROUND(VLOOKUP(O$187&amp;"_2",管理者用人口入力シート!CO:DL,Q194,FALSE),0)</f>
        <v>395</v>
      </c>
      <c r="Q194" s="2">
        <v>9</v>
      </c>
    </row>
    <row r="195" spans="7:17" x14ac:dyDescent="0.15">
      <c r="G195" s="2" t="s">
        <v>6</v>
      </c>
      <c r="H195" s="17">
        <f>ROUND(VLOOKUP(H$187&amp;"_1",管理者用人口入力シート!BH:CE,J195,FALSE),0)</f>
        <v>412</v>
      </c>
      <c r="I195" s="17">
        <f>ROUND(VLOOKUP(H$187&amp;"_2",管理者用人口入力シート!BH:CE,J195,FALSE),0)</f>
        <v>451</v>
      </c>
      <c r="J195" s="2">
        <v>10</v>
      </c>
      <c r="N195" s="2" t="s">
        <v>6</v>
      </c>
      <c r="O195" s="17">
        <f>ROUND(VLOOKUP(O$187&amp;"_1",管理者用人口入力シート!CO:DL,Q195,FALSE),0)</f>
        <v>415</v>
      </c>
      <c r="P195" s="17">
        <f>ROUND(VLOOKUP(O$187&amp;"_2",管理者用人口入力シート!CO:DL,Q195,FALSE),0)</f>
        <v>454</v>
      </c>
      <c r="Q195" s="2">
        <v>10</v>
      </c>
    </row>
    <row r="196" spans="7:17" x14ac:dyDescent="0.15">
      <c r="G196" s="2" t="s">
        <v>7</v>
      </c>
      <c r="H196" s="17">
        <f>ROUND(VLOOKUP(H$187&amp;"_1",管理者用人口入力シート!BH:CE,J196,FALSE),0)</f>
        <v>539</v>
      </c>
      <c r="I196" s="17">
        <f>ROUND(VLOOKUP(H$187&amp;"_2",管理者用人口入力シート!BH:CE,J196,FALSE),0)</f>
        <v>543</v>
      </c>
      <c r="J196" s="2">
        <v>11</v>
      </c>
      <c r="N196" s="2" t="s">
        <v>7</v>
      </c>
      <c r="O196" s="17">
        <f>ROUND(VLOOKUP(O$187&amp;"_1",管理者用人口入力シート!CO:DL,Q196,FALSE),0)</f>
        <v>542</v>
      </c>
      <c r="P196" s="17">
        <f>ROUND(VLOOKUP(O$187&amp;"_2",管理者用人口入力シート!CO:DL,Q196,FALSE),0)</f>
        <v>547</v>
      </c>
      <c r="Q196" s="2">
        <v>11</v>
      </c>
    </row>
    <row r="197" spans="7:17" x14ac:dyDescent="0.15">
      <c r="G197" s="2" t="s">
        <v>8</v>
      </c>
      <c r="H197" s="17">
        <f>ROUND(VLOOKUP(H$187&amp;"_1",管理者用人口入力シート!BH:CE,J197,FALSE),0)</f>
        <v>558</v>
      </c>
      <c r="I197" s="17">
        <f>ROUND(VLOOKUP(H$187&amp;"_2",管理者用人口入力シート!BH:CE,J197,FALSE),0)</f>
        <v>578</v>
      </c>
      <c r="J197" s="2">
        <v>12</v>
      </c>
      <c r="N197" s="2" t="s">
        <v>8</v>
      </c>
      <c r="O197" s="17">
        <f>ROUND(VLOOKUP(O$187&amp;"_1",管理者用人口入力シート!CO:DL,Q197,FALSE),0)</f>
        <v>561</v>
      </c>
      <c r="P197" s="17">
        <f>ROUND(VLOOKUP(O$187&amp;"_2",管理者用人口入力シート!CO:DL,Q197,FALSE),0)</f>
        <v>581</v>
      </c>
      <c r="Q197" s="2">
        <v>12</v>
      </c>
    </row>
    <row r="198" spans="7:17" x14ac:dyDescent="0.15">
      <c r="G198" s="2" t="s">
        <v>9</v>
      </c>
      <c r="H198" s="17">
        <f>ROUND(VLOOKUP(H$187&amp;"_1",管理者用人口入力シート!BH:CE,J198,FALSE),0)</f>
        <v>463</v>
      </c>
      <c r="I198" s="17">
        <f>ROUND(VLOOKUP(H$187&amp;"_2",管理者用人口入力シート!BH:CE,J198,FALSE),0)</f>
        <v>518</v>
      </c>
      <c r="J198" s="2">
        <v>13</v>
      </c>
      <c r="N198" s="2" t="s">
        <v>9</v>
      </c>
      <c r="O198" s="17">
        <f>ROUND(VLOOKUP(O$187&amp;"_1",管理者用人口入力シート!CO:DL,Q198,FALSE),0)</f>
        <v>465</v>
      </c>
      <c r="P198" s="17">
        <f>ROUND(VLOOKUP(O$187&amp;"_2",管理者用人口入力シート!CO:DL,Q198,FALSE),0)</f>
        <v>522</v>
      </c>
      <c r="Q198" s="2">
        <v>13</v>
      </c>
    </row>
    <row r="199" spans="7:17" x14ac:dyDescent="0.15">
      <c r="G199" s="2" t="s">
        <v>10</v>
      </c>
      <c r="H199" s="17">
        <f>ROUND(VLOOKUP(H$187&amp;"_1",管理者用人口入力シート!BH:CE,J199,FALSE),0)</f>
        <v>428</v>
      </c>
      <c r="I199" s="17">
        <f>ROUND(VLOOKUP(H$187&amp;"_2",管理者用人口入力シート!BH:CE,J199,FALSE),0)</f>
        <v>496</v>
      </c>
      <c r="J199" s="2">
        <v>14</v>
      </c>
      <c r="N199" s="2" t="s">
        <v>10</v>
      </c>
      <c r="O199" s="17">
        <f>ROUND(VLOOKUP(O$187&amp;"_1",管理者用人口入力シート!CO:DL,Q199,FALSE),0)</f>
        <v>430</v>
      </c>
      <c r="P199" s="17">
        <f>ROUND(VLOOKUP(O$187&amp;"_2",管理者用人口入力シート!CO:DL,Q199,FALSE),0)</f>
        <v>500</v>
      </c>
      <c r="Q199" s="2">
        <v>14</v>
      </c>
    </row>
    <row r="200" spans="7:17" x14ac:dyDescent="0.15">
      <c r="G200" s="2" t="s">
        <v>11</v>
      </c>
      <c r="H200" s="17">
        <f>ROUND(VLOOKUP(H$187&amp;"_1",管理者用人口入力シート!BH:CE,J200,FALSE),0)</f>
        <v>426</v>
      </c>
      <c r="I200" s="17">
        <f>ROUND(VLOOKUP(H$187&amp;"_2",管理者用人口入力シート!BH:CE,J200,FALSE),0)</f>
        <v>494</v>
      </c>
      <c r="J200" s="2">
        <v>15</v>
      </c>
      <c r="N200" s="2" t="s">
        <v>11</v>
      </c>
      <c r="O200" s="17">
        <f>ROUND(VLOOKUP(O$187&amp;"_1",管理者用人口入力シート!CO:DL,Q200,FALSE),0)</f>
        <v>426</v>
      </c>
      <c r="P200" s="17">
        <f>ROUND(VLOOKUP(O$187&amp;"_2",管理者用人口入力シート!CO:DL,Q200,FALSE),0)</f>
        <v>495</v>
      </c>
      <c r="Q200" s="2">
        <v>15</v>
      </c>
    </row>
    <row r="201" spans="7:17" x14ac:dyDescent="0.15">
      <c r="G201" s="2" t="s">
        <v>12</v>
      </c>
      <c r="H201" s="17">
        <f>ROUND(VLOOKUP(H$187&amp;"_1",管理者用人口入力シート!BH:CE,J201,FALSE),0)</f>
        <v>523</v>
      </c>
      <c r="I201" s="17">
        <f>ROUND(VLOOKUP(H$187&amp;"_2",管理者用人口入力シート!BH:CE,J201,FALSE),0)</f>
        <v>592</v>
      </c>
      <c r="J201" s="2">
        <v>16</v>
      </c>
      <c r="N201" s="2" t="s">
        <v>12</v>
      </c>
      <c r="O201" s="17">
        <f>ROUND(VLOOKUP(O$187&amp;"_1",管理者用人口入力シート!CO:DL,Q201,FALSE),0)</f>
        <v>523</v>
      </c>
      <c r="P201" s="17">
        <f>ROUND(VLOOKUP(O$187&amp;"_2",管理者用人口入力シート!CO:DL,Q201,FALSE),0)</f>
        <v>593</v>
      </c>
      <c r="Q201" s="2">
        <v>16</v>
      </c>
    </row>
    <row r="202" spans="7:17" x14ac:dyDescent="0.15">
      <c r="G202" s="2" t="s">
        <v>13</v>
      </c>
      <c r="H202" s="17">
        <f>ROUND(VLOOKUP(H$187&amp;"_1",管理者用人口入力シート!BH:CE,J202,FALSE),0)</f>
        <v>694</v>
      </c>
      <c r="I202" s="17">
        <f>ROUND(VLOOKUP(H$187&amp;"_2",管理者用人口入力シート!BH:CE,J202,FALSE),0)</f>
        <v>711</v>
      </c>
      <c r="J202" s="2">
        <v>17</v>
      </c>
      <c r="N202" s="2" t="s">
        <v>13</v>
      </c>
      <c r="O202" s="17">
        <f>ROUND(VLOOKUP(O$187&amp;"_1",管理者用人口入力シート!CO:DL,Q202,FALSE),0)</f>
        <v>694</v>
      </c>
      <c r="P202" s="17">
        <f>ROUND(VLOOKUP(O$187&amp;"_2",管理者用人口入力シート!CO:DL,Q202,FALSE),0)</f>
        <v>712</v>
      </c>
      <c r="Q202" s="2">
        <v>17</v>
      </c>
    </row>
    <row r="203" spans="7:17" x14ac:dyDescent="0.15">
      <c r="G203" s="2" t="s">
        <v>14</v>
      </c>
      <c r="H203" s="17">
        <f>ROUND(VLOOKUP(H$187&amp;"_1",管理者用人口入力シート!BH:CE,J203,FALSE),0)</f>
        <v>672</v>
      </c>
      <c r="I203" s="17">
        <f>ROUND(VLOOKUP(H$187&amp;"_2",管理者用人口入力シート!BH:CE,J203,FALSE),0)</f>
        <v>831</v>
      </c>
      <c r="J203" s="2">
        <v>18</v>
      </c>
      <c r="N203" s="2" t="s">
        <v>14</v>
      </c>
      <c r="O203" s="17">
        <f>ROUND(VLOOKUP(O$187&amp;"_1",管理者用人口入力シート!CO:DL,Q203,FALSE),0)</f>
        <v>672</v>
      </c>
      <c r="P203" s="17">
        <f>ROUND(VLOOKUP(O$187&amp;"_2",管理者用人口入力シート!CO:DL,Q203,FALSE),0)</f>
        <v>831</v>
      </c>
      <c r="Q203" s="2">
        <v>18</v>
      </c>
    </row>
    <row r="204" spans="7:17" x14ac:dyDescent="0.15">
      <c r="G204" s="2" t="s">
        <v>15</v>
      </c>
      <c r="H204" s="17">
        <f>ROUND(VLOOKUP(H$187&amp;"_1",管理者用人口入力シート!BH:CE,J204,FALSE),0)</f>
        <v>689</v>
      </c>
      <c r="I204" s="17">
        <f>ROUND(VLOOKUP(H$187&amp;"_2",管理者用人口入力シート!BH:CE,J204,FALSE),0)</f>
        <v>872</v>
      </c>
      <c r="J204" s="2">
        <v>19</v>
      </c>
      <c r="N204" s="2" t="s">
        <v>15</v>
      </c>
      <c r="O204" s="17">
        <f>ROUND(VLOOKUP(O$187&amp;"_1",管理者用人口入力シート!CO:DL,Q204,FALSE),0)</f>
        <v>689</v>
      </c>
      <c r="P204" s="17">
        <f>ROUND(VLOOKUP(O$187&amp;"_2",管理者用人口入力シート!CO:DL,Q204,FALSE),0)</f>
        <v>872</v>
      </c>
      <c r="Q204" s="2">
        <v>19</v>
      </c>
    </row>
    <row r="205" spans="7:17" x14ac:dyDescent="0.15">
      <c r="G205" s="2" t="s">
        <v>16</v>
      </c>
      <c r="H205" s="17">
        <f>ROUND(VLOOKUP(H$187&amp;"_1",管理者用人口入力シート!BH:CE,J205,FALSE),0)</f>
        <v>426</v>
      </c>
      <c r="I205" s="17">
        <f>ROUND(VLOOKUP(H$187&amp;"_2",管理者用人口入力シート!BH:CE,J205,FALSE),0)</f>
        <v>606</v>
      </c>
      <c r="J205" s="2">
        <v>20</v>
      </c>
      <c r="N205" s="2" t="s">
        <v>16</v>
      </c>
      <c r="O205" s="17">
        <f>ROUND(VLOOKUP(O$187&amp;"_1",管理者用人口入力シート!CO:DL,Q205,FALSE),0)</f>
        <v>426</v>
      </c>
      <c r="P205" s="17">
        <f>ROUND(VLOOKUP(O$187&amp;"_2",管理者用人口入力シート!CO:DL,Q205,FALSE),0)</f>
        <v>606</v>
      </c>
      <c r="Q205" s="2">
        <v>20</v>
      </c>
    </row>
    <row r="206" spans="7:17" x14ac:dyDescent="0.15">
      <c r="G206" s="2" t="s">
        <v>17</v>
      </c>
      <c r="H206" s="17">
        <f>ROUND(VLOOKUP(H$187&amp;"_1",管理者用人口入力シート!BH:CE,J206,FALSE),0)</f>
        <v>275</v>
      </c>
      <c r="I206" s="17">
        <f>ROUND(VLOOKUP(H$187&amp;"_2",管理者用人口入力シート!BH:CE,J206,FALSE),0)</f>
        <v>524</v>
      </c>
      <c r="J206" s="2">
        <v>21</v>
      </c>
      <c r="N206" s="2" t="s">
        <v>17</v>
      </c>
      <c r="O206" s="17">
        <f>ROUND(VLOOKUP(O$187&amp;"_1",管理者用人口入力シート!CO:DL,Q206,FALSE),0)</f>
        <v>275</v>
      </c>
      <c r="P206" s="17">
        <f>ROUND(VLOOKUP(O$187&amp;"_2",管理者用人口入力シート!CO:DL,Q206,FALSE),0)</f>
        <v>524</v>
      </c>
      <c r="Q206" s="2">
        <v>21</v>
      </c>
    </row>
    <row r="207" spans="7:17" x14ac:dyDescent="0.15">
      <c r="G207" s="2" t="s">
        <v>18</v>
      </c>
      <c r="H207" s="17">
        <f>ROUND(VLOOKUP(H$187&amp;"_1",管理者用人口入力シート!BH:CE,J207,FALSE),0)</f>
        <v>184</v>
      </c>
      <c r="I207" s="17">
        <f>ROUND(VLOOKUP(H$187&amp;"_2",管理者用人口入力シート!BH:CE,J207,FALSE),0)</f>
        <v>459</v>
      </c>
      <c r="J207" s="2">
        <v>22</v>
      </c>
      <c r="N207" s="2" t="s">
        <v>18</v>
      </c>
      <c r="O207" s="17">
        <f>ROUND(VLOOKUP(O$187&amp;"_1",管理者用人口入力シート!CO:DL,Q207,FALSE),0)</f>
        <v>184</v>
      </c>
      <c r="P207" s="17">
        <f>ROUND(VLOOKUP(O$187&amp;"_2",管理者用人口入力シート!CO:DL,Q207,FALSE),0)</f>
        <v>459</v>
      </c>
      <c r="Q207" s="2">
        <v>22</v>
      </c>
    </row>
    <row r="208" spans="7:17" x14ac:dyDescent="0.15">
      <c r="G208" s="2" t="s">
        <v>19</v>
      </c>
      <c r="H208" s="17">
        <f>ROUND(VLOOKUP(H$187&amp;"_1",管理者用人口入力シート!BH:CE,J208,FALSE),0)</f>
        <v>92</v>
      </c>
      <c r="I208" s="17">
        <f>ROUND(VLOOKUP(H$187&amp;"_2",管理者用人口入力シート!BH:CE,J208,FALSE),0)</f>
        <v>312</v>
      </c>
      <c r="J208" s="2">
        <v>23</v>
      </c>
      <c r="N208" s="2" t="s">
        <v>19</v>
      </c>
      <c r="O208" s="17">
        <f>ROUND(VLOOKUP(O$187&amp;"_1",管理者用人口入力シート!CO:DL,Q208,FALSE),0)</f>
        <v>92</v>
      </c>
      <c r="P208" s="17">
        <f>ROUND(VLOOKUP(O$187&amp;"_2",管理者用人口入力シート!CO:DL,Q208,FALSE),0)</f>
        <v>312</v>
      </c>
      <c r="Q208" s="2">
        <v>23</v>
      </c>
    </row>
    <row r="209" spans="7:17" x14ac:dyDescent="0.15">
      <c r="G209" s="2" t="s">
        <v>20</v>
      </c>
      <c r="H209" s="17">
        <f>ROUND(VLOOKUP(H$187&amp;"_1",管理者用人口入力シート!BH:CE,J209,FALSE),0)</f>
        <v>29</v>
      </c>
      <c r="I209" s="17">
        <f>ROUND(VLOOKUP(H$187&amp;"_2",管理者用人口入力シート!BH:CE,J209,FALSE),0)</f>
        <v>104</v>
      </c>
      <c r="J209" s="2">
        <v>24</v>
      </c>
      <c r="N209" s="2" t="s">
        <v>20</v>
      </c>
      <c r="O209" s="17">
        <f>ROUND(VLOOKUP(O$187&amp;"_1",管理者用人口入力シート!CO:DL,Q209,FALSE),0)</f>
        <v>29</v>
      </c>
      <c r="P209" s="17">
        <f>ROUND(VLOOKUP(O$187&amp;"_2",管理者用人口入力シート!CO:DL,Q209,FALSE),0)</f>
        <v>104</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855</v>
      </c>
      <c r="P214" s="17">
        <f>O93+P93</f>
        <v>859</v>
      </c>
      <c r="Q214" s="2">
        <v>4</v>
      </c>
    </row>
    <row r="215" spans="7:17" x14ac:dyDescent="0.15">
      <c r="N215" s="2" t="s">
        <v>1</v>
      </c>
      <c r="O215" s="17">
        <f t="shared" ref="O215:O233" si="37">H94+I94</f>
        <v>876</v>
      </c>
      <c r="P215" s="17">
        <f t="shared" ref="P215:P233" si="38">O94+P94</f>
        <v>878</v>
      </c>
      <c r="Q215" s="2">
        <v>5</v>
      </c>
    </row>
    <row r="216" spans="7:17" x14ac:dyDescent="0.15">
      <c r="N216" s="2" t="s">
        <v>2</v>
      </c>
      <c r="O216" s="17">
        <f t="shared" si="37"/>
        <v>1071</v>
      </c>
      <c r="P216" s="17">
        <f t="shared" si="38"/>
        <v>1073</v>
      </c>
      <c r="Q216" s="2">
        <v>6</v>
      </c>
    </row>
    <row r="217" spans="7:17" x14ac:dyDescent="0.15">
      <c r="N217" s="2" t="s">
        <v>3</v>
      </c>
      <c r="O217" s="17">
        <f t="shared" si="37"/>
        <v>1616</v>
      </c>
      <c r="P217" s="17">
        <f t="shared" si="38"/>
        <v>1618</v>
      </c>
      <c r="Q217" s="2">
        <v>7</v>
      </c>
    </row>
    <row r="218" spans="7:17" x14ac:dyDescent="0.15">
      <c r="N218" s="2" t="s">
        <v>4</v>
      </c>
      <c r="O218" s="17">
        <f t="shared" si="37"/>
        <v>905</v>
      </c>
      <c r="P218" s="17">
        <f t="shared" si="38"/>
        <v>905</v>
      </c>
      <c r="Q218" s="2">
        <v>8</v>
      </c>
    </row>
    <row r="219" spans="7:17" x14ac:dyDescent="0.15">
      <c r="N219" s="2" t="s">
        <v>5</v>
      </c>
      <c r="O219" s="17">
        <f t="shared" si="37"/>
        <v>860</v>
      </c>
      <c r="P219" s="17">
        <f t="shared" si="38"/>
        <v>864</v>
      </c>
      <c r="Q219" s="2">
        <v>9</v>
      </c>
    </row>
    <row r="220" spans="7:17" x14ac:dyDescent="0.15">
      <c r="N220" s="2" t="s">
        <v>6</v>
      </c>
      <c r="O220" s="17">
        <f t="shared" si="37"/>
        <v>843</v>
      </c>
      <c r="P220" s="17">
        <f t="shared" si="38"/>
        <v>847</v>
      </c>
      <c r="Q220" s="2">
        <v>10</v>
      </c>
    </row>
    <row r="221" spans="7:17" x14ac:dyDescent="0.15">
      <c r="N221" s="2" t="s">
        <v>7</v>
      </c>
      <c r="O221" s="17">
        <f t="shared" si="37"/>
        <v>887</v>
      </c>
      <c r="P221" s="17">
        <f t="shared" si="38"/>
        <v>887</v>
      </c>
      <c r="Q221" s="2">
        <v>11</v>
      </c>
    </row>
    <row r="222" spans="7:17" x14ac:dyDescent="0.15">
      <c r="N222" s="2" t="s">
        <v>8</v>
      </c>
      <c r="O222" s="17">
        <f t="shared" si="37"/>
        <v>1101</v>
      </c>
      <c r="P222" s="17">
        <f t="shared" si="38"/>
        <v>1102</v>
      </c>
      <c r="Q222" s="2">
        <v>12</v>
      </c>
    </row>
    <row r="223" spans="7:17" x14ac:dyDescent="0.15">
      <c r="N223" s="2" t="s">
        <v>9</v>
      </c>
      <c r="O223" s="17">
        <f t="shared" si="37"/>
        <v>1428</v>
      </c>
      <c r="P223" s="17">
        <f t="shared" si="38"/>
        <v>1429</v>
      </c>
      <c r="Q223" s="2">
        <v>13</v>
      </c>
    </row>
    <row r="224" spans="7:17" x14ac:dyDescent="0.15">
      <c r="N224" s="2" t="s">
        <v>10</v>
      </c>
      <c r="O224" s="17">
        <f t="shared" si="37"/>
        <v>1604</v>
      </c>
      <c r="P224" s="17">
        <f t="shared" si="38"/>
        <v>1604</v>
      </c>
      <c r="Q224" s="2">
        <v>14</v>
      </c>
    </row>
    <row r="225" spans="14:17" x14ac:dyDescent="0.15">
      <c r="N225" s="2" t="s">
        <v>11</v>
      </c>
      <c r="O225" s="17">
        <f t="shared" si="37"/>
        <v>1737</v>
      </c>
      <c r="P225" s="17">
        <f t="shared" si="38"/>
        <v>1737</v>
      </c>
      <c r="Q225" s="2">
        <v>15</v>
      </c>
    </row>
    <row r="226" spans="14:17" x14ac:dyDescent="0.15">
      <c r="N226" s="2" t="s">
        <v>12</v>
      </c>
      <c r="O226" s="17">
        <f t="shared" si="37"/>
        <v>1203</v>
      </c>
      <c r="P226" s="17">
        <f t="shared" si="38"/>
        <v>1203</v>
      </c>
      <c r="Q226" s="2">
        <v>16</v>
      </c>
    </row>
    <row r="227" spans="14:17" x14ac:dyDescent="0.15">
      <c r="N227" s="2" t="s">
        <v>13</v>
      </c>
      <c r="O227" s="17">
        <f t="shared" si="37"/>
        <v>1083</v>
      </c>
      <c r="P227" s="17">
        <f t="shared" si="38"/>
        <v>1083</v>
      </c>
      <c r="Q227" s="2">
        <v>17</v>
      </c>
    </row>
    <row r="228" spans="14:17" x14ac:dyDescent="0.15">
      <c r="N228" s="2" t="s">
        <v>14</v>
      </c>
      <c r="O228" s="17">
        <f t="shared" si="37"/>
        <v>1203</v>
      </c>
      <c r="P228" s="17">
        <f t="shared" si="38"/>
        <v>1203</v>
      </c>
      <c r="Q228" s="2">
        <v>18</v>
      </c>
    </row>
    <row r="229" spans="14:17" x14ac:dyDescent="0.15">
      <c r="N229" s="2" t="s">
        <v>15</v>
      </c>
      <c r="O229" s="17">
        <f t="shared" si="37"/>
        <v>1446</v>
      </c>
      <c r="P229" s="17">
        <f t="shared" si="38"/>
        <v>1446</v>
      </c>
      <c r="Q229" s="2">
        <v>19</v>
      </c>
    </row>
    <row r="230" spans="14:17" x14ac:dyDescent="0.15">
      <c r="N230" s="2" t="s">
        <v>16</v>
      </c>
      <c r="O230" s="17">
        <f t="shared" si="37"/>
        <v>1501</v>
      </c>
      <c r="P230" s="17">
        <f t="shared" si="38"/>
        <v>1501</v>
      </c>
      <c r="Q230" s="2">
        <v>20</v>
      </c>
    </row>
    <row r="231" spans="14:17" x14ac:dyDescent="0.15">
      <c r="N231" s="2" t="s">
        <v>17</v>
      </c>
      <c r="O231" s="17">
        <f t="shared" si="37"/>
        <v>870</v>
      </c>
      <c r="P231" s="17">
        <f t="shared" si="38"/>
        <v>870</v>
      </c>
      <c r="Q231" s="2">
        <v>21</v>
      </c>
    </row>
    <row r="232" spans="14:17" x14ac:dyDescent="0.15">
      <c r="N232" s="2" t="s">
        <v>18</v>
      </c>
      <c r="O232" s="17">
        <f t="shared" si="37"/>
        <v>479</v>
      </c>
      <c r="P232" s="17">
        <f t="shared" si="38"/>
        <v>479</v>
      </c>
      <c r="Q232" s="2">
        <v>22</v>
      </c>
    </row>
    <row r="233" spans="14:17" x14ac:dyDescent="0.15">
      <c r="N233" s="2" t="s">
        <v>19</v>
      </c>
      <c r="O233" s="17">
        <f t="shared" si="37"/>
        <v>243</v>
      </c>
      <c r="P233" s="17">
        <f t="shared" si="38"/>
        <v>243</v>
      </c>
      <c r="Q233" s="2">
        <v>23</v>
      </c>
    </row>
    <row r="234" spans="14:17" x14ac:dyDescent="0.15">
      <c r="N234" s="2" t="s">
        <v>20</v>
      </c>
      <c r="O234" s="17">
        <f>H113+I113</f>
        <v>61</v>
      </c>
      <c r="P234" s="17">
        <f>O113+P113</f>
        <v>61</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890</v>
      </c>
      <c r="P238" s="17">
        <f>O141+P141</f>
        <v>896</v>
      </c>
      <c r="Q238" s="2">
        <v>4</v>
      </c>
    </row>
    <row r="239" spans="14:17" x14ac:dyDescent="0.15">
      <c r="N239" s="2" t="s">
        <v>1</v>
      </c>
      <c r="O239" s="17">
        <f t="shared" ref="O239:O257" si="39">H142+I142</f>
        <v>910</v>
      </c>
      <c r="P239" s="17">
        <f t="shared" ref="P239:P257" si="40">O142+P142</f>
        <v>916</v>
      </c>
      <c r="Q239" s="2">
        <v>5</v>
      </c>
    </row>
    <row r="240" spans="14:17" x14ac:dyDescent="0.15">
      <c r="N240" s="2" t="s">
        <v>2</v>
      </c>
      <c r="O240" s="17">
        <f t="shared" si="39"/>
        <v>966</v>
      </c>
      <c r="P240" s="17">
        <f t="shared" si="40"/>
        <v>972</v>
      </c>
      <c r="Q240" s="2">
        <v>6</v>
      </c>
    </row>
    <row r="241" spans="14:17" x14ac:dyDescent="0.15">
      <c r="N241" s="2" t="s">
        <v>3</v>
      </c>
      <c r="O241" s="17">
        <f t="shared" si="39"/>
        <v>1249</v>
      </c>
      <c r="P241" s="17">
        <f t="shared" si="40"/>
        <v>1255</v>
      </c>
      <c r="Q241" s="2">
        <v>7</v>
      </c>
    </row>
    <row r="242" spans="14:17" x14ac:dyDescent="0.15">
      <c r="N242" s="2" t="s">
        <v>4</v>
      </c>
      <c r="O242" s="17">
        <f t="shared" si="39"/>
        <v>740</v>
      </c>
      <c r="P242" s="17">
        <f t="shared" si="40"/>
        <v>742</v>
      </c>
      <c r="Q242" s="2">
        <v>8</v>
      </c>
    </row>
    <row r="243" spans="14:17" x14ac:dyDescent="0.15">
      <c r="N243" s="2" t="s">
        <v>5</v>
      </c>
      <c r="O243" s="17">
        <f t="shared" si="39"/>
        <v>962</v>
      </c>
      <c r="P243" s="17">
        <f t="shared" si="40"/>
        <v>966</v>
      </c>
      <c r="Q243" s="2">
        <v>9</v>
      </c>
    </row>
    <row r="244" spans="14:17" x14ac:dyDescent="0.15">
      <c r="N244" s="2" t="s">
        <v>6</v>
      </c>
      <c r="O244" s="17">
        <f t="shared" si="39"/>
        <v>1056</v>
      </c>
      <c r="P244" s="17">
        <f t="shared" si="40"/>
        <v>1060</v>
      </c>
      <c r="Q244" s="2">
        <v>10</v>
      </c>
    </row>
    <row r="245" spans="14:17" x14ac:dyDescent="0.15">
      <c r="N245" s="2" t="s">
        <v>7</v>
      </c>
      <c r="O245" s="17">
        <f t="shared" si="39"/>
        <v>967</v>
      </c>
      <c r="P245" s="17">
        <f t="shared" si="40"/>
        <v>971</v>
      </c>
      <c r="Q245" s="2">
        <v>11</v>
      </c>
    </row>
    <row r="246" spans="14:17" x14ac:dyDescent="0.15">
      <c r="N246" s="2" t="s">
        <v>8</v>
      </c>
      <c r="O246" s="17">
        <f t="shared" si="39"/>
        <v>907</v>
      </c>
      <c r="P246" s="17">
        <f t="shared" si="40"/>
        <v>912</v>
      </c>
      <c r="Q246" s="2">
        <v>12</v>
      </c>
    </row>
    <row r="247" spans="14:17" x14ac:dyDescent="0.15">
      <c r="N247" s="2" t="s">
        <v>9</v>
      </c>
      <c r="O247" s="17">
        <f t="shared" si="39"/>
        <v>900</v>
      </c>
      <c r="P247" s="17">
        <f t="shared" si="40"/>
        <v>901</v>
      </c>
      <c r="Q247" s="2">
        <v>13</v>
      </c>
    </row>
    <row r="248" spans="14:17" x14ac:dyDescent="0.15">
      <c r="N248" s="2" t="s">
        <v>10</v>
      </c>
      <c r="O248" s="17">
        <f t="shared" si="39"/>
        <v>1122</v>
      </c>
      <c r="P248" s="17">
        <f t="shared" si="40"/>
        <v>1123</v>
      </c>
      <c r="Q248" s="2">
        <v>14</v>
      </c>
    </row>
    <row r="249" spans="14:17" x14ac:dyDescent="0.15">
      <c r="N249" s="2" t="s">
        <v>11</v>
      </c>
      <c r="O249" s="17">
        <f t="shared" si="39"/>
        <v>1459</v>
      </c>
      <c r="P249" s="17">
        <f t="shared" si="40"/>
        <v>1460</v>
      </c>
      <c r="Q249" s="2">
        <v>15</v>
      </c>
    </row>
    <row r="250" spans="14:17" x14ac:dyDescent="0.15">
      <c r="N250" s="2" t="s">
        <v>12</v>
      </c>
      <c r="O250" s="17">
        <f t="shared" si="39"/>
        <v>1593</v>
      </c>
      <c r="P250" s="17">
        <f t="shared" si="40"/>
        <v>1593</v>
      </c>
      <c r="Q250" s="2">
        <v>16</v>
      </c>
    </row>
    <row r="251" spans="14:17" x14ac:dyDescent="0.15">
      <c r="N251" s="2" t="s">
        <v>13</v>
      </c>
      <c r="O251" s="17">
        <f t="shared" si="39"/>
        <v>1672</v>
      </c>
      <c r="P251" s="17">
        <f t="shared" si="40"/>
        <v>1672</v>
      </c>
      <c r="Q251" s="2">
        <v>17</v>
      </c>
    </row>
    <row r="252" spans="14:17" x14ac:dyDescent="0.15">
      <c r="N252" s="2" t="s">
        <v>14</v>
      </c>
      <c r="O252" s="17">
        <f t="shared" si="39"/>
        <v>1135</v>
      </c>
      <c r="P252" s="17">
        <f t="shared" si="40"/>
        <v>1135</v>
      </c>
      <c r="Q252" s="2">
        <v>18</v>
      </c>
    </row>
    <row r="253" spans="14:17" x14ac:dyDescent="0.15">
      <c r="N253" s="2" t="s">
        <v>15</v>
      </c>
      <c r="O253" s="17">
        <f t="shared" si="39"/>
        <v>1014</v>
      </c>
      <c r="P253" s="17">
        <f t="shared" si="40"/>
        <v>1014</v>
      </c>
      <c r="Q253" s="2">
        <v>19</v>
      </c>
    </row>
    <row r="254" spans="14:17" x14ac:dyDescent="0.15">
      <c r="N254" s="2" t="s">
        <v>16</v>
      </c>
      <c r="O254" s="17">
        <f t="shared" si="39"/>
        <v>1097</v>
      </c>
      <c r="P254" s="17">
        <f t="shared" si="40"/>
        <v>1097</v>
      </c>
      <c r="Q254" s="2">
        <v>20</v>
      </c>
    </row>
    <row r="255" spans="14:17" x14ac:dyDescent="0.15">
      <c r="N255" s="2" t="s">
        <v>17</v>
      </c>
      <c r="O255" s="17">
        <f t="shared" si="39"/>
        <v>1135</v>
      </c>
      <c r="P255" s="17">
        <f t="shared" si="40"/>
        <v>1135</v>
      </c>
      <c r="Q255" s="2">
        <v>21</v>
      </c>
    </row>
    <row r="256" spans="14:17" x14ac:dyDescent="0.15">
      <c r="N256" s="2" t="s">
        <v>18</v>
      </c>
      <c r="O256" s="17">
        <f t="shared" si="39"/>
        <v>890</v>
      </c>
      <c r="P256" s="17">
        <f t="shared" si="40"/>
        <v>890</v>
      </c>
      <c r="Q256" s="2">
        <v>22</v>
      </c>
    </row>
    <row r="257" spans="14:17" x14ac:dyDescent="0.15">
      <c r="N257" s="2" t="s">
        <v>19</v>
      </c>
      <c r="O257" s="17">
        <f t="shared" si="39"/>
        <v>303</v>
      </c>
      <c r="P257" s="17">
        <f t="shared" si="40"/>
        <v>303</v>
      </c>
      <c r="Q257" s="2">
        <v>23</v>
      </c>
    </row>
    <row r="258" spans="14:17" x14ac:dyDescent="0.15">
      <c r="N258" s="2" t="s">
        <v>20</v>
      </c>
      <c r="O258" s="17">
        <f>H161+I161</f>
        <v>71</v>
      </c>
      <c r="P258" s="17">
        <f>O161+P161</f>
        <v>71</v>
      </c>
      <c r="Q258" s="2">
        <v>24</v>
      </c>
    </row>
  </sheetData>
  <mergeCells count="17">
    <mergeCell ref="O163:P163"/>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2019-03-15T06:04:01Z</cp:lastPrinted>
  <dcterms:created xsi:type="dcterms:W3CDTF">2018-08-17T00:57:13Z</dcterms:created>
  <dcterms:modified xsi:type="dcterms:W3CDTF">2023-03-06T06:07:01Z</dcterms:modified>
</cp:coreProperties>
</file>