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TqmPcwwuo5tkB9hk/enf3xB9Wra1L8denRhREvl4WVp8rq4stxOgP0pGLvX1mQOgM8ZCPGXogAREl2ygXd1PZg==" workbookSaltValue="o9cGmwRboqiBhzEXF1sqn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C26" i="18"/>
  <c r="I42" i="18" s="1"/>
  <c r="D5" i="18"/>
  <c r="J5" i="18" s="1"/>
  <c r="Q5" i="18" s="1"/>
  <c r="D6" i="18"/>
  <c r="J6" i="18" s="1"/>
  <c r="Q6" i="18" s="1"/>
  <c r="C5" i="18"/>
  <c r="A36" i="24"/>
  <c r="H40" i="18"/>
  <c r="H22" i="18"/>
  <c r="H17" i="18"/>
  <c r="AT7" i="17"/>
  <c r="BS3" i="17" s="1"/>
  <c r="AR7" i="17"/>
  <c r="BD7" i="17"/>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AU8" i="17" s="1"/>
  <c r="BT4" i="17" s="1"/>
  <c r="BD4" i="17"/>
  <c r="BD8" i="17" s="1"/>
  <c r="CC4" i="17" s="1"/>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X8" i="17"/>
  <c r="BW4" i="17" s="1"/>
  <c r="AN7" i="17"/>
  <c r="BM3" i="17" s="1"/>
  <c r="AP7" i="17"/>
  <c r="BO3" i="17" s="1"/>
  <c r="BF7" i="17"/>
  <c r="CE3" i="17" s="1"/>
  <c r="AQ7" i="17"/>
  <c r="BP3" i="17" s="1"/>
  <c r="AU7" i="17"/>
  <c r="BT3" i="17" s="1"/>
  <c r="BE7" i="17"/>
  <c r="CD3" i="17" s="1"/>
  <c r="G71" i="15"/>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W3" i="17"/>
  <c r="CC3" i="17"/>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B8" i="17" l="1"/>
  <c r="CA4" i="17" s="1"/>
  <c r="AP8" i="17"/>
  <c r="BO4" i="17" s="1"/>
  <c r="CV4" i="17" s="1"/>
  <c r="O14" i="18"/>
  <c r="AV8" i="17"/>
  <c r="BU4" i="17" s="1"/>
  <c r="DB4" i="17" s="1"/>
  <c r="AT8" i="17"/>
  <c r="BS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ER4" i="17"/>
  <c r="DA4" i="17"/>
  <c r="DB7" i="17" s="1"/>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DJ4" i="17"/>
  <c r="BT5" i="17"/>
  <c r="BU6" i="17"/>
  <c r="BW6" i="17"/>
  <c r="BO6" i="17"/>
  <c r="BT7" i="17"/>
  <c r="CH3" i="17"/>
  <c r="BR6" i="17"/>
  <c r="BS6" i="17"/>
  <c r="BQ6" i="17"/>
  <c r="DI3" i="17"/>
  <c r="CC6" i="17"/>
  <c r="BM6" i="17"/>
  <c r="CG3" i="17"/>
  <c r="DH4" i="17"/>
  <c r="DI7" i="17" s="1"/>
  <c r="CM3" i="17"/>
  <c r="DG3" i="17"/>
  <c r="CA6" i="17"/>
  <c r="CJ3" i="17"/>
  <c r="DF3" i="17"/>
  <c r="BZ6" i="17"/>
  <c r="DE3" i="17"/>
  <c r="BY6" i="17"/>
  <c r="CI3" i="17"/>
  <c r="DH3" i="17"/>
  <c r="CB6" i="17"/>
  <c r="CA5" i="17"/>
  <c r="BN6" i="17"/>
  <c r="BS5" i="17"/>
  <c r="BV6" i="17"/>
  <c r="BU7" i="17"/>
  <c r="CC5" i="17"/>
  <c r="BX6" i="17"/>
  <c r="BQ5" i="17"/>
  <c r="BP6" i="17"/>
  <c r="BT6" i="17"/>
  <c r="O42" i="18"/>
  <c r="O60" i="18"/>
  <c r="O52" i="18"/>
  <c r="O24" i="18"/>
  <c r="O34" i="18"/>
  <c r="O16" i="18"/>
  <c r="BU5" i="17" l="1"/>
  <c r="BO5" i="17"/>
  <c r="ED4" i="17"/>
  <c r="ED5" i="17" s="1"/>
  <c r="EQ4" i="17"/>
  <c r="ER7" i="17" s="1"/>
  <c r="O75" i="18"/>
  <c r="DG4" i="17"/>
  <c r="DH7" i="17" s="1"/>
  <c r="P85" i="18" s="1"/>
  <c r="DK4" i="17"/>
  <c r="DL7" i="17" s="1"/>
  <c r="DL8" i="17" s="1"/>
  <c r="BR7" i="17"/>
  <c r="BS10" i="17" s="1"/>
  <c r="BT13" i="17" s="1"/>
  <c r="I150" i="18"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DJ10" i="17"/>
  <c r="I86" i="18"/>
  <c r="I80" i="18"/>
  <c r="CE9" i="17"/>
  <c r="H137" i="18" s="1"/>
  <c r="H88" i="18"/>
  <c r="P87" i="18"/>
  <c r="DL5" i="17"/>
  <c r="DA9" i="17"/>
  <c r="DO3" i="17"/>
  <c r="DC6" i="17"/>
  <c r="DD5" i="17"/>
  <c r="DC10" i="17"/>
  <c r="EQ6" i="17"/>
  <c r="EQ23" i="17" s="1"/>
  <c r="EP5" i="17"/>
  <c r="EC7"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EQ21" i="17" l="1"/>
  <c r="EQ22" i="17" s="1"/>
  <c r="BR8" i="17"/>
  <c r="EQ5" i="17"/>
  <c r="DG5" i="17"/>
  <c r="EV4" i="17"/>
  <c r="DD10" i="17"/>
  <c r="P88" i="18"/>
  <c r="P84" i="18"/>
  <c r="CM5" i="17"/>
  <c r="CD10" i="17"/>
  <c r="CE13" i="17" s="1"/>
  <c r="I113" i="18" s="1"/>
  <c r="O234" i="18" s="1"/>
  <c r="ET7" i="17"/>
  <c r="ET24" i="17" s="1"/>
  <c r="DK5" i="17"/>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E13" i="17"/>
  <c r="DF16" i="17" s="1"/>
  <c r="P129" i="18"/>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I161" i="18"/>
  <c r="H161" i="18"/>
  <c r="I127" i="18"/>
  <c r="I145" i="18"/>
  <c r="K4" i="18"/>
  <c r="R4" i="18" s="1"/>
  <c r="I158" i="18"/>
  <c r="I124" i="18"/>
  <c r="H136" i="18"/>
  <c r="I133" i="18"/>
  <c r="I122" i="18"/>
  <c r="H128" i="18"/>
  <c r="I125" i="18"/>
  <c r="H124" i="18"/>
  <c r="H153" i="18"/>
  <c r="I126" i="18"/>
  <c r="I128" i="18"/>
  <c r="I107" i="18"/>
  <c r="I135" i="18"/>
  <c r="I131" i="18"/>
  <c r="I134" i="18"/>
  <c r="I129" i="18"/>
  <c r="H149" i="18"/>
  <c r="I146" i="18"/>
  <c r="I13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T25"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O8" i="17"/>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D11"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O257"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CE14" i="17"/>
  <c r="BR12" i="17"/>
  <c r="H148" i="18" s="1"/>
  <c r="DE9" i="17"/>
  <c r="O130" i="18" s="1"/>
  <c r="DD8" i="17"/>
  <c r="DP7" i="17"/>
  <c r="BU11" i="17"/>
  <c r="BV12" i="17"/>
  <c r="H152" i="18" s="1"/>
  <c r="O249" i="18" s="1"/>
  <c r="DQ5" i="17" l="1"/>
  <c r="EO10" i="17"/>
  <c r="EO27" i="17" s="1"/>
  <c r="ET8" i="17"/>
  <c r="EY8" i="17" s="1"/>
  <c r="CI8" i="17"/>
  <c r="O256" i="18"/>
  <c r="DP5" i="17"/>
  <c r="DT5" i="17"/>
  <c r="BZ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I45" i="18" s="1"/>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P13" i="17"/>
  <c r="EP30" i="17" s="1"/>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O28"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X8" i="17"/>
  <c r="EP12" i="17"/>
  <c r="EO11"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CK5" i="17"/>
  <c r="DL12" i="17"/>
  <c r="DK11" i="17"/>
  <c r="DO8" i="17"/>
  <c r="Q26" i="18" s="1"/>
  <c r="CU11" i="17"/>
  <c r="BZ14" i="17"/>
  <c r="CJ12" i="17"/>
  <c r="BM9" i="17"/>
  <c r="H119" i="18" s="1"/>
  <c r="CG6" i="17"/>
  <c r="DJ12" i="17"/>
  <c r="DI11" i="17"/>
  <c r="CL4"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BL8" i="17" l="1"/>
  <c r="P250" i="18"/>
  <c r="P226" i="18"/>
  <c r="DB16" i="17"/>
  <c r="DC19" i="17" s="1"/>
  <c r="P200" i="18" s="1"/>
  <c r="P224" i="18"/>
  <c r="I182" i="18"/>
  <c r="P249" i="18"/>
  <c r="DE14" i="17"/>
  <c r="CI16" i="17"/>
  <c r="CJ16" i="17"/>
  <c r="CG7" i="17"/>
  <c r="CJ11" i="17"/>
  <c r="CF7" i="17"/>
  <c r="CK7" i="17" s="1"/>
  <c r="EC11" i="17"/>
  <c r="P150" i="18"/>
  <c r="P247" i="18" s="1"/>
  <c r="P248" i="18"/>
  <c r="CI11" i="17"/>
  <c r="CR5" i="17"/>
  <c r="DM5" i="17" s="1"/>
  <c r="DR5" i="17" s="1"/>
  <c r="CS7" i="17"/>
  <c r="P70" i="18" s="1"/>
  <c r="I94" i="18"/>
  <c r="P69" i="18"/>
  <c r="I93" i="18"/>
  <c r="O214" i="18" s="1"/>
  <c r="CK4" i="17"/>
  <c r="DP13" i="17"/>
  <c r="BK8" i="17"/>
  <c r="CF8" i="17" s="1"/>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Y11" i="17" s="1"/>
  <c r="EX24" i="17"/>
  <c r="EX10" i="17"/>
  <c r="CB17" i="17"/>
  <c r="CE18" i="17"/>
  <c r="BX18" i="17"/>
  <c r="EQ13" i="17"/>
  <c r="EQ30" i="17" s="1"/>
  <c r="EY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G8" i="17"/>
  <c r="I18" i="18" s="1"/>
  <c r="CJ14" i="17"/>
  <c r="DR4" i="17"/>
  <c r="DS4" i="17"/>
  <c r="DQ11" i="17"/>
  <c r="CG9" i="17"/>
  <c r="BN12" i="17"/>
  <c r="CH9" i="17"/>
  <c r="BM11" i="17"/>
  <c r="CH11" i="17" s="1"/>
  <c r="I27" i="18" s="1"/>
  <c r="P27" i="18" s="1"/>
  <c r="CV14" i="17"/>
  <c r="DT12" i="17"/>
  <c r="CL7" i="17"/>
  <c r="DN6" i="17"/>
  <c r="BL11" i="17"/>
  <c r="BM12" i="17"/>
  <c r="DP12" i="17"/>
  <c r="CI14" i="17"/>
  <c r="BM13" i="17"/>
  <c r="CG10" i="17"/>
  <c r="DC20" i="17" l="1"/>
  <c r="DM7" i="17"/>
  <c r="DS7" i="17" s="1"/>
  <c r="P175" i="18"/>
  <c r="DB17" i="17"/>
  <c r="EX30" i="17"/>
  <c r="DJ19" i="17"/>
  <c r="P207" i="18" s="1"/>
  <c r="O215" i="18"/>
  <c r="H142" i="18"/>
  <c r="DS5" i="17"/>
  <c r="CS8" i="17"/>
  <c r="DN8" i="17" s="1"/>
  <c r="Q18" i="18" s="1"/>
  <c r="CT10" i="17"/>
  <c r="CU13" i="17" s="1"/>
  <c r="CV16" i="17" s="1"/>
  <c r="DT16" i="17" s="1"/>
  <c r="CR15" i="17" s="1"/>
  <c r="O165" i="18" s="1"/>
  <c r="DN7" i="17"/>
  <c r="ED14" i="17"/>
  <c r="Q53" i="18"/>
  <c r="T7" i="18"/>
  <c r="U7" i="18" s="1"/>
  <c r="Q61" i="18"/>
  <c r="BM15" i="17"/>
  <c r="BN18" i="17" s="1"/>
  <c r="CR13" i="17"/>
  <c r="P141" i="18" s="1"/>
  <c r="P238" i="18" s="1"/>
  <c r="P256" i="18"/>
  <c r="P173" i="18"/>
  <c r="CZ17" i="17"/>
  <c r="P231" i="18"/>
  <c r="CY20" i="17"/>
  <c r="P232" i="18"/>
  <c r="CS15" i="17"/>
  <c r="CT18" i="17" s="1"/>
  <c r="O191" i="18" s="1"/>
  <c r="BK12" i="17"/>
  <c r="CF12" i="17" s="1"/>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EX31" i="17" s="1"/>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DR7"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M8" i="17"/>
  <c r="DR8" i="17" s="1"/>
  <c r="DT14" i="17"/>
  <c r="BN14" i="17"/>
  <c r="CG11" i="17"/>
  <c r="I19" i="18" s="1"/>
  <c r="P19" i="18" s="1"/>
  <c r="P46" i="18"/>
  <c r="P38" i="18"/>
  <c r="BM14" i="17"/>
  <c r="CH12" i="17"/>
  <c r="DO9" i="17"/>
  <c r="CL8" i="17"/>
  <c r="CK8" i="17"/>
  <c r="CH13" i="17"/>
  <c r="CG12" i="17"/>
  <c r="DM9" i="17"/>
  <c r="P18" i="18"/>
  <c r="DN9" i="17"/>
  <c r="DW10" i="17" l="1"/>
  <c r="CK12" i="17"/>
  <c r="DW16" i="17"/>
  <c r="DN10" i="17"/>
  <c r="CT11" i="17"/>
  <c r="DN11" i="17" s="1"/>
  <c r="Q19" i="18" s="1"/>
  <c r="P144" i="18"/>
  <c r="DO10" i="17"/>
  <c r="DM10" i="17"/>
  <c r="DR10" i="17" s="1"/>
  <c r="P119" i="18"/>
  <c r="Q63" i="18" s="1"/>
  <c r="H167" i="18"/>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DW8" i="17" s="1"/>
  <c r="DW9"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O11" i="17"/>
  <c r="Q27" i="18" s="1"/>
  <c r="DR9" i="17"/>
  <c r="DS9" i="17"/>
  <c r="CU14" i="17"/>
  <c r="CH14" i="17"/>
  <c r="I28" i="18" s="1"/>
  <c r="DS10" i="17" l="1"/>
  <c r="DM11" i="17"/>
  <c r="DR11" i="17" s="1"/>
  <c r="CK13" i="17"/>
  <c r="DW17" i="17"/>
  <c r="DX1" i="17" s="1"/>
  <c r="T10" i="18"/>
  <c r="P241" i="18"/>
  <c r="Q55" i="18"/>
  <c r="T9" i="18"/>
  <c r="U9" i="18" s="1"/>
  <c r="P166" i="18"/>
  <c r="CT19" i="17"/>
  <c r="CT20" i="17" s="1"/>
  <c r="DR13" i="17"/>
  <c r="CS17" i="17"/>
  <c r="CL13" i="17"/>
  <c r="BN19" i="17"/>
  <c r="I192" i="18" s="1"/>
  <c r="I56" i="18"/>
  <c r="E74" i="19" s="1"/>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G71" i="19" l="1"/>
  <c r="P56" i="18"/>
  <c r="DS11" i="17"/>
  <c r="U10" i="18"/>
  <c r="D44" i="21" s="1"/>
  <c r="E75" i="19"/>
  <c r="EG3" i="17"/>
  <c r="EF3" i="17"/>
  <c r="EE9" i="17"/>
  <c r="EF12" i="17" s="1"/>
  <c r="DX18" i="17"/>
  <c r="EE12" i="17"/>
  <c r="EE6" i="17"/>
  <c r="EG4" i="17"/>
  <c r="EE10" i="17"/>
  <c r="EE4" i="17"/>
  <c r="EF7" i="17" s="1"/>
  <c r="EF4" i="17"/>
  <c r="EF21" i="17" s="1"/>
  <c r="EE7" i="17"/>
  <c r="EF10" i="17" s="1"/>
  <c r="EE3" i="17"/>
  <c r="EE13" i="17"/>
  <c r="EE30" i="17" s="1"/>
  <c r="C37" i="21"/>
  <c r="P191" i="18"/>
  <c r="CL14" i="17"/>
  <c r="C12" i="19"/>
  <c r="BK18" i="17"/>
  <c r="H189" i="18" s="1"/>
  <c r="DN17" i="17"/>
  <c r="DO19" i="17"/>
  <c r="BN20" i="17"/>
  <c r="G70" i="19"/>
  <c r="Q10" i="18"/>
  <c r="K10" i="18"/>
  <c r="R10" i="18" s="1"/>
  <c r="C83" i="21"/>
  <c r="CG17" i="17"/>
  <c r="P20" i="18"/>
  <c r="DS15" i="17"/>
  <c r="CV20" i="17"/>
  <c r="DT20" i="17" s="1"/>
  <c r="CH19" i="17"/>
  <c r="H191" i="18"/>
  <c r="BM20" i="17"/>
  <c r="CH18" i="17"/>
  <c r="DN20" i="17"/>
  <c r="CH17" i="17"/>
  <c r="C82" i="21"/>
  <c r="D6" i="19"/>
  <c r="D7" i="19" s="1"/>
  <c r="R8" i="18"/>
  <c r="D46" i="21"/>
  <c r="P193" i="18"/>
  <c r="DM19" i="17"/>
  <c r="DS19" i="17" s="1"/>
  <c r="P189" i="18"/>
  <c r="CR18" i="17"/>
  <c r="CR20" i="17" s="1"/>
  <c r="DN19" i="17"/>
  <c r="P190" i="18"/>
  <c r="DM17" i="17"/>
  <c r="DR17" i="17" s="1"/>
  <c r="E117" i="21"/>
  <c r="G113" i="21"/>
  <c r="O192" i="18"/>
  <c r="CU20" i="17"/>
  <c r="DO20" i="17" s="1"/>
  <c r="DO18" i="17"/>
  <c r="DO17" i="17"/>
  <c r="G112" i="21"/>
  <c r="E116" i="21"/>
  <c r="DR16" i="17"/>
  <c r="BL18" i="17"/>
  <c r="BK17" i="17"/>
  <c r="CF17" i="17" s="1"/>
  <c r="CF15" i="17"/>
  <c r="CM20" i="17"/>
  <c r="CF16" i="17"/>
  <c r="BL19" i="17"/>
  <c r="DR14" i="17"/>
  <c r="DS14" i="17"/>
  <c r="BK20" i="17" l="1"/>
  <c r="EF27" i="17"/>
  <c r="EG13" i="17"/>
  <c r="EF24" i="17"/>
  <c r="EG10" i="17"/>
  <c r="EF13" i="17"/>
  <c r="EF30" i="17" s="1"/>
  <c r="EE27" i="17"/>
  <c r="CH20" i="17"/>
  <c r="EF29" i="17"/>
  <c r="EH7" i="17"/>
  <c r="EG21" i="17"/>
  <c r="EG7" i="17"/>
  <c r="FB7" i="17" s="1"/>
  <c r="EE23" i="17"/>
  <c r="EE8" i="17"/>
  <c r="EF9" i="17"/>
  <c r="EE29" i="17"/>
  <c r="EE31" i="17" s="1"/>
  <c r="EE14" i="17"/>
  <c r="EE26" i="17"/>
  <c r="EE11" i="17"/>
  <c r="EE24" i="17"/>
  <c r="EE21" i="17"/>
  <c r="FB4" i="17"/>
  <c r="EU4" i="17"/>
  <c r="D38" i="21"/>
  <c r="C39" i="21"/>
  <c r="D37" i="21"/>
  <c r="D39" i="21"/>
  <c r="C38" i="21"/>
  <c r="EG6" i="17"/>
  <c r="EF5" i="17"/>
  <c r="EF20" i="17"/>
  <c r="EF22" i="17" s="1"/>
  <c r="D10" i="19"/>
  <c r="D47" i="21" s="1"/>
  <c r="EH6" i="17"/>
  <c r="EG20" i="17"/>
  <c r="EG5" i="17"/>
  <c r="EF6" i="17"/>
  <c r="EU3" i="17"/>
  <c r="FB3" i="17"/>
  <c r="EE20" i="17"/>
  <c r="EE5"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F14" i="17" l="1"/>
  <c r="EU21" i="17"/>
  <c r="FA21" i="17" s="1"/>
  <c r="EF31" i="17"/>
  <c r="D11" i="19"/>
  <c r="EZ21" i="17"/>
  <c r="EH24" i="17"/>
  <c r="EI10" i="17"/>
  <c r="EE22" i="17"/>
  <c r="EU20" i="17"/>
  <c r="FB20" i="17"/>
  <c r="EE28" i="17"/>
  <c r="EH9" i="17"/>
  <c r="EG23" i="17"/>
  <c r="FB5" i="17"/>
  <c r="EU5" i="17"/>
  <c r="EF23" i="17"/>
  <c r="EF25" i="17" s="1"/>
  <c r="EG9" i="17"/>
  <c r="EG12" i="17"/>
  <c r="EF26" i="17"/>
  <c r="EF28" i="17" s="1"/>
  <c r="EF11" i="17"/>
  <c r="FB10" i="17"/>
  <c r="EG27" i="17"/>
  <c r="FB27" i="17" s="1"/>
  <c r="EH13" i="17"/>
  <c r="EH30" i="17" s="1"/>
  <c r="FA4" i="17"/>
  <c r="EZ4" i="17"/>
  <c r="FB6" i="17"/>
  <c r="EG22" i="17"/>
  <c r="EF8" i="17"/>
  <c r="EI9" i="17"/>
  <c r="EH8" i="17"/>
  <c r="EH23" i="17"/>
  <c r="FB21" i="17"/>
  <c r="EE25" i="17"/>
  <c r="FB13" i="17"/>
  <c r="EG30" i="17"/>
  <c r="FB30" i="17" s="1"/>
  <c r="EZ3" i="17"/>
  <c r="FA3" i="17"/>
  <c r="DZ6" i="17"/>
  <c r="DZ7" i="17"/>
  <c r="EG8" i="17"/>
  <c r="EH10" i="17"/>
  <c r="EG24" i="17"/>
  <c r="CK18" i="17"/>
  <c r="DS20" i="17"/>
  <c r="DS18" i="17"/>
  <c r="CK19" i="17"/>
  <c r="CL19" i="17"/>
  <c r="CF20" i="17"/>
  <c r="EH25" i="17" l="1"/>
  <c r="FB22" i="17"/>
  <c r="FB8" i="17"/>
  <c r="EU22" i="17"/>
  <c r="FA22" i="17" s="1"/>
  <c r="EG25" i="17"/>
  <c r="FB25" i="17" s="1"/>
  <c r="DZ10" i="17"/>
  <c r="DZ9" i="17"/>
  <c r="EI26" i="17"/>
  <c r="EJ12" i="17"/>
  <c r="EI11" i="17"/>
  <c r="FA20" i="17"/>
  <c r="EZ20" i="17"/>
  <c r="EI12" i="17"/>
  <c r="EH26" i="17"/>
  <c r="EH11" i="17"/>
  <c r="EU7" i="17"/>
  <c r="DZ24" i="17"/>
  <c r="EU24" i="17" s="1"/>
  <c r="EA10" i="17"/>
  <c r="EG29" i="17"/>
  <c r="EG14" i="17"/>
  <c r="FB14" i="17" s="1"/>
  <c r="FB12" i="17"/>
  <c r="EU6" i="17"/>
  <c r="DZ23" i="17"/>
  <c r="EA9" i="17"/>
  <c r="DZ8" i="17"/>
  <c r="EU8" i="17" s="1"/>
  <c r="EG26" i="17"/>
  <c r="EG28" i="17" s="1"/>
  <c r="FB28" i="17" s="1"/>
  <c r="EH12" i="17"/>
  <c r="EG11" i="17"/>
  <c r="FB11" i="17" s="1"/>
  <c r="FB9" i="17"/>
  <c r="FB24" i="17"/>
  <c r="EJ13" i="17"/>
  <c r="EJ30" i="17" s="1"/>
  <c r="EI27" i="17"/>
  <c r="EZ5" i="17"/>
  <c r="FA5" i="17"/>
  <c r="EI13" i="17"/>
  <c r="EI30" i="17" s="1"/>
  <c r="EH27" i="17"/>
  <c r="DZ13" i="17"/>
  <c r="DZ12" i="17"/>
  <c r="FB23" i="17"/>
  <c r="CK20" i="17"/>
  <c r="CL20" i="17"/>
  <c r="EZ22" i="17" l="1"/>
  <c r="H36" i="21"/>
  <c r="EI29" i="17"/>
  <c r="EI31" i="17" s="1"/>
  <c r="EI14" i="17"/>
  <c r="FA7" i="17"/>
  <c r="EZ7" i="17"/>
  <c r="EU23" i="17"/>
  <c r="DZ25" i="17"/>
  <c r="EU25" i="17" s="1"/>
  <c r="FA6" i="17"/>
  <c r="EZ6" i="17"/>
  <c r="FB26" i="17"/>
  <c r="EJ14" i="17"/>
  <c r="EJ29" i="17"/>
  <c r="EJ31" i="17" s="1"/>
  <c r="EU9" i="17"/>
  <c r="EV9" i="17"/>
  <c r="EA26" i="17"/>
  <c r="EB12" i="17"/>
  <c r="EI28" i="17"/>
  <c r="FA8" i="17"/>
  <c r="EZ8" i="17"/>
  <c r="DZ14" i="17"/>
  <c r="DZ29" i="17"/>
  <c r="FB29" i="17"/>
  <c r="EG31" i="17"/>
  <c r="FB31" i="17" s="1"/>
  <c r="DZ26" i="17"/>
  <c r="EA12" i="17"/>
  <c r="DZ11" i="17"/>
  <c r="DZ30" i="17"/>
  <c r="EA11" i="17"/>
  <c r="EV11" i="17" s="1"/>
  <c r="EB13" i="17"/>
  <c r="EA27" i="17"/>
  <c r="EV27" i="17" s="1"/>
  <c r="EV10" i="17"/>
  <c r="EA13" i="17"/>
  <c r="EA30" i="17" s="1"/>
  <c r="DZ27" i="17"/>
  <c r="EU10" i="17"/>
  <c r="EH29" i="17"/>
  <c r="EH31" i="17" s="1"/>
  <c r="EH14" i="17"/>
  <c r="EH28" i="17"/>
  <c r="EZ24" i="17"/>
  <c r="FA24" i="17"/>
  <c r="EU27" i="17" l="1"/>
  <c r="FA27" i="17" s="1"/>
  <c r="EU12" i="17"/>
  <c r="FA9" i="17"/>
  <c r="EZ9" i="17"/>
  <c r="DZ31" i="17"/>
  <c r="DZ28" i="17"/>
  <c r="EU26" i="17"/>
  <c r="EZ25" i="17"/>
  <c r="FA25" i="17"/>
  <c r="H37" i="21"/>
  <c r="EV13" i="17"/>
  <c r="EB30" i="17"/>
  <c r="EW30" i="17" s="1"/>
  <c r="EW13" i="17"/>
  <c r="EU13" i="17"/>
  <c r="EZ23" i="17"/>
  <c r="FA23" i="17"/>
  <c r="EZ27" i="17"/>
  <c r="EB14" i="17"/>
  <c r="EW14" i="17" s="1"/>
  <c r="EB29" i="17"/>
  <c r="EW12" i="17"/>
  <c r="FA10" i="17"/>
  <c r="EZ10" i="17"/>
  <c r="EU11" i="17"/>
  <c r="EV26" i="17"/>
  <c r="EA28" i="17"/>
  <c r="EV28" i="17" s="1"/>
  <c r="EZ12" i="17"/>
  <c r="FA12" i="17"/>
  <c r="EA29" i="17"/>
  <c r="EA14" i="17"/>
  <c r="EV12" i="17"/>
  <c r="EU28" i="17" l="1"/>
  <c r="FA28" i="17" s="1"/>
  <c r="EU29" i="17"/>
  <c r="FA29" i="17" s="1"/>
  <c r="EU14" i="17"/>
  <c r="EZ14" i="17" s="1"/>
  <c r="EU30" i="17"/>
  <c r="EZ30" i="17" s="1"/>
  <c r="EV30" i="17"/>
  <c r="EB31" i="17"/>
  <c r="EW31" i="17" s="1"/>
  <c r="EW29" i="17"/>
  <c r="EV14" i="17"/>
  <c r="FA26" i="17"/>
  <c r="EZ26" i="17"/>
  <c r="FA13" i="17"/>
  <c r="EZ13" i="17"/>
  <c r="EA31" i="17"/>
  <c r="EV29" i="17"/>
  <c r="EZ11" i="17"/>
  <c r="FA11" i="17"/>
  <c r="FA14" i="17" l="1"/>
  <c r="EZ28" i="17"/>
  <c r="H38" i="21"/>
  <c r="FA30" i="17"/>
  <c r="EZ29" i="17"/>
  <c r="EV31" i="17"/>
  <c r="EU31" i="17"/>
  <c r="EZ31" i="17" l="1"/>
  <c r="H39" i="21"/>
  <c r="FA31" i="17"/>
</calcChain>
</file>

<file path=xl/sharedStrings.xml><?xml version="1.0" encoding="utf-8"?>
<sst xmlns="http://schemas.openxmlformats.org/spreadsheetml/2006/main" count="1405" uniqueCount="476">
  <si>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</si>
  <si>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</si>
  <si>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</si>
  <si>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</si>
  <si>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</si>
  <si>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</si>
  <si>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</si>
  <si>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</si>
  <si>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</si>
  <si>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</si>
  <si>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</si>
  <si>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</si>
  <si>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</si>
  <si>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</si>
  <si>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</si>
  <si>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</si>
  <si>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</si>
  <si>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</si>
  <si>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</si>
  <si>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</si>
  <si>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</si>
  <si>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</si>
  <si>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</si>
  <si>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</si>
  <si>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</si>
  <si>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</si>
  <si>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</si>
  <si>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</si>
  <si>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</si>
  <si>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</si>
  <si>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</si>
  <si>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</si>
  <si>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</si>
  <si>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</si>
  <si>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</si>
  <si>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</si>
  <si>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</si>
  <si>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</si>
  <si>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</si>
  <si>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</si>
  <si>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</si>
  <si>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</si>
  <si>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</si>
  <si>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</si>
  <si>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</si>
  <si>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</si>
  <si>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</si>
  <si>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</si>
  <si>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</si>
  <si>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</si>
  <si>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</si>
  <si>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</si>
  <si>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</si>
  <si>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</si>
  <si>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</si>
  <si>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</si>
  <si>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</si>
  <si>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</si>
  <si>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</si>
  <si>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</si>
  <si>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</si>
  <si>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</si>
  <si>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</si>
  <si>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</si>
  <si>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</si>
  <si>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</si>
  <si>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</si>
  <si>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</si>
  <si>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</si>
  <si>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</si>
  <si>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</si>
  <si>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</si>
  <si>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</si>
  <si>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</si>
  <si>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</si>
  <si>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</si>
  <si>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</si>
  <si>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</si>
  <si>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</si>
  <si>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</si>
  <si>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</si>
  <si>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</si>
  <si>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</si>
  <si>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</si>
  <si>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</si>
  <si>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</si>
  <si>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</si>
  <si>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</si>
  <si>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</si>
  <si>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</si>
  <si>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</si>
  <si>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</si>
  <si>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</si>
  <si>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</si>
  <si>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</si>
  <si>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</si>
  <si>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</si>
  <si>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</si>
  <si>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</si>
  <si>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</si>
  <si>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</si>
  <si>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</si>
  <si>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</si>
  <si>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</si>
  <si>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</si>
  <si>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</si>
  <si>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</si>
  <si>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</si>
  <si>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</si>
  <si>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</si>
  <si>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</si>
  <si>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</si>
  <si>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</si>
  <si>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</si>
  <si>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</si>
  <si>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</si>
  <si>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</si>
  <si>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</si>
  <si>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</si>
  <si>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</si>
  <si>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</si>
  <si>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</si>
  <si>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</si>
  <si>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</si>
  <si>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</si>
  <si>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</si>
  <si>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</si>
  <si>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</si>
  <si>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</si>
  <si>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</si>
  <si>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</si>
  <si>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</si>
  <si>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</si>
  <si>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</si>
  <si>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</si>
  <si>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</si>
  <si>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</si>
  <si>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</si>
  <si>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</si>
  <si>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</si>
  <si>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</si>
  <si>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</si>
  <si>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</si>
  <si>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</si>
  <si>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</si>
  <si>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</si>
  <si>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</si>
  <si>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</si>
  <si>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</si>
  <si>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</si>
  <si>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</si>
  <si>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</si>
  <si>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</si>
  <si>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</si>
  <si>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</si>
  <si>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</si>
  <si>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</si>
  <si>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</si>
  <si>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</si>
  <si>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</si>
  <si>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</si>
  <si>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</si>
  <si>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</si>
  <si>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</si>
  <si>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</si>
  <si>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</si>
  <si>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</si>
  <si>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</si>
  <si>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</si>
  <si>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</si>
  <si>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</si>
  <si>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</si>
  <si>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</si>
  <si>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</si>
  <si>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</si>
  <si>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</si>
  <si>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</si>
  <si>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</si>
  <si>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</si>
  <si>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</si>
  <si>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</si>
  <si>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</si>
  <si>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</si>
  <si>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</si>
  <si>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</si>
  <si>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</si>
  <si>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</si>
  <si>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</si>
  <si>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</si>
  <si>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</si>
  <si>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</si>
  <si>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</si>
  <si>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</si>
  <si>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</si>
  <si>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</si>
  <si>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</si>
  <si>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</si>
  <si>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</si>
  <si>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</si>
  <si>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</si>
  <si>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</si>
  <si>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</si>
  <si>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</si>
  <si>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</si>
  <si>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</si>
  <si>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</si>
  <si>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</si>
  <si>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</si>
  <si>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</si>
  <si>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</si>
  <si>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</si>
  <si>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</si>
  <si>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</si>
  <si>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</si>
  <si>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</si>
  <si>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</si>
  <si>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</si>
  <si>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</si>
  <si>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</si>
  <si>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</si>
  <si>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</si>
  <si>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</si>
  <si>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</si>
  <si>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</si>
  <si>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</si>
  <si>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</si>
  <si>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</si>
  <si>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</si>
  <si>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</si>
  <si>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</si>
  <si>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</si>
  <si>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</si>
  <si>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</si>
  <si>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</si>
  <si>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</si>
  <si>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</si>
  <si>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</si>
  <si>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</si>
  <si>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</si>
  <si>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</si>
  <si>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</si>
  <si>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</si>
  <si>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</si>
  <si>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</si>
  <si>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</si>
  <si>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</si>
  <si>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</si>
  <si>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</si>
  <si>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</si>
  <si>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</si>
  <si>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</si>
  <si>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</si>
  <si>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</si>
  <si>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</si>
  <si>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</si>
  <si>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</si>
  <si>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</si>
  <si>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</si>
  <si>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</si>
  <si>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</si>
  <si>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</si>
  <si>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</si>
  <si>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</si>
  <si>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</si>
  <si>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</si>
  <si>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</si>
  <si>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</si>
  <si>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</si>
  <si>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</si>
  <si>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</si>
  <si>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</si>
  <si>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</si>
  <si>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</si>
  <si>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</si>
  <si>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</si>
  <si>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</si>
  <si>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</si>
  <si>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</si>
  <si>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</si>
  <si>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</si>
  <si>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</si>
  <si>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</si>
  <si>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</si>
  <si>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</si>
  <si>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</si>
  <si>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</si>
  <si>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</si>
  <si>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</si>
  <si>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</si>
  <si>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</si>
  <si>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</si>
  <si>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</si>
  <si>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</si>
  <si>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</si>
  <si>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</si>
  <si>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</si>
  <si>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</si>
  <si>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</si>
  <si>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</si>
  <si>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</si>
  <si>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</si>
  <si>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</si>
  <si>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</si>
  <si>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</si>
  <si>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</si>
  <si>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</si>
  <si>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</si>
  <si>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</si>
  <si>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</si>
  <si>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</si>
  <si>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</si>
  <si>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</si>
  <si>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</si>
  <si>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</si>
  <si>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</si>
  <si>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</si>
  <si>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</si>
  <si>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</si>
  <si>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</si>
  <si>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</si>
  <si>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</si>
  <si>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</si>
  <si>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</si>
  <si>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</si>
  <si>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</si>
  <si>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</si>
  <si>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</si>
  <si>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</si>
  <si>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</si>
  <si>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</si>
  <si>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</si>
  <si>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</si>
  <si>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</si>
  <si>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</si>
  <si>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</si>
  <si>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</si>
  <si>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</si>
  <si>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</si>
  <si>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</si>
  <si>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</si>
  <si>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</si>
  <si>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</si>
  <si>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</si>
  <si>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</si>
  <si>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</si>
  <si>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</si>
  <si>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</si>
  <si>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</si>
  <si>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</si>
  <si>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</si>
  <si>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</si>
  <si>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</si>
  <si>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</si>
  <si>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</si>
  <si>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</si>
  <si>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</si>
  <si>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</si>
  <si>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</si>
  <si>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</si>
  <si>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</si>
  <si>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</si>
  <si>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</si>
  <si>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</si>
  <si>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</si>
  <si>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</si>
  <si>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</si>
  <si>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</si>
  <si>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</si>
  <si>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</si>
  <si>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</si>
  <si>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</si>
  <si>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</si>
  <si>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</si>
  <si>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</si>
  <si>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</si>
  <si>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</si>
  <si>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</si>
  <si>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</si>
  <si>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</si>
  <si>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</si>
  <si>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</si>
  <si>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</si>
  <si>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</si>
  <si>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</si>
  <si>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</si>
  <si>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</si>
  <si>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</si>
  <si>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</si>
  <si>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</si>
  <si>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</si>
  <si>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</si>
  <si>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</si>
  <si>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</si>
  <si>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</si>
  <si>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</si>
  <si>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</si>
  <si>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</si>
  <si>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</si>
  <si>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</si>
  <si>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</si>
  <si>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</si>
  <si>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</si>
  <si>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</si>
  <si>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</si>
  <si>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</si>
  <si>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</si>
  <si>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</si>
  <si>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</si>
  <si>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</si>
  <si>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</si>
  <si>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</si>
  <si>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</si>
  <si>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</si>
  <si>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</si>
  <si>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</si>
  <si>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</si>
  <si>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</si>
  <si>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</si>
  <si>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</si>
  <si>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</si>
  <si>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</si>
  <si>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</si>
  <si>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</si>
  <si>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</si>
  <si>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</si>
  <si>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</si>
  <si>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45201_1</t>
  </si>
  <si>
    <t>宮崎市</t>
    <rPh sb="0" eb="2">
      <t>ミヤザキ</t>
    </rPh>
    <rPh sb="2" eb="3">
      <t>シ</t>
    </rPh>
    <phoneticPr fontId="1"/>
  </si>
  <si>
    <t>中央東地域自治区</t>
  </si>
  <si>
    <t>45201_2</t>
  </si>
  <si>
    <t>中央西地域自治区</t>
  </si>
  <si>
    <t>45201_3</t>
  </si>
  <si>
    <t>小戸地域自治区</t>
  </si>
  <si>
    <t>45201_4</t>
  </si>
  <si>
    <t>大宮地域自治区</t>
  </si>
  <si>
    <t>45201_5</t>
  </si>
  <si>
    <t>東大宮地域自治区</t>
  </si>
  <si>
    <t>45201_6</t>
  </si>
  <si>
    <t>大淀地域自治区</t>
  </si>
  <si>
    <t>45201_7</t>
  </si>
  <si>
    <t>大塚地域自治区</t>
  </si>
  <si>
    <t>45201_8</t>
  </si>
  <si>
    <t>檍地域自治区</t>
  </si>
  <si>
    <t>45201_9</t>
  </si>
  <si>
    <t>大塚台地域自治区</t>
  </si>
  <si>
    <t>45201_10</t>
  </si>
  <si>
    <t>生目台地域自治区</t>
  </si>
  <si>
    <t>45201_11</t>
  </si>
  <si>
    <t>小松台地域自治区</t>
  </si>
  <si>
    <t>45201_12</t>
  </si>
  <si>
    <t>赤江地域自治区</t>
  </si>
  <si>
    <t>45201_13</t>
  </si>
  <si>
    <t>本郷地域自治区</t>
  </si>
  <si>
    <t>45201_14</t>
  </si>
  <si>
    <t>木花地域自治区</t>
  </si>
  <si>
    <t>45201_15</t>
  </si>
  <si>
    <t>青島地域自治区</t>
  </si>
  <si>
    <t>45201_16</t>
  </si>
  <si>
    <t>住吉地域自治区</t>
  </si>
  <si>
    <t>45201_17</t>
  </si>
  <si>
    <t>生目地域自治区</t>
  </si>
  <si>
    <t>45201_18</t>
  </si>
  <si>
    <t>北地域自治区</t>
  </si>
  <si>
    <t>45201_19</t>
  </si>
  <si>
    <t>佐土原地域自治区</t>
  </si>
  <si>
    <t>45201_20</t>
  </si>
  <si>
    <t>田野地域自治区</t>
  </si>
  <si>
    <t>45201_21</t>
  </si>
  <si>
    <t>高岡地域自治区</t>
  </si>
  <si>
    <t>45201_22</t>
  </si>
  <si>
    <t>清武地域自治区</t>
  </si>
  <si>
    <t>45201_6</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</si>
  <si>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</si>
  <si>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</si>
  <si>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 eb="3">
      <t>ショウライ</t>
    </rPh>
    <rPh sb="3" eb="5">
      <t>ヨソク</t>
    </rPh>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</si>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</sst>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187" fontId="32" fillId="5" borderId="0" xfId="0" applyNumberFormat="1" applyFont="1" applyFill="1" applyAlignment="1">
      <alignment horizontal="center"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1564</c:v>
                </c:pt>
                <c:pt idx="1">
                  <c:v>1316</c:v>
                </c:pt>
                <c:pt idx="2">
                  <c:v>1281</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403183680"/>
        <c:axId val="403184856"/>
      </c:barChart>
      <c:catAx>
        <c:axId val="403183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3184856"/>
        <c:crosses val="autoZero"/>
        <c:auto val="1"/>
        <c:lblAlgn val="ctr"/>
        <c:lblOffset val="100"/>
        <c:noMultiLvlLbl val="0"/>
      </c:catAx>
      <c:valAx>
        <c:axId val="4031848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31836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857</c:v>
                </c:pt>
                <c:pt idx="1">
                  <c:v>760</c:v>
                </c:pt>
                <c:pt idx="2">
                  <c:v>643</c:v>
                </c:pt>
                <c:pt idx="3">
                  <c:v>649</c:v>
                </c:pt>
                <c:pt idx="4">
                  <c:v>624</c:v>
                </c:pt>
                <c:pt idx="5">
                  <c:v>566</c:v>
                </c:pt>
                <c:pt idx="6">
                  <c:v>504</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03185640"/>
        <c:axId val="403178192"/>
      </c:barChart>
      <c:catAx>
        <c:axId val="403185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3178192"/>
        <c:crosses val="autoZero"/>
        <c:auto val="1"/>
        <c:lblAlgn val="ctr"/>
        <c:lblOffset val="100"/>
        <c:noMultiLvlLbl val="0"/>
      </c:catAx>
      <c:valAx>
        <c:axId val="4031781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31856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0.21</c:v>
                </c:pt>
                <c:pt idx="1">
                  <c:v>0.24</c:v>
                </c:pt>
                <c:pt idx="2">
                  <c:v>0.26</c:v>
                </c:pt>
                <c:pt idx="3">
                  <c:v>0.28999999999999998</c:v>
                </c:pt>
                <c:pt idx="4">
                  <c:v>0.32</c:v>
                </c:pt>
                <c:pt idx="5">
                  <c:v>0.34</c:v>
                </c:pt>
                <c:pt idx="6">
                  <c:v>0.37</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2577448"/>
        <c:axId val="462580584"/>
      </c:barChart>
      <c:catAx>
        <c:axId val="462577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80584"/>
        <c:crosses val="autoZero"/>
        <c:auto val="1"/>
        <c:lblAlgn val="ctr"/>
        <c:lblOffset val="100"/>
        <c:noMultiLvlLbl val="0"/>
      </c:catAx>
      <c:valAx>
        <c:axId val="4625805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774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0.11</c:v>
                </c:pt>
                <c:pt idx="1">
                  <c:v>0.12</c:v>
                </c:pt>
                <c:pt idx="2">
                  <c:v>0.13</c:v>
                </c:pt>
                <c:pt idx="3">
                  <c:v>0.15</c:v>
                </c:pt>
                <c:pt idx="4">
                  <c:v>0.17</c:v>
                </c:pt>
                <c:pt idx="5">
                  <c:v>0.19</c:v>
                </c:pt>
                <c:pt idx="6">
                  <c:v>0.21</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2579016"/>
        <c:axId val="462577840"/>
      </c:barChart>
      <c:catAx>
        <c:axId val="462579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77840"/>
        <c:crosses val="autoZero"/>
        <c:auto val="1"/>
        <c:lblAlgn val="ctr"/>
        <c:lblOffset val="100"/>
        <c:noMultiLvlLbl val="0"/>
      </c:catAx>
      <c:valAx>
        <c:axId val="4625778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790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2078517558172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2.2873809283071174E-4"/>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2B2-4862-9D4F-2289897B5E6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386</c:v>
                </c:pt>
                <c:pt idx="1">
                  <c:v>441</c:v>
                </c:pt>
                <c:pt idx="2">
                  <c:v>519</c:v>
                </c:pt>
                <c:pt idx="3">
                  <c:v>513</c:v>
                </c:pt>
                <c:pt idx="4">
                  <c:v>338</c:v>
                </c:pt>
                <c:pt idx="5">
                  <c:v>371</c:v>
                </c:pt>
                <c:pt idx="6">
                  <c:v>551</c:v>
                </c:pt>
                <c:pt idx="7">
                  <c:v>553</c:v>
                </c:pt>
                <c:pt idx="8">
                  <c:v>671</c:v>
                </c:pt>
                <c:pt idx="9">
                  <c:v>731</c:v>
                </c:pt>
                <c:pt idx="10">
                  <c:v>794</c:v>
                </c:pt>
                <c:pt idx="11">
                  <c:v>902</c:v>
                </c:pt>
                <c:pt idx="12">
                  <c:v>808</c:v>
                </c:pt>
                <c:pt idx="13">
                  <c:v>858</c:v>
                </c:pt>
                <c:pt idx="14">
                  <c:v>760</c:v>
                </c:pt>
                <c:pt idx="15">
                  <c:v>615</c:v>
                </c:pt>
                <c:pt idx="16">
                  <c:v>501</c:v>
                </c:pt>
                <c:pt idx="17">
                  <c:v>251</c:v>
                </c:pt>
                <c:pt idx="18">
                  <c:v>125</c:v>
                </c:pt>
                <c:pt idx="19">
                  <c:v>24</c:v>
                </c:pt>
                <c:pt idx="20">
                  <c:v>6</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2575096"/>
        <c:axId val="46257548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385</c:v>
                </c:pt>
                <c:pt idx="1">
                  <c:v>448</c:v>
                </c:pt>
                <c:pt idx="2">
                  <c:v>508</c:v>
                </c:pt>
                <c:pt idx="3">
                  <c:v>554</c:v>
                </c:pt>
                <c:pt idx="4">
                  <c:v>379</c:v>
                </c:pt>
                <c:pt idx="5">
                  <c:v>410</c:v>
                </c:pt>
                <c:pt idx="6">
                  <c:v>524</c:v>
                </c:pt>
                <c:pt idx="7">
                  <c:v>603</c:v>
                </c:pt>
                <c:pt idx="8">
                  <c:v>685</c:v>
                </c:pt>
                <c:pt idx="9">
                  <c:v>712</c:v>
                </c:pt>
                <c:pt idx="10">
                  <c:v>819</c:v>
                </c:pt>
                <c:pt idx="11">
                  <c:v>922</c:v>
                </c:pt>
                <c:pt idx="12">
                  <c:v>947</c:v>
                </c:pt>
                <c:pt idx="13">
                  <c:v>894</c:v>
                </c:pt>
                <c:pt idx="14">
                  <c:v>873</c:v>
                </c:pt>
                <c:pt idx="15">
                  <c:v>743</c:v>
                </c:pt>
                <c:pt idx="16">
                  <c:v>744</c:v>
                </c:pt>
                <c:pt idx="17">
                  <c:v>427</c:v>
                </c:pt>
                <c:pt idx="18">
                  <c:v>240</c:v>
                </c:pt>
                <c:pt idx="19">
                  <c:v>113</c:v>
                </c:pt>
                <c:pt idx="20">
                  <c:v>25</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2575880"/>
        <c:axId val="462574312"/>
      </c:barChart>
      <c:catAx>
        <c:axId val="4625750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75488"/>
        <c:crosses val="autoZero"/>
        <c:auto val="1"/>
        <c:lblAlgn val="ctr"/>
        <c:lblOffset val="100"/>
        <c:noMultiLvlLbl val="0"/>
      </c:catAx>
      <c:valAx>
        <c:axId val="462575488"/>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75096"/>
        <c:crosses val="autoZero"/>
        <c:crossBetween val="between"/>
        <c:majorUnit val="1000"/>
      </c:valAx>
      <c:valAx>
        <c:axId val="462574312"/>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75880"/>
        <c:crosses val="max"/>
        <c:crossBetween val="between"/>
        <c:majorUnit val="1000"/>
      </c:valAx>
      <c:catAx>
        <c:axId val="462575880"/>
        <c:scaling>
          <c:orientation val="minMax"/>
        </c:scaling>
        <c:delete val="1"/>
        <c:axPos val="l"/>
        <c:numFmt formatCode="General" sourceLinked="1"/>
        <c:majorTickMark val="out"/>
        <c:minorTickMark val="none"/>
        <c:tickLblPos val="nextTo"/>
        <c:crossAx val="4625743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3.0067106270309095E-3"/>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B33-4485-836F-7B2CABBBB39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330</c:v>
                </c:pt>
                <c:pt idx="1">
                  <c:v>362</c:v>
                </c:pt>
                <c:pt idx="2">
                  <c:v>414</c:v>
                </c:pt>
                <c:pt idx="3">
                  <c:v>430</c:v>
                </c:pt>
                <c:pt idx="4">
                  <c:v>311</c:v>
                </c:pt>
                <c:pt idx="5">
                  <c:v>351</c:v>
                </c:pt>
                <c:pt idx="6">
                  <c:v>408</c:v>
                </c:pt>
                <c:pt idx="7">
                  <c:v>450</c:v>
                </c:pt>
                <c:pt idx="8">
                  <c:v>618</c:v>
                </c:pt>
                <c:pt idx="9">
                  <c:v>602</c:v>
                </c:pt>
                <c:pt idx="10">
                  <c:v>697</c:v>
                </c:pt>
                <c:pt idx="11">
                  <c:v>737</c:v>
                </c:pt>
                <c:pt idx="12">
                  <c:v>813</c:v>
                </c:pt>
                <c:pt idx="13">
                  <c:v>907</c:v>
                </c:pt>
                <c:pt idx="14">
                  <c:v>729</c:v>
                </c:pt>
                <c:pt idx="15">
                  <c:v>692</c:v>
                </c:pt>
                <c:pt idx="16">
                  <c:v>548</c:v>
                </c:pt>
                <c:pt idx="17">
                  <c:v>340</c:v>
                </c:pt>
                <c:pt idx="18">
                  <c:v>168</c:v>
                </c:pt>
                <c:pt idx="19">
                  <c:v>27</c:v>
                </c:pt>
                <c:pt idx="20">
                  <c:v>8</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2578624"/>
        <c:axId val="46257666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328</c:v>
                </c:pt>
                <c:pt idx="1">
                  <c:v>367</c:v>
                </c:pt>
                <c:pt idx="2">
                  <c:v>405</c:v>
                </c:pt>
                <c:pt idx="3">
                  <c:v>452</c:v>
                </c:pt>
                <c:pt idx="4">
                  <c:v>388</c:v>
                </c:pt>
                <c:pt idx="5">
                  <c:v>411</c:v>
                </c:pt>
                <c:pt idx="6">
                  <c:v>381</c:v>
                </c:pt>
                <c:pt idx="7">
                  <c:v>455</c:v>
                </c:pt>
                <c:pt idx="8">
                  <c:v>567</c:v>
                </c:pt>
                <c:pt idx="9">
                  <c:v>609</c:v>
                </c:pt>
                <c:pt idx="10">
                  <c:v>683</c:v>
                </c:pt>
                <c:pt idx="11">
                  <c:v>712</c:v>
                </c:pt>
                <c:pt idx="12">
                  <c:v>796</c:v>
                </c:pt>
                <c:pt idx="13">
                  <c:v>895</c:v>
                </c:pt>
                <c:pt idx="14">
                  <c:v>935</c:v>
                </c:pt>
                <c:pt idx="15">
                  <c:v>839</c:v>
                </c:pt>
                <c:pt idx="16">
                  <c:v>735</c:v>
                </c:pt>
                <c:pt idx="17">
                  <c:v>505</c:v>
                </c:pt>
                <c:pt idx="18">
                  <c:v>340</c:v>
                </c:pt>
                <c:pt idx="19">
                  <c:v>105</c:v>
                </c:pt>
                <c:pt idx="20">
                  <c:v>28</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2580192"/>
        <c:axId val="462576272"/>
      </c:barChart>
      <c:catAx>
        <c:axId val="4625786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76664"/>
        <c:crosses val="autoZero"/>
        <c:auto val="1"/>
        <c:lblAlgn val="ctr"/>
        <c:lblOffset val="100"/>
        <c:noMultiLvlLbl val="0"/>
      </c:catAx>
      <c:valAx>
        <c:axId val="462576664"/>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78624"/>
        <c:crosses val="autoZero"/>
        <c:crossBetween val="between"/>
        <c:majorUnit val="1000"/>
      </c:valAx>
      <c:valAx>
        <c:axId val="462576272"/>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80192"/>
        <c:crosses val="max"/>
        <c:crossBetween val="between"/>
        <c:majorUnit val="1000"/>
      </c:valAx>
      <c:catAx>
        <c:axId val="462580192"/>
        <c:scaling>
          <c:orientation val="minMax"/>
        </c:scaling>
        <c:delete val="1"/>
        <c:axPos val="l"/>
        <c:numFmt formatCode="General" sourceLinked="1"/>
        <c:majorTickMark val="out"/>
        <c:minorTickMark val="none"/>
        <c:tickLblPos val="nextTo"/>
        <c:crossAx val="4625762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23869</c:v>
                </c:pt>
                <c:pt idx="1">
                  <c:v>23768</c:v>
                </c:pt>
                <c:pt idx="2">
                  <c:v>23674</c:v>
                </c:pt>
                <c:pt idx="3">
                  <c:v>23281</c:v>
                </c:pt>
                <c:pt idx="4">
                  <c:v>22673</c:v>
                </c:pt>
                <c:pt idx="5">
                  <c:v>21858</c:v>
                </c:pt>
                <c:pt idx="6">
                  <c:v>20878</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0050-4617-8319-1B06DF30030A}"/>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0050-4617-8319-1B06DF30030A}"/>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0050-4617-8319-1B06DF30030A}"/>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050-4617-8319-1B06DF30030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23290</c:v>
                </c:pt>
                <c:pt idx="4" formatCode="#,##0_);[Red]\(#,##0\)">
                  <c:v>22694</c:v>
                </c:pt>
                <c:pt idx="5" formatCode="#,##0_);[Red]\(#,##0\)">
                  <c:v>21890</c:v>
                </c:pt>
                <c:pt idx="6" formatCode="#,##0_);[Red]\(#,##0\)">
                  <c:v>20924</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2577056"/>
        <c:axId val="462580976"/>
      </c:barChart>
      <c:catAx>
        <c:axId val="462577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80976"/>
        <c:crosses val="autoZero"/>
        <c:auto val="1"/>
        <c:lblAlgn val="ctr"/>
        <c:lblOffset val="100"/>
        <c:noMultiLvlLbl val="0"/>
      </c:catAx>
      <c:valAx>
        <c:axId val="4625809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7705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1564</c:v>
                </c:pt>
                <c:pt idx="1">
                  <c:v>1316</c:v>
                </c:pt>
                <c:pt idx="2">
                  <c:v>1281</c:v>
                </c:pt>
                <c:pt idx="3">
                  <c:v>1264</c:v>
                </c:pt>
                <c:pt idx="4">
                  <c:v>1150</c:v>
                </c:pt>
                <c:pt idx="5">
                  <c:v>1028</c:v>
                </c:pt>
                <c:pt idx="6">
                  <c:v>929</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1265</c:v>
                </c:pt>
                <c:pt idx="4">
                  <c:v>1152</c:v>
                </c:pt>
                <c:pt idx="5">
                  <c:v>1032</c:v>
                </c:pt>
                <c:pt idx="6">
                  <c:v>936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2581760"/>
        <c:axId val="405169960"/>
      </c:barChart>
      <c:catAx>
        <c:axId val="462581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5169960"/>
        <c:crosses val="autoZero"/>
        <c:auto val="1"/>
        <c:lblAlgn val="ctr"/>
        <c:lblOffset val="100"/>
        <c:noMultiLvlLbl val="0"/>
      </c:catAx>
      <c:valAx>
        <c:axId val="4051699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81760"/>
        <c:crosses val="autoZero"/>
        <c:crossBetween val="between"/>
      </c:valAx>
      <c:spPr>
        <a:noFill/>
        <a:ln>
          <a:noFill/>
        </a:ln>
        <a:effectLst/>
      </c:spPr>
    </c:plotArea>
    <c:legend>
      <c:legendPos val="t"/>
      <c:layout>
        <c:manualLayout>
          <c:xMode val="edge"/>
          <c:yMode val="edge"/>
          <c:x val="5.5207664058325827E-2"/>
          <c:y val="0.14774313634248487"/>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0.21</c:v>
                </c:pt>
                <c:pt idx="1">
                  <c:v>0.24</c:v>
                </c:pt>
                <c:pt idx="2">
                  <c:v>0.26</c:v>
                </c:pt>
                <c:pt idx="3">
                  <c:v>0.28999999999999998</c:v>
                </c:pt>
                <c:pt idx="4">
                  <c:v>0.32</c:v>
                </c:pt>
                <c:pt idx="5">
                  <c:v>0.34</c:v>
                </c:pt>
                <c:pt idx="6">
                  <c:v>0.37</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191-41E3-9E8E-0C752F06E325}"/>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E191-41E3-9E8E-0C752F06E325}"/>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E191-41E3-9E8E-0C752F06E325}"/>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E191-41E3-9E8E-0C752F06E32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0.28999999999999998</c:v>
                </c:pt>
                <c:pt idx="4" formatCode="0%">
                  <c:v>0.32</c:v>
                </c:pt>
                <c:pt idx="5" formatCode="0%">
                  <c:v>0.34</c:v>
                </c:pt>
                <c:pt idx="6" formatCode="0%">
                  <c:v>0.37</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05167608"/>
        <c:axId val="405164080"/>
      </c:barChart>
      <c:catAx>
        <c:axId val="405167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5164080"/>
        <c:crosses val="autoZero"/>
        <c:auto val="1"/>
        <c:lblAlgn val="ctr"/>
        <c:lblOffset val="100"/>
        <c:noMultiLvlLbl val="0"/>
      </c:catAx>
      <c:valAx>
        <c:axId val="4051640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516760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0.11</c:v>
                </c:pt>
                <c:pt idx="1">
                  <c:v>0.12</c:v>
                </c:pt>
                <c:pt idx="2">
                  <c:v>0.13</c:v>
                </c:pt>
                <c:pt idx="3">
                  <c:v>0.15</c:v>
                </c:pt>
                <c:pt idx="4">
                  <c:v>0.17</c:v>
                </c:pt>
                <c:pt idx="5">
                  <c:v>0.19</c:v>
                </c:pt>
                <c:pt idx="6">
                  <c:v>0.21</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355-4DBF-BAFB-593FF9A8F322}"/>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355-4DBF-BAFB-593FF9A8F322}"/>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355-4DBF-BAFB-593FF9A8F322}"/>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6355-4DBF-BAFB-593FF9A8F32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0.15</c:v>
                </c:pt>
                <c:pt idx="4" formatCode="0%">
                  <c:v>0.17</c:v>
                </c:pt>
                <c:pt idx="5" formatCode="0%">
                  <c:v>0.19</c:v>
                </c:pt>
                <c:pt idx="6" formatCode="0%">
                  <c:v>0.21</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05168392"/>
        <c:axId val="405164472"/>
      </c:barChart>
      <c:catAx>
        <c:axId val="405168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5164472"/>
        <c:crosses val="autoZero"/>
        <c:auto val="1"/>
        <c:lblAlgn val="ctr"/>
        <c:lblOffset val="100"/>
        <c:noMultiLvlLbl val="0"/>
      </c:catAx>
      <c:valAx>
        <c:axId val="4051644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516839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857</c:v>
                </c:pt>
                <c:pt idx="1">
                  <c:v>760</c:v>
                </c:pt>
                <c:pt idx="2">
                  <c:v>643</c:v>
                </c:pt>
                <c:pt idx="3">
                  <c:v>649</c:v>
                </c:pt>
                <c:pt idx="4">
                  <c:v>624</c:v>
                </c:pt>
                <c:pt idx="5">
                  <c:v>566</c:v>
                </c:pt>
                <c:pt idx="6">
                  <c:v>504</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650</c:v>
                </c:pt>
                <c:pt idx="4">
                  <c:v>625</c:v>
                </c:pt>
                <c:pt idx="5">
                  <c:v>568</c:v>
                </c:pt>
                <c:pt idx="6">
                  <c:v>507</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05165648"/>
        <c:axId val="405168000"/>
      </c:barChart>
      <c:catAx>
        <c:axId val="405165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5168000"/>
        <c:crosses val="autoZero"/>
        <c:auto val="1"/>
        <c:lblAlgn val="ctr"/>
        <c:lblOffset val="100"/>
        <c:noMultiLvlLbl val="0"/>
      </c:catAx>
      <c:valAx>
        <c:axId val="4051680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5165648"/>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857</c:v>
                </c:pt>
                <c:pt idx="1">
                  <c:v>760</c:v>
                </c:pt>
                <c:pt idx="2">
                  <c:v>643</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403178976"/>
        <c:axId val="403182896"/>
      </c:barChart>
      <c:catAx>
        <c:axId val="403178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3182896"/>
        <c:crosses val="autoZero"/>
        <c:auto val="1"/>
        <c:lblAlgn val="ctr"/>
        <c:lblOffset val="100"/>
        <c:noMultiLvlLbl val="0"/>
      </c:catAx>
      <c:valAx>
        <c:axId val="4031828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31789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2.6561641811360969E-3"/>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6E7-4B5A-96D1-278EA49E152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388</c:v>
                </c:pt>
                <c:pt idx="1">
                  <c:v>442</c:v>
                </c:pt>
                <c:pt idx="2">
                  <c:v>520</c:v>
                </c:pt>
                <c:pt idx="3">
                  <c:v>514</c:v>
                </c:pt>
                <c:pt idx="4">
                  <c:v>338</c:v>
                </c:pt>
                <c:pt idx="5">
                  <c:v>373</c:v>
                </c:pt>
                <c:pt idx="6">
                  <c:v>554</c:v>
                </c:pt>
                <c:pt idx="7">
                  <c:v>553</c:v>
                </c:pt>
                <c:pt idx="8">
                  <c:v>671</c:v>
                </c:pt>
                <c:pt idx="9">
                  <c:v>731</c:v>
                </c:pt>
                <c:pt idx="10">
                  <c:v>794</c:v>
                </c:pt>
                <c:pt idx="11">
                  <c:v>902</c:v>
                </c:pt>
                <c:pt idx="12">
                  <c:v>808</c:v>
                </c:pt>
                <c:pt idx="13">
                  <c:v>858</c:v>
                </c:pt>
                <c:pt idx="14">
                  <c:v>760</c:v>
                </c:pt>
                <c:pt idx="15">
                  <c:v>615</c:v>
                </c:pt>
                <c:pt idx="16">
                  <c:v>501</c:v>
                </c:pt>
                <c:pt idx="17">
                  <c:v>251</c:v>
                </c:pt>
                <c:pt idx="18">
                  <c:v>125</c:v>
                </c:pt>
                <c:pt idx="19">
                  <c:v>24</c:v>
                </c:pt>
                <c:pt idx="20">
                  <c:v>6</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05167216"/>
        <c:axId val="40516956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387</c:v>
                </c:pt>
                <c:pt idx="1">
                  <c:v>449</c:v>
                </c:pt>
                <c:pt idx="2">
                  <c:v>509</c:v>
                </c:pt>
                <c:pt idx="3">
                  <c:v>555</c:v>
                </c:pt>
                <c:pt idx="4">
                  <c:v>379</c:v>
                </c:pt>
                <c:pt idx="5">
                  <c:v>412</c:v>
                </c:pt>
                <c:pt idx="6">
                  <c:v>526</c:v>
                </c:pt>
                <c:pt idx="7">
                  <c:v>603</c:v>
                </c:pt>
                <c:pt idx="8">
                  <c:v>686</c:v>
                </c:pt>
                <c:pt idx="9">
                  <c:v>713</c:v>
                </c:pt>
                <c:pt idx="10">
                  <c:v>819</c:v>
                </c:pt>
                <c:pt idx="11">
                  <c:v>922</c:v>
                </c:pt>
                <c:pt idx="12">
                  <c:v>947</c:v>
                </c:pt>
                <c:pt idx="13">
                  <c:v>894</c:v>
                </c:pt>
                <c:pt idx="14">
                  <c:v>873</c:v>
                </c:pt>
                <c:pt idx="15">
                  <c:v>743</c:v>
                </c:pt>
                <c:pt idx="16">
                  <c:v>744</c:v>
                </c:pt>
                <c:pt idx="17">
                  <c:v>427</c:v>
                </c:pt>
                <c:pt idx="18">
                  <c:v>240</c:v>
                </c:pt>
                <c:pt idx="19">
                  <c:v>113</c:v>
                </c:pt>
                <c:pt idx="20">
                  <c:v>25</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05170352"/>
        <c:axId val="405171528"/>
      </c:barChart>
      <c:catAx>
        <c:axId val="4051672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5169568"/>
        <c:crosses val="autoZero"/>
        <c:auto val="1"/>
        <c:lblAlgn val="ctr"/>
        <c:lblOffset val="100"/>
        <c:noMultiLvlLbl val="0"/>
      </c:catAx>
      <c:valAx>
        <c:axId val="405169568"/>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5167216"/>
        <c:crosses val="autoZero"/>
        <c:crossBetween val="between"/>
        <c:majorUnit val="1000"/>
      </c:valAx>
      <c:valAx>
        <c:axId val="405171528"/>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5170352"/>
        <c:crosses val="max"/>
        <c:crossBetween val="between"/>
        <c:majorUnit val="1000"/>
      </c:valAx>
      <c:catAx>
        <c:axId val="405170352"/>
        <c:scaling>
          <c:orientation val="minMax"/>
        </c:scaling>
        <c:delete val="1"/>
        <c:axPos val="l"/>
        <c:numFmt formatCode="General" sourceLinked="1"/>
        <c:majorTickMark val="out"/>
        <c:minorTickMark val="none"/>
        <c:tickLblPos val="nextTo"/>
        <c:crossAx val="4051715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2.6561641811360969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CCC-4260-A6CB-7376679E884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332</c:v>
                </c:pt>
                <c:pt idx="1">
                  <c:v>364</c:v>
                </c:pt>
                <c:pt idx="2">
                  <c:v>417</c:v>
                </c:pt>
                <c:pt idx="3">
                  <c:v>432</c:v>
                </c:pt>
                <c:pt idx="4">
                  <c:v>312</c:v>
                </c:pt>
                <c:pt idx="5">
                  <c:v>353</c:v>
                </c:pt>
                <c:pt idx="6">
                  <c:v>411</c:v>
                </c:pt>
                <c:pt idx="7">
                  <c:v>453</c:v>
                </c:pt>
                <c:pt idx="8">
                  <c:v>620</c:v>
                </c:pt>
                <c:pt idx="9">
                  <c:v>602</c:v>
                </c:pt>
                <c:pt idx="10">
                  <c:v>697</c:v>
                </c:pt>
                <c:pt idx="11">
                  <c:v>737</c:v>
                </c:pt>
                <c:pt idx="12">
                  <c:v>813</c:v>
                </c:pt>
                <c:pt idx="13">
                  <c:v>907</c:v>
                </c:pt>
                <c:pt idx="14">
                  <c:v>729</c:v>
                </c:pt>
                <c:pt idx="15">
                  <c:v>692</c:v>
                </c:pt>
                <c:pt idx="16">
                  <c:v>548</c:v>
                </c:pt>
                <c:pt idx="17">
                  <c:v>340</c:v>
                </c:pt>
                <c:pt idx="18">
                  <c:v>168</c:v>
                </c:pt>
                <c:pt idx="19">
                  <c:v>27</c:v>
                </c:pt>
                <c:pt idx="20">
                  <c:v>8</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05165256"/>
        <c:axId val="40517113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331</c:v>
                </c:pt>
                <c:pt idx="1">
                  <c:v>370</c:v>
                </c:pt>
                <c:pt idx="2">
                  <c:v>408</c:v>
                </c:pt>
                <c:pt idx="3">
                  <c:v>454</c:v>
                </c:pt>
                <c:pt idx="4">
                  <c:v>389</c:v>
                </c:pt>
                <c:pt idx="5">
                  <c:v>414</c:v>
                </c:pt>
                <c:pt idx="6">
                  <c:v>384</c:v>
                </c:pt>
                <c:pt idx="7">
                  <c:v>457</c:v>
                </c:pt>
                <c:pt idx="8">
                  <c:v>570</c:v>
                </c:pt>
                <c:pt idx="9">
                  <c:v>610</c:v>
                </c:pt>
                <c:pt idx="10">
                  <c:v>684</c:v>
                </c:pt>
                <c:pt idx="11">
                  <c:v>713</c:v>
                </c:pt>
                <c:pt idx="12">
                  <c:v>796</c:v>
                </c:pt>
                <c:pt idx="13">
                  <c:v>895</c:v>
                </c:pt>
                <c:pt idx="14">
                  <c:v>935</c:v>
                </c:pt>
                <c:pt idx="15">
                  <c:v>839</c:v>
                </c:pt>
                <c:pt idx="16">
                  <c:v>735</c:v>
                </c:pt>
                <c:pt idx="17">
                  <c:v>505</c:v>
                </c:pt>
                <c:pt idx="18">
                  <c:v>340</c:v>
                </c:pt>
                <c:pt idx="19">
                  <c:v>105</c:v>
                </c:pt>
                <c:pt idx="20">
                  <c:v>28</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05166040"/>
        <c:axId val="405170744"/>
      </c:barChart>
      <c:catAx>
        <c:axId val="4051652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5171136"/>
        <c:crosses val="autoZero"/>
        <c:auto val="1"/>
        <c:lblAlgn val="ctr"/>
        <c:lblOffset val="100"/>
        <c:noMultiLvlLbl val="0"/>
      </c:catAx>
      <c:valAx>
        <c:axId val="405171136"/>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5165256"/>
        <c:crosses val="autoZero"/>
        <c:crossBetween val="between"/>
        <c:majorUnit val="1000"/>
      </c:valAx>
      <c:valAx>
        <c:axId val="405170744"/>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5166040"/>
        <c:crosses val="max"/>
        <c:crossBetween val="between"/>
        <c:majorUnit val="1000"/>
      </c:valAx>
      <c:catAx>
        <c:axId val="405166040"/>
        <c:scaling>
          <c:orientation val="minMax"/>
        </c:scaling>
        <c:delete val="1"/>
        <c:axPos val="l"/>
        <c:numFmt formatCode="General" sourceLinked="1"/>
        <c:majorTickMark val="out"/>
        <c:minorTickMark val="none"/>
        <c:tickLblPos val="nextTo"/>
        <c:crossAx val="4051707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771</c:v>
                </c:pt>
                <c:pt idx="1">
                  <c:v>889</c:v>
                </c:pt>
                <c:pt idx="2">
                  <c:v>1027</c:v>
                </c:pt>
                <c:pt idx="3">
                  <c:v>1067</c:v>
                </c:pt>
                <c:pt idx="4">
                  <c:v>717</c:v>
                </c:pt>
                <c:pt idx="5">
                  <c:v>781</c:v>
                </c:pt>
                <c:pt idx="6">
                  <c:v>1075</c:v>
                </c:pt>
                <c:pt idx="7">
                  <c:v>1156</c:v>
                </c:pt>
                <c:pt idx="8">
                  <c:v>1356</c:v>
                </c:pt>
                <c:pt idx="9">
                  <c:v>1443</c:v>
                </c:pt>
                <c:pt idx="10">
                  <c:v>1613</c:v>
                </c:pt>
                <c:pt idx="11">
                  <c:v>1824</c:v>
                </c:pt>
                <c:pt idx="12">
                  <c:v>1755</c:v>
                </c:pt>
                <c:pt idx="13">
                  <c:v>1752</c:v>
                </c:pt>
                <c:pt idx="14">
                  <c:v>1633</c:v>
                </c:pt>
                <c:pt idx="15">
                  <c:v>1358</c:v>
                </c:pt>
                <c:pt idx="16">
                  <c:v>1245</c:v>
                </c:pt>
                <c:pt idx="17">
                  <c:v>678</c:v>
                </c:pt>
                <c:pt idx="18">
                  <c:v>365</c:v>
                </c:pt>
                <c:pt idx="19">
                  <c:v>137</c:v>
                </c:pt>
                <c:pt idx="20">
                  <c:v>31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122208"/>
        <c:axId val="46312103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775</c:v>
                </c:pt>
                <c:pt idx="1">
                  <c:v>891</c:v>
                </c:pt>
                <c:pt idx="2">
                  <c:v>1029</c:v>
                </c:pt>
                <c:pt idx="3">
                  <c:v>1069</c:v>
                </c:pt>
                <c:pt idx="4">
                  <c:v>717</c:v>
                </c:pt>
                <c:pt idx="5">
                  <c:v>785</c:v>
                </c:pt>
                <c:pt idx="6">
                  <c:v>1080</c:v>
                </c:pt>
                <c:pt idx="7">
                  <c:v>1156</c:v>
                </c:pt>
                <c:pt idx="8">
                  <c:v>1357</c:v>
                </c:pt>
                <c:pt idx="9">
                  <c:v>1444</c:v>
                </c:pt>
                <c:pt idx="10">
                  <c:v>1613</c:v>
                </c:pt>
                <c:pt idx="11">
                  <c:v>1824</c:v>
                </c:pt>
                <c:pt idx="12">
                  <c:v>1755</c:v>
                </c:pt>
                <c:pt idx="13">
                  <c:v>1752</c:v>
                </c:pt>
                <c:pt idx="14">
                  <c:v>1633</c:v>
                </c:pt>
                <c:pt idx="15">
                  <c:v>1358</c:v>
                </c:pt>
                <c:pt idx="16">
                  <c:v>1245</c:v>
                </c:pt>
                <c:pt idx="17">
                  <c:v>678</c:v>
                </c:pt>
                <c:pt idx="18">
                  <c:v>365</c:v>
                </c:pt>
                <c:pt idx="19">
                  <c:v>137</c:v>
                </c:pt>
                <c:pt idx="20">
                  <c:v>31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121816"/>
        <c:axId val="463118680"/>
      </c:barChart>
      <c:catAx>
        <c:axId val="4631222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21032"/>
        <c:crosses val="autoZero"/>
        <c:auto val="1"/>
        <c:lblAlgn val="ctr"/>
        <c:lblOffset val="100"/>
        <c:noMultiLvlLbl val="0"/>
      </c:catAx>
      <c:valAx>
        <c:axId val="463121032"/>
        <c:scaling>
          <c:orientation val="maxMin"/>
          <c:max val="3000"/>
          <c:min val="-4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22208"/>
        <c:crosses val="autoZero"/>
        <c:crossBetween val="between"/>
        <c:majorUnit val="1500"/>
      </c:valAx>
      <c:valAx>
        <c:axId val="463118680"/>
        <c:scaling>
          <c:orientation val="minMax"/>
          <c:max val="3000"/>
          <c:min val="-4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21816"/>
        <c:crosses val="max"/>
        <c:crossBetween val="between"/>
        <c:majorUnit val="1500"/>
      </c:valAx>
      <c:catAx>
        <c:axId val="463121816"/>
        <c:scaling>
          <c:orientation val="minMax"/>
        </c:scaling>
        <c:delete val="1"/>
        <c:axPos val="l"/>
        <c:numFmt formatCode="General" sourceLinked="1"/>
        <c:majorTickMark val="out"/>
        <c:minorTickMark val="none"/>
        <c:tickLblPos val="nextTo"/>
        <c:crossAx val="46311868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658</c:v>
                </c:pt>
                <c:pt idx="1">
                  <c:v>729</c:v>
                </c:pt>
                <c:pt idx="2">
                  <c:v>819</c:v>
                </c:pt>
                <c:pt idx="3">
                  <c:v>882</c:v>
                </c:pt>
                <c:pt idx="4">
                  <c:v>699</c:v>
                </c:pt>
                <c:pt idx="5">
                  <c:v>762</c:v>
                </c:pt>
                <c:pt idx="6">
                  <c:v>789</c:v>
                </c:pt>
                <c:pt idx="7">
                  <c:v>905</c:v>
                </c:pt>
                <c:pt idx="8">
                  <c:v>1185</c:v>
                </c:pt>
                <c:pt idx="9">
                  <c:v>1211</c:v>
                </c:pt>
                <c:pt idx="10">
                  <c:v>1380</c:v>
                </c:pt>
                <c:pt idx="11">
                  <c:v>1449</c:v>
                </c:pt>
                <c:pt idx="12">
                  <c:v>1609</c:v>
                </c:pt>
                <c:pt idx="13">
                  <c:v>1802</c:v>
                </c:pt>
                <c:pt idx="14">
                  <c:v>1664</c:v>
                </c:pt>
                <c:pt idx="15">
                  <c:v>1531</c:v>
                </c:pt>
                <c:pt idx="16">
                  <c:v>1283</c:v>
                </c:pt>
                <c:pt idx="17">
                  <c:v>845</c:v>
                </c:pt>
                <c:pt idx="18">
                  <c:v>508</c:v>
                </c:pt>
                <c:pt idx="19">
                  <c:v>132</c:v>
                </c:pt>
                <c:pt idx="20">
                  <c:v>36</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122600"/>
        <c:axId val="463123384"/>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663</c:v>
                </c:pt>
                <c:pt idx="1">
                  <c:v>734</c:v>
                </c:pt>
                <c:pt idx="2">
                  <c:v>825</c:v>
                </c:pt>
                <c:pt idx="3">
                  <c:v>886</c:v>
                </c:pt>
                <c:pt idx="4">
                  <c:v>701</c:v>
                </c:pt>
                <c:pt idx="5">
                  <c:v>767</c:v>
                </c:pt>
                <c:pt idx="6">
                  <c:v>795</c:v>
                </c:pt>
                <c:pt idx="7">
                  <c:v>910</c:v>
                </c:pt>
                <c:pt idx="8">
                  <c:v>1190</c:v>
                </c:pt>
                <c:pt idx="9">
                  <c:v>1212</c:v>
                </c:pt>
                <c:pt idx="10">
                  <c:v>1381</c:v>
                </c:pt>
                <c:pt idx="11">
                  <c:v>1450</c:v>
                </c:pt>
                <c:pt idx="12">
                  <c:v>1609</c:v>
                </c:pt>
                <c:pt idx="13">
                  <c:v>1802</c:v>
                </c:pt>
                <c:pt idx="14">
                  <c:v>1664</c:v>
                </c:pt>
                <c:pt idx="15">
                  <c:v>1531</c:v>
                </c:pt>
                <c:pt idx="16">
                  <c:v>1283</c:v>
                </c:pt>
                <c:pt idx="17">
                  <c:v>845</c:v>
                </c:pt>
                <c:pt idx="18">
                  <c:v>508</c:v>
                </c:pt>
                <c:pt idx="19">
                  <c:v>132</c:v>
                </c:pt>
                <c:pt idx="20">
                  <c:v>36</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124168"/>
        <c:axId val="463118288"/>
      </c:barChart>
      <c:catAx>
        <c:axId val="4631226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23384"/>
        <c:crosses val="autoZero"/>
        <c:auto val="1"/>
        <c:lblAlgn val="ctr"/>
        <c:lblOffset val="100"/>
        <c:noMultiLvlLbl val="0"/>
      </c:catAx>
      <c:valAx>
        <c:axId val="463123384"/>
        <c:scaling>
          <c:orientation val="maxMin"/>
          <c:max val="3000"/>
          <c:min val="-4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22600"/>
        <c:crosses val="autoZero"/>
        <c:crossBetween val="between"/>
        <c:majorUnit val="1500"/>
      </c:valAx>
      <c:valAx>
        <c:axId val="463118288"/>
        <c:scaling>
          <c:orientation val="minMax"/>
          <c:max val="3000"/>
          <c:min val="-4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24168"/>
        <c:crosses val="max"/>
        <c:crossBetween val="between"/>
        <c:majorUnit val="1500"/>
      </c:valAx>
      <c:catAx>
        <c:axId val="463124168"/>
        <c:scaling>
          <c:orientation val="minMax"/>
        </c:scaling>
        <c:delete val="1"/>
        <c:axPos val="l"/>
        <c:numFmt formatCode="General" sourceLinked="1"/>
        <c:majorTickMark val="out"/>
        <c:minorTickMark val="none"/>
        <c:tickLblPos val="nextTo"/>
        <c:crossAx val="46311828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大淀地域自治区</c:v>
                </c:pt>
              </c:strCache>
            </c:strRef>
          </c:cat>
          <c:val>
            <c:numRef>
              <c:f>管理者用地域特徴シート!$H$3:$H$5</c:f>
              <c:numCache>
                <c:formatCode>0.0%</c:formatCode>
                <c:ptCount val="3"/>
                <c:pt idx="0">
                  <c:v>0.46108733927332846</c:v>
                </c:pt>
                <c:pt idx="1">
                  <c:v>0.38017324874035541</c:v>
                </c:pt>
                <c:pt idx="2">
                  <c:v>0.35194390200603587</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3124952"/>
        <c:axId val="463124560"/>
      </c:barChart>
      <c:catAx>
        <c:axId val="4631249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24560"/>
        <c:crosses val="autoZero"/>
        <c:auto val="1"/>
        <c:lblAlgn val="ctr"/>
        <c:lblOffset val="100"/>
        <c:noMultiLvlLbl val="0"/>
      </c:catAx>
      <c:valAx>
        <c:axId val="4631245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249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大淀地域自治区</c:v>
                </c:pt>
              </c:strCache>
            </c:strRef>
          </c:cat>
          <c:val>
            <c:numRef>
              <c:f>管理者用地域特徴シート!$J$3:$J$5</c:f>
              <c:numCache>
                <c:formatCode>0.0%</c:formatCode>
                <c:ptCount val="3"/>
                <c:pt idx="0">
                  <c:v>0.15075281438403673</c:v>
                </c:pt>
                <c:pt idx="1">
                  <c:v>0.12415252853924759</c:v>
                </c:pt>
                <c:pt idx="2">
                  <c:v>0.13474170069234867</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3117896"/>
        <c:axId val="463119464"/>
      </c:barChart>
      <c:catAx>
        <c:axId val="4631178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19464"/>
        <c:crosses val="autoZero"/>
        <c:auto val="1"/>
        <c:lblAlgn val="ctr"/>
        <c:lblOffset val="100"/>
        <c:noMultiLvlLbl val="0"/>
      </c:catAx>
      <c:valAx>
        <c:axId val="46311946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178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大淀地域自治区</c:v>
                </c:pt>
              </c:strCache>
            </c:strRef>
          </c:cat>
          <c:val>
            <c:numRef>
              <c:f>管理者用地域特徴シート!$P$3:$P$5</c:f>
              <c:numCache>
                <c:formatCode>0.0%</c:formatCode>
                <c:ptCount val="3"/>
                <c:pt idx="0">
                  <c:v>0.34758352842621743</c:v>
                </c:pt>
                <c:pt idx="1">
                  <c:v>0.36739016143459768</c:v>
                </c:pt>
                <c:pt idx="2">
                  <c:v>0.37181111674269302</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3119072"/>
        <c:axId val="463120248"/>
      </c:barChart>
      <c:catAx>
        <c:axId val="4631190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20248"/>
        <c:crosses val="autoZero"/>
        <c:auto val="1"/>
        <c:lblAlgn val="ctr"/>
        <c:lblOffset val="100"/>
        <c:noMultiLvlLbl val="0"/>
      </c:catAx>
      <c:valAx>
        <c:axId val="4631202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190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大淀地域自治区</c:v>
                </c:pt>
              </c:strCache>
            </c:strRef>
          </c:cat>
          <c:val>
            <c:numRef>
              <c:f>管理者用地域特徴シート!$AO$3:$AO$5</c:f>
              <c:numCache>
                <c:formatCode>0.0%</c:formatCode>
                <c:ptCount val="3"/>
                <c:pt idx="0">
                  <c:v>0.5259093009439566</c:v>
                </c:pt>
                <c:pt idx="1">
                  <c:v>0.52382956571820971</c:v>
                </c:pt>
                <c:pt idx="2">
                  <c:v>0.53622909859696333</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4165104"/>
        <c:axId val="464159224"/>
      </c:barChart>
      <c:catAx>
        <c:axId val="4641651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159224"/>
        <c:crosses val="autoZero"/>
        <c:auto val="1"/>
        <c:lblAlgn val="ctr"/>
        <c:lblOffset val="100"/>
        <c:noMultiLvlLbl val="0"/>
      </c:catAx>
      <c:valAx>
        <c:axId val="4641592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16510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大淀地域自治区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1.8954677676644459E-2</c:v>
                </c:pt>
                <c:pt idx="1">
                  <c:v>8.4451534202871351E-4</c:v>
                </c:pt>
                <c:pt idx="2">
                  <c:v>9.3835038003190396E-5</c:v>
                </c:pt>
                <c:pt idx="3">
                  <c:v>6.080510462606737E-2</c:v>
                </c:pt>
                <c:pt idx="4">
                  <c:v>6.3620155766163089E-2</c:v>
                </c:pt>
                <c:pt idx="5">
                  <c:v>5.9116073942009949E-3</c:v>
                </c:pt>
                <c:pt idx="6">
                  <c:v>2.4584779956835882E-2</c:v>
                </c:pt>
                <c:pt idx="7">
                  <c:v>3.7627850239279344E-2</c:v>
                </c:pt>
                <c:pt idx="8">
                  <c:v>0.14563197898095148</c:v>
                </c:pt>
                <c:pt idx="9">
                  <c:v>3.3499108567138967E-2</c:v>
                </c:pt>
                <c:pt idx="10">
                  <c:v>2.0174533170685936E-2</c:v>
                </c:pt>
                <c:pt idx="11">
                  <c:v>3.8472365581308059E-2</c:v>
                </c:pt>
                <c:pt idx="12">
                  <c:v>5.8459228675987615E-2</c:v>
                </c:pt>
                <c:pt idx="13">
                  <c:v>3.584498451721873E-2</c:v>
                </c:pt>
                <c:pt idx="14">
                  <c:v>8.6985080228957498E-2</c:v>
                </c:pt>
                <c:pt idx="15">
                  <c:v>0.18372900441024678</c:v>
                </c:pt>
                <c:pt idx="16">
                  <c:v>7.5068030402552317E-3</c:v>
                </c:pt>
                <c:pt idx="17">
                  <c:v>6.6341371868255603E-2</c:v>
                </c:pt>
                <c:pt idx="18">
                  <c:v>8.6797410152951116E-2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宮崎市平均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4.5347317591813228E-2</c:v>
                </c:pt>
                <c:pt idx="1">
                  <c:v>1.6446639790900633E-3</c:v>
                </c:pt>
                <c:pt idx="2">
                  <c:v>1.6612767465556196E-4</c:v>
                </c:pt>
                <c:pt idx="3">
                  <c:v>7.3289992468878754E-2</c:v>
                </c:pt>
                <c:pt idx="4">
                  <c:v>7.8268285119390421E-2</c:v>
                </c:pt>
                <c:pt idx="5">
                  <c:v>6.0747353032383818E-3</c:v>
                </c:pt>
                <c:pt idx="6">
                  <c:v>2.374518229743499E-2</c:v>
                </c:pt>
                <c:pt idx="7">
                  <c:v>3.8768661675452974E-2</c:v>
                </c:pt>
                <c:pt idx="8">
                  <c:v>0.16309307579852036</c:v>
                </c:pt>
                <c:pt idx="9">
                  <c:v>2.857949762991184E-2</c:v>
                </c:pt>
                <c:pt idx="10">
                  <c:v>1.843463429761219E-2</c:v>
                </c:pt>
                <c:pt idx="11">
                  <c:v>3.4194613033269837E-2</c:v>
                </c:pt>
                <c:pt idx="12">
                  <c:v>6.1290036769591993E-2</c:v>
                </c:pt>
                <c:pt idx="13">
                  <c:v>3.6437336641119922E-2</c:v>
                </c:pt>
                <c:pt idx="14">
                  <c:v>6.6578434412794041E-2</c:v>
                </c:pt>
                <c:pt idx="15">
                  <c:v>0.17046914455322731</c:v>
                </c:pt>
                <c:pt idx="16">
                  <c:v>6.9164488548265624E-3</c:v>
                </c:pt>
                <c:pt idx="17">
                  <c:v>6.6500908164621453E-2</c:v>
                </c:pt>
                <c:pt idx="18">
                  <c:v>5.0441899614583792E-2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4163144"/>
        <c:axId val="464161968"/>
      </c:barChart>
      <c:catAx>
        <c:axId val="464163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161968"/>
        <c:crosses val="autoZero"/>
        <c:auto val="1"/>
        <c:lblAlgn val="ctr"/>
        <c:lblOffset val="100"/>
        <c:noMultiLvlLbl val="0"/>
      </c:catAx>
      <c:valAx>
        <c:axId val="46416196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163144"/>
        <c:crosses val="autoZero"/>
        <c:crossBetween val="between"/>
      </c:valAx>
      <c:spPr>
        <a:noFill/>
        <a:ln>
          <a:noFill/>
        </a:ln>
        <a:effectLst/>
      </c:spPr>
    </c:plotArea>
    <c:legend>
      <c:legendPos val="b"/>
      <c:layout>
        <c:manualLayout>
          <c:xMode val="edge"/>
          <c:yMode val="edge"/>
          <c:x val="0.52327632989538275"/>
          <c:y val="8.472348959722041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大淀地域自治区</c:v>
                </c:pt>
              </c:strCache>
            </c:strRef>
          </c:cat>
          <c:val>
            <c:numRef>
              <c:f>管理者用地域特徴シート!$CK$3:$CK$5</c:f>
              <c:numCache>
                <c:formatCode>0.0%</c:formatCode>
                <c:ptCount val="3"/>
                <c:pt idx="0">
                  <c:v>0.82747216160708559</c:v>
                </c:pt>
                <c:pt idx="1">
                  <c:v>0.90316971603242813</c:v>
                </c:pt>
                <c:pt idx="2">
                  <c:v>0.91780050670920521</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4161184"/>
        <c:axId val="464161576"/>
      </c:barChart>
      <c:catAx>
        <c:axId val="4641611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161576"/>
        <c:crosses val="autoZero"/>
        <c:auto val="1"/>
        <c:lblAlgn val="ctr"/>
        <c:lblOffset val="100"/>
        <c:noMultiLvlLbl val="0"/>
      </c:catAx>
      <c:valAx>
        <c:axId val="4641615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1611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0.21</c:v>
                </c:pt>
                <c:pt idx="1">
                  <c:v>0.24</c:v>
                </c:pt>
                <c:pt idx="2">
                  <c:v>0.26</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403182112"/>
        <c:axId val="403184072"/>
      </c:barChart>
      <c:catAx>
        <c:axId val="403182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3184072"/>
        <c:crosses val="autoZero"/>
        <c:auto val="1"/>
        <c:lblAlgn val="ctr"/>
        <c:lblOffset val="100"/>
        <c:noMultiLvlLbl val="0"/>
      </c:catAx>
      <c:valAx>
        <c:axId val="4031840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31821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0.11</c:v>
                </c:pt>
                <c:pt idx="1">
                  <c:v>0.12</c:v>
                </c:pt>
                <c:pt idx="2">
                  <c:v>0.13</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403180152"/>
        <c:axId val="403180936"/>
      </c:barChart>
      <c:catAx>
        <c:axId val="403180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3180936"/>
        <c:crosses val="autoZero"/>
        <c:auto val="1"/>
        <c:lblAlgn val="ctr"/>
        <c:lblOffset val="100"/>
        <c:noMultiLvlLbl val="0"/>
      </c:catAx>
      <c:valAx>
        <c:axId val="4031809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31801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3.4932628725012106E-2"/>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44A-4EA4-870E-5FBF43933C2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522</c:v>
                </c:pt>
                <c:pt idx="1">
                  <c:v>591</c:v>
                </c:pt>
                <c:pt idx="2">
                  <c:v>747</c:v>
                </c:pt>
                <c:pt idx="3">
                  <c:v>680</c:v>
                </c:pt>
                <c:pt idx="4">
                  <c:v>475</c:v>
                </c:pt>
                <c:pt idx="5">
                  <c:v>541</c:v>
                </c:pt>
                <c:pt idx="6">
                  <c:v>718</c:v>
                </c:pt>
                <c:pt idx="7">
                  <c:v>823</c:v>
                </c:pt>
                <c:pt idx="8">
                  <c:v>756</c:v>
                </c:pt>
                <c:pt idx="9">
                  <c:v>856</c:v>
                </c:pt>
                <c:pt idx="10">
                  <c:v>814</c:v>
                </c:pt>
                <c:pt idx="11">
                  <c:v>756</c:v>
                </c:pt>
                <c:pt idx="12">
                  <c:v>785</c:v>
                </c:pt>
                <c:pt idx="13">
                  <c:v>567</c:v>
                </c:pt>
                <c:pt idx="14">
                  <c:v>498</c:v>
                </c:pt>
                <c:pt idx="15">
                  <c:v>399</c:v>
                </c:pt>
                <c:pt idx="16">
                  <c:v>314</c:v>
                </c:pt>
                <c:pt idx="17">
                  <c:v>132</c:v>
                </c:pt>
                <c:pt idx="18">
                  <c:v>33</c:v>
                </c:pt>
                <c:pt idx="19">
                  <c:v>10</c:v>
                </c:pt>
                <c:pt idx="20">
                  <c:v>2</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04500032"/>
        <c:axId val="40450238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498</c:v>
                </c:pt>
                <c:pt idx="1">
                  <c:v>558</c:v>
                </c:pt>
                <c:pt idx="2">
                  <c:v>710</c:v>
                </c:pt>
                <c:pt idx="3">
                  <c:v>691</c:v>
                </c:pt>
                <c:pt idx="4">
                  <c:v>587</c:v>
                </c:pt>
                <c:pt idx="5">
                  <c:v>658</c:v>
                </c:pt>
                <c:pt idx="6">
                  <c:v>757</c:v>
                </c:pt>
                <c:pt idx="7">
                  <c:v>917</c:v>
                </c:pt>
                <c:pt idx="8">
                  <c:v>961</c:v>
                </c:pt>
                <c:pt idx="9">
                  <c:v>934</c:v>
                </c:pt>
                <c:pt idx="10">
                  <c:v>892</c:v>
                </c:pt>
                <c:pt idx="11">
                  <c:v>843</c:v>
                </c:pt>
                <c:pt idx="12">
                  <c:v>890</c:v>
                </c:pt>
                <c:pt idx="13">
                  <c:v>663</c:v>
                </c:pt>
                <c:pt idx="14">
                  <c:v>636</c:v>
                </c:pt>
                <c:pt idx="15">
                  <c:v>647</c:v>
                </c:pt>
                <c:pt idx="16">
                  <c:v>480</c:v>
                </c:pt>
                <c:pt idx="17">
                  <c:v>310</c:v>
                </c:pt>
                <c:pt idx="18">
                  <c:v>158</c:v>
                </c:pt>
                <c:pt idx="19">
                  <c:v>52</c:v>
                </c:pt>
                <c:pt idx="20">
                  <c:v>8</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04504736"/>
        <c:axId val="404505520"/>
      </c:barChart>
      <c:catAx>
        <c:axId val="4045000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4502384"/>
        <c:crosses val="autoZero"/>
        <c:auto val="1"/>
        <c:lblAlgn val="ctr"/>
        <c:lblOffset val="100"/>
        <c:noMultiLvlLbl val="0"/>
      </c:catAx>
      <c:valAx>
        <c:axId val="404502384"/>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4500032"/>
        <c:crosses val="autoZero"/>
        <c:crossBetween val="between"/>
        <c:majorUnit val="1000"/>
      </c:valAx>
      <c:valAx>
        <c:axId val="404505520"/>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4504736"/>
        <c:crosses val="max"/>
        <c:crossBetween val="between"/>
        <c:majorUnit val="1000"/>
      </c:valAx>
      <c:catAx>
        <c:axId val="404504736"/>
        <c:scaling>
          <c:orientation val="minMax"/>
        </c:scaling>
        <c:delete val="1"/>
        <c:axPos val="l"/>
        <c:numFmt formatCode="General" sourceLinked="1"/>
        <c:majorTickMark val="out"/>
        <c:minorTickMark val="none"/>
        <c:tickLblPos val="nextTo"/>
        <c:crossAx val="4045055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11019</c:v>
                </c:pt>
                <c:pt idx="1">
                  <c:v>10972</c:v>
                </c:pt>
                <c:pt idx="2">
                  <c:v>11073</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12850</c:v>
                </c:pt>
                <c:pt idx="1">
                  <c:v>12796</c:v>
                </c:pt>
                <c:pt idx="2">
                  <c:v>12601</c:v>
                </c:pt>
              </c:numCache>
            </c:numRef>
          </c:val>
          <c:extLst xmlns:c16r2="http://schemas.microsoft.com/office/drawing/2015/06/chart">
            <c:ext xmlns:c16="http://schemas.microsoft.com/office/drawing/2014/chart" uri="{C3380CC4-5D6E-409C-BE32-E72D297353CC}">
              <c16:uniqueId val="{00000000-1297-4361-A81D-D3BCE305D677}"/>
            </c:ext>
          </c:extLst>
        </c:ser>
        <c:dLbls>
          <c:showLegendKey val="0"/>
          <c:showVal val="0"/>
          <c:showCatName val="0"/>
          <c:showSerName val="0"/>
          <c:showPercent val="0"/>
          <c:showBubbleSize val="0"/>
        </c:dLbls>
        <c:gapWidth val="219"/>
        <c:overlap val="100"/>
        <c:axId val="404500424"/>
        <c:axId val="40450277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23869</c:v>
                </c:pt>
                <c:pt idx="1">
                  <c:v>23768</c:v>
                </c:pt>
                <c:pt idx="2">
                  <c:v>23674</c:v>
                </c:pt>
              </c:numCache>
            </c:numRef>
          </c:val>
          <c:smooth val="0"/>
          <c:extLst xmlns:c16r2="http://schemas.microsoft.com/office/drawing/2015/06/chart">
            <c:ext xmlns:c16="http://schemas.microsoft.com/office/drawing/2014/chart" uri="{C3380CC4-5D6E-409C-BE32-E72D297353CC}">
              <c16:uniqueId val="{00000001-1297-4361-A81D-D3BCE305D677}"/>
            </c:ext>
          </c:extLst>
        </c:ser>
        <c:dLbls>
          <c:showLegendKey val="0"/>
          <c:showVal val="0"/>
          <c:showCatName val="0"/>
          <c:showSerName val="0"/>
          <c:showPercent val="0"/>
          <c:showBubbleSize val="0"/>
        </c:dLbls>
        <c:marker val="1"/>
        <c:smooth val="0"/>
        <c:axId val="404500424"/>
        <c:axId val="404502776"/>
      </c:lineChart>
      <c:catAx>
        <c:axId val="404500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4502776"/>
        <c:crosses val="autoZero"/>
        <c:auto val="1"/>
        <c:lblAlgn val="ctr"/>
        <c:lblOffset val="100"/>
        <c:noMultiLvlLbl val="0"/>
      </c:catAx>
      <c:valAx>
        <c:axId val="4045027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4500424"/>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9.7084608747202163E-4"/>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278-4779-998C-2DF0F8DD73F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484</c:v>
                </c:pt>
                <c:pt idx="1">
                  <c:v>526</c:v>
                </c:pt>
                <c:pt idx="2">
                  <c:v>564</c:v>
                </c:pt>
                <c:pt idx="3">
                  <c:v>543</c:v>
                </c:pt>
                <c:pt idx="4">
                  <c:v>456</c:v>
                </c:pt>
                <c:pt idx="5">
                  <c:v>456</c:v>
                </c:pt>
                <c:pt idx="6">
                  <c:v>599</c:v>
                </c:pt>
                <c:pt idx="7">
                  <c:v>672</c:v>
                </c:pt>
                <c:pt idx="8">
                  <c:v>765</c:v>
                </c:pt>
                <c:pt idx="9">
                  <c:v>895</c:v>
                </c:pt>
                <c:pt idx="10">
                  <c:v>789</c:v>
                </c:pt>
                <c:pt idx="11">
                  <c:v>854</c:v>
                </c:pt>
                <c:pt idx="12">
                  <c:v>842</c:v>
                </c:pt>
                <c:pt idx="13">
                  <c:v>763</c:v>
                </c:pt>
                <c:pt idx="14">
                  <c:v>695</c:v>
                </c:pt>
                <c:pt idx="15">
                  <c:v>454</c:v>
                </c:pt>
                <c:pt idx="16">
                  <c:v>375</c:v>
                </c:pt>
                <c:pt idx="17">
                  <c:v>221</c:v>
                </c:pt>
                <c:pt idx="18">
                  <c:v>105</c:v>
                </c:pt>
                <c:pt idx="19">
                  <c:v>12</c:v>
                </c:pt>
                <c:pt idx="20">
                  <c:v>3</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04503168"/>
        <c:axId val="40450356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482</c:v>
                </c:pt>
                <c:pt idx="1">
                  <c:v>550</c:v>
                </c:pt>
                <c:pt idx="2">
                  <c:v>496</c:v>
                </c:pt>
                <c:pt idx="3">
                  <c:v>552</c:v>
                </c:pt>
                <c:pt idx="4">
                  <c:v>521</c:v>
                </c:pt>
                <c:pt idx="5">
                  <c:v>544</c:v>
                </c:pt>
                <c:pt idx="6">
                  <c:v>633</c:v>
                </c:pt>
                <c:pt idx="7">
                  <c:v>705</c:v>
                </c:pt>
                <c:pt idx="8">
                  <c:v>822</c:v>
                </c:pt>
                <c:pt idx="9">
                  <c:v>923</c:v>
                </c:pt>
                <c:pt idx="10">
                  <c:v>974</c:v>
                </c:pt>
                <c:pt idx="11">
                  <c:v>921</c:v>
                </c:pt>
                <c:pt idx="12">
                  <c:v>885</c:v>
                </c:pt>
                <c:pt idx="13">
                  <c:v>792</c:v>
                </c:pt>
                <c:pt idx="14">
                  <c:v>884</c:v>
                </c:pt>
                <c:pt idx="15">
                  <c:v>628</c:v>
                </c:pt>
                <c:pt idx="16">
                  <c:v>525</c:v>
                </c:pt>
                <c:pt idx="17">
                  <c:v>459</c:v>
                </c:pt>
                <c:pt idx="18">
                  <c:v>217</c:v>
                </c:pt>
                <c:pt idx="19">
                  <c:v>70</c:v>
                </c:pt>
                <c:pt idx="20">
                  <c:v>18</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04504344"/>
        <c:axId val="404503952"/>
      </c:barChart>
      <c:catAx>
        <c:axId val="4045031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4503560"/>
        <c:crosses val="autoZero"/>
        <c:auto val="1"/>
        <c:lblAlgn val="ctr"/>
        <c:lblOffset val="100"/>
        <c:noMultiLvlLbl val="0"/>
      </c:catAx>
      <c:valAx>
        <c:axId val="404503560"/>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4503168"/>
        <c:crosses val="autoZero"/>
        <c:crossBetween val="between"/>
        <c:majorUnit val="1000"/>
      </c:valAx>
      <c:valAx>
        <c:axId val="404503952"/>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4504344"/>
        <c:crosses val="max"/>
        <c:crossBetween val="between"/>
        <c:majorUnit val="1000"/>
      </c:valAx>
      <c:catAx>
        <c:axId val="404504344"/>
        <c:scaling>
          <c:orientation val="minMax"/>
        </c:scaling>
        <c:delete val="1"/>
        <c:axPos val="l"/>
        <c:numFmt formatCode="General" sourceLinked="1"/>
        <c:majorTickMark val="out"/>
        <c:minorTickMark val="none"/>
        <c:tickLblPos val="nextTo"/>
        <c:crossAx val="4045039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AD5A-4A09-8486-7B4F38532F3E}"/>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AD5A-4A09-8486-7B4F38532F3E}"/>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AD5A-4A09-8486-7B4F38532F3E}"/>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D5A-4A09-8486-7B4F38532F3E}"/>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AD5A-4A09-8486-7B4F38532F3E}"/>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11019</c:v>
                </c:pt>
                <c:pt idx="1">
                  <c:v>10972</c:v>
                </c:pt>
                <c:pt idx="2">
                  <c:v>11073</c:v>
                </c:pt>
                <c:pt idx="3">
                  <c:v>10955</c:v>
                </c:pt>
                <c:pt idx="4">
                  <c:v>10718</c:v>
                </c:pt>
                <c:pt idx="5">
                  <c:v>10374</c:v>
                </c:pt>
                <c:pt idx="6">
                  <c:v>9942</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AD5A-4A09-8486-7B4F38532F3E}"/>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AD5A-4A09-8486-7B4F38532F3E}"/>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AD5A-4A09-8486-7B4F38532F3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12850</c:v>
                </c:pt>
                <c:pt idx="1">
                  <c:v>12796</c:v>
                </c:pt>
                <c:pt idx="2">
                  <c:v>12601</c:v>
                </c:pt>
                <c:pt idx="3">
                  <c:v>12326</c:v>
                </c:pt>
                <c:pt idx="4">
                  <c:v>11955</c:v>
                </c:pt>
                <c:pt idx="5">
                  <c:v>11484</c:v>
                </c:pt>
                <c:pt idx="6">
                  <c:v>10936</c:v>
                </c:pt>
              </c:numCache>
            </c:numRef>
          </c:val>
          <c:extLst xmlns:c16r2="http://schemas.microsoft.com/office/drawing/2015/06/chart">
            <c:ext xmlns:c16="http://schemas.microsoft.com/office/drawing/2014/chart" uri="{C3380CC4-5D6E-409C-BE32-E72D297353CC}">
              <c16:uniqueId val="{00000010-AD5A-4A09-8486-7B4F38532F3E}"/>
            </c:ext>
          </c:extLst>
        </c:ser>
        <c:dLbls>
          <c:showLegendKey val="0"/>
          <c:showVal val="0"/>
          <c:showCatName val="0"/>
          <c:showSerName val="0"/>
          <c:showPercent val="0"/>
          <c:showBubbleSize val="0"/>
        </c:dLbls>
        <c:gapWidth val="219"/>
        <c:overlap val="100"/>
        <c:axId val="404499248"/>
        <c:axId val="40449846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23869</c:v>
                </c:pt>
                <c:pt idx="1">
                  <c:v>23768</c:v>
                </c:pt>
                <c:pt idx="2">
                  <c:v>23674</c:v>
                </c:pt>
                <c:pt idx="3">
                  <c:v>23281</c:v>
                </c:pt>
                <c:pt idx="4">
                  <c:v>22673</c:v>
                </c:pt>
                <c:pt idx="5">
                  <c:v>21858</c:v>
                </c:pt>
                <c:pt idx="6">
                  <c:v>20878</c:v>
                </c:pt>
              </c:numCache>
            </c:numRef>
          </c:val>
          <c:smooth val="0"/>
          <c:extLst xmlns:c16r2="http://schemas.microsoft.com/office/drawing/2015/06/chart">
            <c:ext xmlns:c16="http://schemas.microsoft.com/office/drawing/2014/chart" uri="{C3380CC4-5D6E-409C-BE32-E72D297353CC}">
              <c16:uniqueId val="{00000011-AD5A-4A09-8486-7B4F38532F3E}"/>
            </c:ext>
          </c:extLst>
        </c:ser>
        <c:dLbls>
          <c:showLegendKey val="0"/>
          <c:showVal val="0"/>
          <c:showCatName val="0"/>
          <c:showSerName val="0"/>
          <c:showPercent val="0"/>
          <c:showBubbleSize val="0"/>
        </c:dLbls>
        <c:marker val="1"/>
        <c:smooth val="0"/>
        <c:axId val="404499248"/>
        <c:axId val="404498464"/>
      </c:lineChart>
      <c:catAx>
        <c:axId val="404499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4498464"/>
        <c:crosses val="autoZero"/>
        <c:auto val="1"/>
        <c:lblAlgn val="ctr"/>
        <c:lblOffset val="100"/>
        <c:noMultiLvlLbl val="0"/>
      </c:catAx>
      <c:valAx>
        <c:axId val="4044984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449924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1564</c:v>
                </c:pt>
                <c:pt idx="1">
                  <c:v>1316</c:v>
                </c:pt>
                <c:pt idx="2">
                  <c:v>1281</c:v>
                </c:pt>
                <c:pt idx="3">
                  <c:v>1264</c:v>
                </c:pt>
                <c:pt idx="4">
                  <c:v>1150</c:v>
                </c:pt>
                <c:pt idx="5">
                  <c:v>1028</c:v>
                </c:pt>
                <c:pt idx="6">
                  <c:v>929</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04501600"/>
        <c:axId val="404499640"/>
      </c:barChart>
      <c:catAx>
        <c:axId val="404501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4499640"/>
        <c:crosses val="autoZero"/>
        <c:auto val="1"/>
        <c:lblAlgn val="ctr"/>
        <c:lblOffset val="100"/>
        <c:noMultiLvlLbl val="0"/>
      </c:catAx>
      <c:valAx>
        <c:axId val="4044996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45016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大淀地域自治区</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297" t="s">
        <v>131</v>
      </c>
      <c r="L1" s="297"/>
      <c r="M1" s="297"/>
      <c r="N1" s="297"/>
      <c r="O1" s="297"/>
      <c r="P1" s="297"/>
      <c r="Q1" s="297"/>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宮崎市平均</v>
      </c>
      <c r="C4" s="88" t="str">
        <f>B4</f>
        <v>宮崎市平均</v>
      </c>
      <c r="D4" s="185">
        <f>SUM(D7:D70)</f>
        <v>183782</v>
      </c>
      <c r="E4" s="186">
        <f>SUM(E7:E70)</f>
        <v>69869</v>
      </c>
      <c r="F4" s="186">
        <f>SUM(F7:F70)</f>
        <v>24613</v>
      </c>
      <c r="G4" s="187">
        <f>SUM(G7:G70)</f>
        <v>22817</v>
      </c>
      <c r="H4" s="148">
        <f>E4/D4</f>
        <v>0.38017324874035541</v>
      </c>
      <c r="I4" s="149">
        <f>F4/D4</f>
        <v>0.13392497633065262</v>
      </c>
      <c r="J4" s="150">
        <f>G4/D4</f>
        <v>0.12415252853924759</v>
      </c>
      <c r="K4" s="185">
        <f>SUM(K7:K70)</f>
        <v>401339</v>
      </c>
      <c r="L4" s="186">
        <f>SUM(L7:L70)</f>
        <v>31336</v>
      </c>
      <c r="M4" s="186">
        <f>SUM(M7:M70)</f>
        <v>147448</v>
      </c>
      <c r="N4" s="187">
        <f>SUM(N7:N70)</f>
        <v>174291</v>
      </c>
      <c r="O4" s="148">
        <f>L4/K4</f>
        <v>7.8078631780116065E-2</v>
      </c>
      <c r="P4" s="149">
        <f>M4/K4</f>
        <v>0.36739016143459768</v>
      </c>
      <c r="Q4" s="150">
        <f>N4/K4</f>
        <v>0.43427376855974625</v>
      </c>
      <c r="R4" s="185">
        <f>SUM(R7:R70)</f>
        <v>401339</v>
      </c>
      <c r="S4" s="145">
        <f>SUM(S7:S70)</f>
        <v>56516</v>
      </c>
      <c r="T4" s="145">
        <f>SUM(T7:T70)</f>
        <v>12502</v>
      </c>
      <c r="U4" s="144">
        <f>SUM(U7:U70)</f>
        <v>20240</v>
      </c>
      <c r="V4" s="144">
        <f>SUM(V7:V70)</f>
        <v>1029</v>
      </c>
      <c r="W4" s="146">
        <f>S4+T4+U4+V4</f>
        <v>90287</v>
      </c>
      <c r="X4" s="143">
        <f>SUM(X7:X70)</f>
        <v>189342</v>
      </c>
      <c r="Y4" s="144">
        <f>SUM(Y7:Y70)</f>
        <v>25239</v>
      </c>
      <c r="Z4" s="144">
        <f>SUM(Z7:Z70)</f>
        <v>5697</v>
      </c>
      <c r="AA4" s="144">
        <f>SUM(AA7:AA70)</f>
        <v>11502</v>
      </c>
      <c r="AB4" s="144">
        <f>SUM(AB7:AB70)</f>
        <v>554</v>
      </c>
      <c r="AC4" s="146">
        <f>Y4+Z4+AA4+AB4</f>
        <v>42992</v>
      </c>
      <c r="AD4" s="143">
        <f>SUM(AD7:AD70)</f>
        <v>211997</v>
      </c>
      <c r="AE4" s="143">
        <f t="shared" ref="AE4:AH4" si="0">SUM(AE7:AE70)</f>
        <v>31277</v>
      </c>
      <c r="AF4" s="143">
        <f t="shared" si="0"/>
        <v>6805</v>
      </c>
      <c r="AG4" s="143">
        <f t="shared" si="0"/>
        <v>8738</v>
      </c>
      <c r="AH4" s="143">
        <f t="shared" si="0"/>
        <v>475</v>
      </c>
      <c r="AI4" s="146">
        <f>AE4+AF4+AG4+AH4</f>
        <v>47295</v>
      </c>
      <c r="AJ4" s="148">
        <f>W4/R4</f>
        <v>0.22496443156533505</v>
      </c>
      <c r="AK4" s="149">
        <f>T4/W4</f>
        <v>0.13846954711087975</v>
      </c>
      <c r="AL4" s="149">
        <f>U4/W4</f>
        <v>0.22417402283828236</v>
      </c>
      <c r="AM4" s="149">
        <f>V4/W4</f>
        <v>1.1396989599831648E-2</v>
      </c>
      <c r="AN4" s="147">
        <f>AC4/W4</f>
        <v>0.47617043428179029</v>
      </c>
      <c r="AO4" s="150">
        <f>AI4/W4</f>
        <v>0.52382956571820971</v>
      </c>
      <c r="AP4" s="143">
        <f>SUM(AP7:AP70)</f>
        <v>180584</v>
      </c>
      <c r="AQ4" s="144">
        <f t="shared" ref="AQ4:BI4" si="1">SUM(AQ7:AQ70)</f>
        <v>8189</v>
      </c>
      <c r="AR4" s="144">
        <f t="shared" si="1"/>
        <v>297</v>
      </c>
      <c r="AS4" s="144">
        <f t="shared" si="1"/>
        <v>30</v>
      </c>
      <c r="AT4" s="144">
        <f t="shared" si="1"/>
        <v>13235</v>
      </c>
      <c r="AU4" s="144">
        <f t="shared" si="1"/>
        <v>14134</v>
      </c>
      <c r="AV4" s="144">
        <f t="shared" si="1"/>
        <v>1097</v>
      </c>
      <c r="AW4" s="144">
        <f t="shared" si="1"/>
        <v>4288</v>
      </c>
      <c r="AX4" s="144">
        <f t="shared" si="1"/>
        <v>7001</v>
      </c>
      <c r="AY4" s="144">
        <f t="shared" si="1"/>
        <v>29452</v>
      </c>
      <c r="AZ4" s="144">
        <f t="shared" si="1"/>
        <v>5161</v>
      </c>
      <c r="BA4" s="144">
        <f t="shared" si="1"/>
        <v>3329</v>
      </c>
      <c r="BB4" s="144">
        <f t="shared" si="1"/>
        <v>6175</v>
      </c>
      <c r="BC4" s="144">
        <f t="shared" si="1"/>
        <v>11068</v>
      </c>
      <c r="BD4" s="144">
        <f t="shared" si="1"/>
        <v>6580</v>
      </c>
      <c r="BE4" s="144">
        <f t="shared" si="1"/>
        <v>12023</v>
      </c>
      <c r="BF4" s="144">
        <f t="shared" si="1"/>
        <v>30784</v>
      </c>
      <c r="BG4" s="144">
        <f t="shared" si="1"/>
        <v>1249</v>
      </c>
      <c r="BH4" s="144">
        <f t="shared" si="1"/>
        <v>12009</v>
      </c>
      <c r="BI4" s="146">
        <f t="shared" si="1"/>
        <v>9109</v>
      </c>
      <c r="BJ4" s="147">
        <f>IF($AP4=0,0,AQ4/$AP4)</f>
        <v>4.5347317591813228E-2</v>
      </c>
      <c r="BK4" s="149">
        <f t="shared" ref="BK4:CB4" si="2">IF($AP4=0,0,AR4/$AP4)</f>
        <v>1.6446639790900633E-3</v>
      </c>
      <c r="BL4" s="149">
        <f t="shared" si="2"/>
        <v>1.6612767465556196E-4</v>
      </c>
      <c r="BM4" s="149">
        <f t="shared" si="2"/>
        <v>7.3289992468878754E-2</v>
      </c>
      <c r="BN4" s="149">
        <f t="shared" si="2"/>
        <v>7.8268285119390421E-2</v>
      </c>
      <c r="BO4" s="149">
        <f t="shared" si="2"/>
        <v>6.0747353032383818E-3</v>
      </c>
      <c r="BP4" s="149">
        <f t="shared" si="2"/>
        <v>2.374518229743499E-2</v>
      </c>
      <c r="BQ4" s="149">
        <f t="shared" si="2"/>
        <v>3.8768661675452974E-2</v>
      </c>
      <c r="BR4" s="149">
        <f t="shared" si="2"/>
        <v>0.16309307579852036</v>
      </c>
      <c r="BS4" s="149">
        <f t="shared" si="2"/>
        <v>2.857949762991184E-2</v>
      </c>
      <c r="BT4" s="149">
        <f t="shared" si="2"/>
        <v>1.843463429761219E-2</v>
      </c>
      <c r="BU4" s="149">
        <f t="shared" si="2"/>
        <v>3.4194613033269837E-2</v>
      </c>
      <c r="BV4" s="149">
        <f t="shared" si="2"/>
        <v>6.1290036769591993E-2</v>
      </c>
      <c r="BW4" s="149">
        <f t="shared" si="2"/>
        <v>3.6437336641119922E-2</v>
      </c>
      <c r="BX4" s="149">
        <f t="shared" si="2"/>
        <v>6.6578434412794041E-2</v>
      </c>
      <c r="BY4" s="149">
        <f t="shared" si="2"/>
        <v>0.17046914455322731</v>
      </c>
      <c r="BZ4" s="149">
        <f t="shared" si="2"/>
        <v>6.9164488548265624E-3</v>
      </c>
      <c r="CA4" s="149">
        <f t="shared" si="2"/>
        <v>6.6500908164621453E-2</v>
      </c>
      <c r="CB4" s="150">
        <f t="shared" si="2"/>
        <v>5.0441899614583792E-2</v>
      </c>
      <c r="CC4" s="143">
        <f>SUM(CC7:CC70)</f>
        <v>180584</v>
      </c>
      <c r="CD4" s="144">
        <f t="shared" ref="CD4:CI4" si="3">SUM(CD7:CD70)</f>
        <v>163098</v>
      </c>
      <c r="CE4" s="144">
        <f t="shared" si="3"/>
        <v>12406</v>
      </c>
      <c r="CF4" s="144">
        <f t="shared" si="3"/>
        <v>835</v>
      </c>
      <c r="CG4" s="143">
        <f t="shared" si="3"/>
        <v>17718</v>
      </c>
      <c r="CH4" s="144">
        <f t="shared" si="3"/>
        <v>16426</v>
      </c>
      <c r="CI4" s="144">
        <f t="shared" si="3"/>
        <v>522</v>
      </c>
      <c r="CJ4" s="144">
        <f>SUM(CJ7:CJ70)</f>
        <v>261</v>
      </c>
      <c r="CK4" s="148">
        <f t="shared" ref="CK4:CM4" si="4">IF($CC4=0,0,CD4/$CC4)</f>
        <v>0.90316971603242813</v>
      </c>
      <c r="CL4" s="149">
        <f t="shared" si="4"/>
        <v>6.8699331059230054E-2</v>
      </c>
      <c r="CM4" s="150">
        <f t="shared" si="4"/>
        <v>4.6238869445798074E-3</v>
      </c>
      <c r="CN4" s="148">
        <f t="shared" ref="CN4:CP4" si="5">IF($CG4=0,0,CH4/$CG4)</f>
        <v>0.9270798058471611</v>
      </c>
      <c r="CO4" s="149">
        <f t="shared" si="5"/>
        <v>2.9461564510667119E-2</v>
      </c>
      <c r="CP4" s="150">
        <f t="shared" si="5"/>
        <v>1.4730782255333559E-2</v>
      </c>
    </row>
    <row r="5" spans="1:94" s="181" customFormat="1" x14ac:dyDescent="0.15">
      <c r="A5" s="183" t="str">
        <f>管理者入力シート!B2</f>
        <v>45201_6</v>
      </c>
      <c r="B5" s="201" t="str">
        <f>VLOOKUP($A$5,$A$7:$CP$50,2,FALSE)</f>
        <v>宮崎市</v>
      </c>
      <c r="C5" s="201" t="str">
        <f>VLOOKUP($A$5,$A$7:$CP$50,3,FALSE)</f>
        <v>大淀地域自治区</v>
      </c>
      <c r="D5" s="188">
        <f>VLOOKUP($A$5,$A$7:$CP$70,4,FALSE)</f>
        <v>11266</v>
      </c>
      <c r="E5" s="189">
        <f>VLOOKUP($A$5,$A$7:$CP$70,5,FALSE)</f>
        <v>3965</v>
      </c>
      <c r="F5" s="189">
        <f>VLOOKUP($A$5,$A$7:$CP$70,6,FALSE)</f>
        <v>1270</v>
      </c>
      <c r="G5" s="190">
        <f>VLOOKUP($A$5,$A$7:$CP$70,7,FALSE)</f>
        <v>1518</v>
      </c>
      <c r="H5" s="178">
        <f>VLOOKUP($A$5,$A$7:$CP$70,8,FALSE)</f>
        <v>0.35194390200603587</v>
      </c>
      <c r="I5" s="179">
        <f>VLOOKUP($A$5,$A$7:$CP$70,9,FALSE)</f>
        <v>0.11272856382034439</v>
      </c>
      <c r="J5" s="180">
        <f>VLOOKUP($A$5,$A$7:$CP$70,10,FALSE)</f>
        <v>0.13474170069234867</v>
      </c>
      <c r="K5" s="188">
        <f>VLOOKUP($A$5,$A$7:$CP$70,11,FALSE)</f>
        <v>23676</v>
      </c>
      <c r="L5" s="189">
        <f>VLOOKUP($A$5,$A$7:$CP$70,12,FALSE)</f>
        <v>1593</v>
      </c>
      <c r="M5" s="189">
        <f>VLOOKUP($A$5,$A$7:$CP$70,13,FALSE)</f>
        <v>8803</v>
      </c>
      <c r="N5" s="190">
        <f>VLOOKUP($A$5,$A$7:$CP$70,14,FALSE)</f>
        <v>10298</v>
      </c>
      <c r="O5" s="178">
        <f>VLOOKUP($A$5,$A$7:$CP$70,15,FALSE)</f>
        <v>6.7283324885960463E-2</v>
      </c>
      <c r="P5" s="179">
        <f>VLOOKUP($A$5,$A$7:$CP$70,16,FALSE)</f>
        <v>0.37181111674269302</v>
      </c>
      <c r="Q5" s="180">
        <f>VLOOKUP($A$5,$A$7:$CP$70,17,FALSE)</f>
        <v>0.43495522892380467</v>
      </c>
      <c r="R5" s="188">
        <f>VLOOKUP($A$5,$A$7:$CP$70,18,FALSE)</f>
        <v>23676</v>
      </c>
      <c r="S5" s="189">
        <f>VLOOKUP($A$5,$A$7:$CP$70,19,FALSE)</f>
        <v>3496</v>
      </c>
      <c r="T5" s="189">
        <f>VLOOKUP($A$5,$A$7:$CP$70,20,FALSE)</f>
        <v>643</v>
      </c>
      <c r="U5" s="189">
        <f>VLOOKUP($A$5,$A$7:$CP$70,21,FALSE)</f>
        <v>1037</v>
      </c>
      <c r="V5" s="189">
        <f>VLOOKUP($A$5,$A$7:$CP$70,22,FALSE)</f>
        <v>27</v>
      </c>
      <c r="W5" s="190">
        <f>VLOOKUP($A$5,$A$7:$CP$70,23,FALSE)</f>
        <v>5203</v>
      </c>
      <c r="X5" s="188">
        <f>VLOOKUP($A$5,$A$7:$CP$70,24,FALSE)</f>
        <v>11074</v>
      </c>
      <c r="Y5" s="189">
        <f>VLOOKUP($A$5,$A$7:$CP$70,25,FALSE)</f>
        <v>1526</v>
      </c>
      <c r="Z5" s="189">
        <f>VLOOKUP($A$5,$A$7:$CP$70,26,FALSE)</f>
        <v>301</v>
      </c>
      <c r="AA5" s="189">
        <f>VLOOKUP($A$5,$A$7:$CP$70,27,FALSE)</f>
        <v>570</v>
      </c>
      <c r="AB5" s="189">
        <f>VLOOKUP($A$5,$A$7:$CP$70,28,FALSE)</f>
        <v>16</v>
      </c>
      <c r="AC5" s="191">
        <f>VLOOKUP($A$5,$A$7:$CP$70,29,FALSE)</f>
        <v>2413</v>
      </c>
      <c r="AD5" s="188">
        <f>VLOOKUP($A$5,$A$7:$CP$70,30,FALSE)</f>
        <v>12602</v>
      </c>
      <c r="AE5" s="189">
        <f>VLOOKUP($A$5,$A$7:$CP$70,31,FALSE)</f>
        <v>1970</v>
      </c>
      <c r="AF5" s="189">
        <f>VLOOKUP($A$5,$A$7:$CP$70,32,FALSE)</f>
        <v>342</v>
      </c>
      <c r="AG5" s="189">
        <f>VLOOKUP($A$5,$A$7:$CP$70,33,FALSE)</f>
        <v>467</v>
      </c>
      <c r="AH5" s="189">
        <f>VLOOKUP($A$5,$A$7:$CP$70,34,FALSE)</f>
        <v>11</v>
      </c>
      <c r="AI5" s="191">
        <f>VLOOKUP($A$5,$A$7:$CP$70,35,FALSE)</f>
        <v>2790</v>
      </c>
      <c r="AJ5" s="178">
        <f>VLOOKUP($A$5,$A$7:$CP$70,36,FALSE)</f>
        <v>0.2197584051360027</v>
      </c>
      <c r="AK5" s="179">
        <f>VLOOKUP($A$5,$A$7:$CP$70,37,FALSE)</f>
        <v>0.12358254852969441</v>
      </c>
      <c r="AL5" s="179">
        <f>VLOOKUP($A$5,$A$7:$CP$70,38,FALSE)</f>
        <v>0.19930809148568135</v>
      </c>
      <c r="AM5" s="179">
        <f>VLOOKUP($A$5,$A$7:$CP$70,39,FALSE)</f>
        <v>5.1893138573899673E-3</v>
      </c>
      <c r="AN5" s="182">
        <f>VLOOKUP($A$5,$A$7:$CP$70,40,FALSE)</f>
        <v>0.46377090140303673</v>
      </c>
      <c r="AO5" s="180">
        <f>VLOOKUP($A$5,$A$7:$CP$70,41,FALSE)</f>
        <v>0.53622909859696333</v>
      </c>
      <c r="AP5" s="192">
        <f>VLOOKUP($A$5,$A$7:$CP$70,42,FALSE)</f>
        <v>10657</v>
      </c>
      <c r="AQ5" s="189">
        <f>VLOOKUP($A$5,$A$7:$CP$70,43,FALSE)</f>
        <v>202</v>
      </c>
      <c r="AR5" s="189">
        <f>VLOOKUP($A$5,$A$7:$CP$70,44,FALSE)</f>
        <v>9</v>
      </c>
      <c r="AS5" s="189">
        <f>VLOOKUP($A$5,$A$7:$CP$70,45,FALSE)</f>
        <v>1</v>
      </c>
      <c r="AT5" s="189">
        <f>VLOOKUP($A$5,$A$7:$CP$70,46,FALSE)</f>
        <v>648</v>
      </c>
      <c r="AU5" s="189">
        <f>VLOOKUP($A$5,$A$7:$CP$70,47,FALSE)</f>
        <v>678</v>
      </c>
      <c r="AV5" s="189">
        <f>VLOOKUP($A$5,$A$7:$CP$70,48,FALSE)</f>
        <v>63</v>
      </c>
      <c r="AW5" s="189">
        <f>VLOOKUP($A$5,$A$7:$CP$70,49,FALSE)</f>
        <v>262</v>
      </c>
      <c r="AX5" s="189">
        <f>VLOOKUP($A$5,$A$7:$CP$70,50,FALSE)</f>
        <v>401</v>
      </c>
      <c r="AY5" s="189">
        <f>VLOOKUP($A$5,$A$7:$CP$70,51,FALSE)</f>
        <v>1552</v>
      </c>
      <c r="AZ5" s="189">
        <f>VLOOKUP($A$5,$A$7:$CP$70,52,FALSE)</f>
        <v>357</v>
      </c>
      <c r="BA5" s="189">
        <f>VLOOKUP($A$5,$A$7:$CP$70,53,FALSE)</f>
        <v>215</v>
      </c>
      <c r="BB5" s="189">
        <f>VLOOKUP($A$5,$A$7:$CP$70,54,FALSE)</f>
        <v>410</v>
      </c>
      <c r="BC5" s="189">
        <f>VLOOKUP($A$5,$A$7:$CP$70,55,FALSE)</f>
        <v>623</v>
      </c>
      <c r="BD5" s="189">
        <f>VLOOKUP($A$5,$A$7:$CP$70,56,FALSE)</f>
        <v>382</v>
      </c>
      <c r="BE5" s="189">
        <f>VLOOKUP($A$5,$A$7:$CP$70,57,FALSE)</f>
        <v>927</v>
      </c>
      <c r="BF5" s="189">
        <f>VLOOKUP($A$5,$A$7:$CP$70,58,FALSE)</f>
        <v>1958</v>
      </c>
      <c r="BG5" s="189">
        <f>VLOOKUP($A$5,$A$7:$CP$70,59,FALSE)</f>
        <v>80</v>
      </c>
      <c r="BH5" s="189">
        <f>VLOOKUP($A$5,$A$7:$CP$70,60,FALSE)</f>
        <v>707</v>
      </c>
      <c r="BI5" s="189">
        <f>VLOOKUP($A$5,$A$7:$CP$70,61,FALSE)</f>
        <v>925</v>
      </c>
      <c r="BJ5" s="178">
        <f>VLOOKUP($A$5,$A$7:$CP$70,62,FALSE)</f>
        <v>1.8954677676644459E-2</v>
      </c>
      <c r="BK5" s="179">
        <f>VLOOKUP($A$5,$A$7:$CP$70,63,FALSE)</f>
        <v>8.4451534202871351E-4</v>
      </c>
      <c r="BL5" s="179">
        <f>VLOOKUP($A$5,$A$7:$CP$70,64,FALSE)</f>
        <v>9.3835038003190396E-5</v>
      </c>
      <c r="BM5" s="179">
        <f>VLOOKUP($A$5,$A$7:$CP$70,65,FALSE)</f>
        <v>6.080510462606737E-2</v>
      </c>
      <c r="BN5" s="179">
        <f>VLOOKUP($A$5,$A$7:$CP$70,66,FALSE)</f>
        <v>6.3620155766163089E-2</v>
      </c>
      <c r="BO5" s="179">
        <f>VLOOKUP($A$5,$A$7:$CP$70,67,FALSE)</f>
        <v>5.9116073942009949E-3</v>
      </c>
      <c r="BP5" s="179">
        <f>VLOOKUP($A$5,$A$7:$CP$70,68,FALSE)</f>
        <v>2.4584779956835882E-2</v>
      </c>
      <c r="BQ5" s="179">
        <f>VLOOKUP($A$5,$A$7:$CP$70,69,FALSE)</f>
        <v>3.7627850239279344E-2</v>
      </c>
      <c r="BR5" s="179">
        <f>VLOOKUP($A$5,$A$7:$CP$70,70,FALSE)</f>
        <v>0.14563197898095148</v>
      </c>
      <c r="BS5" s="179">
        <f>VLOOKUP($A$5,$A$7:$CP$70,71,FALSE)</f>
        <v>3.3499108567138967E-2</v>
      </c>
      <c r="BT5" s="179">
        <f>VLOOKUP($A$5,$A$7:$CP$70,72,FALSE)</f>
        <v>2.0174533170685936E-2</v>
      </c>
      <c r="BU5" s="179">
        <f>VLOOKUP($A$5,$A$7:$CP$70,73,FALSE)</f>
        <v>3.8472365581308059E-2</v>
      </c>
      <c r="BV5" s="179">
        <f>VLOOKUP($A$5,$A$7:$CP$70,74,FALSE)</f>
        <v>5.8459228675987615E-2</v>
      </c>
      <c r="BW5" s="179">
        <f>VLOOKUP($A$5,$A$7:$CP$70,75,FALSE)</f>
        <v>3.584498451721873E-2</v>
      </c>
      <c r="BX5" s="179">
        <f>VLOOKUP($A$5,$A$7:$CP$70,76,FALSE)</f>
        <v>8.6985080228957498E-2</v>
      </c>
      <c r="BY5" s="179">
        <f>VLOOKUP($A$5,$A$7:$CP$70,77,FALSE)</f>
        <v>0.18372900441024678</v>
      </c>
      <c r="BZ5" s="179">
        <f>VLOOKUP($A$5,$A$7:$CP$70,78,FALSE)</f>
        <v>7.5068030402552317E-3</v>
      </c>
      <c r="CA5" s="179">
        <f>VLOOKUP($A$5,$A$7:$CP$70,79,FALSE)</f>
        <v>6.6341371868255603E-2</v>
      </c>
      <c r="CB5" s="180">
        <f>VLOOKUP($A$5,$A$7:$CP$70,80,FALSE)</f>
        <v>8.6797410152951116E-2</v>
      </c>
      <c r="CC5" s="188">
        <f>VLOOKUP($A$5,$A$7:$CP$70,81,FALSE)</f>
        <v>10657</v>
      </c>
      <c r="CD5" s="190">
        <f>VLOOKUP($A$5,$A$7:$CP$70,82,FALSE)</f>
        <v>9781</v>
      </c>
      <c r="CE5" s="189">
        <f>VLOOKUP($A$5,$A$7:$CP$70,83,FALSE)</f>
        <v>614</v>
      </c>
      <c r="CF5" s="191">
        <f>VLOOKUP($A$5,$A$7:$CP$70,84,FALSE)</f>
        <v>50</v>
      </c>
      <c r="CG5" s="188">
        <f>VLOOKUP($A$5,$A$7:$CP$70,85,FALSE)</f>
        <v>1013</v>
      </c>
      <c r="CH5" s="189">
        <f>VLOOKUP($A$5,$A$7:$CP$70,86,FALSE)</f>
        <v>947</v>
      </c>
      <c r="CI5" s="189">
        <f>VLOOKUP($A$5,$A$7:$CP$70,87,FALSE)</f>
        <v>25</v>
      </c>
      <c r="CJ5" s="191">
        <f>VLOOKUP($A$5,$A$7:$CP$70,88,FALSE)</f>
        <v>24</v>
      </c>
      <c r="CK5" s="178">
        <f>VLOOKUP($A$5,$A$7:$CP$70,89,FALSE)</f>
        <v>0.91780050670920521</v>
      </c>
      <c r="CL5" s="179">
        <f>VLOOKUP($A$5,$A$7:$CP$70,90,FALSE)</f>
        <v>5.76147133339589E-2</v>
      </c>
      <c r="CM5" s="180">
        <f>VLOOKUP($A$5,$A$7:$CP$70,91,FALSE)</f>
        <v>4.6917519001595199E-3</v>
      </c>
      <c r="CN5" s="178">
        <f>VLOOKUP($A$5,$A$7:$CP$70,92,FALSE)</f>
        <v>0.93484698914116482</v>
      </c>
      <c r="CO5" s="179">
        <f>VLOOKUP($A$5,$A$7:$CP$70,93,FALSE)</f>
        <v>2.4679170779861797E-2</v>
      </c>
      <c r="CP5" s="180">
        <f>VLOOKUP($A$5,$A$7:$CP$70,94,FALSE)</f>
        <v>2.3692003948667325E-2</v>
      </c>
    </row>
    <row r="6" spans="1:94" s="242" customFormat="1" x14ac:dyDescent="0.15"/>
    <row r="7" spans="1:94" x14ac:dyDescent="0.15">
      <c r="A7" t="s">
        <v>426</v>
      </c>
      <c r="B7" t="s">
        <v>427</v>
      </c>
      <c r="C7" t="s">
        <v>428</v>
      </c>
      <c r="D7">
        <v>15567</v>
      </c>
      <c r="E7">
        <v>4345</v>
      </c>
      <c r="F7">
        <v>1179</v>
      </c>
      <c r="G7">
        <v>2084</v>
      </c>
      <c r="H7">
        <v>0.27911607888482043</v>
      </c>
      <c r="I7">
        <v>7.5737136249759113E-2</v>
      </c>
      <c r="J7">
        <v>0.13387293633969294</v>
      </c>
      <c r="K7">
        <v>26777</v>
      </c>
      <c r="L7">
        <v>1400</v>
      </c>
      <c r="M7">
        <v>11659</v>
      </c>
      <c r="N7">
        <v>8560</v>
      </c>
      <c r="O7">
        <v>5.22836762893528E-2</v>
      </c>
      <c r="P7">
        <v>0.43541098704111736</v>
      </c>
      <c r="Q7">
        <v>0.31967733502632856</v>
      </c>
      <c r="R7">
        <v>26777</v>
      </c>
      <c r="S7">
        <v>4054</v>
      </c>
      <c r="T7">
        <v>1008</v>
      </c>
      <c r="U7">
        <v>2586</v>
      </c>
      <c r="V7">
        <v>96</v>
      </c>
      <c r="W7">
        <v>7744</v>
      </c>
      <c r="X7">
        <v>12466</v>
      </c>
      <c r="Y7">
        <v>1722</v>
      </c>
      <c r="Z7">
        <v>441</v>
      </c>
      <c r="AA7">
        <v>1526</v>
      </c>
      <c r="AB7">
        <v>44</v>
      </c>
      <c r="AC7">
        <v>3733</v>
      </c>
      <c r="AD7">
        <v>14311</v>
      </c>
      <c r="AE7">
        <v>2332</v>
      </c>
      <c r="AF7">
        <v>567</v>
      </c>
      <c r="AG7">
        <v>1060</v>
      </c>
      <c r="AH7">
        <v>52</v>
      </c>
      <c r="AI7">
        <v>4011</v>
      </c>
      <c r="AJ7">
        <v>0.28920342084624867</v>
      </c>
      <c r="AK7">
        <v>0.13016528925619836</v>
      </c>
      <c r="AL7">
        <v>0.33393595041322316</v>
      </c>
      <c r="AM7">
        <v>1.2396694214876033E-2</v>
      </c>
      <c r="AN7">
        <v>0.48205061983471076</v>
      </c>
      <c r="AO7">
        <v>0.51794938016528924</v>
      </c>
      <c r="AP7">
        <v>12235</v>
      </c>
      <c r="AQ7">
        <v>109</v>
      </c>
      <c r="AR7">
        <v>7</v>
      </c>
      <c r="AS7">
        <v>1</v>
      </c>
      <c r="AT7">
        <v>609</v>
      </c>
      <c r="AU7">
        <v>611</v>
      </c>
      <c r="AV7">
        <v>107</v>
      </c>
      <c r="AW7">
        <v>505</v>
      </c>
      <c r="AX7">
        <v>384</v>
      </c>
      <c r="AY7">
        <v>2247</v>
      </c>
      <c r="AZ7">
        <v>596</v>
      </c>
      <c r="BA7">
        <v>352</v>
      </c>
      <c r="BB7">
        <v>539</v>
      </c>
      <c r="BC7">
        <v>972</v>
      </c>
      <c r="BD7">
        <v>490</v>
      </c>
      <c r="BE7">
        <v>714</v>
      </c>
      <c r="BF7">
        <v>1751</v>
      </c>
      <c r="BG7">
        <v>57</v>
      </c>
      <c r="BH7">
        <v>963</v>
      </c>
      <c r="BI7">
        <v>913</v>
      </c>
      <c r="BJ7">
        <v>8.9088680016346546E-3</v>
      </c>
      <c r="BK7">
        <v>5.7212913771965675E-4</v>
      </c>
      <c r="BL7">
        <v>8.1732733959950958E-5</v>
      </c>
      <c r="BM7">
        <v>4.9775234981610135E-2</v>
      </c>
      <c r="BN7">
        <v>4.9938700449530034E-2</v>
      </c>
      <c r="BO7">
        <v>8.7454025337147523E-3</v>
      </c>
      <c r="BP7">
        <v>4.1275030649775238E-2</v>
      </c>
      <c r="BQ7">
        <v>3.1385369840621166E-2</v>
      </c>
      <c r="BR7">
        <v>0.1836534532080098</v>
      </c>
      <c r="BS7">
        <v>4.8712709440130772E-2</v>
      </c>
      <c r="BT7">
        <v>2.8769922353902737E-2</v>
      </c>
      <c r="BU7">
        <v>4.4053943604413566E-2</v>
      </c>
      <c r="BV7">
        <v>7.9444217409072329E-2</v>
      </c>
      <c r="BW7">
        <v>4.0049039640375969E-2</v>
      </c>
      <c r="BX7">
        <v>5.8357172047404988E-2</v>
      </c>
      <c r="BY7">
        <v>0.14311401716387412</v>
      </c>
      <c r="BZ7">
        <v>4.6587658357172051E-3</v>
      </c>
      <c r="CA7">
        <v>7.8708622803432771E-2</v>
      </c>
      <c r="CB7">
        <v>7.4621986105435231E-2</v>
      </c>
      <c r="CC7">
        <v>12235</v>
      </c>
      <c r="CD7">
        <v>11245</v>
      </c>
      <c r="CE7">
        <v>686</v>
      </c>
      <c r="CF7">
        <v>71</v>
      </c>
      <c r="CG7">
        <v>855</v>
      </c>
      <c r="CH7">
        <v>787</v>
      </c>
      <c r="CI7">
        <v>16</v>
      </c>
      <c r="CJ7">
        <v>25</v>
      </c>
      <c r="CK7">
        <v>0.91908459337964854</v>
      </c>
      <c r="CL7">
        <v>5.6068655496526357E-2</v>
      </c>
      <c r="CM7">
        <v>5.8030241111565184E-3</v>
      </c>
      <c r="CN7">
        <v>0.92046783625730999</v>
      </c>
      <c r="CO7">
        <v>1.8713450292397661E-2</v>
      </c>
      <c r="CP7">
        <v>2.9239766081871343E-2</v>
      </c>
    </row>
    <row r="8" spans="1:94" x14ac:dyDescent="0.15">
      <c r="A8" t="s">
        <v>429</v>
      </c>
      <c r="B8" t="s">
        <v>427</v>
      </c>
      <c r="C8" t="s">
        <v>430</v>
      </c>
      <c r="D8">
        <v>10675</v>
      </c>
      <c r="E8">
        <v>3094</v>
      </c>
      <c r="F8">
        <v>950</v>
      </c>
      <c r="G8">
        <v>1257</v>
      </c>
      <c r="H8">
        <v>0.28983606557377051</v>
      </c>
      <c r="I8">
        <v>8.899297423887588E-2</v>
      </c>
      <c r="J8">
        <v>0.11775175644028103</v>
      </c>
      <c r="K8">
        <v>20239</v>
      </c>
      <c r="L8">
        <v>1030</v>
      </c>
      <c r="M8">
        <v>8562</v>
      </c>
      <c r="N8">
        <v>7331</v>
      </c>
      <c r="O8">
        <v>5.089184248233608E-2</v>
      </c>
      <c r="P8">
        <v>0.42304461682889472</v>
      </c>
      <c r="Q8">
        <v>0.36222145362913188</v>
      </c>
      <c r="R8">
        <v>20239</v>
      </c>
      <c r="S8">
        <v>2949</v>
      </c>
      <c r="T8">
        <v>712</v>
      </c>
      <c r="U8">
        <v>1648</v>
      </c>
      <c r="V8">
        <v>70</v>
      </c>
      <c r="W8">
        <v>5379</v>
      </c>
      <c r="X8">
        <v>9322</v>
      </c>
      <c r="Y8">
        <v>1276</v>
      </c>
      <c r="Z8">
        <v>306</v>
      </c>
      <c r="AA8">
        <v>872</v>
      </c>
      <c r="AB8">
        <v>39</v>
      </c>
      <c r="AC8">
        <v>2493</v>
      </c>
      <c r="AD8">
        <v>10917</v>
      </c>
      <c r="AE8">
        <v>1673</v>
      </c>
      <c r="AF8">
        <v>406</v>
      </c>
      <c r="AG8">
        <v>776</v>
      </c>
      <c r="AH8">
        <v>31</v>
      </c>
      <c r="AI8">
        <v>2886</v>
      </c>
      <c r="AJ8">
        <v>0.26577400069173379</v>
      </c>
      <c r="AK8">
        <v>0.13236661089421825</v>
      </c>
      <c r="AL8">
        <v>0.30637664993493213</v>
      </c>
      <c r="AM8">
        <v>1.3013571295779885E-2</v>
      </c>
      <c r="AN8">
        <v>0.46346904629113217</v>
      </c>
      <c r="AO8">
        <v>0.53653095370886783</v>
      </c>
      <c r="AP8">
        <v>9104</v>
      </c>
      <c r="AQ8">
        <v>89</v>
      </c>
      <c r="AR8">
        <v>4</v>
      </c>
      <c r="AS8">
        <v>4</v>
      </c>
      <c r="AT8">
        <v>455</v>
      </c>
      <c r="AU8">
        <v>461</v>
      </c>
      <c r="AV8">
        <v>104</v>
      </c>
      <c r="AW8">
        <v>392</v>
      </c>
      <c r="AX8">
        <v>236</v>
      </c>
      <c r="AY8">
        <v>1428</v>
      </c>
      <c r="AZ8">
        <v>464</v>
      </c>
      <c r="BA8">
        <v>254</v>
      </c>
      <c r="BB8">
        <v>413</v>
      </c>
      <c r="BC8">
        <v>674</v>
      </c>
      <c r="BD8">
        <v>308</v>
      </c>
      <c r="BE8">
        <v>692</v>
      </c>
      <c r="BF8">
        <v>1768</v>
      </c>
      <c r="BG8">
        <v>56</v>
      </c>
      <c r="BH8">
        <v>576</v>
      </c>
      <c r="BI8">
        <v>540</v>
      </c>
      <c r="BJ8">
        <v>9.7759226713532519E-3</v>
      </c>
      <c r="BK8">
        <v>4.3936731107205621E-4</v>
      </c>
      <c r="BL8">
        <v>4.3936731107205621E-4</v>
      </c>
      <c r="BM8">
        <v>4.9978031634446397E-2</v>
      </c>
      <c r="BN8">
        <v>5.0637082601054484E-2</v>
      </c>
      <c r="BO8">
        <v>1.1423550087873463E-2</v>
      </c>
      <c r="BP8">
        <v>4.3057996485061513E-2</v>
      </c>
      <c r="BQ8">
        <v>2.5922671353251318E-2</v>
      </c>
      <c r="BR8">
        <v>0.15685413005272408</v>
      </c>
      <c r="BS8">
        <v>5.0966608084358524E-2</v>
      </c>
      <c r="BT8">
        <v>2.7899824253075571E-2</v>
      </c>
      <c r="BU8">
        <v>4.5364674868189805E-2</v>
      </c>
      <c r="BV8">
        <v>7.4033391915641469E-2</v>
      </c>
      <c r="BW8">
        <v>3.3831282952548329E-2</v>
      </c>
      <c r="BX8">
        <v>7.6010544815465736E-2</v>
      </c>
      <c r="BY8">
        <v>0.19420035149384884</v>
      </c>
      <c r="BZ8">
        <v>6.1511423550087872E-3</v>
      </c>
      <c r="CA8">
        <v>6.32688927943761E-2</v>
      </c>
      <c r="CB8">
        <v>5.9314586994727594E-2</v>
      </c>
      <c r="CC8">
        <v>9104</v>
      </c>
      <c r="CD8">
        <v>8270</v>
      </c>
      <c r="CE8">
        <v>627</v>
      </c>
      <c r="CF8">
        <v>45</v>
      </c>
      <c r="CG8">
        <v>892</v>
      </c>
      <c r="CH8">
        <v>847</v>
      </c>
      <c r="CI8">
        <v>13</v>
      </c>
      <c r="CJ8">
        <v>21</v>
      </c>
      <c r="CK8">
        <v>0.90839191564147626</v>
      </c>
      <c r="CL8">
        <v>6.8870826010544811E-2</v>
      </c>
      <c r="CM8">
        <v>4.9428822495606326E-3</v>
      </c>
      <c r="CN8">
        <v>0.94955156950672648</v>
      </c>
      <c r="CO8">
        <v>1.4573991031390135E-2</v>
      </c>
      <c r="CP8">
        <v>2.3542600896860985E-2</v>
      </c>
    </row>
    <row r="9" spans="1:94" x14ac:dyDescent="0.15">
      <c r="A9" t="s">
        <v>431</v>
      </c>
      <c r="B9" t="s">
        <v>427</v>
      </c>
      <c r="C9" t="s">
        <v>432</v>
      </c>
      <c r="D9">
        <v>7054</v>
      </c>
      <c r="E9">
        <v>1934</v>
      </c>
      <c r="F9">
        <v>479</v>
      </c>
      <c r="G9">
        <v>1019</v>
      </c>
      <c r="H9">
        <v>0.27417068330025518</v>
      </c>
      <c r="I9">
        <v>6.7904734902183156E-2</v>
      </c>
      <c r="J9">
        <v>0.14445704564785938</v>
      </c>
      <c r="K9">
        <v>11230</v>
      </c>
      <c r="L9">
        <v>480</v>
      </c>
      <c r="M9">
        <v>4529</v>
      </c>
      <c r="N9">
        <v>3286</v>
      </c>
      <c r="O9">
        <v>4.2742653606411399E-2</v>
      </c>
      <c r="P9">
        <v>0.40329474621549422</v>
      </c>
      <c r="Q9">
        <v>0.29260908281389136</v>
      </c>
      <c r="R9">
        <v>11230</v>
      </c>
      <c r="S9">
        <v>1707</v>
      </c>
      <c r="T9">
        <v>423</v>
      </c>
      <c r="U9">
        <v>792</v>
      </c>
      <c r="V9">
        <v>32</v>
      </c>
      <c r="W9">
        <v>2954</v>
      </c>
      <c r="X9">
        <v>5460</v>
      </c>
      <c r="Y9">
        <v>757</v>
      </c>
      <c r="Z9">
        <v>210</v>
      </c>
      <c r="AA9">
        <v>486</v>
      </c>
      <c r="AB9">
        <v>22</v>
      </c>
      <c r="AC9">
        <v>1475</v>
      </c>
      <c r="AD9">
        <v>5770</v>
      </c>
      <c r="AE9">
        <v>950</v>
      </c>
      <c r="AF9">
        <v>213</v>
      </c>
      <c r="AG9">
        <v>306</v>
      </c>
      <c r="AH9">
        <v>10</v>
      </c>
      <c r="AI9">
        <v>1479</v>
      </c>
      <c r="AJ9">
        <v>0.26304541406945681</v>
      </c>
      <c r="AK9">
        <v>0.14319566689234936</v>
      </c>
      <c r="AL9">
        <v>0.26811103588354773</v>
      </c>
      <c r="AM9">
        <v>1.0832769126607989E-2</v>
      </c>
      <c r="AN9">
        <v>0.49932295192958698</v>
      </c>
      <c r="AO9">
        <v>0.50067704807041302</v>
      </c>
      <c r="AP9">
        <v>4550</v>
      </c>
      <c r="AQ9">
        <v>42</v>
      </c>
      <c r="AR9">
        <v>1</v>
      </c>
      <c r="AS9">
        <v>1</v>
      </c>
      <c r="AT9">
        <v>240</v>
      </c>
      <c r="AU9">
        <v>241</v>
      </c>
      <c r="AV9">
        <v>56</v>
      </c>
      <c r="AW9">
        <v>172</v>
      </c>
      <c r="AX9">
        <v>155</v>
      </c>
      <c r="AY9">
        <v>722</v>
      </c>
      <c r="AZ9">
        <v>212</v>
      </c>
      <c r="BA9">
        <v>128</v>
      </c>
      <c r="BB9">
        <v>212</v>
      </c>
      <c r="BC9">
        <v>550</v>
      </c>
      <c r="BD9">
        <v>174</v>
      </c>
      <c r="BE9">
        <v>208</v>
      </c>
      <c r="BF9">
        <v>681</v>
      </c>
      <c r="BG9">
        <v>24</v>
      </c>
      <c r="BH9">
        <v>319</v>
      </c>
      <c r="BI9">
        <v>284</v>
      </c>
      <c r="BJ9">
        <v>9.2307692307692316E-3</v>
      </c>
      <c r="BK9">
        <v>2.1978021978021978E-4</v>
      </c>
      <c r="BL9">
        <v>2.1978021978021978E-4</v>
      </c>
      <c r="BM9">
        <v>5.2747252747252747E-2</v>
      </c>
      <c r="BN9">
        <v>5.2967032967032965E-2</v>
      </c>
      <c r="BO9">
        <v>1.2307692307692308E-2</v>
      </c>
      <c r="BP9">
        <v>3.7802197802197804E-2</v>
      </c>
      <c r="BQ9">
        <v>3.4065934065934063E-2</v>
      </c>
      <c r="BR9">
        <v>0.15868131868131868</v>
      </c>
      <c r="BS9">
        <v>4.6593406593406592E-2</v>
      </c>
      <c r="BT9">
        <v>2.8131868131868132E-2</v>
      </c>
      <c r="BU9">
        <v>4.6593406593406592E-2</v>
      </c>
      <c r="BV9">
        <v>0.12087912087912088</v>
      </c>
      <c r="BW9">
        <v>3.8241758241758239E-2</v>
      </c>
      <c r="BX9">
        <v>4.5714285714285714E-2</v>
      </c>
      <c r="BY9">
        <v>0.14967032967032967</v>
      </c>
      <c r="BZ9">
        <v>5.2747252747252747E-3</v>
      </c>
      <c r="CA9">
        <v>7.0109890109890105E-2</v>
      </c>
      <c r="CB9">
        <v>6.2417582417582419E-2</v>
      </c>
      <c r="CC9">
        <v>4550</v>
      </c>
      <c r="CD9">
        <v>4196</v>
      </c>
      <c r="CE9">
        <v>210</v>
      </c>
      <c r="CF9">
        <v>18</v>
      </c>
      <c r="CG9">
        <v>229</v>
      </c>
      <c r="CH9">
        <v>208</v>
      </c>
      <c r="CI9">
        <v>6</v>
      </c>
      <c r="CJ9">
        <v>7</v>
      </c>
      <c r="CK9">
        <v>0.92219780219780223</v>
      </c>
      <c r="CL9">
        <v>4.6153846153846156E-2</v>
      </c>
      <c r="CM9">
        <v>3.956043956043956E-3</v>
      </c>
      <c r="CN9">
        <v>0.90829694323144106</v>
      </c>
      <c r="CO9">
        <v>2.6200873362445413E-2</v>
      </c>
      <c r="CP9">
        <v>3.0567685589519649E-2</v>
      </c>
    </row>
    <row r="10" spans="1:94" x14ac:dyDescent="0.15">
      <c r="A10" t="s">
        <v>433</v>
      </c>
      <c r="B10" t="s">
        <v>427</v>
      </c>
      <c r="C10" t="s">
        <v>434</v>
      </c>
      <c r="D10">
        <v>11519</v>
      </c>
      <c r="E10">
        <v>4473</v>
      </c>
      <c r="F10">
        <v>1635</v>
      </c>
      <c r="G10">
        <v>1498</v>
      </c>
      <c r="H10">
        <v>0.38831495789565068</v>
      </c>
      <c r="I10">
        <v>0.14193940446219289</v>
      </c>
      <c r="J10">
        <v>0.13004601093844953</v>
      </c>
      <c r="K10">
        <v>25129</v>
      </c>
      <c r="L10">
        <v>1775</v>
      </c>
      <c r="M10">
        <v>9748</v>
      </c>
      <c r="N10">
        <v>10935</v>
      </c>
      <c r="O10">
        <v>7.0635520713120306E-2</v>
      </c>
      <c r="P10">
        <v>0.38791834135858966</v>
      </c>
      <c r="Q10">
        <v>0.43515460225237773</v>
      </c>
      <c r="R10">
        <v>25129</v>
      </c>
      <c r="S10">
        <v>3738</v>
      </c>
      <c r="T10">
        <v>885</v>
      </c>
      <c r="U10">
        <v>1283</v>
      </c>
      <c r="V10">
        <v>49</v>
      </c>
      <c r="W10">
        <v>5955</v>
      </c>
      <c r="X10">
        <v>11557</v>
      </c>
      <c r="Y10">
        <v>1645</v>
      </c>
      <c r="Z10">
        <v>369</v>
      </c>
      <c r="AA10">
        <v>697</v>
      </c>
      <c r="AB10">
        <v>32</v>
      </c>
      <c r="AC10">
        <v>2743</v>
      </c>
      <c r="AD10">
        <v>13572</v>
      </c>
      <c r="AE10">
        <v>2093</v>
      </c>
      <c r="AF10">
        <v>516</v>
      </c>
      <c r="AG10">
        <v>586</v>
      </c>
      <c r="AH10">
        <v>17</v>
      </c>
      <c r="AI10">
        <v>3212</v>
      </c>
      <c r="AJ10">
        <v>0.23697719766007402</v>
      </c>
      <c r="AK10">
        <v>0.1486146095717884</v>
      </c>
      <c r="AL10">
        <v>0.21544920235096557</v>
      </c>
      <c r="AM10">
        <v>8.2283795130142744E-3</v>
      </c>
      <c r="AN10">
        <v>0.46062132661628885</v>
      </c>
      <c r="AO10">
        <v>0.53937867338371115</v>
      </c>
      <c r="AP10">
        <v>11341</v>
      </c>
      <c r="AQ10">
        <v>283</v>
      </c>
      <c r="AR10">
        <v>13</v>
      </c>
      <c r="AS10">
        <v>1</v>
      </c>
      <c r="AT10">
        <v>751</v>
      </c>
      <c r="AU10">
        <v>749</v>
      </c>
      <c r="AV10">
        <v>115</v>
      </c>
      <c r="AW10">
        <v>336</v>
      </c>
      <c r="AX10">
        <v>380</v>
      </c>
      <c r="AY10">
        <v>1950</v>
      </c>
      <c r="AZ10">
        <v>419</v>
      </c>
      <c r="BA10">
        <v>250</v>
      </c>
      <c r="BB10">
        <v>394</v>
      </c>
      <c r="BC10">
        <v>626</v>
      </c>
      <c r="BD10">
        <v>431</v>
      </c>
      <c r="BE10">
        <v>862</v>
      </c>
      <c r="BF10">
        <v>2026</v>
      </c>
      <c r="BG10">
        <v>86</v>
      </c>
      <c r="BH10">
        <v>780</v>
      </c>
      <c r="BI10">
        <v>595</v>
      </c>
      <c r="BJ10">
        <v>2.495370778590953E-2</v>
      </c>
      <c r="BK10">
        <v>1.1462833965258795E-3</v>
      </c>
      <c r="BL10">
        <v>8.8175645886606123E-5</v>
      </c>
      <c r="BM10">
        <v>6.62199100608412E-2</v>
      </c>
      <c r="BN10">
        <v>6.6043558769067978E-2</v>
      </c>
      <c r="BO10">
        <v>1.0140199276959704E-2</v>
      </c>
      <c r="BP10">
        <v>2.9627017017899656E-2</v>
      </c>
      <c r="BQ10">
        <v>3.3506745436910325E-2</v>
      </c>
      <c r="BR10">
        <v>0.17194250947888193</v>
      </c>
      <c r="BS10">
        <v>3.6945595626487963E-2</v>
      </c>
      <c r="BT10">
        <v>2.204391147165153E-2</v>
      </c>
      <c r="BU10">
        <v>3.4741204479322808E-2</v>
      </c>
      <c r="BV10">
        <v>5.5197954325015432E-2</v>
      </c>
      <c r="BW10">
        <v>3.8003703377127239E-2</v>
      </c>
      <c r="BX10">
        <v>7.6007406754254478E-2</v>
      </c>
      <c r="BY10">
        <v>0.178643858566264</v>
      </c>
      <c r="BZ10">
        <v>7.5831055462481263E-3</v>
      </c>
      <c r="CA10">
        <v>6.8777003791552771E-2</v>
      </c>
      <c r="CB10">
        <v>5.2464509302530639E-2</v>
      </c>
      <c r="CC10">
        <v>11341</v>
      </c>
      <c r="CD10">
        <v>10280</v>
      </c>
      <c r="CE10">
        <v>802</v>
      </c>
      <c r="CF10">
        <v>40</v>
      </c>
      <c r="CG10">
        <v>917</v>
      </c>
      <c r="CH10">
        <v>838</v>
      </c>
      <c r="CI10">
        <v>31</v>
      </c>
      <c r="CJ10">
        <v>19</v>
      </c>
      <c r="CK10">
        <v>0.90644563971431091</v>
      </c>
      <c r="CL10">
        <v>7.0716868001058114E-2</v>
      </c>
      <c r="CM10">
        <v>3.5270258354642447E-3</v>
      </c>
      <c r="CN10">
        <v>0.9138495092693566</v>
      </c>
      <c r="CO10">
        <v>3.3805888767720831E-2</v>
      </c>
      <c r="CP10">
        <v>2.0719738276990186E-2</v>
      </c>
    </row>
    <row r="11" spans="1:94" x14ac:dyDescent="0.15">
      <c r="A11" t="s">
        <v>435</v>
      </c>
      <c r="B11" t="s">
        <v>427</v>
      </c>
      <c r="C11" t="s">
        <v>436</v>
      </c>
      <c r="D11">
        <v>6352</v>
      </c>
      <c r="E11">
        <v>2727</v>
      </c>
      <c r="F11">
        <v>912</v>
      </c>
      <c r="G11">
        <v>840</v>
      </c>
      <c r="H11">
        <v>0.42931360201511337</v>
      </c>
      <c r="I11">
        <v>0.14357682619647355</v>
      </c>
      <c r="J11">
        <v>0.13224181360201512</v>
      </c>
      <c r="K11">
        <v>15280</v>
      </c>
      <c r="L11">
        <v>1196</v>
      </c>
      <c r="M11">
        <v>5358</v>
      </c>
      <c r="N11">
        <v>7114</v>
      </c>
      <c r="O11">
        <v>7.8272251308900517E-2</v>
      </c>
      <c r="P11">
        <v>0.3506544502617801</v>
      </c>
      <c r="Q11">
        <v>0.46557591623036648</v>
      </c>
      <c r="R11">
        <v>15280</v>
      </c>
      <c r="S11">
        <v>2158</v>
      </c>
      <c r="T11">
        <v>381</v>
      </c>
      <c r="U11">
        <v>464</v>
      </c>
      <c r="V11">
        <v>15</v>
      </c>
      <c r="W11">
        <v>3018</v>
      </c>
      <c r="X11">
        <v>7201</v>
      </c>
      <c r="Y11">
        <v>963</v>
      </c>
      <c r="Z11">
        <v>182</v>
      </c>
      <c r="AA11">
        <v>248</v>
      </c>
      <c r="AB11">
        <v>7</v>
      </c>
      <c r="AC11">
        <v>1400</v>
      </c>
      <c r="AD11">
        <v>8079</v>
      </c>
      <c r="AE11">
        <v>1195</v>
      </c>
      <c r="AF11">
        <v>199</v>
      </c>
      <c r="AG11">
        <v>216</v>
      </c>
      <c r="AH11">
        <v>8</v>
      </c>
      <c r="AI11">
        <v>1618</v>
      </c>
      <c r="AJ11">
        <v>0.19751308900523559</v>
      </c>
      <c r="AK11">
        <v>0.12624254473161034</v>
      </c>
      <c r="AL11">
        <v>0.15374420145791914</v>
      </c>
      <c r="AM11">
        <v>4.970178926441352E-3</v>
      </c>
      <c r="AN11">
        <v>0.46388336646785949</v>
      </c>
      <c r="AO11">
        <v>0.53611663353214045</v>
      </c>
      <c r="AP11">
        <v>6922</v>
      </c>
      <c r="AQ11">
        <v>212</v>
      </c>
      <c r="AR11">
        <v>14</v>
      </c>
      <c r="AS11">
        <v>1</v>
      </c>
      <c r="AT11">
        <v>620</v>
      </c>
      <c r="AU11">
        <v>510</v>
      </c>
      <c r="AV11">
        <v>49</v>
      </c>
      <c r="AW11">
        <v>160</v>
      </c>
      <c r="AX11">
        <v>277</v>
      </c>
      <c r="AY11">
        <v>1316</v>
      </c>
      <c r="AZ11">
        <v>204</v>
      </c>
      <c r="BA11">
        <v>142</v>
      </c>
      <c r="BB11">
        <v>191</v>
      </c>
      <c r="BC11">
        <v>481</v>
      </c>
      <c r="BD11">
        <v>278</v>
      </c>
      <c r="BE11">
        <v>384</v>
      </c>
      <c r="BF11">
        <v>1111</v>
      </c>
      <c r="BG11">
        <v>48</v>
      </c>
      <c r="BH11">
        <v>526</v>
      </c>
      <c r="BI11">
        <v>233</v>
      </c>
      <c r="BJ11">
        <v>3.0626986420109796E-2</v>
      </c>
      <c r="BK11">
        <v>2.0225368390638545E-3</v>
      </c>
      <c r="BL11">
        <v>1.4446691707598961E-4</v>
      </c>
      <c r="BM11">
        <v>8.9569488587113555E-2</v>
      </c>
      <c r="BN11">
        <v>7.367812770875469E-2</v>
      </c>
      <c r="BO11">
        <v>7.0788789367234907E-3</v>
      </c>
      <c r="BP11">
        <v>2.3114706732158336E-2</v>
      </c>
      <c r="BQ11">
        <v>4.0017336030049117E-2</v>
      </c>
      <c r="BR11">
        <v>0.19011846287200232</v>
      </c>
      <c r="BS11">
        <v>2.9471251083501879E-2</v>
      </c>
      <c r="BT11">
        <v>2.0514302224790525E-2</v>
      </c>
      <c r="BU11">
        <v>2.7593181161514012E-2</v>
      </c>
      <c r="BV11">
        <v>6.9488587113550992E-2</v>
      </c>
      <c r="BW11">
        <v>4.0161802947125111E-2</v>
      </c>
      <c r="BX11">
        <v>5.5475296157180005E-2</v>
      </c>
      <c r="BY11">
        <v>0.16050274487142444</v>
      </c>
      <c r="BZ11">
        <v>6.9344120196475007E-3</v>
      </c>
      <c r="CA11">
        <v>7.598959838197053E-2</v>
      </c>
      <c r="CB11">
        <v>3.3660791678705573E-2</v>
      </c>
      <c r="CC11">
        <v>6922</v>
      </c>
      <c r="CD11">
        <v>6336</v>
      </c>
      <c r="CE11">
        <v>379</v>
      </c>
      <c r="CF11">
        <v>34</v>
      </c>
      <c r="CG11">
        <v>691</v>
      </c>
      <c r="CH11">
        <v>648</v>
      </c>
      <c r="CI11">
        <v>14</v>
      </c>
      <c r="CJ11">
        <v>10</v>
      </c>
      <c r="CK11">
        <v>0.91534238659347011</v>
      </c>
      <c r="CL11">
        <v>5.4752961571800055E-2</v>
      </c>
      <c r="CM11">
        <v>4.9118751805836466E-3</v>
      </c>
      <c r="CN11">
        <v>0.93777134587554267</v>
      </c>
      <c r="CO11">
        <v>2.0260492040520984E-2</v>
      </c>
      <c r="CP11">
        <v>1.4471780028943559E-2</v>
      </c>
    </row>
    <row r="12" spans="1:94" x14ac:dyDescent="0.15">
      <c r="A12" t="s">
        <v>437</v>
      </c>
      <c r="B12" t="s">
        <v>427</v>
      </c>
      <c r="C12" t="s">
        <v>438</v>
      </c>
      <c r="D12">
        <v>11266</v>
      </c>
      <c r="E12">
        <v>3965</v>
      </c>
      <c r="F12">
        <v>1270</v>
      </c>
      <c r="G12">
        <v>1518</v>
      </c>
      <c r="H12">
        <v>0.35194390200603587</v>
      </c>
      <c r="I12">
        <v>0.11272856382034439</v>
      </c>
      <c r="J12">
        <v>0.13474170069234867</v>
      </c>
      <c r="K12">
        <v>23676</v>
      </c>
      <c r="L12">
        <v>1593</v>
      </c>
      <c r="M12">
        <v>8803</v>
      </c>
      <c r="N12">
        <v>10298</v>
      </c>
      <c r="O12">
        <v>6.7283324885960463E-2</v>
      </c>
      <c r="P12">
        <v>0.37181111674269302</v>
      </c>
      <c r="Q12">
        <v>0.43495522892380467</v>
      </c>
      <c r="R12">
        <v>23676</v>
      </c>
      <c r="S12">
        <v>3496</v>
      </c>
      <c r="T12">
        <v>643</v>
      </c>
      <c r="U12">
        <v>1037</v>
      </c>
      <c r="V12">
        <v>27</v>
      </c>
      <c r="W12">
        <v>5203</v>
      </c>
      <c r="X12">
        <v>11074</v>
      </c>
      <c r="Y12">
        <v>1526</v>
      </c>
      <c r="Z12">
        <v>301</v>
      </c>
      <c r="AA12">
        <v>570</v>
      </c>
      <c r="AB12">
        <v>16</v>
      </c>
      <c r="AC12">
        <v>2413</v>
      </c>
      <c r="AD12">
        <v>12602</v>
      </c>
      <c r="AE12">
        <v>1970</v>
      </c>
      <c r="AF12">
        <v>342</v>
      </c>
      <c r="AG12">
        <v>467</v>
      </c>
      <c r="AH12">
        <v>11</v>
      </c>
      <c r="AI12">
        <v>2790</v>
      </c>
      <c r="AJ12">
        <v>0.2197584051360027</v>
      </c>
      <c r="AK12">
        <v>0.12358254852969441</v>
      </c>
      <c r="AL12">
        <v>0.19930809148568135</v>
      </c>
      <c r="AM12">
        <v>5.1893138573899673E-3</v>
      </c>
      <c r="AN12">
        <v>0.46377090140303673</v>
      </c>
      <c r="AO12">
        <v>0.53622909859696333</v>
      </c>
      <c r="AP12">
        <v>10657</v>
      </c>
      <c r="AQ12">
        <v>202</v>
      </c>
      <c r="AR12">
        <v>9</v>
      </c>
      <c r="AS12">
        <v>1</v>
      </c>
      <c r="AT12">
        <v>648</v>
      </c>
      <c r="AU12">
        <v>678</v>
      </c>
      <c r="AV12">
        <v>63</v>
      </c>
      <c r="AW12">
        <v>262</v>
      </c>
      <c r="AX12">
        <v>401</v>
      </c>
      <c r="AY12">
        <v>1552</v>
      </c>
      <c r="AZ12">
        <v>357</v>
      </c>
      <c r="BA12">
        <v>215</v>
      </c>
      <c r="BB12">
        <v>410</v>
      </c>
      <c r="BC12">
        <v>623</v>
      </c>
      <c r="BD12">
        <v>382</v>
      </c>
      <c r="BE12">
        <v>927</v>
      </c>
      <c r="BF12">
        <v>1958</v>
      </c>
      <c r="BG12">
        <v>80</v>
      </c>
      <c r="BH12">
        <v>707</v>
      </c>
      <c r="BI12">
        <v>925</v>
      </c>
      <c r="BJ12">
        <v>1.8954677676644459E-2</v>
      </c>
      <c r="BK12">
        <v>8.4451534202871351E-4</v>
      </c>
      <c r="BL12">
        <v>9.3835038003190396E-5</v>
      </c>
      <c r="BM12">
        <v>6.080510462606737E-2</v>
      </c>
      <c r="BN12">
        <v>6.3620155766163089E-2</v>
      </c>
      <c r="BO12">
        <v>5.9116073942009949E-3</v>
      </c>
      <c r="BP12">
        <v>2.4584779956835882E-2</v>
      </c>
      <c r="BQ12">
        <v>3.7627850239279344E-2</v>
      </c>
      <c r="BR12">
        <v>0.14563197898095148</v>
      </c>
      <c r="BS12">
        <v>3.3499108567138967E-2</v>
      </c>
      <c r="BT12">
        <v>2.0174533170685936E-2</v>
      </c>
      <c r="BU12">
        <v>3.8472365581308059E-2</v>
      </c>
      <c r="BV12">
        <v>5.8459228675987615E-2</v>
      </c>
      <c r="BW12">
        <v>3.584498451721873E-2</v>
      </c>
      <c r="BX12">
        <v>8.6985080228957498E-2</v>
      </c>
      <c r="BY12">
        <v>0.18372900441024678</v>
      </c>
      <c r="BZ12">
        <v>7.5068030402552317E-3</v>
      </c>
      <c r="CA12">
        <v>6.6341371868255603E-2</v>
      </c>
      <c r="CB12">
        <v>8.6797410152951116E-2</v>
      </c>
      <c r="CC12">
        <v>10657</v>
      </c>
      <c r="CD12">
        <v>9781</v>
      </c>
      <c r="CE12">
        <v>614</v>
      </c>
      <c r="CF12">
        <v>50</v>
      </c>
      <c r="CG12">
        <v>1013</v>
      </c>
      <c r="CH12">
        <v>947</v>
      </c>
      <c r="CI12">
        <v>25</v>
      </c>
      <c r="CJ12">
        <v>24</v>
      </c>
      <c r="CK12">
        <v>0.91780050670920521</v>
      </c>
      <c r="CL12">
        <v>5.76147133339589E-2</v>
      </c>
      <c r="CM12">
        <v>4.6917519001595199E-3</v>
      </c>
      <c r="CN12">
        <v>0.93484698914116482</v>
      </c>
      <c r="CO12">
        <v>2.4679170779861797E-2</v>
      </c>
      <c r="CP12">
        <v>2.3692003948667325E-2</v>
      </c>
    </row>
    <row r="13" spans="1:94" x14ac:dyDescent="0.15">
      <c r="A13" t="s">
        <v>439</v>
      </c>
      <c r="B13" t="s">
        <v>427</v>
      </c>
      <c r="C13" t="s">
        <v>440</v>
      </c>
      <c r="D13">
        <v>8863</v>
      </c>
      <c r="E13">
        <v>3469</v>
      </c>
      <c r="F13">
        <v>1348</v>
      </c>
      <c r="G13">
        <v>1005</v>
      </c>
      <c r="H13">
        <v>0.39140245966377074</v>
      </c>
      <c r="I13">
        <v>0.15209297077738915</v>
      </c>
      <c r="J13">
        <v>0.11339275640302381</v>
      </c>
      <c r="K13">
        <v>20130</v>
      </c>
      <c r="L13">
        <v>1345</v>
      </c>
      <c r="M13">
        <v>7386</v>
      </c>
      <c r="N13">
        <v>9217</v>
      </c>
      <c r="O13">
        <v>6.681569796323894E-2</v>
      </c>
      <c r="P13">
        <v>0.36691505216095383</v>
      </c>
      <c r="Q13">
        <v>0.45787382016890216</v>
      </c>
      <c r="R13">
        <v>20130</v>
      </c>
      <c r="S13">
        <v>3021</v>
      </c>
      <c r="T13">
        <v>516</v>
      </c>
      <c r="U13">
        <v>809</v>
      </c>
      <c r="V13">
        <v>24</v>
      </c>
      <c r="W13">
        <v>4370</v>
      </c>
      <c r="X13">
        <v>9466</v>
      </c>
      <c r="Y13">
        <v>1369</v>
      </c>
      <c r="Z13">
        <v>233</v>
      </c>
      <c r="AA13">
        <v>463</v>
      </c>
      <c r="AB13">
        <v>19</v>
      </c>
      <c r="AC13">
        <v>2084</v>
      </c>
      <c r="AD13">
        <v>10664</v>
      </c>
      <c r="AE13">
        <v>1652</v>
      </c>
      <c r="AF13">
        <v>283</v>
      </c>
      <c r="AG13">
        <v>346</v>
      </c>
      <c r="AH13">
        <v>5</v>
      </c>
      <c r="AI13">
        <v>2286</v>
      </c>
      <c r="AJ13">
        <v>0.21708892200695479</v>
      </c>
      <c r="AK13">
        <v>0.11807780320366133</v>
      </c>
      <c r="AL13">
        <v>0.1851258581235698</v>
      </c>
      <c r="AM13">
        <v>5.491990846681922E-3</v>
      </c>
      <c r="AN13">
        <v>0.47688787185354692</v>
      </c>
      <c r="AO13">
        <v>0.52311212814645314</v>
      </c>
      <c r="AP13">
        <v>9115</v>
      </c>
      <c r="AQ13">
        <v>165</v>
      </c>
      <c r="AR13">
        <v>4</v>
      </c>
      <c r="AS13">
        <v>2</v>
      </c>
      <c r="AT13">
        <v>767</v>
      </c>
      <c r="AU13">
        <v>620</v>
      </c>
      <c r="AV13">
        <v>57</v>
      </c>
      <c r="AW13">
        <v>197</v>
      </c>
      <c r="AX13">
        <v>360</v>
      </c>
      <c r="AY13">
        <v>1532</v>
      </c>
      <c r="AZ13">
        <v>269</v>
      </c>
      <c r="BA13">
        <v>171</v>
      </c>
      <c r="BB13">
        <v>360</v>
      </c>
      <c r="BC13">
        <v>513</v>
      </c>
      <c r="BD13">
        <v>340</v>
      </c>
      <c r="BE13">
        <v>631</v>
      </c>
      <c r="BF13">
        <v>1761</v>
      </c>
      <c r="BG13">
        <v>57</v>
      </c>
      <c r="BH13">
        <v>543</v>
      </c>
      <c r="BI13">
        <v>519</v>
      </c>
      <c r="BJ13">
        <v>1.8102029621503018E-2</v>
      </c>
      <c r="BK13">
        <v>4.3883708173340647E-4</v>
      </c>
      <c r="BL13">
        <v>2.1941854086670324E-4</v>
      </c>
      <c r="BM13">
        <v>8.4147010422380694E-2</v>
      </c>
      <c r="BN13">
        <v>6.8019747668678007E-2</v>
      </c>
      <c r="BO13">
        <v>6.2534284147010418E-3</v>
      </c>
      <c r="BP13">
        <v>2.161272627537027E-2</v>
      </c>
      <c r="BQ13">
        <v>3.9495337356006584E-2</v>
      </c>
      <c r="BR13">
        <v>0.16807460230389468</v>
      </c>
      <c r="BS13">
        <v>2.9511793746571584E-2</v>
      </c>
      <c r="BT13">
        <v>1.8760285244103128E-2</v>
      </c>
      <c r="BU13">
        <v>3.9495337356006584E-2</v>
      </c>
      <c r="BV13">
        <v>5.6280855732309377E-2</v>
      </c>
      <c r="BW13">
        <v>3.7301151947339552E-2</v>
      </c>
      <c r="BX13">
        <v>6.9226549643444865E-2</v>
      </c>
      <c r="BY13">
        <v>0.1931980252331322</v>
      </c>
      <c r="BZ13">
        <v>6.2534284147010418E-3</v>
      </c>
      <c r="CA13">
        <v>5.9572133845309926E-2</v>
      </c>
      <c r="CB13">
        <v>5.6939111354909491E-2</v>
      </c>
      <c r="CC13">
        <v>9115</v>
      </c>
      <c r="CD13">
        <v>8315</v>
      </c>
      <c r="CE13">
        <v>575</v>
      </c>
      <c r="CF13">
        <v>44</v>
      </c>
      <c r="CG13">
        <v>809</v>
      </c>
      <c r="CH13">
        <v>747</v>
      </c>
      <c r="CI13">
        <v>16</v>
      </c>
      <c r="CJ13">
        <v>20</v>
      </c>
      <c r="CK13">
        <v>0.91223258365331872</v>
      </c>
      <c r="CL13">
        <v>6.3082830499177178E-2</v>
      </c>
      <c r="CM13">
        <v>4.8272078990674715E-3</v>
      </c>
      <c r="CN13">
        <v>0.92336217552533995</v>
      </c>
      <c r="CO13">
        <v>1.9777503090234856E-2</v>
      </c>
      <c r="CP13">
        <v>2.4721878862793572E-2</v>
      </c>
    </row>
    <row r="14" spans="1:94" x14ac:dyDescent="0.15">
      <c r="A14" t="s">
        <v>441</v>
      </c>
      <c r="B14" t="s">
        <v>427</v>
      </c>
      <c r="C14" t="s">
        <v>442</v>
      </c>
      <c r="D14">
        <v>19510</v>
      </c>
      <c r="E14">
        <v>6401</v>
      </c>
      <c r="F14">
        <v>2112</v>
      </c>
      <c r="G14">
        <v>2133</v>
      </c>
      <c r="H14">
        <v>0.32808815991799078</v>
      </c>
      <c r="I14">
        <v>0.10825217837006663</v>
      </c>
      <c r="J14">
        <v>0.10932854946181446</v>
      </c>
      <c r="K14">
        <v>42286</v>
      </c>
      <c r="L14">
        <v>2819</v>
      </c>
      <c r="M14">
        <v>17624</v>
      </c>
      <c r="N14">
        <v>15852</v>
      </c>
      <c r="O14">
        <v>6.6665090100742563E-2</v>
      </c>
      <c r="P14">
        <v>0.41678096769616424</v>
      </c>
      <c r="Q14">
        <v>0.3748758454334768</v>
      </c>
      <c r="R14">
        <v>42286</v>
      </c>
      <c r="S14">
        <v>6987</v>
      </c>
      <c r="T14">
        <v>1511</v>
      </c>
      <c r="U14">
        <v>2642</v>
      </c>
      <c r="V14">
        <v>127</v>
      </c>
      <c r="W14">
        <v>11267</v>
      </c>
      <c r="X14">
        <v>19849</v>
      </c>
      <c r="Y14">
        <v>3134</v>
      </c>
      <c r="Z14">
        <v>680</v>
      </c>
      <c r="AA14">
        <v>1477</v>
      </c>
      <c r="AB14">
        <v>54</v>
      </c>
      <c r="AC14">
        <v>5345</v>
      </c>
      <c r="AD14">
        <v>22437</v>
      </c>
      <c r="AE14">
        <v>3853</v>
      </c>
      <c r="AF14">
        <v>831</v>
      </c>
      <c r="AG14">
        <v>1165</v>
      </c>
      <c r="AH14">
        <v>73</v>
      </c>
      <c r="AI14">
        <v>5922</v>
      </c>
      <c r="AJ14">
        <v>0.2664475240032162</v>
      </c>
      <c r="AK14">
        <v>0.13410845832963522</v>
      </c>
      <c r="AL14">
        <v>0.23449010384308155</v>
      </c>
      <c r="AM14">
        <v>1.1271855862252596E-2</v>
      </c>
      <c r="AN14">
        <v>0.47439424869086716</v>
      </c>
      <c r="AO14">
        <v>0.5256057513091329</v>
      </c>
      <c r="AP14">
        <v>19292</v>
      </c>
      <c r="AQ14">
        <v>399</v>
      </c>
      <c r="AR14">
        <v>34</v>
      </c>
      <c r="AS14">
        <v>1</v>
      </c>
      <c r="AT14">
        <v>1357</v>
      </c>
      <c r="AU14">
        <v>1144</v>
      </c>
      <c r="AV14">
        <v>109</v>
      </c>
      <c r="AW14">
        <v>540</v>
      </c>
      <c r="AX14">
        <v>866</v>
      </c>
      <c r="AY14">
        <v>3747</v>
      </c>
      <c r="AZ14">
        <v>666</v>
      </c>
      <c r="BA14">
        <v>415</v>
      </c>
      <c r="BB14">
        <v>702</v>
      </c>
      <c r="BC14">
        <v>1299</v>
      </c>
      <c r="BD14">
        <v>828</v>
      </c>
      <c r="BE14">
        <v>998</v>
      </c>
      <c r="BF14">
        <v>3040</v>
      </c>
      <c r="BG14">
        <v>120</v>
      </c>
      <c r="BH14">
        <v>1332</v>
      </c>
      <c r="BI14">
        <v>1194</v>
      </c>
      <c r="BJ14">
        <v>2.0682148040638608E-2</v>
      </c>
      <c r="BK14">
        <v>1.762388554841385E-3</v>
      </c>
      <c r="BL14">
        <v>5.1834957495334856E-5</v>
      </c>
      <c r="BM14">
        <v>7.0340037321169391E-2</v>
      </c>
      <c r="BN14">
        <v>5.9299191374663072E-2</v>
      </c>
      <c r="BO14">
        <v>5.6500103669914993E-3</v>
      </c>
      <c r="BP14">
        <v>2.7990877047480822E-2</v>
      </c>
      <c r="BQ14">
        <v>4.4889073190959985E-2</v>
      </c>
      <c r="BR14">
        <v>0.19422558573501969</v>
      </c>
      <c r="BS14">
        <v>3.4522081691893011E-2</v>
      </c>
      <c r="BT14">
        <v>2.1511507360563963E-2</v>
      </c>
      <c r="BU14">
        <v>3.638814016172507E-2</v>
      </c>
      <c r="BV14">
        <v>6.7333609786439971E-2</v>
      </c>
      <c r="BW14">
        <v>4.2919344806137259E-2</v>
      </c>
      <c r="BX14">
        <v>5.1731287580344183E-2</v>
      </c>
      <c r="BY14">
        <v>0.15757827078581796</v>
      </c>
      <c r="BZ14">
        <v>6.2201948994401821E-3</v>
      </c>
      <c r="CA14">
        <v>6.9044163383786022E-2</v>
      </c>
      <c r="CB14">
        <v>6.1890939249429816E-2</v>
      </c>
      <c r="CC14">
        <v>19292</v>
      </c>
      <c r="CD14">
        <v>17836</v>
      </c>
      <c r="CE14">
        <v>960</v>
      </c>
      <c r="CF14">
        <v>98</v>
      </c>
      <c r="CG14">
        <v>1539</v>
      </c>
      <c r="CH14">
        <v>1423</v>
      </c>
      <c r="CI14">
        <v>33</v>
      </c>
      <c r="CJ14">
        <v>22</v>
      </c>
      <c r="CK14">
        <v>0.92452830188679247</v>
      </c>
      <c r="CL14">
        <v>4.9761559195521457E-2</v>
      </c>
      <c r="CM14">
        <v>5.0798258345428155E-3</v>
      </c>
      <c r="CN14">
        <v>0.92462638076673165</v>
      </c>
      <c r="CO14">
        <v>2.1442495126705652E-2</v>
      </c>
      <c r="CP14">
        <v>1.4294996751137101E-2</v>
      </c>
    </row>
    <row r="15" spans="1:94" x14ac:dyDescent="0.15">
      <c r="A15" t="s">
        <v>443</v>
      </c>
      <c r="B15" t="s">
        <v>427</v>
      </c>
      <c r="C15" t="s">
        <v>444</v>
      </c>
      <c r="D15" s="202">
        <v>2928</v>
      </c>
      <c r="E15" s="202">
        <v>1740</v>
      </c>
      <c r="F15" s="202">
        <v>612</v>
      </c>
      <c r="G15" s="202">
        <v>695</v>
      </c>
      <c r="H15" s="202">
        <v>0.59426229508196726</v>
      </c>
      <c r="I15" s="202">
        <v>0.20901639344262296</v>
      </c>
      <c r="J15" s="202">
        <v>0.23736338797814208</v>
      </c>
      <c r="K15" s="202">
        <v>6116</v>
      </c>
      <c r="L15" s="202">
        <v>337</v>
      </c>
      <c r="M15" s="202">
        <v>1616</v>
      </c>
      <c r="N15" s="202">
        <v>3774</v>
      </c>
      <c r="O15" s="202">
        <v>5.5101373446697188E-2</v>
      </c>
      <c r="P15" s="202">
        <v>0.26422498364944408</v>
      </c>
      <c r="Q15" s="202">
        <v>0.61706998037933292</v>
      </c>
      <c r="R15" s="202">
        <v>6116</v>
      </c>
      <c r="S15" s="202">
        <v>673</v>
      </c>
      <c r="T15" s="202">
        <v>117</v>
      </c>
      <c r="U15" s="202">
        <v>129</v>
      </c>
      <c r="V15" s="202">
        <v>15</v>
      </c>
      <c r="W15" s="202">
        <v>934</v>
      </c>
      <c r="X15" s="202">
        <v>2713</v>
      </c>
      <c r="Y15" s="202">
        <v>310</v>
      </c>
      <c r="Z15" s="202">
        <v>55</v>
      </c>
      <c r="AA15" s="202">
        <v>70</v>
      </c>
      <c r="AB15" s="202">
        <v>12</v>
      </c>
      <c r="AC15" s="202">
        <v>447</v>
      </c>
      <c r="AD15" s="202">
        <v>3403</v>
      </c>
      <c r="AE15" s="202">
        <v>363</v>
      </c>
      <c r="AF15" s="202">
        <v>62</v>
      </c>
      <c r="AG15" s="202">
        <v>59</v>
      </c>
      <c r="AH15" s="202">
        <v>3</v>
      </c>
      <c r="AI15" s="202">
        <v>487</v>
      </c>
      <c r="AJ15" s="202">
        <v>0.1527141922825376</v>
      </c>
      <c r="AK15" s="202">
        <v>0.12526766595289079</v>
      </c>
      <c r="AL15" s="202">
        <v>0.13811563169164881</v>
      </c>
      <c r="AM15" s="202">
        <v>1.6059957173447537E-2</v>
      </c>
      <c r="AN15" s="202">
        <v>0.47858672376873662</v>
      </c>
      <c r="AO15" s="202">
        <v>0.52141327623126343</v>
      </c>
      <c r="AP15" s="202">
        <v>2546</v>
      </c>
      <c r="AQ15" s="202">
        <v>39</v>
      </c>
      <c r="AR15" s="202">
        <v>1</v>
      </c>
      <c r="AS15" s="202">
        <v>0</v>
      </c>
      <c r="AT15" s="202">
        <v>184</v>
      </c>
      <c r="AU15" s="202">
        <v>144</v>
      </c>
      <c r="AV15" s="202">
        <v>11</v>
      </c>
      <c r="AW15" s="202">
        <v>56</v>
      </c>
      <c r="AX15" s="202">
        <v>123</v>
      </c>
      <c r="AY15" s="202">
        <v>456</v>
      </c>
      <c r="AZ15" s="202">
        <v>71</v>
      </c>
      <c r="BA15" s="202">
        <v>42</v>
      </c>
      <c r="BB15" s="202">
        <v>115</v>
      </c>
      <c r="BC15" s="202">
        <v>151</v>
      </c>
      <c r="BD15" s="202">
        <v>96</v>
      </c>
      <c r="BE15" s="202">
        <v>195</v>
      </c>
      <c r="BF15" s="202">
        <v>433</v>
      </c>
      <c r="BG15" s="202">
        <v>19</v>
      </c>
      <c r="BH15" s="202">
        <v>214</v>
      </c>
      <c r="BI15" s="202">
        <v>113</v>
      </c>
      <c r="BJ15" s="202">
        <v>1.5318146111547526E-2</v>
      </c>
      <c r="BK15" s="202">
        <v>3.9277297721916735E-4</v>
      </c>
      <c r="BL15" s="202">
        <v>0</v>
      </c>
      <c r="BM15" s="202">
        <v>7.2270227808326787E-2</v>
      </c>
      <c r="BN15" s="202">
        <v>5.6559308719560095E-2</v>
      </c>
      <c r="BO15" s="202">
        <v>4.3205027494108402E-3</v>
      </c>
      <c r="BP15" s="202">
        <v>2.199528672427337E-2</v>
      </c>
      <c r="BQ15" s="202">
        <v>4.8311076197957582E-2</v>
      </c>
      <c r="BR15" s="202">
        <v>0.17910447761194029</v>
      </c>
      <c r="BS15" s="202">
        <v>2.7886881382560881E-2</v>
      </c>
      <c r="BT15" s="202">
        <v>1.6496465043205028E-2</v>
      </c>
      <c r="BU15" s="202">
        <v>4.5168892380204245E-2</v>
      </c>
      <c r="BV15" s="202">
        <v>5.9308719560094265E-2</v>
      </c>
      <c r="BW15" s="202">
        <v>3.7706205813040065E-2</v>
      </c>
      <c r="BX15" s="202">
        <v>7.659073055773763E-2</v>
      </c>
      <c r="BY15" s="202">
        <v>0.17007069913589945</v>
      </c>
      <c r="BZ15" s="202">
        <v>7.462686567164179E-3</v>
      </c>
      <c r="CA15" s="202">
        <v>8.4053417124901803E-2</v>
      </c>
      <c r="CB15" s="202">
        <v>4.4383346425765906E-2</v>
      </c>
      <c r="CC15" s="202">
        <v>2546</v>
      </c>
      <c r="CD15" s="202">
        <v>2309</v>
      </c>
      <c r="CE15" s="202">
        <v>148</v>
      </c>
      <c r="CF15" s="202">
        <v>9</v>
      </c>
      <c r="CG15" s="202">
        <v>244</v>
      </c>
      <c r="CH15" s="202">
        <v>229</v>
      </c>
      <c r="CI15" s="202">
        <v>4</v>
      </c>
      <c r="CJ15" s="202">
        <v>2</v>
      </c>
      <c r="CK15" s="202">
        <v>0.9069128043990573</v>
      </c>
      <c r="CL15" s="202">
        <v>5.8130400628436767E-2</v>
      </c>
      <c r="CM15" s="202">
        <v>3.5349567949725059E-3</v>
      </c>
      <c r="CN15" s="202">
        <v>0.93852459016393441</v>
      </c>
      <c r="CO15" s="202">
        <v>1.6393442622950821E-2</v>
      </c>
      <c r="CP15" s="202">
        <v>8.1967213114754103E-3</v>
      </c>
    </row>
    <row r="16" spans="1:94" x14ac:dyDescent="0.15">
      <c r="A16" t="s">
        <v>445</v>
      </c>
      <c r="B16" t="s">
        <v>427</v>
      </c>
      <c r="C16" t="s">
        <v>446</v>
      </c>
      <c r="D16">
        <v>2824</v>
      </c>
      <c r="E16">
        <v>1395</v>
      </c>
      <c r="F16">
        <v>682</v>
      </c>
      <c r="G16">
        <v>339</v>
      </c>
      <c r="H16">
        <v>0.49398016997167138</v>
      </c>
      <c r="I16">
        <v>0.24150141643059489</v>
      </c>
      <c r="J16">
        <v>0.12004249291784702</v>
      </c>
      <c r="K16">
        <v>6819</v>
      </c>
      <c r="L16">
        <v>406</v>
      </c>
      <c r="M16">
        <v>1566</v>
      </c>
      <c r="N16">
        <v>4248</v>
      </c>
      <c r="O16">
        <v>5.9539521924035783E-2</v>
      </c>
      <c r="P16">
        <v>0.22965244170699517</v>
      </c>
      <c r="Q16">
        <v>0.62296524417069954</v>
      </c>
      <c r="R16">
        <v>6819</v>
      </c>
      <c r="S16">
        <v>463</v>
      </c>
      <c r="T16">
        <v>129</v>
      </c>
      <c r="U16">
        <v>144</v>
      </c>
      <c r="V16">
        <v>3</v>
      </c>
      <c r="W16">
        <v>739</v>
      </c>
      <c r="X16">
        <v>3116</v>
      </c>
      <c r="Y16">
        <v>205</v>
      </c>
      <c r="Z16">
        <v>59</v>
      </c>
      <c r="AA16">
        <v>68</v>
      </c>
      <c r="AB16">
        <v>1</v>
      </c>
      <c r="AC16">
        <v>333</v>
      </c>
      <c r="AD16">
        <v>3703</v>
      </c>
      <c r="AE16">
        <v>258</v>
      </c>
      <c r="AF16">
        <v>70</v>
      </c>
      <c r="AG16">
        <v>76</v>
      </c>
      <c r="AH16">
        <v>2</v>
      </c>
      <c r="AI16">
        <v>406</v>
      </c>
      <c r="AJ16">
        <v>0.10837366182724739</v>
      </c>
      <c r="AK16">
        <v>0.17456021650879566</v>
      </c>
      <c r="AL16">
        <v>0.19485791610284167</v>
      </c>
      <c r="AM16">
        <v>4.0595399188092015E-3</v>
      </c>
      <c r="AN16">
        <v>0.4506089309878214</v>
      </c>
      <c r="AO16">
        <v>0.5493910690121786</v>
      </c>
      <c r="AP16">
        <v>2954</v>
      </c>
      <c r="AQ16">
        <v>45</v>
      </c>
      <c r="AR16">
        <v>0</v>
      </c>
      <c r="AS16">
        <v>0</v>
      </c>
      <c r="AT16">
        <v>179</v>
      </c>
      <c r="AU16">
        <v>169</v>
      </c>
      <c r="AV16">
        <v>21</v>
      </c>
      <c r="AW16">
        <v>72</v>
      </c>
      <c r="AX16">
        <v>112</v>
      </c>
      <c r="AY16">
        <v>491</v>
      </c>
      <c r="AZ16">
        <v>105</v>
      </c>
      <c r="BA16">
        <v>45</v>
      </c>
      <c r="BB16">
        <v>167</v>
      </c>
      <c r="BC16">
        <v>137</v>
      </c>
      <c r="BD16">
        <v>75</v>
      </c>
      <c r="BE16">
        <v>321</v>
      </c>
      <c r="BF16">
        <v>545</v>
      </c>
      <c r="BG16">
        <v>15</v>
      </c>
      <c r="BH16">
        <v>222</v>
      </c>
      <c r="BI16">
        <v>187</v>
      </c>
      <c r="BJ16">
        <v>1.5233581584292485E-2</v>
      </c>
      <c r="BK16">
        <v>0</v>
      </c>
      <c r="BL16">
        <v>0</v>
      </c>
      <c r="BM16">
        <v>6.0595802301963438E-2</v>
      </c>
      <c r="BN16">
        <v>5.7210561949898445E-2</v>
      </c>
      <c r="BO16">
        <v>7.1090047393364926E-3</v>
      </c>
      <c r="BP16">
        <v>2.4373730534867976E-2</v>
      </c>
      <c r="BQ16">
        <v>3.7914691943127965E-2</v>
      </c>
      <c r="BR16">
        <v>0.16621530128639134</v>
      </c>
      <c r="BS16">
        <v>3.5545023696682464E-2</v>
      </c>
      <c r="BT16">
        <v>1.5233581584292485E-2</v>
      </c>
      <c r="BU16">
        <v>5.6533513879485443E-2</v>
      </c>
      <c r="BV16">
        <v>4.6377792823290451E-2</v>
      </c>
      <c r="BW16">
        <v>2.5389302640487475E-2</v>
      </c>
      <c r="BX16">
        <v>0.1086662153012864</v>
      </c>
      <c r="BY16">
        <v>0.18449559918754233</v>
      </c>
      <c r="BZ16">
        <v>5.0778605280974946E-3</v>
      </c>
      <c r="CA16">
        <v>7.5152335815842922E-2</v>
      </c>
      <c r="CB16">
        <v>6.3303994583615436E-2</v>
      </c>
      <c r="CC16">
        <v>2954</v>
      </c>
      <c r="CD16">
        <v>2703</v>
      </c>
      <c r="CE16">
        <v>193</v>
      </c>
      <c r="CF16">
        <v>10</v>
      </c>
      <c r="CG16">
        <v>283</v>
      </c>
      <c r="CH16">
        <v>266</v>
      </c>
      <c r="CI16">
        <v>5</v>
      </c>
      <c r="CJ16">
        <v>4</v>
      </c>
      <c r="CK16">
        <v>0.9150304671631686</v>
      </c>
      <c r="CL16">
        <v>6.5335138794854433E-2</v>
      </c>
      <c r="CM16">
        <v>3.3852403520649968E-3</v>
      </c>
      <c r="CN16">
        <v>0.93992932862190814</v>
      </c>
      <c r="CO16">
        <v>1.7667844522968199E-2</v>
      </c>
      <c r="CP16">
        <v>1.4134275618374558E-2</v>
      </c>
    </row>
    <row r="17" spans="1:94" x14ac:dyDescent="0.15">
      <c r="A17" t="s">
        <v>447</v>
      </c>
      <c r="B17" t="s">
        <v>427</v>
      </c>
      <c r="C17" t="s">
        <v>448</v>
      </c>
      <c r="D17">
        <v>2131</v>
      </c>
      <c r="E17">
        <v>1206</v>
      </c>
      <c r="F17">
        <v>628</v>
      </c>
      <c r="G17">
        <v>270</v>
      </c>
      <c r="H17">
        <v>0.56593148756452372</v>
      </c>
      <c r="I17">
        <v>0.29469732519943687</v>
      </c>
      <c r="J17">
        <v>0.12670107930549038</v>
      </c>
      <c r="K17">
        <v>5275</v>
      </c>
      <c r="L17">
        <v>327</v>
      </c>
      <c r="M17">
        <v>1456</v>
      </c>
      <c r="N17">
        <v>3341</v>
      </c>
      <c r="O17">
        <v>6.1990521327014221E-2</v>
      </c>
      <c r="P17">
        <v>0.27601895734597154</v>
      </c>
      <c r="Q17">
        <v>0.63336492890995255</v>
      </c>
      <c r="R17">
        <v>5275</v>
      </c>
      <c r="S17">
        <v>497</v>
      </c>
      <c r="T17">
        <v>82</v>
      </c>
      <c r="U17">
        <v>136</v>
      </c>
      <c r="V17">
        <v>12</v>
      </c>
      <c r="W17">
        <v>727</v>
      </c>
      <c r="X17">
        <v>2480</v>
      </c>
      <c r="Y17">
        <v>228</v>
      </c>
      <c r="Z17">
        <v>41</v>
      </c>
      <c r="AA17">
        <v>74</v>
      </c>
      <c r="AB17">
        <v>6</v>
      </c>
      <c r="AC17">
        <v>349</v>
      </c>
      <c r="AD17">
        <v>2795</v>
      </c>
      <c r="AE17">
        <v>269</v>
      </c>
      <c r="AF17">
        <v>41</v>
      </c>
      <c r="AG17">
        <v>62</v>
      </c>
      <c r="AH17">
        <v>6</v>
      </c>
      <c r="AI17">
        <v>378</v>
      </c>
      <c r="AJ17">
        <v>0.13781990521327014</v>
      </c>
      <c r="AK17">
        <v>0.11279229711141678</v>
      </c>
      <c r="AL17">
        <v>0.18707015130674004</v>
      </c>
      <c r="AM17">
        <v>1.6506189821182942E-2</v>
      </c>
      <c r="AN17">
        <v>0.48005502063273725</v>
      </c>
      <c r="AO17">
        <v>0.51994497936726269</v>
      </c>
      <c r="AP17">
        <v>2270</v>
      </c>
      <c r="AQ17">
        <v>39</v>
      </c>
      <c r="AR17">
        <v>0</v>
      </c>
      <c r="AS17">
        <v>0</v>
      </c>
      <c r="AT17">
        <v>139</v>
      </c>
      <c r="AU17">
        <v>90</v>
      </c>
      <c r="AV17">
        <v>33</v>
      </c>
      <c r="AW17">
        <v>53</v>
      </c>
      <c r="AX17">
        <v>49</v>
      </c>
      <c r="AY17">
        <v>374</v>
      </c>
      <c r="AZ17">
        <v>102</v>
      </c>
      <c r="BA17">
        <v>41</v>
      </c>
      <c r="BB17">
        <v>114</v>
      </c>
      <c r="BC17">
        <v>97</v>
      </c>
      <c r="BD17">
        <v>76</v>
      </c>
      <c r="BE17">
        <v>259</v>
      </c>
      <c r="BF17">
        <v>420</v>
      </c>
      <c r="BG17">
        <v>12</v>
      </c>
      <c r="BH17">
        <v>146</v>
      </c>
      <c r="BI17">
        <v>183</v>
      </c>
      <c r="BJ17">
        <v>1.7180616740088105E-2</v>
      </c>
      <c r="BK17">
        <v>0</v>
      </c>
      <c r="BL17">
        <v>0</v>
      </c>
      <c r="BM17">
        <v>6.1233480176211455E-2</v>
      </c>
      <c r="BN17">
        <v>3.9647577092511016E-2</v>
      </c>
      <c r="BO17">
        <v>1.4537444933920705E-2</v>
      </c>
      <c r="BP17">
        <v>2.3348017621145373E-2</v>
      </c>
      <c r="BQ17">
        <v>2.1585903083700439E-2</v>
      </c>
      <c r="BR17">
        <v>0.16475770925110131</v>
      </c>
      <c r="BS17">
        <v>4.4933920704845816E-2</v>
      </c>
      <c r="BT17">
        <v>1.8061674008810574E-2</v>
      </c>
      <c r="BU17">
        <v>5.0220264317180616E-2</v>
      </c>
      <c r="BV17">
        <v>4.2731277533039645E-2</v>
      </c>
      <c r="BW17">
        <v>3.3480176211453744E-2</v>
      </c>
      <c r="BX17">
        <v>0.11409691629955947</v>
      </c>
      <c r="BY17">
        <v>0.18502202643171806</v>
      </c>
      <c r="BZ17">
        <v>5.2863436123348016E-3</v>
      </c>
      <c r="CA17">
        <v>6.4317180616740091E-2</v>
      </c>
      <c r="CB17">
        <v>8.0616740088105723E-2</v>
      </c>
      <c r="CC17">
        <v>2270</v>
      </c>
      <c r="CD17">
        <v>2047</v>
      </c>
      <c r="CE17">
        <v>171</v>
      </c>
      <c r="CF17">
        <v>15</v>
      </c>
      <c r="CG17">
        <v>250</v>
      </c>
      <c r="CH17">
        <v>241</v>
      </c>
      <c r="CI17">
        <v>3</v>
      </c>
      <c r="CJ17">
        <v>1</v>
      </c>
      <c r="CK17">
        <v>0.90176211453744493</v>
      </c>
      <c r="CL17">
        <v>7.533039647577093E-2</v>
      </c>
      <c r="CM17">
        <v>6.6079295154185024E-3</v>
      </c>
      <c r="CN17">
        <v>0.96399999999999997</v>
      </c>
      <c r="CO17">
        <v>1.2E-2</v>
      </c>
      <c r="CP17">
        <v>4.0000000000000001E-3</v>
      </c>
    </row>
    <row r="18" spans="1:94" x14ac:dyDescent="0.15">
      <c r="A18" t="s">
        <v>449</v>
      </c>
      <c r="B18" t="s">
        <v>427</v>
      </c>
      <c r="C18" t="s">
        <v>450</v>
      </c>
      <c r="D18">
        <v>16235.99</v>
      </c>
      <c r="E18">
        <v>6049.64</v>
      </c>
      <c r="F18">
        <v>2038.2000000000003</v>
      </c>
      <c r="G18">
        <v>2095.14</v>
      </c>
      <c r="H18">
        <v>0.37260678283246051</v>
      </c>
      <c r="I18">
        <v>0.12553592358704338</v>
      </c>
      <c r="J18">
        <v>0.12904294718092335</v>
      </c>
      <c r="K18">
        <v>34662.97</v>
      </c>
      <c r="L18">
        <v>2306.63</v>
      </c>
      <c r="M18">
        <v>12977.64</v>
      </c>
      <c r="N18">
        <v>14857.17</v>
      </c>
      <c r="O18">
        <v>6.654449979329527E-2</v>
      </c>
      <c r="P18">
        <v>0.37439492345866493</v>
      </c>
      <c r="Q18">
        <v>0.42861791704519259</v>
      </c>
      <c r="R18">
        <v>34662.97</v>
      </c>
      <c r="S18">
        <v>5468.4000000000005</v>
      </c>
      <c r="T18">
        <v>1075.7199999999998</v>
      </c>
      <c r="U18">
        <v>1331.77</v>
      </c>
      <c r="V18">
        <v>41.230000000000004</v>
      </c>
      <c r="W18">
        <v>7917.1200000000008</v>
      </c>
      <c r="X18">
        <v>16360.83</v>
      </c>
      <c r="Y18">
        <v>2435.73</v>
      </c>
      <c r="Z18">
        <v>476</v>
      </c>
      <c r="AA18">
        <v>720.98</v>
      </c>
      <c r="AB18">
        <v>29.86</v>
      </c>
      <c r="AC18">
        <v>3662.57</v>
      </c>
      <c r="AD18">
        <v>18302.14</v>
      </c>
      <c r="AE18">
        <v>3032.67</v>
      </c>
      <c r="AF18">
        <v>599.72</v>
      </c>
      <c r="AG18">
        <v>610.79</v>
      </c>
      <c r="AH18">
        <v>11.37</v>
      </c>
      <c r="AI18">
        <v>4254.55</v>
      </c>
      <c r="AJ18">
        <v>0.22840281718502484</v>
      </c>
      <c r="AK18">
        <v>0.1358726405561618</v>
      </c>
      <c r="AL18">
        <v>0.16821394648559071</v>
      </c>
      <c r="AM18">
        <v>5.2077017905500988E-3</v>
      </c>
      <c r="AN18">
        <v>0.46261393031809545</v>
      </c>
      <c r="AO18">
        <v>0.5373860696819045</v>
      </c>
      <c r="AP18">
        <v>15172.83</v>
      </c>
      <c r="AQ18">
        <v>278.33000000000004</v>
      </c>
      <c r="AR18">
        <v>21.6</v>
      </c>
      <c r="AS18">
        <v>2.0099999999999998</v>
      </c>
      <c r="AT18">
        <v>1266.0500000000002</v>
      </c>
      <c r="AU18">
        <v>1148.7400000000002</v>
      </c>
      <c r="AV18">
        <v>61.54</v>
      </c>
      <c r="AW18">
        <v>405.23</v>
      </c>
      <c r="AX18">
        <v>752.54</v>
      </c>
      <c r="AY18">
        <v>2561.62</v>
      </c>
      <c r="AZ18">
        <v>349.53999999999996</v>
      </c>
      <c r="BA18">
        <v>315.11</v>
      </c>
      <c r="BB18">
        <v>545.59</v>
      </c>
      <c r="BC18">
        <v>883.5</v>
      </c>
      <c r="BD18">
        <v>671.91</v>
      </c>
      <c r="BE18">
        <v>992.3</v>
      </c>
      <c r="BF18">
        <v>2651.68</v>
      </c>
      <c r="BG18">
        <v>77.48</v>
      </c>
      <c r="BH18">
        <v>1084.8000000000002</v>
      </c>
      <c r="BI18">
        <v>701.44</v>
      </c>
      <c r="BJ18">
        <v>1.8343974064166015E-2</v>
      </c>
      <c r="BK18">
        <v>1.4235973117737431E-3</v>
      </c>
      <c r="BL18">
        <v>1.3247363873450106E-4</v>
      </c>
      <c r="BM18">
        <v>8.3441915581997567E-2</v>
      </c>
      <c r="BN18">
        <v>7.57103322188412E-2</v>
      </c>
      <c r="BO18">
        <v>4.0559341928961172E-3</v>
      </c>
      <c r="BP18">
        <v>2.6707608270836753E-2</v>
      </c>
      <c r="BQ18">
        <v>4.9597866713065389E-2</v>
      </c>
      <c r="BR18">
        <v>0.16882941415675257</v>
      </c>
      <c r="BS18">
        <v>2.3037231683212686E-2</v>
      </c>
      <c r="BT18">
        <v>2.0768043931158525E-2</v>
      </c>
      <c r="BU18">
        <v>3.5958354506047986E-2</v>
      </c>
      <c r="BV18">
        <v>5.8229084488523236E-2</v>
      </c>
      <c r="BW18">
        <v>4.4283762488606278E-2</v>
      </c>
      <c r="BX18">
        <v>6.539979687375394E-2</v>
      </c>
      <c r="BY18">
        <v>0.17476502405945363</v>
      </c>
      <c r="BZ18">
        <v>5.106496283158778E-3</v>
      </c>
      <c r="CA18">
        <v>7.1496220546859099E-2</v>
      </c>
      <c r="CB18">
        <v>4.6230004554193259E-2</v>
      </c>
      <c r="CC18">
        <v>15172.83</v>
      </c>
      <c r="CD18">
        <v>14136.310000000001</v>
      </c>
      <c r="CE18">
        <v>625.72</v>
      </c>
      <c r="CF18">
        <v>74.62</v>
      </c>
      <c r="CG18">
        <v>1429.0100000000002</v>
      </c>
      <c r="CH18">
        <v>1333.1</v>
      </c>
      <c r="CI18">
        <v>35.06</v>
      </c>
      <c r="CJ18">
        <v>15.23</v>
      </c>
      <c r="CK18">
        <v>0.93168578307408711</v>
      </c>
      <c r="CL18">
        <v>4.1239505089030855E-2</v>
      </c>
      <c r="CM18">
        <v>4.9180014539146619E-3</v>
      </c>
      <c r="CN18">
        <v>0.93288360473334664</v>
      </c>
      <c r="CO18">
        <v>2.4534467918349064E-2</v>
      </c>
      <c r="CP18">
        <v>1.0657728077480211E-2</v>
      </c>
    </row>
    <row r="19" spans="1:94" x14ac:dyDescent="0.15">
      <c r="A19" t="s">
        <v>451</v>
      </c>
      <c r="B19" t="s">
        <v>427</v>
      </c>
      <c r="C19" t="s">
        <v>452</v>
      </c>
      <c r="D19">
        <v>8307.01</v>
      </c>
      <c r="E19">
        <v>3431.3599999999997</v>
      </c>
      <c r="F19">
        <v>1309.8</v>
      </c>
      <c r="G19">
        <v>997.86</v>
      </c>
      <c r="H19">
        <v>0.41306799919585985</v>
      </c>
      <c r="I19">
        <v>0.15767406082332872</v>
      </c>
      <c r="J19">
        <v>0.12012264340599084</v>
      </c>
      <c r="K19">
        <v>20862.03</v>
      </c>
      <c r="L19">
        <v>1790.3700000000001</v>
      </c>
      <c r="M19">
        <v>6774.3600000000006</v>
      </c>
      <c r="N19">
        <v>10337.83</v>
      </c>
      <c r="O19">
        <v>8.5819548720810018E-2</v>
      </c>
      <c r="P19">
        <v>0.32472199493529635</v>
      </c>
      <c r="Q19">
        <v>0.4955332726489225</v>
      </c>
      <c r="R19">
        <v>20862.03</v>
      </c>
      <c r="S19">
        <v>2848.6000000000004</v>
      </c>
      <c r="T19">
        <v>479.28000000000003</v>
      </c>
      <c r="U19">
        <v>627.23</v>
      </c>
      <c r="V19">
        <v>27.77</v>
      </c>
      <c r="W19">
        <v>3982.8800000000006</v>
      </c>
      <c r="X19">
        <v>9717.17</v>
      </c>
      <c r="Y19">
        <v>1293.27</v>
      </c>
      <c r="Z19">
        <v>215</v>
      </c>
      <c r="AA19">
        <v>301.02</v>
      </c>
      <c r="AB19">
        <v>14.14</v>
      </c>
      <c r="AC19">
        <v>1823.43</v>
      </c>
      <c r="AD19">
        <v>11144.86</v>
      </c>
      <c r="AE19">
        <v>1555.33</v>
      </c>
      <c r="AF19">
        <v>264.27999999999997</v>
      </c>
      <c r="AG19">
        <v>326.21000000000004</v>
      </c>
      <c r="AH19">
        <v>13.63</v>
      </c>
      <c r="AI19">
        <v>2159.4499999999998</v>
      </c>
      <c r="AJ19">
        <v>0.19091526567644668</v>
      </c>
      <c r="AK19">
        <v>0.12033503394528582</v>
      </c>
      <c r="AL19">
        <v>0.15748152090949261</v>
      </c>
      <c r="AM19">
        <v>6.9723416221427695E-3</v>
      </c>
      <c r="AN19">
        <v>0.45781695657413723</v>
      </c>
      <c r="AO19">
        <v>0.54218304342586254</v>
      </c>
      <c r="AP19">
        <v>9099.17</v>
      </c>
      <c r="AQ19">
        <v>288.67</v>
      </c>
      <c r="AR19">
        <v>8.4</v>
      </c>
      <c r="AS19">
        <v>0.99</v>
      </c>
      <c r="AT19">
        <v>705.95</v>
      </c>
      <c r="AU19">
        <v>702.26</v>
      </c>
      <c r="AV19">
        <v>47.46</v>
      </c>
      <c r="AW19">
        <v>211.76999999999998</v>
      </c>
      <c r="AX19">
        <v>419.46000000000004</v>
      </c>
      <c r="AY19">
        <v>1403.38</v>
      </c>
      <c r="AZ19">
        <v>248.46</v>
      </c>
      <c r="BA19">
        <v>165.89</v>
      </c>
      <c r="BB19">
        <v>291.40999999999997</v>
      </c>
      <c r="BC19">
        <v>479.5</v>
      </c>
      <c r="BD19">
        <v>297.09000000000003</v>
      </c>
      <c r="BE19">
        <v>770.7</v>
      </c>
      <c r="BF19">
        <v>1740.3200000000002</v>
      </c>
      <c r="BG19">
        <v>53.519999999999996</v>
      </c>
      <c r="BH19">
        <v>647.20000000000005</v>
      </c>
      <c r="BI19">
        <v>401.56</v>
      </c>
      <c r="BJ19">
        <v>3.1724871609168752E-2</v>
      </c>
      <c r="BK19">
        <v>9.2316112348708734E-4</v>
      </c>
      <c r="BL19">
        <v>1.0880113241097814E-4</v>
      </c>
      <c r="BM19">
        <v>7.7583999419727295E-2</v>
      </c>
      <c r="BN19">
        <v>7.7178467926195468E-2</v>
      </c>
      <c r="BO19">
        <v>5.2158603477020435E-3</v>
      </c>
      <c r="BP19">
        <v>2.327355132391196E-2</v>
      </c>
      <c r="BQ19">
        <v>4.6098710102130201E-2</v>
      </c>
      <c r="BR19">
        <v>0.15423164969991771</v>
      </c>
      <c r="BS19">
        <v>2.7305787231143061E-2</v>
      </c>
      <c r="BT19">
        <v>1.8231333187532488E-2</v>
      </c>
      <c r="BU19">
        <v>3.2025997975639535E-2</v>
      </c>
      <c r="BV19">
        <v>5.2697114132387896E-2</v>
      </c>
      <c r="BW19">
        <v>3.2650230735330805E-2</v>
      </c>
      <c r="BX19">
        <v>8.4700033079940257E-2</v>
      </c>
      <c r="BY19">
        <v>0.19126140076512474</v>
      </c>
      <c r="BZ19">
        <v>5.8818551582177272E-3</v>
      </c>
      <c r="CA19">
        <v>7.1127366562005107E-2</v>
      </c>
      <c r="CB19">
        <v>4.4131497708032708E-2</v>
      </c>
      <c r="CC19">
        <v>9099.17</v>
      </c>
      <c r="CD19">
        <v>8442.69</v>
      </c>
      <c r="CE19">
        <v>448.28000000000003</v>
      </c>
      <c r="CF19">
        <v>50.38</v>
      </c>
      <c r="CG19">
        <v>1163.99</v>
      </c>
      <c r="CH19">
        <v>1095.9000000000001</v>
      </c>
      <c r="CI19">
        <v>31.94</v>
      </c>
      <c r="CJ19">
        <v>12.77</v>
      </c>
      <c r="CK19">
        <v>0.92785276019680918</v>
      </c>
      <c r="CL19">
        <v>4.9266031956760895E-2</v>
      </c>
      <c r="CM19">
        <v>5.5367687382475543E-3</v>
      </c>
      <c r="CN19">
        <v>0.94150293387400241</v>
      </c>
      <c r="CO19">
        <v>2.7440098282631296E-2</v>
      </c>
      <c r="CP19">
        <v>1.0970884629593038E-2</v>
      </c>
    </row>
    <row r="20" spans="1:94" x14ac:dyDescent="0.15">
      <c r="A20" t="s">
        <v>453</v>
      </c>
      <c r="B20" t="s">
        <v>427</v>
      </c>
      <c r="C20" t="s">
        <v>454</v>
      </c>
      <c r="D20">
        <v>7174</v>
      </c>
      <c r="E20">
        <v>2005</v>
      </c>
      <c r="F20">
        <v>784</v>
      </c>
      <c r="G20">
        <v>526</v>
      </c>
      <c r="H20">
        <v>0.27948146083077779</v>
      </c>
      <c r="I20">
        <v>0.10928352383607472</v>
      </c>
      <c r="J20">
        <v>7.3320323390019509E-2</v>
      </c>
      <c r="K20">
        <v>13622</v>
      </c>
      <c r="L20">
        <v>1055</v>
      </c>
      <c r="M20">
        <v>5688</v>
      </c>
      <c r="N20">
        <v>5265</v>
      </c>
      <c r="O20">
        <v>7.7448245485244455E-2</v>
      </c>
      <c r="P20">
        <v>0.41755982968727057</v>
      </c>
      <c r="Q20">
        <v>0.38650712083394506</v>
      </c>
      <c r="R20">
        <v>13622</v>
      </c>
      <c r="S20">
        <v>1395</v>
      </c>
      <c r="T20">
        <v>495</v>
      </c>
      <c r="U20">
        <v>2111</v>
      </c>
      <c r="V20">
        <v>103</v>
      </c>
      <c r="W20">
        <v>4104</v>
      </c>
      <c r="X20">
        <v>7062</v>
      </c>
      <c r="Y20">
        <v>641</v>
      </c>
      <c r="Z20">
        <v>265</v>
      </c>
      <c r="AA20">
        <v>1384</v>
      </c>
      <c r="AB20">
        <v>59</v>
      </c>
      <c r="AC20">
        <v>2349</v>
      </c>
      <c r="AD20">
        <v>6560</v>
      </c>
      <c r="AE20">
        <v>754</v>
      </c>
      <c r="AF20">
        <v>230</v>
      </c>
      <c r="AG20">
        <v>727</v>
      </c>
      <c r="AH20">
        <v>44</v>
      </c>
      <c r="AI20">
        <v>1755</v>
      </c>
      <c r="AJ20">
        <v>0.30127734547056234</v>
      </c>
      <c r="AK20">
        <v>0.1206140350877193</v>
      </c>
      <c r="AL20">
        <v>0.51437621832358671</v>
      </c>
      <c r="AM20">
        <v>2.509746588693957E-2</v>
      </c>
      <c r="AN20">
        <v>0.57236842105263153</v>
      </c>
      <c r="AO20">
        <v>0.42763157894736842</v>
      </c>
      <c r="AP20">
        <v>5788</v>
      </c>
      <c r="AQ20">
        <v>469</v>
      </c>
      <c r="AR20">
        <v>15</v>
      </c>
      <c r="AS20">
        <v>0</v>
      </c>
      <c r="AT20">
        <v>331</v>
      </c>
      <c r="AU20">
        <v>382</v>
      </c>
      <c r="AV20">
        <v>11</v>
      </c>
      <c r="AW20">
        <v>104</v>
      </c>
      <c r="AX20">
        <v>177</v>
      </c>
      <c r="AY20">
        <v>954</v>
      </c>
      <c r="AZ20">
        <v>76</v>
      </c>
      <c r="BA20">
        <v>76</v>
      </c>
      <c r="BB20">
        <v>170</v>
      </c>
      <c r="BC20">
        <v>677</v>
      </c>
      <c r="BD20">
        <v>180</v>
      </c>
      <c r="BE20">
        <v>595</v>
      </c>
      <c r="BF20">
        <v>874</v>
      </c>
      <c r="BG20">
        <v>44</v>
      </c>
      <c r="BH20">
        <v>337</v>
      </c>
      <c r="BI20">
        <v>107</v>
      </c>
      <c r="BJ20">
        <v>8.102971665514859E-2</v>
      </c>
      <c r="BK20">
        <v>2.5915687629578439E-3</v>
      </c>
      <c r="BL20">
        <v>0</v>
      </c>
      <c r="BM20">
        <v>5.7187284035936418E-2</v>
      </c>
      <c r="BN20">
        <v>6.5998617829993084E-2</v>
      </c>
      <c r="BO20">
        <v>1.9004837595024188E-3</v>
      </c>
      <c r="BP20">
        <v>1.796821008984105E-2</v>
      </c>
      <c r="BQ20">
        <v>3.0580511402902556E-2</v>
      </c>
      <c r="BR20">
        <v>0.16482377332411888</v>
      </c>
      <c r="BS20">
        <v>1.3130615065653075E-2</v>
      </c>
      <c r="BT20">
        <v>1.3130615065653075E-2</v>
      </c>
      <c r="BU20">
        <v>2.9371112646855563E-2</v>
      </c>
      <c r="BV20">
        <v>0.11696613683483069</v>
      </c>
      <c r="BW20">
        <v>3.1098825155494125E-2</v>
      </c>
      <c r="BX20">
        <v>0.10279889426399447</v>
      </c>
      <c r="BY20">
        <v>0.15100207325501036</v>
      </c>
      <c r="BZ20">
        <v>7.601935038009675E-3</v>
      </c>
      <c r="CA20">
        <v>5.8223911541119555E-2</v>
      </c>
      <c r="CB20">
        <v>1.8486523842432618E-2</v>
      </c>
      <c r="CC20">
        <v>5788</v>
      </c>
      <c r="CD20">
        <v>5441</v>
      </c>
      <c r="CE20">
        <v>195</v>
      </c>
      <c r="CF20">
        <v>30</v>
      </c>
      <c r="CG20">
        <v>1618</v>
      </c>
      <c r="CH20">
        <v>1563</v>
      </c>
      <c r="CI20">
        <v>23</v>
      </c>
      <c r="CJ20">
        <v>10</v>
      </c>
      <c r="CK20">
        <v>0.94004837595024193</v>
      </c>
      <c r="CL20">
        <v>3.3690393918451966E-2</v>
      </c>
      <c r="CM20">
        <v>5.1831375259156877E-3</v>
      </c>
      <c r="CN20">
        <v>0.96600741656365885</v>
      </c>
      <c r="CO20">
        <v>1.4215080346106305E-2</v>
      </c>
      <c r="CP20">
        <v>6.180469715698393E-3</v>
      </c>
    </row>
    <row r="21" spans="1:94" x14ac:dyDescent="0.15">
      <c r="A21" t="s">
        <v>455</v>
      </c>
      <c r="B21" t="s">
        <v>427</v>
      </c>
      <c r="C21" t="s">
        <v>456</v>
      </c>
      <c r="D21">
        <v>1667</v>
      </c>
      <c r="E21">
        <v>896</v>
      </c>
      <c r="F21">
        <v>255</v>
      </c>
      <c r="G21">
        <v>328</v>
      </c>
      <c r="H21">
        <v>0.53749250149970007</v>
      </c>
      <c r="I21">
        <v>0.15296940611877624</v>
      </c>
      <c r="J21">
        <v>0.19676064787042591</v>
      </c>
      <c r="K21">
        <v>3555</v>
      </c>
      <c r="L21">
        <v>367</v>
      </c>
      <c r="M21">
        <v>1032</v>
      </c>
      <c r="N21">
        <v>1662</v>
      </c>
      <c r="O21">
        <v>0.10323488045007033</v>
      </c>
      <c r="P21">
        <v>0.290295358649789</v>
      </c>
      <c r="Q21">
        <v>0.46751054852320673</v>
      </c>
      <c r="R21">
        <v>3555</v>
      </c>
      <c r="S21">
        <v>347</v>
      </c>
      <c r="T21">
        <v>71</v>
      </c>
      <c r="U21">
        <v>171</v>
      </c>
      <c r="V21">
        <v>19</v>
      </c>
      <c r="W21">
        <v>608</v>
      </c>
      <c r="X21">
        <v>1718</v>
      </c>
      <c r="Y21">
        <v>152</v>
      </c>
      <c r="Z21">
        <v>37</v>
      </c>
      <c r="AA21">
        <v>93</v>
      </c>
      <c r="AB21">
        <v>15</v>
      </c>
      <c r="AC21">
        <v>297</v>
      </c>
      <c r="AD21">
        <v>1837</v>
      </c>
      <c r="AE21">
        <v>195</v>
      </c>
      <c r="AF21">
        <v>34</v>
      </c>
      <c r="AG21">
        <v>78</v>
      </c>
      <c r="AH21">
        <v>4</v>
      </c>
      <c r="AI21">
        <v>311</v>
      </c>
      <c r="AJ21">
        <v>0.17102672292545709</v>
      </c>
      <c r="AK21">
        <v>0.11677631578947369</v>
      </c>
      <c r="AL21">
        <v>0.28125</v>
      </c>
      <c r="AM21">
        <v>3.125E-2</v>
      </c>
      <c r="AN21">
        <v>0.48848684210526316</v>
      </c>
      <c r="AO21">
        <v>0.51151315789473684</v>
      </c>
      <c r="AP21">
        <v>1437</v>
      </c>
      <c r="AQ21">
        <v>45</v>
      </c>
      <c r="AR21">
        <v>56</v>
      </c>
      <c r="AS21">
        <v>0</v>
      </c>
      <c r="AT21">
        <v>86</v>
      </c>
      <c r="AU21">
        <v>99</v>
      </c>
      <c r="AV21">
        <v>7</v>
      </c>
      <c r="AW21">
        <v>22</v>
      </c>
      <c r="AX21">
        <v>66</v>
      </c>
      <c r="AY21">
        <v>245</v>
      </c>
      <c r="AZ21">
        <v>14</v>
      </c>
      <c r="BA21">
        <v>20</v>
      </c>
      <c r="BB21">
        <v>39</v>
      </c>
      <c r="BC21">
        <v>183</v>
      </c>
      <c r="BD21">
        <v>55</v>
      </c>
      <c r="BE21">
        <v>74</v>
      </c>
      <c r="BF21">
        <v>216</v>
      </c>
      <c r="BG21">
        <v>15</v>
      </c>
      <c r="BH21">
        <v>112</v>
      </c>
      <c r="BI21">
        <v>17</v>
      </c>
      <c r="BJ21">
        <v>3.1315240083507306E-2</v>
      </c>
      <c r="BK21">
        <v>3.8970076548364652E-2</v>
      </c>
      <c r="BL21">
        <v>0</v>
      </c>
      <c r="BM21">
        <v>5.9846903270702856E-2</v>
      </c>
      <c r="BN21">
        <v>6.889352818371608E-2</v>
      </c>
      <c r="BO21">
        <v>4.8712595685455815E-3</v>
      </c>
      <c r="BP21">
        <v>1.5309672929714684E-2</v>
      </c>
      <c r="BQ21">
        <v>4.5929018789144051E-2</v>
      </c>
      <c r="BR21">
        <v>0.17049408489909534</v>
      </c>
      <c r="BS21">
        <v>9.7425191370911629E-3</v>
      </c>
      <c r="BT21">
        <v>1.3917884481558803E-2</v>
      </c>
      <c r="BU21">
        <v>2.7139874739039668E-2</v>
      </c>
      <c r="BV21">
        <v>0.12734864300626306</v>
      </c>
      <c r="BW21">
        <v>3.8274182324286705E-2</v>
      </c>
      <c r="BX21">
        <v>5.1496172581767571E-2</v>
      </c>
      <c r="BY21">
        <v>0.15031315240083507</v>
      </c>
      <c r="BZ21">
        <v>1.0438413361169102E-2</v>
      </c>
      <c r="CA21">
        <v>7.7940153096729303E-2</v>
      </c>
      <c r="CB21">
        <v>1.1830201809324982E-2</v>
      </c>
      <c r="CC21">
        <v>1437</v>
      </c>
      <c r="CD21">
        <v>1326</v>
      </c>
      <c r="CE21">
        <v>47</v>
      </c>
      <c r="CF21">
        <v>9</v>
      </c>
      <c r="CG21">
        <v>95</v>
      </c>
      <c r="CH21">
        <v>90</v>
      </c>
      <c r="CI21">
        <v>0</v>
      </c>
      <c r="CJ21">
        <v>1</v>
      </c>
      <c r="CK21">
        <v>0.92275574112734859</v>
      </c>
      <c r="CL21">
        <v>3.2707028531663185E-2</v>
      </c>
      <c r="CM21">
        <v>6.2630480167014616E-3</v>
      </c>
      <c r="CN21">
        <v>0.94736842105263153</v>
      </c>
      <c r="CO21">
        <v>0</v>
      </c>
      <c r="CP21">
        <v>1.0526315789473684E-2</v>
      </c>
    </row>
    <row r="22" spans="1:94" x14ac:dyDescent="0.15">
      <c r="A22" t="s">
        <v>457</v>
      </c>
      <c r="B22" t="s">
        <v>427</v>
      </c>
      <c r="C22" t="s">
        <v>458</v>
      </c>
      <c r="D22">
        <v>8701</v>
      </c>
      <c r="E22">
        <v>3579</v>
      </c>
      <c r="F22">
        <v>1301</v>
      </c>
      <c r="G22">
        <v>994</v>
      </c>
      <c r="H22">
        <v>0.41133203080105735</v>
      </c>
      <c r="I22">
        <v>0.14952304332835306</v>
      </c>
      <c r="J22">
        <v>0.11423974255832663</v>
      </c>
      <c r="K22">
        <v>22025</v>
      </c>
      <c r="L22">
        <v>2032</v>
      </c>
      <c r="M22">
        <v>8285</v>
      </c>
      <c r="N22">
        <v>9622</v>
      </c>
      <c r="O22">
        <v>9.2258796821793415E-2</v>
      </c>
      <c r="P22">
        <v>0.37616345062429057</v>
      </c>
      <c r="Q22">
        <v>0.43686719636776389</v>
      </c>
      <c r="R22">
        <v>22025</v>
      </c>
      <c r="S22">
        <v>3301</v>
      </c>
      <c r="T22">
        <v>874</v>
      </c>
      <c r="U22">
        <v>779</v>
      </c>
      <c r="V22">
        <v>48</v>
      </c>
      <c r="W22">
        <v>5002</v>
      </c>
      <c r="X22">
        <v>10330</v>
      </c>
      <c r="Y22">
        <v>1434</v>
      </c>
      <c r="Z22">
        <v>410</v>
      </c>
      <c r="AA22">
        <v>465</v>
      </c>
      <c r="AB22">
        <v>21</v>
      </c>
      <c r="AC22">
        <v>2330</v>
      </c>
      <c r="AD22">
        <v>11695</v>
      </c>
      <c r="AE22">
        <v>1867</v>
      </c>
      <c r="AF22">
        <v>464</v>
      </c>
      <c r="AG22">
        <v>314</v>
      </c>
      <c r="AH22">
        <v>27</v>
      </c>
      <c r="AI22">
        <v>2672</v>
      </c>
      <c r="AJ22">
        <v>0.227105561861521</v>
      </c>
      <c r="AK22">
        <v>0.17473010795681726</v>
      </c>
      <c r="AL22">
        <v>0.15573770491803279</v>
      </c>
      <c r="AM22">
        <v>9.5961615353858457E-3</v>
      </c>
      <c r="AN22">
        <v>0.4658136745301879</v>
      </c>
      <c r="AO22">
        <v>0.53418632546981204</v>
      </c>
      <c r="AP22">
        <v>9808</v>
      </c>
      <c r="AQ22">
        <v>673</v>
      </c>
      <c r="AR22">
        <v>15</v>
      </c>
      <c r="AS22">
        <v>2</v>
      </c>
      <c r="AT22">
        <v>766</v>
      </c>
      <c r="AU22">
        <v>862</v>
      </c>
      <c r="AV22">
        <v>42</v>
      </c>
      <c r="AW22">
        <v>157</v>
      </c>
      <c r="AX22">
        <v>442</v>
      </c>
      <c r="AY22">
        <v>1707</v>
      </c>
      <c r="AZ22">
        <v>199</v>
      </c>
      <c r="BA22">
        <v>165</v>
      </c>
      <c r="BB22">
        <v>330</v>
      </c>
      <c r="BC22">
        <v>588</v>
      </c>
      <c r="BD22">
        <v>383</v>
      </c>
      <c r="BE22">
        <v>515</v>
      </c>
      <c r="BF22">
        <v>1677</v>
      </c>
      <c r="BG22">
        <v>72</v>
      </c>
      <c r="BH22">
        <v>604</v>
      </c>
      <c r="BI22">
        <v>316</v>
      </c>
      <c r="BJ22">
        <v>6.8617455138662312E-2</v>
      </c>
      <c r="BK22">
        <v>1.5293637846655792E-3</v>
      </c>
      <c r="BL22">
        <v>2.0391517128874389E-4</v>
      </c>
      <c r="BM22">
        <v>7.8099510603588912E-2</v>
      </c>
      <c r="BN22">
        <v>8.7887438825448611E-2</v>
      </c>
      <c r="BO22">
        <v>4.2822185970636216E-3</v>
      </c>
      <c r="BP22">
        <v>1.6007340946166394E-2</v>
      </c>
      <c r="BQ22">
        <v>4.5065252854812402E-2</v>
      </c>
      <c r="BR22">
        <v>0.1740415986949429</v>
      </c>
      <c r="BS22">
        <v>2.0289559543230015E-2</v>
      </c>
      <c r="BT22">
        <v>1.6823001631321371E-2</v>
      </c>
      <c r="BU22">
        <v>3.3646003262642742E-2</v>
      </c>
      <c r="BV22">
        <v>5.9951060358890702E-2</v>
      </c>
      <c r="BW22">
        <v>3.9049755301794456E-2</v>
      </c>
      <c r="BX22">
        <v>5.2508156606851548E-2</v>
      </c>
      <c r="BY22">
        <v>0.17098287112561175</v>
      </c>
      <c r="BZ22">
        <v>7.34094616639478E-3</v>
      </c>
      <c r="CA22">
        <v>6.158238172920065E-2</v>
      </c>
      <c r="CB22">
        <v>3.2218597063621533E-2</v>
      </c>
      <c r="CC22">
        <v>9808</v>
      </c>
      <c r="CD22">
        <v>8732</v>
      </c>
      <c r="CE22">
        <v>776</v>
      </c>
      <c r="CF22">
        <v>53</v>
      </c>
      <c r="CG22">
        <v>1265</v>
      </c>
      <c r="CH22">
        <v>1175</v>
      </c>
      <c r="CI22">
        <v>36</v>
      </c>
      <c r="CJ22">
        <v>16</v>
      </c>
      <c r="CK22">
        <v>0.89029363784665583</v>
      </c>
      <c r="CL22">
        <v>7.9119086460032628E-2</v>
      </c>
      <c r="CM22">
        <v>5.4037520391517126E-3</v>
      </c>
      <c r="CN22">
        <v>0.92885375494071143</v>
      </c>
      <c r="CO22">
        <v>2.8458498023715414E-2</v>
      </c>
      <c r="CP22">
        <v>1.2648221343873518E-2</v>
      </c>
    </row>
    <row r="23" spans="1:94" x14ac:dyDescent="0.15">
      <c r="A23" t="s">
        <v>459</v>
      </c>
      <c r="B23" t="s">
        <v>427</v>
      </c>
      <c r="C23" t="s">
        <v>460</v>
      </c>
      <c r="D23">
        <v>5180</v>
      </c>
      <c r="E23">
        <v>2463</v>
      </c>
      <c r="F23">
        <v>874</v>
      </c>
      <c r="G23">
        <v>697</v>
      </c>
      <c r="H23">
        <v>0.47548262548262549</v>
      </c>
      <c r="I23">
        <v>0.16872586872586873</v>
      </c>
      <c r="J23">
        <v>0.13455598455598455</v>
      </c>
      <c r="K23">
        <v>13239</v>
      </c>
      <c r="L23">
        <v>1558</v>
      </c>
      <c r="M23">
        <v>4514</v>
      </c>
      <c r="N23">
        <v>6042</v>
      </c>
      <c r="O23">
        <v>0.11768260442631619</v>
      </c>
      <c r="P23">
        <v>0.34096230833144497</v>
      </c>
      <c r="Q23">
        <v>0.45637888058010423</v>
      </c>
      <c r="R23">
        <v>13239</v>
      </c>
      <c r="S23">
        <v>1835</v>
      </c>
      <c r="T23">
        <v>286</v>
      </c>
      <c r="U23">
        <v>297</v>
      </c>
      <c r="V23">
        <v>21</v>
      </c>
      <c r="W23">
        <v>2439</v>
      </c>
      <c r="X23">
        <v>6207</v>
      </c>
      <c r="Y23">
        <v>801</v>
      </c>
      <c r="Z23">
        <v>116</v>
      </c>
      <c r="AA23">
        <v>154</v>
      </c>
      <c r="AB23">
        <v>19</v>
      </c>
      <c r="AC23">
        <v>1090</v>
      </c>
      <c r="AD23">
        <v>7032</v>
      </c>
      <c r="AE23">
        <v>1034</v>
      </c>
      <c r="AF23">
        <v>170</v>
      </c>
      <c r="AG23">
        <v>143</v>
      </c>
      <c r="AH23">
        <v>2</v>
      </c>
      <c r="AI23">
        <v>1349</v>
      </c>
      <c r="AJ23">
        <v>0.18422841604350781</v>
      </c>
      <c r="AK23">
        <v>0.11726117261172611</v>
      </c>
      <c r="AL23">
        <v>0.12177121771217712</v>
      </c>
      <c r="AM23">
        <v>8.6100861008610082E-3</v>
      </c>
      <c r="AN23">
        <v>0.44690446904469044</v>
      </c>
      <c r="AO23">
        <v>0.5530955309553095</v>
      </c>
      <c r="AP23">
        <v>5938</v>
      </c>
      <c r="AQ23">
        <v>475</v>
      </c>
      <c r="AR23">
        <v>2</v>
      </c>
      <c r="AS23">
        <v>1</v>
      </c>
      <c r="AT23">
        <v>659</v>
      </c>
      <c r="AU23">
        <v>419</v>
      </c>
      <c r="AV23">
        <v>20</v>
      </c>
      <c r="AW23">
        <v>83</v>
      </c>
      <c r="AX23">
        <v>207</v>
      </c>
      <c r="AY23">
        <v>925</v>
      </c>
      <c r="AZ23">
        <v>132</v>
      </c>
      <c r="BA23">
        <v>80</v>
      </c>
      <c r="BB23">
        <v>163</v>
      </c>
      <c r="BC23">
        <v>240</v>
      </c>
      <c r="BD23">
        <v>183</v>
      </c>
      <c r="BE23">
        <v>365</v>
      </c>
      <c r="BF23">
        <v>1094</v>
      </c>
      <c r="BG23">
        <v>55</v>
      </c>
      <c r="BH23">
        <v>395</v>
      </c>
      <c r="BI23">
        <v>251</v>
      </c>
      <c r="BJ23">
        <v>7.9993263725159983E-2</v>
      </c>
      <c r="BK23">
        <v>3.3681374200067362E-4</v>
      </c>
      <c r="BL23">
        <v>1.6840687100033681E-4</v>
      </c>
      <c r="BM23">
        <v>0.11098012798922197</v>
      </c>
      <c r="BN23">
        <v>7.0562478949141125E-2</v>
      </c>
      <c r="BO23">
        <v>3.3681374200067362E-3</v>
      </c>
      <c r="BP23">
        <v>1.3977770293027955E-2</v>
      </c>
      <c r="BQ23">
        <v>3.4860222297069719E-2</v>
      </c>
      <c r="BR23">
        <v>0.15577635567531156</v>
      </c>
      <c r="BS23">
        <v>2.2229706972044461E-2</v>
      </c>
      <c r="BT23">
        <v>1.3472549680026945E-2</v>
      </c>
      <c r="BU23">
        <v>2.7450319973054901E-2</v>
      </c>
      <c r="BV23">
        <v>4.0417649040080834E-2</v>
      </c>
      <c r="BW23">
        <v>3.0818457393061636E-2</v>
      </c>
      <c r="BX23">
        <v>6.1468507915122934E-2</v>
      </c>
      <c r="BY23">
        <v>0.18423711687436847</v>
      </c>
      <c r="BZ23">
        <v>9.2623779050185241E-3</v>
      </c>
      <c r="CA23">
        <v>6.6520714045133045E-2</v>
      </c>
      <c r="CB23">
        <v>4.2270124621084537E-2</v>
      </c>
      <c r="CC23">
        <v>5938</v>
      </c>
      <c r="CD23">
        <v>5441</v>
      </c>
      <c r="CE23">
        <v>358</v>
      </c>
      <c r="CF23">
        <v>24</v>
      </c>
      <c r="CG23">
        <v>398</v>
      </c>
      <c r="CH23">
        <v>359</v>
      </c>
      <c r="CI23">
        <v>17</v>
      </c>
      <c r="CJ23">
        <v>4</v>
      </c>
      <c r="CK23">
        <v>0.91630178511283256</v>
      </c>
      <c r="CL23">
        <v>6.0289659818120581E-2</v>
      </c>
      <c r="CM23">
        <v>4.0417649040080834E-3</v>
      </c>
      <c r="CN23">
        <v>0.90201005025125625</v>
      </c>
      <c r="CO23">
        <v>4.2713567839195977E-2</v>
      </c>
      <c r="CP23">
        <v>1.0050251256281407E-2</v>
      </c>
    </row>
    <row r="24" spans="1:94" x14ac:dyDescent="0.15">
      <c r="A24" t="s">
        <v>461</v>
      </c>
      <c r="B24" t="s">
        <v>427</v>
      </c>
      <c r="C24" t="s">
        <v>462</v>
      </c>
      <c r="D24">
        <v>2557</v>
      </c>
      <c r="E24">
        <v>1394</v>
      </c>
      <c r="F24">
        <v>523</v>
      </c>
      <c r="G24">
        <v>359</v>
      </c>
      <c r="H24">
        <v>0.5451701212358232</v>
      </c>
      <c r="I24">
        <v>0.20453656628861946</v>
      </c>
      <c r="J24">
        <v>0.14039890496675791</v>
      </c>
      <c r="K24">
        <v>6824</v>
      </c>
      <c r="L24">
        <v>816</v>
      </c>
      <c r="M24">
        <v>2101</v>
      </c>
      <c r="N24">
        <v>3437</v>
      </c>
      <c r="O24">
        <v>0.11957796014067995</v>
      </c>
      <c r="P24">
        <v>0.30788393903868699</v>
      </c>
      <c r="Q24">
        <v>0.50366354044548656</v>
      </c>
      <c r="R24">
        <v>6824</v>
      </c>
      <c r="S24">
        <v>754</v>
      </c>
      <c r="T24">
        <v>184</v>
      </c>
      <c r="U24">
        <v>339</v>
      </c>
      <c r="V24">
        <v>14</v>
      </c>
      <c r="W24">
        <v>1291</v>
      </c>
      <c r="X24">
        <v>3389</v>
      </c>
      <c r="Y24">
        <v>364</v>
      </c>
      <c r="Z24">
        <v>117</v>
      </c>
      <c r="AA24">
        <v>281</v>
      </c>
      <c r="AB24">
        <v>11</v>
      </c>
      <c r="AC24">
        <v>773</v>
      </c>
      <c r="AD24">
        <v>3435</v>
      </c>
      <c r="AE24">
        <v>390</v>
      </c>
      <c r="AF24">
        <v>67</v>
      </c>
      <c r="AG24">
        <v>58</v>
      </c>
      <c r="AH24">
        <v>3</v>
      </c>
      <c r="AI24">
        <v>518</v>
      </c>
      <c r="AJ24">
        <v>0.18918522860492379</v>
      </c>
      <c r="AK24">
        <v>0.14252517428350117</v>
      </c>
      <c r="AL24">
        <v>0.26258714175058095</v>
      </c>
      <c r="AM24">
        <v>1.0844306738962044E-2</v>
      </c>
      <c r="AN24">
        <v>0.59876065065840434</v>
      </c>
      <c r="AO24">
        <v>0.40123934934159566</v>
      </c>
      <c r="AP24">
        <v>3045</v>
      </c>
      <c r="AQ24">
        <v>307</v>
      </c>
      <c r="AR24">
        <v>3</v>
      </c>
      <c r="AS24">
        <v>1</v>
      </c>
      <c r="AT24">
        <v>322</v>
      </c>
      <c r="AU24">
        <v>259</v>
      </c>
      <c r="AV24">
        <v>39</v>
      </c>
      <c r="AW24">
        <v>36</v>
      </c>
      <c r="AX24">
        <v>93</v>
      </c>
      <c r="AY24">
        <v>388</v>
      </c>
      <c r="AZ24">
        <v>55</v>
      </c>
      <c r="BA24">
        <v>36</v>
      </c>
      <c r="BB24">
        <v>76</v>
      </c>
      <c r="BC24">
        <v>129</v>
      </c>
      <c r="BD24">
        <v>99</v>
      </c>
      <c r="BE24">
        <v>138</v>
      </c>
      <c r="BF24">
        <v>539</v>
      </c>
      <c r="BG24">
        <v>27</v>
      </c>
      <c r="BH24">
        <v>200</v>
      </c>
      <c r="BI24">
        <v>162</v>
      </c>
      <c r="BJ24">
        <v>0.10082101806239738</v>
      </c>
      <c r="BK24">
        <v>9.8522167487684722E-4</v>
      </c>
      <c r="BL24">
        <v>3.2840722495894911E-4</v>
      </c>
      <c r="BM24">
        <v>0.10574712643678161</v>
      </c>
      <c r="BN24">
        <v>8.5057471264367815E-2</v>
      </c>
      <c r="BO24">
        <v>1.2807881773399015E-2</v>
      </c>
      <c r="BP24">
        <v>1.1822660098522168E-2</v>
      </c>
      <c r="BQ24">
        <v>3.0541871921182268E-2</v>
      </c>
      <c r="BR24">
        <v>0.12742200328407224</v>
      </c>
      <c r="BS24">
        <v>1.8062397372742199E-2</v>
      </c>
      <c r="BT24">
        <v>1.1822660098522168E-2</v>
      </c>
      <c r="BU24">
        <v>2.495894909688013E-2</v>
      </c>
      <c r="BV24">
        <v>4.2364532019704436E-2</v>
      </c>
      <c r="BW24">
        <v>3.2512315270935961E-2</v>
      </c>
      <c r="BX24">
        <v>4.5320197044334973E-2</v>
      </c>
      <c r="BY24">
        <v>0.17701149425287357</v>
      </c>
      <c r="BZ24">
        <v>8.8669950738916262E-3</v>
      </c>
      <c r="CA24">
        <v>6.5681444991789822E-2</v>
      </c>
      <c r="CB24">
        <v>5.3201970443349754E-2</v>
      </c>
      <c r="CC24">
        <v>3045</v>
      </c>
      <c r="CD24">
        <v>2722</v>
      </c>
      <c r="CE24">
        <v>235</v>
      </c>
      <c r="CF24">
        <v>7</v>
      </c>
      <c r="CG24">
        <v>248</v>
      </c>
      <c r="CH24">
        <v>228</v>
      </c>
      <c r="CI24">
        <v>10</v>
      </c>
      <c r="CJ24">
        <v>3</v>
      </c>
      <c r="CK24">
        <v>0.89392446633825939</v>
      </c>
      <c r="CL24">
        <v>7.7175697865353041E-2</v>
      </c>
      <c r="CM24">
        <v>2.2988505747126436E-3</v>
      </c>
      <c r="CN24">
        <v>0.91935483870967738</v>
      </c>
      <c r="CO24">
        <v>4.0322580645161289E-2</v>
      </c>
      <c r="CP24">
        <v>1.2096774193548387E-2</v>
      </c>
    </row>
    <row r="25" spans="1:94" x14ac:dyDescent="0.15">
      <c r="A25" t="s">
        <v>463</v>
      </c>
      <c r="B25" t="s">
        <v>427</v>
      </c>
      <c r="C25" t="s">
        <v>464</v>
      </c>
      <c r="D25">
        <v>13113</v>
      </c>
      <c r="E25">
        <v>6496</v>
      </c>
      <c r="F25">
        <v>2444</v>
      </c>
      <c r="G25">
        <v>1685</v>
      </c>
      <c r="H25">
        <v>0.49538625791199575</v>
      </c>
      <c r="I25">
        <v>0.1863799283154122</v>
      </c>
      <c r="J25">
        <v>0.12849843666590408</v>
      </c>
      <c r="K25">
        <v>32797</v>
      </c>
      <c r="L25">
        <v>3416</v>
      </c>
      <c r="M25">
        <v>10556</v>
      </c>
      <c r="N25">
        <v>16560</v>
      </c>
      <c r="O25">
        <v>0.1041558679147483</v>
      </c>
      <c r="P25">
        <v>0.32185870658901727</v>
      </c>
      <c r="Q25">
        <v>0.50492423087477512</v>
      </c>
      <c r="R25">
        <v>32797</v>
      </c>
      <c r="S25">
        <v>3956</v>
      </c>
      <c r="T25">
        <v>1040</v>
      </c>
      <c r="U25">
        <v>988</v>
      </c>
      <c r="V25">
        <v>111</v>
      </c>
      <c r="W25">
        <v>6095</v>
      </c>
      <c r="X25">
        <v>15459</v>
      </c>
      <c r="Y25">
        <v>1831</v>
      </c>
      <c r="Z25">
        <v>473</v>
      </c>
      <c r="AA25">
        <v>517</v>
      </c>
      <c r="AB25">
        <v>51</v>
      </c>
      <c r="AC25">
        <v>2872</v>
      </c>
      <c r="AD25">
        <v>17338</v>
      </c>
      <c r="AE25">
        <v>2125</v>
      </c>
      <c r="AF25">
        <v>567</v>
      </c>
      <c r="AG25">
        <v>471</v>
      </c>
      <c r="AH25">
        <v>60</v>
      </c>
      <c r="AI25">
        <v>3223</v>
      </c>
      <c r="AJ25">
        <v>0.18584016830807695</v>
      </c>
      <c r="AK25">
        <v>0.17063166529942575</v>
      </c>
      <c r="AL25">
        <v>0.16210008203445447</v>
      </c>
      <c r="AM25">
        <v>1.8211648892534866E-2</v>
      </c>
      <c r="AN25">
        <v>0.47120590648072191</v>
      </c>
      <c r="AO25">
        <v>0.52879409351927809</v>
      </c>
      <c r="AP25">
        <v>15421</v>
      </c>
      <c r="AQ25">
        <v>1271</v>
      </c>
      <c r="AR25">
        <v>81</v>
      </c>
      <c r="AS25">
        <v>2</v>
      </c>
      <c r="AT25">
        <v>1124</v>
      </c>
      <c r="AU25">
        <v>2065</v>
      </c>
      <c r="AV25">
        <v>71</v>
      </c>
      <c r="AW25">
        <v>223</v>
      </c>
      <c r="AX25">
        <v>618</v>
      </c>
      <c r="AY25">
        <v>2321</v>
      </c>
      <c r="AZ25">
        <v>249</v>
      </c>
      <c r="BA25">
        <v>150</v>
      </c>
      <c r="BB25">
        <v>420</v>
      </c>
      <c r="BC25">
        <v>719</v>
      </c>
      <c r="BD25">
        <v>546</v>
      </c>
      <c r="BE25">
        <v>898</v>
      </c>
      <c r="BF25">
        <v>2331</v>
      </c>
      <c r="BG25">
        <v>138</v>
      </c>
      <c r="BH25">
        <v>877</v>
      </c>
      <c r="BI25">
        <v>742</v>
      </c>
      <c r="BJ25">
        <v>8.2420076519032492E-2</v>
      </c>
      <c r="BK25">
        <v>5.2525776538486476E-3</v>
      </c>
      <c r="BL25">
        <v>1.2969327540367031E-4</v>
      </c>
      <c r="BM25">
        <v>7.2887620776862713E-2</v>
      </c>
      <c r="BN25">
        <v>0.13390830685428962</v>
      </c>
      <c r="BO25">
        <v>4.6041112768302967E-3</v>
      </c>
      <c r="BP25">
        <v>1.446080020750924E-2</v>
      </c>
      <c r="BQ25">
        <v>4.0075222099734131E-2</v>
      </c>
      <c r="BR25">
        <v>0.15050904610595942</v>
      </c>
      <c r="BS25">
        <v>1.6146812787756953E-2</v>
      </c>
      <c r="BT25">
        <v>9.7269956552752737E-3</v>
      </c>
      <c r="BU25">
        <v>2.7235587834770768E-2</v>
      </c>
      <c r="BV25">
        <v>4.6624732507619483E-2</v>
      </c>
      <c r="BW25">
        <v>3.5406264185201999E-2</v>
      </c>
      <c r="BX25">
        <v>5.8232280656247977E-2</v>
      </c>
      <c r="BY25">
        <v>0.15115751248297776</v>
      </c>
      <c r="BZ25">
        <v>8.9488360028532523E-3</v>
      </c>
      <c r="CA25">
        <v>5.6870501264509432E-2</v>
      </c>
      <c r="CB25">
        <v>4.8116205174761686E-2</v>
      </c>
      <c r="CC25">
        <v>15421</v>
      </c>
      <c r="CD25">
        <v>12105</v>
      </c>
      <c r="CE25">
        <v>2748</v>
      </c>
      <c r="CF25">
        <v>57</v>
      </c>
      <c r="CG25">
        <v>1337</v>
      </c>
      <c r="CH25">
        <v>1131</v>
      </c>
      <c r="CI25">
        <v>136</v>
      </c>
      <c r="CJ25">
        <v>22</v>
      </c>
      <c r="CK25">
        <v>0.78496854938071459</v>
      </c>
      <c r="CL25">
        <v>0.17819856040464302</v>
      </c>
      <c r="CM25">
        <v>3.6962583490046043E-3</v>
      </c>
      <c r="CN25">
        <v>0.84592370979805531</v>
      </c>
      <c r="CO25">
        <v>0.10172026925953627</v>
      </c>
      <c r="CP25">
        <v>1.6454749439042633E-2</v>
      </c>
    </row>
    <row r="26" spans="1:94" x14ac:dyDescent="0.15">
      <c r="A26" t="s">
        <v>465</v>
      </c>
      <c r="B26" t="s">
        <v>427</v>
      </c>
      <c r="C26" t="s">
        <v>466</v>
      </c>
      <c r="D26">
        <v>4490</v>
      </c>
      <c r="E26">
        <v>2217</v>
      </c>
      <c r="F26">
        <v>792</v>
      </c>
      <c r="G26">
        <v>685</v>
      </c>
      <c r="H26">
        <v>0.49376391982182627</v>
      </c>
      <c r="I26">
        <v>0.17639198218262805</v>
      </c>
      <c r="J26">
        <v>0.15256124721603564</v>
      </c>
      <c r="K26">
        <v>10855</v>
      </c>
      <c r="L26">
        <v>1369</v>
      </c>
      <c r="M26">
        <v>3375</v>
      </c>
      <c r="N26">
        <v>4940</v>
      </c>
      <c r="O26">
        <v>0.12611699677567942</v>
      </c>
      <c r="P26">
        <v>0.31091662828189776</v>
      </c>
      <c r="Q26">
        <v>0.45508982035928142</v>
      </c>
      <c r="R26">
        <v>10855</v>
      </c>
      <c r="S26">
        <v>1491</v>
      </c>
      <c r="T26">
        <v>304</v>
      </c>
      <c r="U26">
        <v>241</v>
      </c>
      <c r="V26">
        <v>55</v>
      </c>
      <c r="W26">
        <v>2091</v>
      </c>
      <c r="X26">
        <v>5101</v>
      </c>
      <c r="Y26">
        <v>669</v>
      </c>
      <c r="Z26">
        <v>120</v>
      </c>
      <c r="AA26">
        <v>119</v>
      </c>
      <c r="AB26">
        <v>8</v>
      </c>
      <c r="AC26">
        <v>916</v>
      </c>
      <c r="AD26">
        <v>5754</v>
      </c>
      <c r="AE26">
        <v>822</v>
      </c>
      <c r="AF26">
        <v>184</v>
      </c>
      <c r="AG26">
        <v>122</v>
      </c>
      <c r="AH26">
        <v>47</v>
      </c>
      <c r="AI26">
        <v>1175</v>
      </c>
      <c r="AJ26">
        <v>0.19263012436665131</v>
      </c>
      <c r="AK26">
        <v>0.14538498326159732</v>
      </c>
      <c r="AL26">
        <v>0.11525585844093734</v>
      </c>
      <c r="AM26">
        <v>2.6303204208512673E-2</v>
      </c>
      <c r="AN26">
        <v>0.4380679100908656</v>
      </c>
      <c r="AO26">
        <v>0.56193208990913435</v>
      </c>
      <c r="AP26">
        <v>5110</v>
      </c>
      <c r="AQ26">
        <v>906</v>
      </c>
      <c r="AR26">
        <v>2</v>
      </c>
      <c r="AS26">
        <v>2</v>
      </c>
      <c r="AT26">
        <v>504</v>
      </c>
      <c r="AU26">
        <v>770</v>
      </c>
      <c r="AV26">
        <v>11</v>
      </c>
      <c r="AW26">
        <v>43</v>
      </c>
      <c r="AX26">
        <v>187</v>
      </c>
      <c r="AY26">
        <v>603</v>
      </c>
      <c r="AZ26">
        <v>49</v>
      </c>
      <c r="BA26">
        <v>36</v>
      </c>
      <c r="BB26">
        <v>54</v>
      </c>
      <c r="BC26">
        <v>172</v>
      </c>
      <c r="BD26">
        <v>138</v>
      </c>
      <c r="BE26">
        <v>164</v>
      </c>
      <c r="BF26">
        <v>728</v>
      </c>
      <c r="BG26">
        <v>40</v>
      </c>
      <c r="BH26">
        <v>291</v>
      </c>
      <c r="BI26">
        <v>124</v>
      </c>
      <c r="BJ26">
        <v>0.17729941291585127</v>
      </c>
      <c r="BK26">
        <v>3.9138943248532291E-4</v>
      </c>
      <c r="BL26">
        <v>3.9138943248532291E-4</v>
      </c>
      <c r="BM26">
        <v>9.8630136986301367E-2</v>
      </c>
      <c r="BN26">
        <v>0.15068493150684931</v>
      </c>
      <c r="BO26">
        <v>2.1526418786692761E-3</v>
      </c>
      <c r="BP26">
        <v>8.4148727984344421E-3</v>
      </c>
      <c r="BQ26">
        <v>3.659491193737769E-2</v>
      </c>
      <c r="BR26">
        <v>0.11800391389432485</v>
      </c>
      <c r="BS26">
        <v>9.5890410958904115E-3</v>
      </c>
      <c r="BT26">
        <v>7.0450097847358124E-3</v>
      </c>
      <c r="BU26">
        <v>1.0567514677103719E-2</v>
      </c>
      <c r="BV26">
        <v>3.3659491193737769E-2</v>
      </c>
      <c r="BW26">
        <v>2.700587084148728E-2</v>
      </c>
      <c r="BX26">
        <v>3.2093933463796478E-2</v>
      </c>
      <c r="BY26">
        <v>0.14246575342465753</v>
      </c>
      <c r="BZ26">
        <v>7.8277886497064575E-3</v>
      </c>
      <c r="CA26">
        <v>5.6947162426614482E-2</v>
      </c>
      <c r="CB26">
        <v>2.4266144814090021E-2</v>
      </c>
      <c r="CC26">
        <v>5110</v>
      </c>
      <c r="CD26">
        <v>4535</v>
      </c>
      <c r="CE26">
        <v>345</v>
      </c>
      <c r="CF26">
        <v>25</v>
      </c>
      <c r="CG26">
        <v>418</v>
      </c>
      <c r="CH26">
        <v>374</v>
      </c>
      <c r="CI26">
        <v>16</v>
      </c>
      <c r="CJ26">
        <v>1</v>
      </c>
      <c r="CK26">
        <v>0.88747553816046965</v>
      </c>
      <c r="CL26">
        <v>6.7514677103718196E-2</v>
      </c>
      <c r="CM26">
        <v>4.8923679060665359E-3</v>
      </c>
      <c r="CN26">
        <v>0.89473684210526316</v>
      </c>
      <c r="CO26">
        <v>3.8277511961722487E-2</v>
      </c>
      <c r="CP26">
        <v>2.3923444976076554E-3</v>
      </c>
    </row>
    <row r="27" spans="1:94" x14ac:dyDescent="0.15">
      <c r="A27" t="s">
        <v>467</v>
      </c>
      <c r="B27" t="s">
        <v>427</v>
      </c>
      <c r="C27" t="s">
        <v>468</v>
      </c>
      <c r="D27">
        <v>4377</v>
      </c>
      <c r="E27">
        <v>2476</v>
      </c>
      <c r="F27">
        <v>898</v>
      </c>
      <c r="G27">
        <v>727</v>
      </c>
      <c r="H27">
        <v>0.56568425862462879</v>
      </c>
      <c r="I27">
        <v>0.20516335389536211</v>
      </c>
      <c r="J27">
        <v>0.16609549920036554</v>
      </c>
      <c r="K27">
        <v>10806</v>
      </c>
      <c r="L27">
        <v>1308</v>
      </c>
      <c r="M27">
        <v>3289</v>
      </c>
      <c r="N27">
        <v>5337</v>
      </c>
      <c r="O27">
        <v>0.12104386451971128</v>
      </c>
      <c r="P27">
        <v>0.30436794373496207</v>
      </c>
      <c r="Q27">
        <v>0.49389228206551916</v>
      </c>
      <c r="R27">
        <v>10806</v>
      </c>
      <c r="S27">
        <v>1401</v>
      </c>
      <c r="T27">
        <v>314</v>
      </c>
      <c r="U27">
        <v>205</v>
      </c>
      <c r="V27">
        <v>33</v>
      </c>
      <c r="W27">
        <v>1953</v>
      </c>
      <c r="X27">
        <v>5117</v>
      </c>
      <c r="Y27">
        <v>625</v>
      </c>
      <c r="Z27">
        <v>140</v>
      </c>
      <c r="AA27">
        <v>122</v>
      </c>
      <c r="AB27">
        <v>29</v>
      </c>
      <c r="AC27">
        <v>916</v>
      </c>
      <c r="AD27">
        <v>5689</v>
      </c>
      <c r="AE27">
        <v>776</v>
      </c>
      <c r="AF27">
        <v>174</v>
      </c>
      <c r="AG27">
        <v>83</v>
      </c>
      <c r="AH27">
        <v>4</v>
      </c>
      <c r="AI27">
        <v>1037</v>
      </c>
      <c r="AJ27">
        <v>0.18073292615213771</v>
      </c>
      <c r="AK27">
        <v>0.16077828981054787</v>
      </c>
      <c r="AL27">
        <v>0.10496671786994367</v>
      </c>
      <c r="AM27">
        <v>1.6897081413210446E-2</v>
      </c>
      <c r="AN27">
        <v>0.4690220174091142</v>
      </c>
      <c r="AO27">
        <v>0.5309779825908858</v>
      </c>
      <c r="AP27">
        <v>5068</v>
      </c>
      <c r="AQ27">
        <v>773</v>
      </c>
      <c r="AR27">
        <v>2</v>
      </c>
      <c r="AS27">
        <v>1</v>
      </c>
      <c r="AT27">
        <v>552</v>
      </c>
      <c r="AU27">
        <v>576</v>
      </c>
      <c r="AV27">
        <v>20</v>
      </c>
      <c r="AW27">
        <v>47</v>
      </c>
      <c r="AX27">
        <v>175</v>
      </c>
      <c r="AY27">
        <v>658</v>
      </c>
      <c r="AZ27">
        <v>84</v>
      </c>
      <c r="BA27">
        <v>46</v>
      </c>
      <c r="BB27">
        <v>101</v>
      </c>
      <c r="BC27">
        <v>179</v>
      </c>
      <c r="BD27">
        <v>123</v>
      </c>
      <c r="BE27">
        <v>165</v>
      </c>
      <c r="BF27">
        <v>801</v>
      </c>
      <c r="BG27">
        <v>54</v>
      </c>
      <c r="BH27">
        <v>289</v>
      </c>
      <c r="BI27">
        <v>151</v>
      </c>
      <c r="BJ27">
        <v>0.15252565114443567</v>
      </c>
      <c r="BK27">
        <v>3.9463299131807419E-4</v>
      </c>
      <c r="BL27">
        <v>1.973164956590371E-4</v>
      </c>
      <c r="BM27">
        <v>0.10891870560378848</v>
      </c>
      <c r="BN27">
        <v>0.11365430149960537</v>
      </c>
      <c r="BO27">
        <v>3.9463299131807421E-3</v>
      </c>
      <c r="BP27">
        <v>9.2738752959747438E-3</v>
      </c>
      <c r="BQ27">
        <v>3.4530386740331494E-2</v>
      </c>
      <c r="BR27">
        <v>0.12983425414364641</v>
      </c>
      <c r="BS27">
        <v>1.6574585635359115E-2</v>
      </c>
      <c r="BT27">
        <v>9.0765588003157063E-3</v>
      </c>
      <c r="BU27">
        <v>1.9928966061562747E-2</v>
      </c>
      <c r="BV27">
        <v>3.5319652722967637E-2</v>
      </c>
      <c r="BW27">
        <v>2.4269928966061564E-2</v>
      </c>
      <c r="BX27">
        <v>3.2557221783741118E-2</v>
      </c>
      <c r="BY27">
        <v>0.15805051302288872</v>
      </c>
      <c r="BZ27">
        <v>1.0655090765588003E-2</v>
      </c>
      <c r="CA27">
        <v>5.7024467245461723E-2</v>
      </c>
      <c r="CB27">
        <v>2.9794790844514602E-2</v>
      </c>
      <c r="CC27">
        <v>5068</v>
      </c>
      <c r="CD27">
        <v>4288</v>
      </c>
      <c r="CE27">
        <v>571</v>
      </c>
      <c r="CF27">
        <v>16</v>
      </c>
      <c r="CG27">
        <v>323</v>
      </c>
      <c r="CH27">
        <v>280</v>
      </c>
      <c r="CI27">
        <v>25</v>
      </c>
      <c r="CJ27">
        <v>6</v>
      </c>
      <c r="CK27">
        <v>0.84609313338595105</v>
      </c>
      <c r="CL27">
        <v>0.11266771902131018</v>
      </c>
      <c r="CM27">
        <v>3.1570639305445935E-3</v>
      </c>
      <c r="CN27">
        <v>0.86687306501547989</v>
      </c>
      <c r="CO27">
        <v>7.7399380804953566E-2</v>
      </c>
      <c r="CP27">
        <v>1.8575851393188854E-2</v>
      </c>
    </row>
    <row r="28" spans="1:94" x14ac:dyDescent="0.15">
      <c r="A28" t="s">
        <v>469</v>
      </c>
      <c r="B28" t="s">
        <v>427</v>
      </c>
      <c r="C28" t="s">
        <v>470</v>
      </c>
      <c r="D28">
        <v>13291</v>
      </c>
      <c r="E28">
        <v>4113</v>
      </c>
      <c r="F28">
        <v>1587</v>
      </c>
      <c r="G28">
        <v>1065</v>
      </c>
      <c r="H28">
        <v>0.30945752765028967</v>
      </c>
      <c r="I28">
        <v>0.11940410804303664</v>
      </c>
      <c r="J28">
        <v>8.0129410879542548E-2</v>
      </c>
      <c r="K28">
        <v>29134</v>
      </c>
      <c r="L28">
        <v>2610</v>
      </c>
      <c r="M28">
        <v>10549</v>
      </c>
      <c r="N28">
        <v>12275</v>
      </c>
      <c r="O28">
        <v>8.9586050662456243E-2</v>
      </c>
      <c r="P28">
        <v>0.36208553580009611</v>
      </c>
      <c r="Q28">
        <v>0.42132903137227978</v>
      </c>
      <c r="R28">
        <v>29134</v>
      </c>
      <c r="S28">
        <v>3976</v>
      </c>
      <c r="T28">
        <v>972</v>
      </c>
      <c r="U28">
        <v>1480</v>
      </c>
      <c r="V28">
        <v>86</v>
      </c>
      <c r="W28">
        <v>6514</v>
      </c>
      <c r="X28">
        <v>14177</v>
      </c>
      <c r="Y28">
        <v>1858</v>
      </c>
      <c r="Z28">
        <v>451</v>
      </c>
      <c r="AA28">
        <v>794</v>
      </c>
      <c r="AB28">
        <v>45</v>
      </c>
      <c r="AC28">
        <v>3148</v>
      </c>
      <c r="AD28">
        <v>14957</v>
      </c>
      <c r="AE28">
        <v>2118</v>
      </c>
      <c r="AF28">
        <v>521</v>
      </c>
      <c r="AG28">
        <v>686</v>
      </c>
      <c r="AH28">
        <v>41</v>
      </c>
      <c r="AI28">
        <v>3366</v>
      </c>
      <c r="AJ28">
        <v>0.22358756092537929</v>
      </c>
      <c r="AK28">
        <v>0.14921707092416334</v>
      </c>
      <c r="AL28">
        <v>0.22720294749769726</v>
      </c>
      <c r="AM28">
        <v>1.3202333435677003E-2</v>
      </c>
      <c r="AN28">
        <v>0.48326680994780474</v>
      </c>
      <c r="AO28">
        <v>0.51673319005219531</v>
      </c>
      <c r="AP28">
        <v>13711</v>
      </c>
      <c r="AQ28">
        <v>1079</v>
      </c>
      <c r="AR28">
        <v>4</v>
      </c>
      <c r="AS28">
        <v>6</v>
      </c>
      <c r="AT28">
        <v>970</v>
      </c>
      <c r="AU28">
        <v>1434</v>
      </c>
      <c r="AV28">
        <v>42</v>
      </c>
      <c r="AW28">
        <v>211</v>
      </c>
      <c r="AX28">
        <v>521</v>
      </c>
      <c r="AY28">
        <v>1871</v>
      </c>
      <c r="AZ28">
        <v>240</v>
      </c>
      <c r="BA28">
        <v>184</v>
      </c>
      <c r="BB28">
        <v>368</v>
      </c>
      <c r="BC28">
        <v>695</v>
      </c>
      <c r="BD28">
        <v>426</v>
      </c>
      <c r="BE28">
        <v>1155</v>
      </c>
      <c r="BF28">
        <v>2638</v>
      </c>
      <c r="BG28">
        <v>99</v>
      </c>
      <c r="BH28">
        <v>844</v>
      </c>
      <c r="BI28">
        <v>450</v>
      </c>
      <c r="BJ28">
        <v>7.8695937568375757E-2</v>
      </c>
      <c r="BK28">
        <v>2.9173656188461817E-4</v>
      </c>
      <c r="BL28">
        <v>4.376048428269273E-4</v>
      </c>
      <c r="BM28">
        <v>7.0746116257019917E-2</v>
      </c>
      <c r="BN28">
        <v>0.10458755743563562</v>
      </c>
      <c r="BO28">
        <v>3.063233899788491E-3</v>
      </c>
      <c r="BP28">
        <v>1.538910363941361E-2</v>
      </c>
      <c r="BQ28">
        <v>3.7998687185471516E-2</v>
      </c>
      <c r="BR28">
        <v>0.13645977682153015</v>
      </c>
      <c r="BS28">
        <v>1.7504193713077092E-2</v>
      </c>
      <c r="BT28">
        <v>1.3419881846692436E-2</v>
      </c>
      <c r="BU28">
        <v>2.6839763693384873E-2</v>
      </c>
      <c r="BV28">
        <v>5.0689227627452413E-2</v>
      </c>
      <c r="BW28">
        <v>3.1069943840711836E-2</v>
      </c>
      <c r="BX28">
        <v>8.4238932244183509E-2</v>
      </c>
      <c r="BY28">
        <v>0.19240026256290568</v>
      </c>
      <c r="BZ28">
        <v>7.2204799066443006E-3</v>
      </c>
      <c r="CA28">
        <v>6.155641455765444E-2</v>
      </c>
      <c r="CB28">
        <v>3.2820363212019546E-2</v>
      </c>
      <c r="CC28">
        <v>13711</v>
      </c>
      <c r="CD28">
        <v>12611</v>
      </c>
      <c r="CE28">
        <v>692</v>
      </c>
      <c r="CF28">
        <v>55</v>
      </c>
      <c r="CG28">
        <v>1701</v>
      </c>
      <c r="CH28">
        <v>1616</v>
      </c>
      <c r="CI28">
        <v>26</v>
      </c>
      <c r="CJ28">
        <v>15</v>
      </c>
      <c r="CK28">
        <v>0.91977244548172998</v>
      </c>
      <c r="CL28">
        <v>5.0470425206038949E-2</v>
      </c>
      <c r="CM28">
        <v>4.0113777259135003E-3</v>
      </c>
      <c r="CN28">
        <v>0.95002939447383894</v>
      </c>
      <c r="CO28">
        <v>1.5285126396237508E-2</v>
      </c>
      <c r="CP28">
        <v>8.8183421516754845E-3</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5" t="str">
        <f>管理者入力シート!B4</f>
        <v>大淀地域自治区</v>
      </c>
      <c r="C2" s="255"/>
      <c r="D2" s="255"/>
      <c r="E2" s="254" t="s">
        <v>225</v>
      </c>
      <c r="F2" s="254"/>
      <c r="G2" s="254"/>
      <c r="H2" s="254"/>
      <c r="I2" s="254"/>
    </row>
    <row r="3" spans="1:10" ht="22.5" customHeight="1" x14ac:dyDescent="0.15">
      <c r="B3" s="255"/>
      <c r="C3" s="255"/>
      <c r="D3" s="255"/>
      <c r="E3" s="254"/>
      <c r="F3" s="254"/>
      <c r="G3" s="254"/>
      <c r="H3" s="254"/>
      <c r="I3" s="254"/>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8">
        <f>管理者用グラフシート!E6</f>
        <v>23674</v>
      </c>
      <c r="F6" s="258"/>
      <c r="G6" s="20" t="s">
        <v>54</v>
      </c>
    </row>
    <row r="7" spans="1:10" ht="22.5" customHeight="1" x14ac:dyDescent="0.15">
      <c r="A7" s="250">
        <f>管理者用グラフシート!B4</f>
        <v>2010</v>
      </c>
      <c r="B7" s="250"/>
      <c r="C7" s="82" t="s">
        <v>226</v>
      </c>
      <c r="D7" s="252">
        <f>E6-管理者用グラフシート!E4</f>
        <v>-195</v>
      </c>
      <c r="E7" s="252"/>
      <c r="F7" s="20" t="s">
        <v>356</v>
      </c>
    </row>
    <row r="8" spans="1:10" ht="22.5" customHeight="1" x14ac:dyDescent="0.15">
      <c r="A8" s="249" t="s">
        <v>380</v>
      </c>
      <c r="B8" s="249"/>
      <c r="C8" s="204">
        <f>管理者用グラフシート!C6-管理者用グラフシート!C4</f>
        <v>54</v>
      </c>
      <c r="D8" s="207" t="s">
        <v>381</v>
      </c>
      <c r="F8" s="204">
        <f>管理者用グラフシート!D6-管理者用グラフシート!D4</f>
        <v>-249</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1">
        <f>管理者用グラフシート!C12</f>
        <v>1281</v>
      </c>
      <c r="G36" s="251"/>
      <c r="H36" s="20" t="s">
        <v>54</v>
      </c>
    </row>
    <row r="37" spans="1:9" ht="22.5" customHeight="1" x14ac:dyDescent="0.15">
      <c r="A37" s="20" t="s">
        <v>66</v>
      </c>
      <c r="F37" s="251">
        <f>管理者用グラフシート!C16</f>
        <v>643</v>
      </c>
      <c r="G37" s="251"/>
      <c r="H37" s="20" t="s">
        <v>54</v>
      </c>
    </row>
    <row r="38" spans="1:9" ht="22.5" customHeight="1" x14ac:dyDescent="0.15">
      <c r="D38" s="253"/>
      <c r="E38" s="253"/>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52">
        <f>F36-管理者用グラフシート!C10</f>
        <v>-283</v>
      </c>
      <c r="E40" s="252"/>
      <c r="F40" s="20" t="s">
        <v>60</v>
      </c>
    </row>
    <row r="41" spans="1:9" ht="22.5" customHeight="1" x14ac:dyDescent="0.15">
      <c r="B41" s="20" t="s">
        <v>69</v>
      </c>
      <c r="D41" s="252">
        <f>F37-管理者用グラフシート!C14</f>
        <v>-214</v>
      </c>
      <c r="E41" s="252"/>
      <c r="F41" s="20" t="s">
        <v>70</v>
      </c>
    </row>
    <row r="53" spans="1:13" ht="22.5" customHeight="1" x14ac:dyDescent="0.15">
      <c r="M53" s="72"/>
    </row>
    <row r="62" spans="1:13" ht="22.5" customHeight="1" thickBot="1" x14ac:dyDescent="0.2"/>
    <row r="63" spans="1:13" ht="22.5" customHeight="1" x14ac:dyDescent="0.15">
      <c r="A63" s="244" t="s">
        <v>472</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1">
        <f>管理者用グラフシート!C22</f>
        <v>6221</v>
      </c>
      <c r="D70" s="251"/>
      <c r="E70" s="20" t="s">
        <v>76</v>
      </c>
      <c r="F70" s="37"/>
      <c r="G70" s="256">
        <f>管理者用グラフシート!C32</f>
        <v>0.26</v>
      </c>
      <c r="H70" s="256"/>
      <c r="I70" s="20" t="s">
        <v>77</v>
      </c>
    </row>
    <row r="71" spans="1:9" ht="22.5" customHeight="1" x14ac:dyDescent="0.15">
      <c r="A71" s="20" t="s">
        <v>78</v>
      </c>
      <c r="C71" s="251">
        <f>管理者用グラフシート!C26</f>
        <v>3087</v>
      </c>
      <c r="D71" s="251"/>
      <c r="E71" s="20" t="s">
        <v>76</v>
      </c>
      <c r="F71" s="37"/>
      <c r="G71" s="256">
        <f>管理者用グラフシート!C36</f>
        <v>0.13</v>
      </c>
      <c r="H71" s="256"/>
      <c r="I71" s="20" t="s">
        <v>77</v>
      </c>
    </row>
    <row r="72" spans="1:9" ht="22.5" customHeight="1" x14ac:dyDescent="0.15">
      <c r="D72" s="253"/>
      <c r="E72" s="253"/>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1"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5ポイント上昇</v>
      </c>
      <c r="F74" s="251"/>
      <c r="G74" s="251"/>
      <c r="H74" s="20" t="s">
        <v>82</v>
      </c>
    </row>
    <row r="75" spans="1:9" ht="22.5" customHeight="1" x14ac:dyDescent="0.15">
      <c r="B75" s="20" t="s">
        <v>83</v>
      </c>
      <c r="D75" s="37"/>
      <c r="E75" s="257"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2ポイント上昇</v>
      </c>
      <c r="F75" s="257"/>
      <c r="G75" s="257"/>
      <c r="H75" s="20" t="s">
        <v>77</v>
      </c>
    </row>
    <row r="95" spans="1:9" ht="22.5" customHeight="1" thickBot="1" x14ac:dyDescent="0.2"/>
    <row r="96" spans="1:9" ht="22.5" customHeight="1" x14ac:dyDescent="0.15">
      <c r="A96" s="97" t="s">
        <v>473</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6">
        <f>SUM(管理者用グラフシート!B93:C94)-SUM(管理者用グラフシート!B45:C46)</f>
        <v>-284</v>
      </c>
      <c r="G135" s="208" t="s">
        <v>386</v>
      </c>
      <c r="H135" s="111"/>
    </row>
    <row r="136" spans="1:8" ht="22.5" customHeight="1" x14ac:dyDescent="0.15">
      <c r="A136" s="35" t="s">
        <v>387</v>
      </c>
      <c r="C136" s="206">
        <f>SUM(管理者用グラフシート!B95:C96)-SUM(管理者用グラフシート!B47:C48)</f>
        <v>-606</v>
      </c>
      <c r="D136" s="20" t="s">
        <v>388</v>
      </c>
      <c r="E136" s="34"/>
      <c r="F136" s="206">
        <f>SUM(管理者用グラフシート!B97:C98)-SUM(管理者用グラフシート!B49:C50)</f>
        <v>-102</v>
      </c>
      <c r="G136" s="20" t="s">
        <v>386</v>
      </c>
    </row>
    <row r="137" spans="1:8" ht="18.75" x14ac:dyDescent="0.15">
      <c r="A137" s="20" t="s">
        <v>389</v>
      </c>
      <c r="C137" s="206">
        <f>SUM(管理者用グラフシート!B99:C100)-SUM(管理者用グラフシート!B51:C52)</f>
        <v>233</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5" t="str">
        <f>管理者入力シート!B4</f>
        <v>大淀地域自治区</v>
      </c>
      <c r="B2" s="255"/>
      <c r="C2" s="255"/>
      <c r="D2" s="254" t="s">
        <v>230</v>
      </c>
      <c r="E2" s="254"/>
      <c r="F2" s="254"/>
      <c r="G2" s="254"/>
      <c r="H2" s="254"/>
      <c r="I2" s="254"/>
    </row>
    <row r="3" spans="1:9" ht="27.75" customHeight="1" x14ac:dyDescent="0.15">
      <c r="A3" s="255"/>
      <c r="B3" s="255"/>
      <c r="C3" s="255"/>
      <c r="D3" s="254"/>
      <c r="E3" s="254"/>
      <c r="F3" s="254"/>
      <c r="G3" s="254"/>
      <c r="H3" s="254"/>
      <c r="I3" s="254"/>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1">
        <f>管理者用グラフシート!K8</f>
        <v>22673</v>
      </c>
      <c r="E6" s="251"/>
      <c r="F6" s="20" t="s">
        <v>231</v>
      </c>
      <c r="H6" s="34"/>
      <c r="I6" s="34"/>
    </row>
    <row r="7" spans="1:9" ht="22.5" customHeight="1" x14ac:dyDescent="0.15">
      <c r="A7" s="250">
        <f>管理者入力シート!B5</f>
        <v>2020</v>
      </c>
      <c r="B7" s="250"/>
      <c r="C7" s="195" t="s">
        <v>362</v>
      </c>
      <c r="D7" s="252">
        <f>D6-現況シート!E6</f>
        <v>-1001</v>
      </c>
      <c r="E7" s="252"/>
      <c r="F7" s="20" t="s">
        <v>232</v>
      </c>
      <c r="I7" s="34"/>
    </row>
    <row r="8" spans="1:9" ht="22.5" customHeight="1" x14ac:dyDescent="0.15">
      <c r="A8" s="249" t="s">
        <v>397</v>
      </c>
      <c r="B8" s="249"/>
      <c r="C8" s="206">
        <f>管理者用グラフシート!I8-管理者用グラフシート!C6</f>
        <v>-355</v>
      </c>
      <c r="D8" s="207" t="s">
        <v>398</v>
      </c>
      <c r="F8" s="262">
        <f>管理者用グラフシート!J8-管理者用グラフシート!D6</f>
        <v>-646</v>
      </c>
      <c r="G8" s="262"/>
      <c r="H8" s="20" t="s">
        <v>399</v>
      </c>
    </row>
    <row r="10" spans="1:9" ht="22.5" customHeight="1" x14ac:dyDescent="0.15">
      <c r="A10" s="250">
        <f>管理者入力シート!B11</f>
        <v>2040</v>
      </c>
      <c r="B10" s="250"/>
      <c r="C10" s="20" t="s">
        <v>361</v>
      </c>
      <c r="D10" s="251">
        <f>管理者用グラフシート!K10</f>
        <v>20878</v>
      </c>
      <c r="E10" s="251"/>
      <c r="F10" s="20" t="s">
        <v>231</v>
      </c>
      <c r="H10" s="34"/>
    </row>
    <row r="11" spans="1:9" ht="22.5" customHeight="1" x14ac:dyDescent="0.15">
      <c r="A11" s="250">
        <f>管理者入力シート!B5</f>
        <v>2020</v>
      </c>
      <c r="B11" s="250"/>
      <c r="C11" s="195" t="s">
        <v>362</v>
      </c>
      <c r="D11" s="252">
        <f>D10-現況シート!E6</f>
        <v>-2796</v>
      </c>
      <c r="E11" s="252"/>
      <c r="F11" s="20" t="s">
        <v>232</v>
      </c>
      <c r="H11" s="34"/>
    </row>
    <row r="12" spans="1:9" ht="22.5" customHeight="1" x14ac:dyDescent="0.15">
      <c r="A12" s="249" t="s">
        <v>397</v>
      </c>
      <c r="B12" s="249"/>
      <c r="C12" s="206">
        <f>管理者用グラフシート!I10-管理者用グラフシート!C6</f>
        <v>-1131</v>
      </c>
      <c r="D12" s="207" t="s">
        <v>398</v>
      </c>
      <c r="F12" s="262">
        <f>管理者用グラフシート!J10-管理者用グラフシート!D6</f>
        <v>-1665</v>
      </c>
      <c r="G12" s="262"/>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59" t="s">
        <v>363</v>
      </c>
      <c r="D35" s="259"/>
      <c r="F35" s="36"/>
      <c r="G35" s="36"/>
      <c r="H35" s="258"/>
      <c r="I35" s="253"/>
    </row>
    <row r="36" spans="1:9" ht="22.5" customHeight="1" x14ac:dyDescent="0.15">
      <c r="A36" s="20" t="s">
        <v>237</v>
      </c>
      <c r="F36" s="251">
        <f>管理者用グラフシート!I20</f>
        <v>929</v>
      </c>
      <c r="G36" s="251"/>
      <c r="H36" s="82" t="s">
        <v>233</v>
      </c>
      <c r="I36" s="34"/>
    </row>
    <row r="37" spans="1:9" ht="22.5" customHeight="1" x14ac:dyDescent="0.15">
      <c r="A37" s="20" t="s">
        <v>234</v>
      </c>
      <c r="F37" s="251">
        <f>管理者用グラフシート!I28</f>
        <v>504</v>
      </c>
      <c r="G37" s="251"/>
      <c r="H37" s="109" t="s">
        <v>235</v>
      </c>
      <c r="I37" s="86"/>
    </row>
    <row r="38" spans="1:9" ht="22.5" customHeight="1" x14ac:dyDescent="0.15">
      <c r="D38" s="253"/>
      <c r="E38" s="253"/>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2">
        <f>F36-現況シート!F36</f>
        <v>-352</v>
      </c>
      <c r="G40" s="252"/>
      <c r="H40" s="35" t="s">
        <v>60</v>
      </c>
    </row>
    <row r="41" spans="1:9" ht="22.5" customHeight="1" x14ac:dyDescent="0.15">
      <c r="A41" s="20" t="s">
        <v>69</v>
      </c>
      <c r="C41" s="199">
        <f>管理者入力シート!B5</f>
        <v>2020</v>
      </c>
      <c r="D41" s="20" t="s">
        <v>374</v>
      </c>
      <c r="F41" s="252">
        <f>F37-現況シート!F37</f>
        <v>-139</v>
      </c>
      <c r="G41" s="252"/>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59" t="s">
        <v>363</v>
      </c>
      <c r="D69" s="259"/>
      <c r="F69" s="34"/>
      <c r="G69" s="37"/>
      <c r="H69" s="67"/>
      <c r="I69" s="71"/>
    </row>
    <row r="70" spans="1:9" ht="22.5" customHeight="1" x14ac:dyDescent="0.15">
      <c r="A70" s="20" t="s">
        <v>238</v>
      </c>
      <c r="C70" s="251">
        <f>管理者用グラフシート!I38</f>
        <v>7801</v>
      </c>
      <c r="D70" s="251"/>
      <c r="E70" s="82" t="s">
        <v>239</v>
      </c>
      <c r="F70" s="34"/>
      <c r="G70" s="256">
        <f>管理者用グラフシート!I56</f>
        <v>0.37</v>
      </c>
      <c r="H70" s="256"/>
      <c r="I70" s="110" t="s">
        <v>240</v>
      </c>
    </row>
    <row r="71" spans="1:9" ht="22.5" customHeight="1" x14ac:dyDescent="0.15">
      <c r="A71" s="20" t="s">
        <v>241</v>
      </c>
      <c r="C71" s="251">
        <f>管理者用グラフシート!I46</f>
        <v>4335</v>
      </c>
      <c r="D71" s="251"/>
      <c r="E71" s="20" t="s">
        <v>239</v>
      </c>
      <c r="G71" s="260">
        <f>管理者用グラフシート!I64</f>
        <v>0.21</v>
      </c>
      <c r="H71" s="253"/>
      <c r="I71" s="20" t="s">
        <v>242</v>
      </c>
    </row>
    <row r="72" spans="1:9" ht="27.75" customHeight="1" x14ac:dyDescent="0.15">
      <c r="C72" s="81"/>
      <c r="D72" s="81"/>
      <c r="G72" s="261" t="s">
        <v>236</v>
      </c>
      <c r="H72" s="261"/>
      <c r="I72" s="261"/>
    </row>
    <row r="73" spans="1:9" ht="22.5" customHeight="1" x14ac:dyDescent="0.15">
      <c r="A73" s="250">
        <f>管理者入力シート!B5</f>
        <v>2020</v>
      </c>
      <c r="B73" s="250"/>
      <c r="C73" s="20" t="s">
        <v>228</v>
      </c>
      <c r="D73" s="34"/>
      <c r="E73" s="34"/>
      <c r="F73" s="35"/>
    </row>
    <row r="74" spans="1:9" ht="22.5" customHeight="1" x14ac:dyDescent="0.15">
      <c r="B74" s="20" t="s">
        <v>81</v>
      </c>
      <c r="D74" s="37"/>
      <c r="E74" s="251"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11ポイント上昇</v>
      </c>
      <c r="F74" s="251"/>
      <c r="G74" s="251"/>
      <c r="H74" s="20" t="s">
        <v>82</v>
      </c>
    </row>
    <row r="75" spans="1:9" ht="22.5" customHeight="1" x14ac:dyDescent="0.15">
      <c r="B75" s="20" t="s">
        <v>83</v>
      </c>
      <c r="D75" s="37"/>
      <c r="E75" s="257"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8ポイント上昇</v>
      </c>
      <c r="F75" s="257"/>
      <c r="G75" s="257"/>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6">
        <f>SUM(管理者用グラフシート!H97:I98)-SUM(管理者用グラフシート!B93:C94)</f>
        <v>-479</v>
      </c>
      <c r="H103" s="208" t="s">
        <v>60</v>
      </c>
    </row>
    <row r="104" spans="1:8" ht="22.5" customHeight="1" x14ac:dyDescent="0.15">
      <c r="A104" s="35" t="s">
        <v>387</v>
      </c>
      <c r="C104" s="206">
        <f>SUM(管理者用グラフシート!H99:I100)-SUM(管理者用グラフシート!B95:C96)</f>
        <v>-378</v>
      </c>
      <c r="D104" s="20" t="s">
        <v>423</v>
      </c>
      <c r="E104" s="34"/>
      <c r="G104" s="206">
        <f>SUM(管理者用グラフシート!H101:I102)-SUM(管理者用グラフシート!B97:C98)</f>
        <v>-606</v>
      </c>
      <c r="H104" s="20" t="s">
        <v>60</v>
      </c>
    </row>
    <row r="105" spans="1:8" ht="22.5" customHeight="1" x14ac:dyDescent="0.15">
      <c r="A105" s="20" t="s">
        <v>389</v>
      </c>
      <c r="C105" s="206">
        <f>SUM(管理者用グラフシート!H103:I104)-SUM(管理者用グラフシート!B99:C100)</f>
        <v>-101</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6">
        <f>SUM(管理者用グラフシート!H145:I146)-SUM(管理者用グラフシート!B93:C94)</f>
        <v>-516</v>
      </c>
      <c r="H137" s="208" t="s">
        <v>60</v>
      </c>
    </row>
    <row r="138" spans="1:8" ht="22.5" customHeight="1" x14ac:dyDescent="0.15">
      <c r="A138" s="35" t="s">
        <v>387</v>
      </c>
      <c r="C138" s="206">
        <f>SUM(管理者用グラフシート!H147:I148)-SUM(管理者用グラフシート!B95:C96)</f>
        <v>-915</v>
      </c>
      <c r="D138" s="20" t="s">
        <v>423</v>
      </c>
      <c r="E138" s="34"/>
      <c r="G138" s="243">
        <f>SUM(管理者用グラフシート!H149:I150)-SUM(管理者用グラフシート!B97:C98)</f>
        <v>-1009</v>
      </c>
      <c r="H138" s="20" t="s">
        <v>60</v>
      </c>
    </row>
    <row r="139" spans="1:8" ht="22.5" customHeight="1" x14ac:dyDescent="0.15">
      <c r="A139" s="20" t="s">
        <v>389</v>
      </c>
      <c r="C139" s="206">
        <f>SUM(管理者用グラフシート!H151:I152)-SUM(管理者用グラフシート!B99:C100)</f>
        <v>-709</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4" t="str">
        <f>管理者入力シート!B4</f>
        <v>大淀地域自治区</v>
      </c>
      <c r="B2" s="274"/>
      <c r="C2" s="274"/>
      <c r="D2" s="254" t="s">
        <v>249</v>
      </c>
      <c r="E2" s="254"/>
      <c r="F2" s="254"/>
      <c r="G2" s="254"/>
      <c r="H2" s="254"/>
      <c r="I2" s="254"/>
    </row>
    <row r="3" spans="1:9" ht="31.5" customHeight="1" x14ac:dyDescent="0.15">
      <c r="A3" s="274"/>
      <c r="B3" s="274"/>
      <c r="C3" s="274"/>
      <c r="D3" s="254"/>
      <c r="E3" s="254"/>
      <c r="F3" s="254"/>
      <c r="G3" s="254"/>
      <c r="H3" s="254"/>
      <c r="I3" s="254"/>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8" t="s">
        <v>254</v>
      </c>
      <c r="B15" s="278"/>
      <c r="C15" s="278"/>
      <c r="D15" s="279" t="s">
        <v>258</v>
      </c>
      <c r="E15" s="280"/>
      <c r="F15" s="275" t="s">
        <v>257</v>
      </c>
      <c r="G15" s="276"/>
      <c r="H15" s="277"/>
    </row>
    <row r="16" spans="1:9" ht="17.25" customHeight="1" x14ac:dyDescent="0.15">
      <c r="A16" s="124" t="s">
        <v>254</v>
      </c>
      <c r="B16" s="124" t="s">
        <v>21</v>
      </c>
      <c r="C16" s="124" t="s">
        <v>22</v>
      </c>
      <c r="D16" s="279"/>
      <c r="E16" s="280"/>
      <c r="F16" s="126"/>
      <c r="G16" s="127" t="s">
        <v>21</v>
      </c>
      <c r="H16" s="128" t="s">
        <v>22</v>
      </c>
    </row>
    <row r="17" spans="1:9" ht="18.75" customHeight="1" x14ac:dyDescent="0.15">
      <c r="A17" s="125" t="s">
        <v>0</v>
      </c>
      <c r="B17" s="116">
        <v>1</v>
      </c>
      <c r="C17" s="116">
        <v>1</v>
      </c>
      <c r="D17" s="279"/>
      <c r="E17" s="280"/>
      <c r="F17" s="119" t="s">
        <v>0</v>
      </c>
      <c r="G17" s="116">
        <v>1</v>
      </c>
      <c r="H17" s="118">
        <v>1</v>
      </c>
    </row>
    <row r="18" spans="1:9" ht="18.75" customHeight="1" x14ac:dyDescent="0.15">
      <c r="A18" s="125" t="s">
        <v>1</v>
      </c>
      <c r="B18" s="116"/>
      <c r="C18" s="116"/>
      <c r="D18" s="279"/>
      <c r="E18" s="280"/>
      <c r="F18" s="119" t="s">
        <v>1</v>
      </c>
      <c r="G18" s="116"/>
      <c r="H18" s="118"/>
    </row>
    <row r="19" spans="1:9" ht="18.75" customHeight="1" x14ac:dyDescent="0.15">
      <c r="A19" s="125" t="s">
        <v>2</v>
      </c>
      <c r="B19" s="73">
        <v>1</v>
      </c>
      <c r="C19" s="73">
        <v>1</v>
      </c>
      <c r="D19" s="279"/>
      <c r="E19" s="280"/>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4">
        <f>管理者入力シート!B5</f>
        <v>2020</v>
      </c>
      <c r="C31" s="264"/>
      <c r="D31" s="83" t="s">
        <v>412</v>
      </c>
      <c r="E31" s="131"/>
      <c r="F31" s="131"/>
      <c r="G31" s="131"/>
      <c r="H31" s="131"/>
      <c r="I31" s="237"/>
    </row>
    <row r="32" spans="1:9" s="131" customFormat="1" ht="17.25" customHeight="1" x14ac:dyDescent="0.15">
      <c r="A32" s="159" t="s">
        <v>409</v>
      </c>
      <c r="B32" s="263">
        <f>管理者入力シート!B5</f>
        <v>2020</v>
      </c>
      <c r="C32" s="263"/>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1" t="s">
        <v>257</v>
      </c>
      <c r="C35" s="272"/>
      <c r="D35" s="273"/>
      <c r="F35" s="162"/>
      <c r="G35" s="240"/>
      <c r="H35" s="265" t="s">
        <v>410</v>
      </c>
      <c r="I35" s="266"/>
    </row>
    <row r="36" spans="1:9" s="132" customFormat="1" ht="17.25" customHeight="1" x14ac:dyDescent="0.15">
      <c r="A36" s="160"/>
      <c r="B36" s="215"/>
      <c r="C36" s="127" t="s">
        <v>21</v>
      </c>
      <c r="D36" s="216" t="s">
        <v>22</v>
      </c>
      <c r="F36" s="162"/>
      <c r="G36" s="238">
        <f>管理者入力シート!B8</f>
        <v>2025</v>
      </c>
      <c r="H36" s="267">
        <f>管理者用人口入力シート!EU22</f>
        <v>23983</v>
      </c>
      <c r="I36" s="268"/>
    </row>
    <row r="37" spans="1:9" s="130" customFormat="1" ht="17.25" customHeight="1" x14ac:dyDescent="0.15">
      <c r="A37" s="165"/>
      <c r="B37" s="226" t="s">
        <v>5</v>
      </c>
      <c r="C37" s="227">
        <f>管理者用人口入力シート!DX1</f>
        <v>117</v>
      </c>
      <c r="D37" s="228">
        <f>C37</f>
        <v>117</v>
      </c>
      <c r="F37" s="162"/>
      <c r="G37" s="238">
        <f>管理者入力シート!B9</f>
        <v>2030</v>
      </c>
      <c r="H37" s="267">
        <f>管理者用人口入力シート!EU25</f>
        <v>24364</v>
      </c>
      <c r="I37" s="268"/>
    </row>
    <row r="38" spans="1:9" s="132" customFormat="1" ht="17.25" customHeight="1" x14ac:dyDescent="0.15">
      <c r="A38" s="160"/>
      <c r="B38" s="226" t="s">
        <v>6</v>
      </c>
      <c r="C38" s="227">
        <f>C37</f>
        <v>117</v>
      </c>
      <c r="D38" s="228">
        <f>C37</f>
        <v>117</v>
      </c>
      <c r="F38" s="162"/>
      <c r="G38" s="238">
        <f>管理者入力シート!B10</f>
        <v>2035</v>
      </c>
      <c r="H38" s="267">
        <f>管理者用人口入力シート!EU28</f>
        <v>24620</v>
      </c>
      <c r="I38" s="268"/>
    </row>
    <row r="39" spans="1:9" ht="17.25" customHeight="1" thickBot="1" x14ac:dyDescent="0.2">
      <c r="A39" s="166"/>
      <c r="B39" s="229" t="s">
        <v>7</v>
      </c>
      <c r="C39" s="230">
        <f>C37</f>
        <v>117</v>
      </c>
      <c r="D39" s="231">
        <f>C37</f>
        <v>117</v>
      </c>
      <c r="F39" s="162"/>
      <c r="G39" s="239">
        <f>管理者入力シート!B11</f>
        <v>2040</v>
      </c>
      <c r="H39" s="269">
        <f>管理者用人口入力シート!EU31</f>
        <v>24740</v>
      </c>
      <c r="I39" s="270"/>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50">
        <f>管理者入力シート!B9</f>
        <v>2030</v>
      </c>
      <c r="B43" s="250"/>
      <c r="C43" s="20" t="s">
        <v>417</v>
      </c>
      <c r="D43" s="251">
        <f>管理者用グラフシート!U8</f>
        <v>22694</v>
      </c>
      <c r="E43" s="251"/>
      <c r="F43" s="20" t="s">
        <v>231</v>
      </c>
      <c r="H43" s="34"/>
      <c r="I43" s="34"/>
    </row>
    <row r="44" spans="1:9" ht="22.5" customHeight="1" x14ac:dyDescent="0.15">
      <c r="A44" s="250">
        <f>管理者入力シート!B11</f>
        <v>2040</v>
      </c>
      <c r="B44" s="250"/>
      <c r="C44" s="20" t="s">
        <v>417</v>
      </c>
      <c r="D44" s="251">
        <f>管理者用グラフシート!U10</f>
        <v>20924</v>
      </c>
      <c r="E44" s="251"/>
      <c r="F44" s="20" t="s">
        <v>231</v>
      </c>
      <c r="H44" s="34"/>
      <c r="I44" s="34"/>
    </row>
    <row r="45" spans="1:9" ht="22.5" customHeight="1" x14ac:dyDescent="0.15">
      <c r="A45" s="20" t="s">
        <v>121</v>
      </c>
    </row>
    <row r="46" spans="1:9" ht="22.5" customHeight="1" x14ac:dyDescent="0.15">
      <c r="A46" s="250">
        <f>管理者入力シート!B9</f>
        <v>2030</v>
      </c>
      <c r="B46" s="250"/>
      <c r="C46" s="20" t="s">
        <v>418</v>
      </c>
      <c r="D46" s="258">
        <f>D43-将来予測シート①!D6</f>
        <v>21</v>
      </c>
      <c r="E46" s="258"/>
      <c r="F46" s="20" t="s">
        <v>122</v>
      </c>
    </row>
    <row r="47" spans="1:9" ht="22.5" customHeight="1" x14ac:dyDescent="0.15">
      <c r="A47" s="250">
        <f>管理者入力シート!B11</f>
        <v>2040</v>
      </c>
      <c r="B47" s="250"/>
      <c r="C47" s="20" t="s">
        <v>418</v>
      </c>
      <c r="D47" s="258">
        <f>D44-将来予測シート①!D10</f>
        <v>46</v>
      </c>
      <c r="E47" s="258"/>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1">
        <f>管理者用グラフシート!Q20</f>
        <v>936</v>
      </c>
      <c r="G78" s="251"/>
      <c r="H78" s="82" t="s">
        <v>264</v>
      </c>
      <c r="I78" s="34"/>
    </row>
    <row r="79" spans="1:9" ht="22.5" customHeight="1" x14ac:dyDescent="0.15">
      <c r="A79" s="20" t="s">
        <v>234</v>
      </c>
      <c r="F79" s="251">
        <f>管理者用グラフシート!Q28</f>
        <v>507</v>
      </c>
      <c r="G79" s="251"/>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2">
        <f>F78-将来予測シート①!F36</f>
        <v>7</v>
      </c>
      <c r="D82" s="252"/>
      <c r="E82" s="20" t="s">
        <v>60</v>
      </c>
    </row>
    <row r="83" spans="1:13" ht="22.5" customHeight="1" x14ac:dyDescent="0.15">
      <c r="A83" s="20" t="s">
        <v>69</v>
      </c>
      <c r="C83" s="252">
        <f>F79-将来予測シート①!F37</f>
        <v>3</v>
      </c>
      <c r="D83" s="252"/>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1">
        <f>管理者用グラフシート!Q38</f>
        <v>7801</v>
      </c>
      <c r="D112" s="251"/>
      <c r="E112" s="20" t="s">
        <v>270</v>
      </c>
      <c r="F112" s="36"/>
      <c r="G112" s="111">
        <f>管理者用グラフシート!Q56</f>
        <v>0.37</v>
      </c>
      <c r="H112" s="82" t="s">
        <v>271</v>
      </c>
      <c r="I112" s="34"/>
    </row>
    <row r="113" spans="1:9" ht="22.5" customHeight="1" x14ac:dyDescent="0.15">
      <c r="A113" s="20" t="s">
        <v>268</v>
      </c>
      <c r="C113" s="251">
        <f>管理者用グラフシート!Q46</f>
        <v>4335</v>
      </c>
      <c r="D113" s="251"/>
      <c r="E113" s="82" t="s">
        <v>270</v>
      </c>
      <c r="F113" s="34"/>
      <c r="G113" s="111">
        <f>管理者用グラフシート!Q64</f>
        <v>0.21</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1"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1"/>
      <c r="G116" s="251"/>
      <c r="H116" s="20" t="s">
        <v>82</v>
      </c>
    </row>
    <row r="117" spans="1:9" ht="22.5" customHeight="1" x14ac:dyDescent="0.15">
      <c r="B117" s="20" t="s">
        <v>83</v>
      </c>
      <c r="D117" s="37"/>
      <c r="E117" s="257"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7"/>
      <c r="G117" s="257"/>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1"/>
      <c r="F178" s="261"/>
      <c r="G178" s="261"/>
      <c r="H178" s="261"/>
      <c r="I178" s="261"/>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474</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5" t="str">
        <f>管理者入力シート!B4</f>
        <v>大淀地域自治区</v>
      </c>
      <c r="B1" s="255"/>
      <c r="C1" s="255"/>
      <c r="D1" s="254" t="s">
        <v>278</v>
      </c>
      <c r="E1" s="254"/>
      <c r="F1" s="254"/>
      <c r="G1" s="254"/>
      <c r="H1" s="254"/>
    </row>
    <row r="2" spans="1:8" ht="22.5" customHeight="1" x14ac:dyDescent="0.15">
      <c r="A2" s="255"/>
      <c r="B2" s="255"/>
      <c r="C2" s="255"/>
      <c r="D2" s="254"/>
      <c r="E2" s="254"/>
      <c r="F2" s="254"/>
      <c r="G2" s="254"/>
      <c r="H2" s="254"/>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0.35194390200603587</v>
      </c>
      <c r="G7" s="281"/>
      <c r="H7" s="20" t="s">
        <v>282</v>
      </c>
    </row>
    <row r="8" spans="1:8" ht="22.5" customHeight="1" x14ac:dyDescent="0.15">
      <c r="A8" s="34" t="str">
        <f>管理者入力シート!B3</f>
        <v>宮崎市</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低くなっています。</v>
      </c>
    </row>
    <row r="10" spans="1:8" ht="22.5" customHeight="1" x14ac:dyDescent="0.15">
      <c r="A10" s="20" t="s">
        <v>415</v>
      </c>
    </row>
    <row r="11" spans="1:8" ht="22.5" customHeight="1" x14ac:dyDescent="0.15">
      <c r="A11" s="253" t="str">
        <f>地域特徴シート!A1</f>
        <v>大淀地域自治区</v>
      </c>
      <c r="B11" s="253"/>
      <c r="C11" s="258">
        <f>管理者用地域特徴シート!D5</f>
        <v>11266</v>
      </c>
      <c r="D11" s="253"/>
      <c r="E11" s="20" t="s">
        <v>413</v>
      </c>
    </row>
    <row r="12" spans="1:8" ht="22.5" customHeight="1" x14ac:dyDescent="0.15">
      <c r="A12" s="253" t="str">
        <f>A8</f>
        <v>宮崎市</v>
      </c>
      <c r="B12" s="253"/>
      <c r="C12" s="258">
        <f>管理者用地域特徴シート!D4</f>
        <v>183782</v>
      </c>
      <c r="D12" s="253"/>
      <c r="E12" s="20" t="s">
        <v>413</v>
      </c>
    </row>
    <row r="13" spans="1:8" ht="22.5" customHeight="1" x14ac:dyDescent="0.15">
      <c r="A13" s="253" t="s">
        <v>414</v>
      </c>
      <c r="B13" s="253"/>
      <c r="C13" s="258">
        <f>管理者用地域特徴シート!D3</f>
        <v>468575.00000000006</v>
      </c>
      <c r="D13" s="253"/>
      <c r="E13" s="20" t="s">
        <v>416</v>
      </c>
    </row>
    <row r="23" spans="1:8" ht="22.5" customHeight="1" x14ac:dyDescent="0.15">
      <c r="A23" s="20" t="s">
        <v>285</v>
      </c>
      <c r="G23" s="241">
        <f>管理者用地域特徴シート!J5</f>
        <v>0.13474170069234867</v>
      </c>
      <c r="H23" s="35" t="s">
        <v>286</v>
      </c>
    </row>
    <row r="24" spans="1:8" ht="22.5" customHeight="1" x14ac:dyDescent="0.15">
      <c r="A24" s="34" t="str">
        <f>管理者入力シート!B3</f>
        <v>宮崎市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0.37181111674269302</v>
      </c>
      <c r="G37" s="281"/>
      <c r="H37" s="20" t="s">
        <v>286</v>
      </c>
    </row>
    <row r="38" spans="1:8" ht="22.5" customHeight="1" x14ac:dyDescent="0.15">
      <c r="A38" s="34" t="str">
        <f>管理者入力シート!B3</f>
        <v>宮崎市</v>
      </c>
      <c r="B38" s="20" t="s">
        <v>293</v>
      </c>
      <c r="D38" s="152" t="str">
        <f>IF(管理者用地域特徴シート!P5-管理者用地域特徴シート!P4&gt;0.01,"高く、",IF(管理者用地域特徴シート!P5-管理者用地域特徴シート!P4&lt;-0.01,"低く、","同程度で、"))</f>
        <v>同程度で、</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宮崎市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平均と同程度の地域です。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3">
        <f>管理者用地域特徴シート!W5</f>
        <v>5203</v>
      </c>
      <c r="F70" s="283"/>
      <c r="G70" s="20" t="s">
        <v>290</v>
      </c>
    </row>
    <row r="71" spans="1:8" ht="22.5" customHeight="1" x14ac:dyDescent="0.15">
      <c r="A71" s="20" t="s">
        <v>295</v>
      </c>
      <c r="F71" s="281">
        <f>管理者用地域特徴シート!AK5</f>
        <v>0.12358254852969441</v>
      </c>
      <c r="G71" s="281"/>
      <c r="H71" s="20" t="s">
        <v>271</v>
      </c>
    </row>
    <row r="72" spans="1:8" ht="22.5" customHeight="1" x14ac:dyDescent="0.15">
      <c r="A72" s="20" t="s">
        <v>296</v>
      </c>
      <c r="F72" s="281">
        <f>管理者用地域特徴シート!AL5</f>
        <v>0.19930809148568135</v>
      </c>
      <c r="G72" s="281"/>
      <c r="H72" s="20" t="s">
        <v>297</v>
      </c>
    </row>
    <row r="73" spans="1:8" ht="22.5" customHeight="1" x14ac:dyDescent="0.15">
      <c r="A73" s="20" t="s">
        <v>298</v>
      </c>
      <c r="E73" s="281"/>
      <c r="F73" s="281"/>
    </row>
    <row r="74" spans="1:8" ht="22.5" customHeight="1" x14ac:dyDescent="0.15">
      <c r="A74" s="20" t="s">
        <v>339</v>
      </c>
      <c r="C74" s="177">
        <f>管理者用地域特徴シート!AN5</f>
        <v>0.46377090140303673</v>
      </c>
      <c r="D74" s="156" t="s">
        <v>299</v>
      </c>
      <c r="E74" s="177">
        <f>管理者用地域特徴シート!AO5</f>
        <v>0.53622909859696333</v>
      </c>
      <c r="F74" s="20" t="s">
        <v>291</v>
      </c>
    </row>
    <row r="76" spans="1:8" ht="22.5" customHeight="1" x14ac:dyDescent="0.15">
      <c r="A76" s="34" t="str">
        <f>管理者入力シート!B3</f>
        <v>宮崎市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0.91780050670920521</v>
      </c>
      <c r="D139" s="281"/>
      <c r="E139" s="20" t="s">
        <v>316</v>
      </c>
      <c r="F139" s="157" t="str">
        <f>管理者入力シート!B3</f>
        <v>宮崎市</v>
      </c>
      <c r="G139" s="158" t="s">
        <v>317</v>
      </c>
    </row>
    <row r="140" spans="1:8" ht="22.5" customHeight="1" x14ac:dyDescent="0.15">
      <c r="A140" s="20" t="s">
        <v>318</v>
      </c>
    </row>
    <row r="141" spans="1:8" ht="22.5" customHeight="1" x14ac:dyDescent="0.15">
      <c r="C141" s="281">
        <f>管理者用地域特徴シート!CN5</f>
        <v>0.93484698914116482</v>
      </c>
      <c r="D141" s="281"/>
      <c r="E141" s="20" t="s">
        <v>316</v>
      </c>
      <c r="F141" s="157" t="str">
        <f>管理者入力シート!B3</f>
        <v>宮崎市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471</v>
      </c>
    </row>
    <row r="3" spans="1:3" x14ac:dyDescent="0.15">
      <c r="A3" s="203" t="s">
        <v>292</v>
      </c>
      <c r="B3" s="32" t="str">
        <f>管理者用地域特徴シート!B5</f>
        <v>宮崎市</v>
      </c>
    </row>
    <row r="4" spans="1:3" x14ac:dyDescent="0.15">
      <c r="A4" s="153" t="s">
        <v>24</v>
      </c>
      <c r="B4" s="154" t="str">
        <f>管理者用地域特徴シート!C5</f>
        <v>大淀地域自治区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45201_6</v>
      </c>
      <c r="B1" s="24" t="s">
        <v>44</v>
      </c>
      <c r="C1" s="25"/>
      <c r="D1" s="294" t="s">
        <v>0</v>
      </c>
      <c r="E1" s="294" t="s">
        <v>1</v>
      </c>
      <c r="F1" s="294" t="s">
        <v>2</v>
      </c>
      <c r="G1" s="294" t="s">
        <v>3</v>
      </c>
      <c r="H1" s="294" t="s">
        <v>4</v>
      </c>
      <c r="I1" s="294" t="s">
        <v>5</v>
      </c>
      <c r="J1" s="294" t="s">
        <v>6</v>
      </c>
      <c r="K1" s="294" t="s">
        <v>7</v>
      </c>
      <c r="L1" s="294" t="s">
        <v>8</v>
      </c>
      <c r="M1" s="294" t="s">
        <v>9</v>
      </c>
      <c r="N1" s="294" t="s">
        <v>10</v>
      </c>
      <c r="O1" s="294" t="s">
        <v>11</v>
      </c>
      <c r="P1" s="294" t="s">
        <v>12</v>
      </c>
      <c r="Q1" s="294" t="s">
        <v>13</v>
      </c>
      <c r="R1" s="294" t="s">
        <v>14</v>
      </c>
      <c r="S1" s="294" t="s">
        <v>15</v>
      </c>
      <c r="T1" s="294" t="s">
        <v>16</v>
      </c>
      <c r="U1" s="294" t="s">
        <v>17</v>
      </c>
      <c r="V1" s="294" t="s">
        <v>18</v>
      </c>
      <c r="W1" s="294" t="s">
        <v>19</v>
      </c>
      <c r="X1" s="294" t="s">
        <v>20</v>
      </c>
      <c r="Y1" s="294" t="s">
        <v>23</v>
      </c>
      <c r="Z1" s="295" t="s">
        <v>50</v>
      </c>
      <c r="AA1" s="295" t="s">
        <v>51</v>
      </c>
      <c r="AB1" s="298" t="s">
        <v>79</v>
      </c>
      <c r="AC1" s="298" t="s">
        <v>80</v>
      </c>
      <c r="AD1" s="295" t="s">
        <v>48</v>
      </c>
      <c r="AE1" s="295" t="s">
        <v>49</v>
      </c>
      <c r="AF1" s="295" t="s">
        <v>97</v>
      </c>
      <c r="AH1" s="7"/>
      <c r="AI1" s="42" t="s">
        <v>25</v>
      </c>
      <c r="AJ1" s="40" t="s">
        <v>90</v>
      </c>
      <c r="AK1" s="41"/>
      <c r="AL1" s="297" t="s">
        <v>89</v>
      </c>
      <c r="AM1" s="296" t="s">
        <v>27</v>
      </c>
      <c r="AN1" s="296" t="s">
        <v>28</v>
      </c>
      <c r="AO1" s="296" t="s">
        <v>26</v>
      </c>
      <c r="AP1" s="296" t="s">
        <v>29</v>
      </c>
      <c r="AQ1" s="296" t="s">
        <v>30</v>
      </c>
      <c r="AR1" s="296" t="s">
        <v>31</v>
      </c>
      <c r="AS1" s="296" t="s">
        <v>32</v>
      </c>
      <c r="AT1" s="296" t="s">
        <v>33</v>
      </c>
      <c r="AU1" s="296" t="s">
        <v>34</v>
      </c>
      <c r="AV1" s="296" t="s">
        <v>35</v>
      </c>
      <c r="AW1" s="296" t="s">
        <v>36</v>
      </c>
      <c r="AX1" s="296" t="s">
        <v>37</v>
      </c>
      <c r="AY1" s="296" t="s">
        <v>38</v>
      </c>
      <c r="AZ1" s="296" t="s">
        <v>39</v>
      </c>
      <c r="BA1" s="296" t="s">
        <v>40</v>
      </c>
      <c r="BB1" s="296" t="s">
        <v>45</v>
      </c>
      <c r="BC1" s="296" t="s">
        <v>41</v>
      </c>
      <c r="BD1" s="296" t="s">
        <v>42</v>
      </c>
      <c r="BE1" s="296" t="s">
        <v>46</v>
      </c>
      <c r="BF1" s="296"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301" t="s">
        <v>50</v>
      </c>
      <c r="CH1" s="301" t="s">
        <v>51</v>
      </c>
      <c r="CI1" s="303" t="s">
        <v>79</v>
      </c>
      <c r="CJ1" s="303" t="s">
        <v>80</v>
      </c>
      <c r="CK1" s="301" t="s">
        <v>48</v>
      </c>
      <c r="CL1" s="301" t="s">
        <v>49</v>
      </c>
      <c r="CM1" s="301" t="s">
        <v>97</v>
      </c>
      <c r="CP1" s="74" t="s">
        <v>44</v>
      </c>
      <c r="CQ1" s="75"/>
      <c r="CR1" s="302" t="s">
        <v>0</v>
      </c>
      <c r="CS1" s="302" t="s">
        <v>1</v>
      </c>
      <c r="CT1" s="302" t="s">
        <v>2</v>
      </c>
      <c r="CU1" s="302" t="s">
        <v>3</v>
      </c>
      <c r="CV1" s="302" t="s">
        <v>4</v>
      </c>
      <c r="CW1" s="302" t="s">
        <v>5</v>
      </c>
      <c r="CX1" s="302" t="s">
        <v>6</v>
      </c>
      <c r="CY1" s="302" t="s">
        <v>7</v>
      </c>
      <c r="CZ1" s="302" t="s">
        <v>8</v>
      </c>
      <c r="DA1" s="302" t="s">
        <v>9</v>
      </c>
      <c r="DB1" s="302" t="s">
        <v>10</v>
      </c>
      <c r="DC1" s="302" t="s">
        <v>11</v>
      </c>
      <c r="DD1" s="302" t="s">
        <v>12</v>
      </c>
      <c r="DE1" s="302" t="s">
        <v>13</v>
      </c>
      <c r="DF1" s="302" t="s">
        <v>14</v>
      </c>
      <c r="DG1" s="302" t="s">
        <v>15</v>
      </c>
      <c r="DH1" s="302" t="s">
        <v>16</v>
      </c>
      <c r="DI1" s="302" t="s">
        <v>17</v>
      </c>
      <c r="DJ1" s="302" t="s">
        <v>18</v>
      </c>
      <c r="DK1" s="302" t="s">
        <v>19</v>
      </c>
      <c r="DL1" s="302" t="s">
        <v>20</v>
      </c>
      <c r="DM1" s="302" t="s">
        <v>23</v>
      </c>
      <c r="DN1" s="305" t="s">
        <v>50</v>
      </c>
      <c r="DO1" s="305" t="s">
        <v>51</v>
      </c>
      <c r="DP1" s="306" t="s">
        <v>79</v>
      </c>
      <c r="DQ1" s="306" t="s">
        <v>80</v>
      </c>
      <c r="DR1" s="305" t="s">
        <v>48</v>
      </c>
      <c r="DS1" s="305" t="s">
        <v>49</v>
      </c>
      <c r="DT1" s="305" t="s">
        <v>97</v>
      </c>
      <c r="DV1" s="289" t="s">
        <v>475</v>
      </c>
      <c r="DW1" s="290"/>
      <c r="DX1" s="285">
        <f>DW17</f>
        <v>117</v>
      </c>
      <c r="DY1" s="286"/>
      <c r="DZ1" s="291" t="s">
        <v>0</v>
      </c>
      <c r="EA1" s="291" t="s">
        <v>1</v>
      </c>
      <c r="EB1" s="291" t="s">
        <v>2</v>
      </c>
      <c r="EC1" s="291" t="s">
        <v>3</v>
      </c>
      <c r="ED1" s="291" t="s">
        <v>4</v>
      </c>
      <c r="EE1" s="291" t="s">
        <v>5</v>
      </c>
      <c r="EF1" s="291" t="s">
        <v>6</v>
      </c>
      <c r="EG1" s="291" t="s">
        <v>7</v>
      </c>
      <c r="EH1" s="291" t="s">
        <v>8</v>
      </c>
      <c r="EI1" s="291" t="s">
        <v>9</v>
      </c>
      <c r="EJ1" s="291" t="s">
        <v>10</v>
      </c>
      <c r="EK1" s="291" t="s">
        <v>11</v>
      </c>
      <c r="EL1" s="291" t="s">
        <v>12</v>
      </c>
      <c r="EM1" s="291" t="s">
        <v>13</v>
      </c>
      <c r="EN1" s="291" t="s">
        <v>14</v>
      </c>
      <c r="EO1" s="291" t="s">
        <v>15</v>
      </c>
      <c r="EP1" s="291" t="s">
        <v>16</v>
      </c>
      <c r="EQ1" s="291" t="s">
        <v>17</v>
      </c>
      <c r="ER1" s="291" t="s">
        <v>18</v>
      </c>
      <c r="ES1" s="291" t="s">
        <v>19</v>
      </c>
      <c r="ET1" s="291" t="s">
        <v>20</v>
      </c>
      <c r="EU1" s="291" t="s">
        <v>23</v>
      </c>
      <c r="EV1" s="284" t="s">
        <v>50</v>
      </c>
      <c r="EW1" s="284" t="s">
        <v>51</v>
      </c>
      <c r="EX1" s="292" t="s">
        <v>79</v>
      </c>
      <c r="EY1" s="292" t="s">
        <v>80</v>
      </c>
      <c r="EZ1" s="284" t="s">
        <v>48</v>
      </c>
      <c r="FA1" s="284" t="s">
        <v>49</v>
      </c>
      <c r="FB1" s="284" t="s">
        <v>97</v>
      </c>
    </row>
    <row r="2" spans="1:158" x14ac:dyDescent="0.15">
      <c r="A2" s="7" t="s">
        <v>56</v>
      </c>
      <c r="B2" s="26"/>
      <c r="C2" s="27"/>
      <c r="D2" s="294"/>
      <c r="E2" s="294"/>
      <c r="F2" s="294"/>
      <c r="G2" s="294"/>
      <c r="H2" s="294"/>
      <c r="I2" s="294"/>
      <c r="J2" s="294"/>
      <c r="K2" s="294"/>
      <c r="L2" s="294"/>
      <c r="M2" s="294"/>
      <c r="N2" s="294"/>
      <c r="O2" s="294"/>
      <c r="P2" s="294"/>
      <c r="Q2" s="294"/>
      <c r="R2" s="294"/>
      <c r="S2" s="294"/>
      <c r="T2" s="294"/>
      <c r="U2" s="294"/>
      <c r="V2" s="294"/>
      <c r="W2" s="294"/>
      <c r="X2" s="294"/>
      <c r="Y2" s="294"/>
      <c r="Z2" s="295"/>
      <c r="AA2" s="295"/>
      <c r="AB2" s="299"/>
      <c r="AC2" s="299"/>
      <c r="AD2" s="295"/>
      <c r="AE2" s="295"/>
      <c r="AF2" s="295"/>
      <c r="AI2" s="43"/>
      <c r="AJ2" s="44"/>
      <c r="AK2" s="45"/>
      <c r="AL2" s="297"/>
      <c r="AM2" s="296"/>
      <c r="AN2" s="296"/>
      <c r="AO2" s="296"/>
      <c r="AP2" s="296"/>
      <c r="AQ2" s="296"/>
      <c r="AR2" s="296"/>
      <c r="AS2" s="296"/>
      <c r="AT2" s="296"/>
      <c r="AU2" s="296"/>
      <c r="AV2" s="296"/>
      <c r="AW2" s="296"/>
      <c r="AX2" s="296"/>
      <c r="AY2" s="296"/>
      <c r="AZ2" s="296"/>
      <c r="BA2" s="296"/>
      <c r="BB2" s="296"/>
      <c r="BC2" s="296"/>
      <c r="BD2" s="296"/>
      <c r="BE2" s="296"/>
      <c r="BF2" s="296"/>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301"/>
      <c r="CH2" s="301"/>
      <c r="CI2" s="304"/>
      <c r="CJ2" s="304"/>
      <c r="CK2" s="301"/>
      <c r="CL2" s="301"/>
      <c r="CM2" s="301"/>
      <c r="CO2" s="7" t="s">
        <v>56</v>
      </c>
      <c r="CP2" s="76" t="s">
        <v>117</v>
      </c>
      <c r="CQ2" s="77"/>
      <c r="CR2" s="302"/>
      <c r="CS2" s="302"/>
      <c r="CT2" s="302"/>
      <c r="CU2" s="302"/>
      <c r="CV2" s="302"/>
      <c r="CW2" s="302"/>
      <c r="CX2" s="302"/>
      <c r="CY2" s="302"/>
      <c r="CZ2" s="302"/>
      <c r="DA2" s="302"/>
      <c r="DB2" s="302"/>
      <c r="DC2" s="302"/>
      <c r="DD2" s="302"/>
      <c r="DE2" s="302"/>
      <c r="DF2" s="302"/>
      <c r="DG2" s="302"/>
      <c r="DH2" s="302"/>
      <c r="DI2" s="302"/>
      <c r="DJ2" s="302"/>
      <c r="DK2" s="302"/>
      <c r="DL2" s="302"/>
      <c r="DM2" s="302"/>
      <c r="DN2" s="305"/>
      <c r="DO2" s="305"/>
      <c r="DP2" s="307"/>
      <c r="DQ2" s="307"/>
      <c r="DR2" s="305"/>
      <c r="DS2" s="305"/>
      <c r="DT2" s="305"/>
      <c r="DV2" s="289"/>
      <c r="DW2" s="290"/>
      <c r="DX2" s="287"/>
      <c r="DY2" s="288"/>
      <c r="DZ2" s="291"/>
      <c r="EA2" s="291"/>
      <c r="EB2" s="291"/>
      <c r="EC2" s="291"/>
      <c r="ED2" s="291"/>
      <c r="EE2" s="291"/>
      <c r="EF2" s="291"/>
      <c r="EG2" s="291"/>
      <c r="EH2" s="291"/>
      <c r="EI2" s="291"/>
      <c r="EJ2" s="291"/>
      <c r="EK2" s="291"/>
      <c r="EL2" s="291"/>
      <c r="EM2" s="291"/>
      <c r="EN2" s="291"/>
      <c r="EO2" s="291"/>
      <c r="EP2" s="291"/>
      <c r="EQ2" s="291"/>
      <c r="ER2" s="291"/>
      <c r="ES2" s="291"/>
      <c r="ET2" s="291"/>
      <c r="EU2" s="291"/>
      <c r="EV2" s="284"/>
      <c r="EW2" s="284"/>
      <c r="EX2" s="293"/>
      <c r="EY2" s="293"/>
      <c r="EZ2" s="284"/>
      <c r="FA2" s="284"/>
      <c r="FB2" s="284"/>
    </row>
    <row r="3" spans="1:158" x14ac:dyDescent="0.15">
      <c r="A3" s="7" t="str">
        <f>B3&amp;"_"&amp;IF(C3="男性",1,IF(C3="女性",2,IF(C3="合計",3)))</f>
        <v>2005_1</v>
      </c>
      <c r="B3" s="28">
        <v>2005</v>
      </c>
      <c r="C3" s="3" t="s">
        <v>21</v>
      </c>
      <c r="D3" s="184">
        <v>590.35031485328375</v>
      </c>
      <c r="E3" s="9">
        <v>707.43941258757286</v>
      </c>
      <c r="F3" s="9">
        <v>724.40450437225343</v>
      </c>
      <c r="G3" s="9">
        <v>629.3120809991259</v>
      </c>
      <c r="H3" s="9">
        <v>532.59332644753476</v>
      </c>
      <c r="I3" s="9">
        <v>682.62635236427491</v>
      </c>
      <c r="J3" s="9">
        <v>796.5927295409125</v>
      </c>
      <c r="K3" s="9">
        <v>743.50820776987041</v>
      </c>
      <c r="L3" s="9">
        <v>857.63227734940051</v>
      </c>
      <c r="M3" s="9">
        <v>793.61474848351804</v>
      </c>
      <c r="N3" s="9">
        <v>745.61829647015099</v>
      </c>
      <c r="O3" s="9">
        <v>777.62328557708179</v>
      </c>
      <c r="P3" s="9">
        <v>572.51545378927835</v>
      </c>
      <c r="Q3" s="9">
        <v>522.35455427572242</v>
      </c>
      <c r="R3" s="9">
        <v>454.34264196636508</v>
      </c>
      <c r="S3" s="9">
        <v>391.30959126018683</v>
      </c>
      <c r="T3" s="9">
        <v>189.10939706366145</v>
      </c>
      <c r="U3" s="9">
        <v>69.023002650499649</v>
      </c>
      <c r="V3" s="9">
        <v>33.028064710061756</v>
      </c>
      <c r="W3" s="9">
        <v>8.0017574692442892</v>
      </c>
      <c r="X3" s="9">
        <v>0</v>
      </c>
      <c r="Y3" s="9">
        <f>SUM(D3:X3)</f>
        <v>10821</v>
      </c>
      <c r="Z3" s="9">
        <f>E3*3/5+F3*3/5</f>
        <v>859.10635017589573</v>
      </c>
      <c r="AA3" s="9">
        <f>F3*2/5+G3*1/5</f>
        <v>415.62421794872654</v>
      </c>
      <c r="AB3" s="9">
        <f t="shared" ref="AB3:AB20" si="0">SUM(Q3:X3)</f>
        <v>1667.1690093957413</v>
      </c>
      <c r="AC3" s="9">
        <f>SUM(S3:X3)</f>
        <v>690.47181315365378</v>
      </c>
      <c r="AD3" s="13">
        <f>AB3/Y3</f>
        <v>0.15406792435040581</v>
      </c>
      <c r="AE3" s="13">
        <f>AC3/Y3</f>
        <v>6.3808503202444675E-2</v>
      </c>
      <c r="AF3" s="9">
        <f>SUM(H3:K3)</f>
        <v>2755.3206161225926</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1.0532271938764128</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1.1155215135156649</v>
      </c>
      <c r="AO3" s="6">
        <f t="shared" si="1"/>
        <v>0.90955085996512341</v>
      </c>
      <c r="AP3" s="6">
        <f t="shared" si="1"/>
        <v>0.65726989244685086</v>
      </c>
      <c r="AQ3" s="6">
        <f t="shared" si="1"/>
        <v>1.038255196093866</v>
      </c>
      <c r="AR3" s="6">
        <f t="shared" si="1"/>
        <v>1.1872004698693663</v>
      </c>
      <c r="AS3" s="6">
        <f t="shared" si="1"/>
        <v>1.1117361225340032</v>
      </c>
      <c r="AT3" s="6">
        <f t="shared" si="1"/>
        <v>1.0680067819794408</v>
      </c>
      <c r="AU3" s="6">
        <f t="shared" si="1"/>
        <v>1.0249951845593024</v>
      </c>
      <c r="AV3" s="6">
        <f t="shared" si="1"/>
        <v>1.0238307675608085</v>
      </c>
      <c r="AW3" s="6">
        <f t="shared" si="1"/>
        <v>0.9901099263187082</v>
      </c>
      <c r="AX3" s="6">
        <f t="shared" si="1"/>
        <v>1.0394995404357388</v>
      </c>
      <c r="AY3" s="6">
        <f t="shared" si="1"/>
        <v>0.98574840904485361</v>
      </c>
      <c r="AZ3" s="6">
        <f t="shared" si="1"/>
        <v>0.91961992913363566</v>
      </c>
      <c r="BA3" s="6">
        <f t="shared" si="1"/>
        <v>0.85747633063023965</v>
      </c>
      <c r="BB3" s="6">
        <f t="shared" si="1"/>
        <v>0.8542635617004728</v>
      </c>
      <c r="BC3" s="6">
        <f t="shared" si="1"/>
        <v>0.6904651001542268</v>
      </c>
      <c r="BD3" s="6">
        <f t="shared" si="1"/>
        <v>0.51945105565112171</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0.19377990885309676</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0.38228610211141123</v>
      </c>
      <c r="BH3" s="7" t="str">
        <f>BI3&amp;"_"&amp;IF(BJ3="男性",1,IF(BJ3="女性",2,IF(BJ3="合計",3)))</f>
        <v>2025_1</v>
      </c>
      <c r="BI3" s="28">
        <f>管理者入力シート!B8</f>
        <v>2025</v>
      </c>
      <c r="BJ3" s="3" t="s">
        <v>21</v>
      </c>
      <c r="BK3" s="9">
        <f>CM4*AK$13</f>
        <v>436.56330799586868</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489.26038449482871</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557.79854526749159</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518.49175031451114</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353.83045027703281</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478.71345458294473</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525.12137440016409</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630.40427611101916</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714.93493185736941</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782.0798513580545</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909.2642843765276</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782.99532831684508</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880.94360004651617</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820.13138751174085</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707.46441039785827</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604.62123770588164</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376.12129155715616</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250.2930796963964</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110.98479046311836</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22.814196782198795</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3.4492655286951286</v>
      </c>
      <c r="CF3" s="9">
        <f t="shared" ref="CF3:CF14" si="2">SUM(BK3:CE3)</f>
        <v>10956.281199042221</v>
      </c>
      <c r="CG3" s="9">
        <f>BL3*3/5+BM3*3/5</f>
        <v>628.23535785739216</v>
      </c>
      <c r="CH3" s="9">
        <f>BM3*2/5+BN3*1/5</f>
        <v>326.81776816989884</v>
      </c>
      <c r="CI3" s="9">
        <f t="shared" ref="CI3:CI14" si="3">SUM(BX3:CE3)</f>
        <v>2895.8796596430457</v>
      </c>
      <c r="CJ3" s="9">
        <f>SUM(BZ3:CE3)</f>
        <v>1368.2838617334467</v>
      </c>
      <c r="CK3" s="13">
        <f>CI3/CF3</f>
        <v>0.26431227959868336</v>
      </c>
      <c r="CL3" s="13">
        <f>CJ3/CF3</f>
        <v>0.12488579262214076</v>
      </c>
      <c r="CM3" s="9">
        <f>SUM(BO3:BR3)</f>
        <v>1988.0695553711607</v>
      </c>
      <c r="CO3" s="7" t="str">
        <f>CP3&amp;"_"&amp;IF(CQ3="男性",1,IF(CQ3="女性",2,IF(CQ3="合計",3)))</f>
        <v>2025_1</v>
      </c>
      <c r="CP3" s="28">
        <f>管理者入力シート!B8</f>
        <v>2025</v>
      </c>
      <c r="CQ3" s="3" t="s">
        <v>21</v>
      </c>
      <c r="CR3" s="9">
        <f>BK3+将来予測シート②!$G17</f>
        <v>437.56330799586868</v>
      </c>
      <c r="CS3" s="9">
        <f>BL3+将来予測シート②!$G18</f>
        <v>489.26038449482871</v>
      </c>
      <c r="CT3" s="9">
        <f>BM3+将来予測シート②!$G19</f>
        <v>558.79854526749159</v>
      </c>
      <c r="CU3" s="9">
        <f>BN3+将来予測シート②!$G20</f>
        <v>518.49175031451114</v>
      </c>
      <c r="CV3" s="9">
        <f>BO3+将来予測シート②!$G21</f>
        <v>353.83045027703281</v>
      </c>
      <c r="CW3" s="9">
        <f>BP3+将来予測シート②!$G22</f>
        <v>480.71345458294473</v>
      </c>
      <c r="CX3" s="9">
        <f>BQ3+将来予測シート②!$G23</f>
        <v>525.12137440016409</v>
      </c>
      <c r="CY3" s="9">
        <f>BR3+将来予測シート②!$G24</f>
        <v>630.40427611101916</v>
      </c>
      <c r="CZ3" s="9">
        <f>BS3+将来予測シート②!$G25</f>
        <v>714.93493185736941</v>
      </c>
      <c r="DA3" s="9">
        <f>BT3+将来予測シート②!$G26</f>
        <v>782.0798513580545</v>
      </c>
      <c r="DB3" s="9">
        <f>BU3+将来予測シート②!$G27</f>
        <v>909.2642843765276</v>
      </c>
      <c r="DC3" s="9">
        <f>BV3+将来予測シート②!$G28</f>
        <v>782.99532831684508</v>
      </c>
      <c r="DD3" s="9">
        <f>BW3+将来予測シート②!$G29</f>
        <v>880.94360004651617</v>
      </c>
      <c r="DE3" s="9">
        <f>BX3</f>
        <v>820.13138751174085</v>
      </c>
      <c r="DF3" s="9">
        <f t="shared" ref="DF3:DL3" si="4">BY3</f>
        <v>707.46441039785827</v>
      </c>
      <c r="DG3" s="9">
        <f t="shared" si="4"/>
        <v>604.62123770588164</v>
      </c>
      <c r="DH3" s="9">
        <f t="shared" si="4"/>
        <v>376.12129155715616</v>
      </c>
      <c r="DI3" s="9">
        <f t="shared" si="4"/>
        <v>250.2930796963964</v>
      </c>
      <c r="DJ3" s="9">
        <f t="shared" si="4"/>
        <v>110.98479046311836</v>
      </c>
      <c r="DK3" s="9">
        <f t="shared" si="4"/>
        <v>22.814196782198795</v>
      </c>
      <c r="DL3" s="9">
        <f t="shared" si="4"/>
        <v>3.4492655286951286</v>
      </c>
      <c r="DM3" s="9">
        <f t="shared" ref="DM3:DM4" si="5">SUM(CR3:DL3)</f>
        <v>10960.281199042221</v>
      </c>
      <c r="DN3" s="9">
        <f>CS3*3/5+CT3*3/5</f>
        <v>628.83535785739218</v>
      </c>
      <c r="DO3" s="9">
        <f>CT3*2/5+CU3*1/5</f>
        <v>327.21776816989882</v>
      </c>
      <c r="DP3" s="9">
        <f t="shared" ref="DP3:DP14" si="6">SUM(DE3:DL3)</f>
        <v>2895.8796596430457</v>
      </c>
      <c r="DQ3" s="9">
        <f>SUM(DG3:DL3)</f>
        <v>1368.2838617334467</v>
      </c>
      <c r="DR3" s="13">
        <f>DP3/DM3</f>
        <v>0.26421581773797059</v>
      </c>
      <c r="DS3" s="13">
        <f>DQ3/DM3</f>
        <v>0.12484021503508651</v>
      </c>
      <c r="DT3" s="9">
        <f>SUM(CV3:CY3)</f>
        <v>1990.0695553711607</v>
      </c>
      <c r="DV3" s="289"/>
      <c r="DW3" s="290"/>
      <c r="DX3" s="28">
        <f>管理者入力シート!B8</f>
        <v>2025</v>
      </c>
      <c r="DY3" s="3" t="s">
        <v>21</v>
      </c>
      <c r="DZ3" s="9">
        <f>BK$3</f>
        <v>436.56330799586868</v>
      </c>
      <c r="EA3" s="9">
        <f>BL$3</f>
        <v>489.26038449482871</v>
      </c>
      <c r="EB3" s="9">
        <f t="shared" ref="EB3:ED3" si="7">BM$3</f>
        <v>557.79854526749159</v>
      </c>
      <c r="EC3" s="9">
        <f t="shared" si="7"/>
        <v>518.49175031451114</v>
      </c>
      <c r="ED3" s="9">
        <f t="shared" si="7"/>
        <v>353.83045027703281</v>
      </c>
      <c r="EE3" s="9">
        <f>BP$3+DX1</f>
        <v>595.71345458294468</v>
      </c>
      <c r="EF3" s="9">
        <f>BQ$3+DX1</f>
        <v>642.12137440016409</v>
      </c>
      <c r="EG3" s="9">
        <f>BR$3+DX1</f>
        <v>747.40427611101916</v>
      </c>
      <c r="EH3" s="9">
        <f t="shared" ref="EH3:ET3" si="8">BS$3</f>
        <v>714.93493185736941</v>
      </c>
      <c r="EI3" s="9">
        <f t="shared" si="8"/>
        <v>782.0798513580545</v>
      </c>
      <c r="EJ3" s="9">
        <f t="shared" si="8"/>
        <v>909.2642843765276</v>
      </c>
      <c r="EK3" s="9">
        <f t="shared" si="8"/>
        <v>782.99532831684508</v>
      </c>
      <c r="EL3" s="9">
        <f t="shared" si="8"/>
        <v>880.94360004651617</v>
      </c>
      <c r="EM3" s="9">
        <f t="shared" si="8"/>
        <v>820.13138751174085</v>
      </c>
      <c r="EN3" s="9">
        <f t="shared" si="8"/>
        <v>707.46441039785827</v>
      </c>
      <c r="EO3" s="9">
        <f t="shared" si="8"/>
        <v>604.62123770588164</v>
      </c>
      <c r="EP3" s="9">
        <f t="shared" si="8"/>
        <v>376.12129155715616</v>
      </c>
      <c r="EQ3" s="9">
        <f t="shared" si="8"/>
        <v>250.2930796963964</v>
      </c>
      <c r="ER3" s="9">
        <f t="shared" si="8"/>
        <v>110.98479046311836</v>
      </c>
      <c r="ES3" s="9">
        <f t="shared" si="8"/>
        <v>22.814196782198795</v>
      </c>
      <c r="ET3" s="9">
        <f t="shared" si="8"/>
        <v>3.4492655286951286</v>
      </c>
      <c r="EU3" s="9">
        <f t="shared" ref="EU3:EU4" si="9">SUM(DZ3:ET3)</f>
        <v>11307.281199042223</v>
      </c>
      <c r="EV3" s="9">
        <f>EA3*3/5+EB3*3/5</f>
        <v>628.23535785739216</v>
      </c>
      <c r="EW3" s="9">
        <f>EB3*2/5+EC3*1/5</f>
        <v>326.81776816989884</v>
      </c>
      <c r="EX3" s="9">
        <f t="shared" ref="EX3:EX14" si="10">SUM(EM3:ET3)</f>
        <v>2895.8796596430457</v>
      </c>
      <c r="EY3" s="9">
        <f>SUM(EO3:ET3)</f>
        <v>1368.2838617334467</v>
      </c>
      <c r="EZ3" s="13">
        <f>EX3/EU3</f>
        <v>0.25610751237780655</v>
      </c>
      <c r="FA3" s="13">
        <f>EY3/EU3</f>
        <v>0.12100909472821339</v>
      </c>
      <c r="FB3" s="9">
        <f>SUM(ED3:EG3)</f>
        <v>2339.0695553711607</v>
      </c>
    </row>
    <row r="4" spans="1:158" x14ac:dyDescent="0.15">
      <c r="A4" s="7" t="str">
        <f t="shared" ref="A4:A14" si="11">B4&amp;"_"&amp;IF(C4="男性",1,IF(C4="女性",2,IF(C4="合計",3)))</f>
        <v>2005_2</v>
      </c>
      <c r="B4" s="29">
        <v>2005</v>
      </c>
      <c r="C4" s="4" t="s">
        <v>22</v>
      </c>
      <c r="D4" s="10">
        <v>532.22785402776344</v>
      </c>
      <c r="E4" s="10">
        <v>678.28740496234536</v>
      </c>
      <c r="F4" s="10">
        <v>674.30137293208884</v>
      </c>
      <c r="G4" s="10">
        <v>643.3332206375369</v>
      </c>
      <c r="H4" s="10">
        <v>658.61040737596022</v>
      </c>
      <c r="I4" s="10">
        <v>762.52085773284216</v>
      </c>
      <c r="J4" s="10">
        <v>935.47887102766776</v>
      </c>
      <c r="K4" s="10">
        <v>934.55764770176609</v>
      </c>
      <c r="L4" s="10">
        <v>910.47178241818381</v>
      </c>
      <c r="M4" s="10">
        <v>863.48749091861021</v>
      </c>
      <c r="N4" s="10">
        <v>849.4744289330863</v>
      </c>
      <c r="O4" s="10">
        <v>912.50550292197181</v>
      </c>
      <c r="P4" s="10">
        <v>675.37015392547835</v>
      </c>
      <c r="Q4" s="10">
        <v>651.38518915203815</v>
      </c>
      <c r="R4" s="10">
        <v>637.2910044534583</v>
      </c>
      <c r="S4" s="10">
        <v>544.33614869016833</v>
      </c>
      <c r="T4" s="10">
        <v>358.19675980919806</v>
      </c>
      <c r="U4" s="10">
        <v>200.10590669829034</v>
      </c>
      <c r="V4" s="10">
        <v>97.047191261336224</v>
      </c>
      <c r="W4" s="10">
        <v>24.010804420209432</v>
      </c>
      <c r="X4" s="10">
        <v>2</v>
      </c>
      <c r="Y4" s="10">
        <f>SUM(D4:X4)</f>
        <v>12544.999999999998</v>
      </c>
      <c r="Z4" s="10">
        <f t="shared" ref="Z4:Z11" si="12">E4*3/5+F4*3/5</f>
        <v>811.55326673666059</v>
      </c>
      <c r="AA4" s="10">
        <f t="shared" ref="AA4:AA11" si="13">F4*2/5+G4*1/5</f>
        <v>398.38719330034291</v>
      </c>
      <c r="AB4" s="10">
        <f t="shared" si="0"/>
        <v>2514.3730044846984</v>
      </c>
      <c r="AC4" s="10">
        <f t="shared" ref="AC4:AC11" si="14">SUM(S4:X4)</f>
        <v>1225.6968108792023</v>
      </c>
      <c r="AD4" s="14">
        <f t="shared" ref="AD4:AD11" si="15">AB4/Y4</f>
        <v>0.20042829848423266</v>
      </c>
      <c r="AE4" s="14">
        <f t="shared" ref="AE4:AE11" si="16">AC4/Y4</f>
        <v>9.7704010432778196E-2</v>
      </c>
      <c r="AF4" s="10">
        <f t="shared" ref="AF4:AF20" si="17">SUM(H4:K4)</f>
        <v>3291.1677838382361</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1.0538174337813078</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0.98961109088849297</v>
      </c>
      <c r="AO4" s="193">
        <f t="shared" si="18"/>
        <v>0.93896235500634273</v>
      </c>
      <c r="AP4" s="193">
        <f t="shared" si="18"/>
        <v>0.70827613477241091</v>
      </c>
      <c r="AQ4" s="193">
        <f t="shared" si="18"/>
        <v>0.92825997840272823</v>
      </c>
      <c r="AR4" s="193">
        <f t="shared" si="18"/>
        <v>1.0910137345602626</v>
      </c>
      <c r="AS4" s="193">
        <f t="shared" si="18"/>
        <v>1.0595684590689867</v>
      </c>
      <c r="AT4" s="193">
        <f t="shared" si="18"/>
        <v>1.0335359009391667</v>
      </c>
      <c r="AU4" s="193">
        <f t="shared" si="18"/>
        <v>0.98810809633735386</v>
      </c>
      <c r="AV4" s="193">
        <f t="shared" si="18"/>
        <v>1.0330369848526775</v>
      </c>
      <c r="AW4" s="193">
        <f t="shared" si="18"/>
        <v>0.99578397424947696</v>
      </c>
      <c r="AX4" s="193">
        <f t="shared" si="18"/>
        <v>1.0116808190682951</v>
      </c>
      <c r="AY4" s="193">
        <f t="shared" si="18"/>
        <v>0.98159743395930454</v>
      </c>
      <c r="AZ4" s="193">
        <f t="shared" si="18"/>
        <v>1.0021086544700892</v>
      </c>
      <c r="BA4" s="193">
        <f t="shared" si="18"/>
        <v>0.94855396002861436</v>
      </c>
      <c r="BB4" s="193">
        <f t="shared" si="18"/>
        <v>0.88884161791811023</v>
      </c>
      <c r="BC4" s="193">
        <f t="shared" si="18"/>
        <v>0.78299597165195611</v>
      </c>
      <c r="BD4" s="193">
        <f t="shared" si="18"/>
        <v>0.61592836364784964</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0.38384599507148193</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0.26391312738361916</v>
      </c>
      <c r="BH4" s="7" t="str">
        <f t="shared" ref="BH4:BH20" si="19">BI4&amp;"_"&amp;IF(BJ4="男性",1,IF(BJ4="女性",2,IF(BJ4="合計",3)))</f>
        <v>2025_2</v>
      </c>
      <c r="BI4" s="29">
        <f>BI3</f>
        <v>2025</v>
      </c>
      <c r="BJ4" s="4" t="s">
        <v>22</v>
      </c>
      <c r="BK4" s="10">
        <f>CM4*AK$14</f>
        <v>434.99479619511925</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497.1746997780341</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561.71241545055489</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489.24661887571472</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428.25572130662266</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498.77971891568285</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571.19738953288277</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668.17539519038019</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723.3986359556651</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809.70722810325231</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933.47137832520366</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962.65370869544586</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905.68472899518622</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873.05393477190228</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792.40355620514049</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829.273390050221</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563.90159031771213</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397.52618615236241</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276.75709546566952</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88.597767662691723</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20.048910763866491</v>
      </c>
      <c r="CF4" s="10">
        <f t="shared" si="2"/>
        <v>12326.014866709311</v>
      </c>
      <c r="CG4" s="10">
        <f t="shared" ref="CG4:CG14" si="20">BL4*3/5+BM4*3/5</f>
        <v>635.33226913715339</v>
      </c>
      <c r="CH4" s="10">
        <f t="shared" ref="CH4:CH14" si="21">BM4*2/5+BN4*1/5</f>
        <v>322.5342899553649</v>
      </c>
      <c r="CI4" s="10">
        <f t="shared" si="3"/>
        <v>3841.5624313895655</v>
      </c>
      <c r="CJ4" s="10">
        <f t="shared" ref="CJ4:CJ14" si="22">SUM(BZ4:CE4)</f>
        <v>2176.1049404125233</v>
      </c>
      <c r="CK4" s="14">
        <f t="shared" ref="CK4:CK14" si="23">CI4/CF4</f>
        <v>0.31166297241495633</v>
      </c>
      <c r="CL4" s="14">
        <f t="shared" ref="CL4:CL14" si="24">CJ4/CF4</f>
        <v>0.17654570142454162</v>
      </c>
      <c r="CM4" s="10">
        <f t="shared" ref="CM4:CM14" si="25">SUM(BO4:BR4)</f>
        <v>2166.4082249455687</v>
      </c>
      <c r="CO4" s="7" t="str">
        <f t="shared" ref="CO4:CO20" si="26">CP4&amp;"_"&amp;IF(CQ4="男性",1,IF(CQ4="女性",2,IF(CQ4="合計",3)))</f>
        <v>2025_2</v>
      </c>
      <c r="CP4" s="29">
        <f>CP3</f>
        <v>2025</v>
      </c>
      <c r="CQ4" s="4" t="s">
        <v>22</v>
      </c>
      <c r="CR4" s="10">
        <f>BK4+将来予測シート②!$H17</f>
        <v>435.99479619511925</v>
      </c>
      <c r="CS4" s="10">
        <f>BL4+将来予測シート②!$H18</f>
        <v>497.1746997780341</v>
      </c>
      <c r="CT4" s="10">
        <f>BM4+将来予測シート②!$H19</f>
        <v>562.71241545055489</v>
      </c>
      <c r="CU4" s="10">
        <f>BN4+将来予測シート②!$H20</f>
        <v>489.24661887571472</v>
      </c>
      <c r="CV4" s="10">
        <f>BO4+将来予測シート②!$H21</f>
        <v>428.25572130662266</v>
      </c>
      <c r="CW4" s="10">
        <f>BP4+将来予測シート②!$H22</f>
        <v>500.77971891568285</v>
      </c>
      <c r="CX4" s="10">
        <f>BQ4+将来予測シート②!$H23</f>
        <v>571.19738953288277</v>
      </c>
      <c r="CY4" s="10">
        <f>BR4+将来予測シート②!$H24</f>
        <v>668.17539519038019</v>
      </c>
      <c r="CZ4" s="10">
        <f>BS4+将来予測シート②!$H25</f>
        <v>724.3986359556651</v>
      </c>
      <c r="DA4" s="10">
        <f>BT4+将来予測シート②!$H26</f>
        <v>809.70722810325231</v>
      </c>
      <c r="DB4" s="10">
        <f>BU4+将来予測シート②!$H27</f>
        <v>933.47137832520366</v>
      </c>
      <c r="DC4" s="10">
        <f>BV4+将来予測シート②!$H28</f>
        <v>962.65370869544586</v>
      </c>
      <c r="DD4" s="10">
        <f>BW4+将来予測シート②!$H29</f>
        <v>905.68472899518622</v>
      </c>
      <c r="DE4" s="10">
        <f>BX4</f>
        <v>873.05393477190228</v>
      </c>
      <c r="DF4" s="10">
        <f t="shared" ref="DF4" si="27">BY4</f>
        <v>792.40355620514049</v>
      </c>
      <c r="DG4" s="10">
        <f t="shared" ref="DG4" si="28">BZ4</f>
        <v>829.273390050221</v>
      </c>
      <c r="DH4" s="10">
        <f t="shared" ref="DH4" si="29">CA4</f>
        <v>563.90159031771213</v>
      </c>
      <c r="DI4" s="10">
        <f t="shared" ref="DI4" si="30">CB4</f>
        <v>397.52618615236241</v>
      </c>
      <c r="DJ4" s="10">
        <f t="shared" ref="DJ4" si="31">CC4</f>
        <v>276.75709546566952</v>
      </c>
      <c r="DK4" s="10">
        <f t="shared" ref="DK4" si="32">CD4</f>
        <v>88.597767662691723</v>
      </c>
      <c r="DL4" s="10">
        <f t="shared" ref="DL4" si="33">CE4</f>
        <v>20.048910763866491</v>
      </c>
      <c r="DM4" s="10">
        <f t="shared" si="5"/>
        <v>12331.014866709311</v>
      </c>
      <c r="DN4" s="10">
        <f t="shared" ref="DN4:DN14" si="34">CS4*3/5+CT4*3/5</f>
        <v>635.9322691371533</v>
      </c>
      <c r="DO4" s="10">
        <f t="shared" ref="DO4:DO14" si="35">CT4*2/5+CU4*1/5</f>
        <v>322.93428995536487</v>
      </c>
      <c r="DP4" s="10">
        <f t="shared" si="6"/>
        <v>3841.5624313895655</v>
      </c>
      <c r="DQ4" s="10">
        <f t="shared" ref="DQ4:DQ14" si="36">SUM(DG4:DL4)</f>
        <v>2176.1049404125233</v>
      </c>
      <c r="DR4" s="14">
        <f t="shared" ref="DR4:DR14" si="37">DP4/DM4</f>
        <v>0.31153659880508566</v>
      </c>
      <c r="DS4" s="14">
        <f t="shared" ref="DS4:DS14" si="38">DQ4/DM4</f>
        <v>0.17647411538586888</v>
      </c>
      <c r="DT4" s="10">
        <f>SUM(CV4:CY4)</f>
        <v>2168.4082249455687</v>
      </c>
      <c r="DV4" s="289"/>
      <c r="DW4" s="290"/>
      <c r="DX4" s="29">
        <f>DX3</f>
        <v>2025</v>
      </c>
      <c r="DY4" s="4" t="s">
        <v>22</v>
      </c>
      <c r="DZ4" s="10">
        <f>BK$4</f>
        <v>434.99479619511925</v>
      </c>
      <c r="EA4" s="10">
        <f>BL$4</f>
        <v>497.1746997780341</v>
      </c>
      <c r="EB4" s="10">
        <f t="shared" ref="EB4:ED4" si="39">BM$4</f>
        <v>561.71241545055489</v>
      </c>
      <c r="EC4" s="10">
        <f t="shared" si="39"/>
        <v>489.24661887571472</v>
      </c>
      <c r="ED4" s="10">
        <f t="shared" si="39"/>
        <v>428.25572130662266</v>
      </c>
      <c r="EE4" s="10">
        <f>BP$4+DX1</f>
        <v>615.77971891568291</v>
      </c>
      <c r="EF4" s="10">
        <f>BQ$4+DX1</f>
        <v>688.19738953288277</v>
      </c>
      <c r="EG4" s="10">
        <f>BR$4+DX1</f>
        <v>785.17539519038019</v>
      </c>
      <c r="EH4" s="10">
        <f t="shared" ref="EH4:ET4" si="40">BS$4</f>
        <v>723.3986359556651</v>
      </c>
      <c r="EI4" s="10">
        <f t="shared" si="40"/>
        <v>809.70722810325231</v>
      </c>
      <c r="EJ4" s="10">
        <f t="shared" si="40"/>
        <v>933.47137832520366</v>
      </c>
      <c r="EK4" s="10">
        <f t="shared" si="40"/>
        <v>962.65370869544586</v>
      </c>
      <c r="EL4" s="10">
        <f t="shared" si="40"/>
        <v>905.68472899518622</v>
      </c>
      <c r="EM4" s="10">
        <f t="shared" si="40"/>
        <v>873.05393477190228</v>
      </c>
      <c r="EN4" s="10">
        <f t="shared" si="40"/>
        <v>792.40355620514049</v>
      </c>
      <c r="EO4" s="10">
        <f t="shared" si="40"/>
        <v>829.273390050221</v>
      </c>
      <c r="EP4" s="10">
        <f t="shared" si="40"/>
        <v>563.90159031771213</v>
      </c>
      <c r="EQ4" s="10">
        <f t="shared" si="40"/>
        <v>397.52618615236241</v>
      </c>
      <c r="ER4" s="10">
        <f t="shared" si="40"/>
        <v>276.75709546566952</v>
      </c>
      <c r="ES4" s="10">
        <f t="shared" si="40"/>
        <v>88.597767662691723</v>
      </c>
      <c r="ET4" s="10">
        <f t="shared" si="40"/>
        <v>20.048910763866491</v>
      </c>
      <c r="EU4" s="10">
        <f t="shared" si="9"/>
        <v>12677.014866709311</v>
      </c>
      <c r="EV4" s="10">
        <f t="shared" ref="EV4:EV14" si="41">EA4*3/5+EB4*3/5</f>
        <v>635.33226913715339</v>
      </c>
      <c r="EW4" s="10">
        <f t="shared" ref="EW4:EW14" si="42">EB4*2/5+EC4*1/5</f>
        <v>322.5342899553649</v>
      </c>
      <c r="EX4" s="10">
        <f t="shared" si="10"/>
        <v>3841.5624313895655</v>
      </c>
      <c r="EY4" s="10">
        <f t="shared" ref="EY4:EY14" si="43">SUM(EO4:ET4)</f>
        <v>2176.1049404125233</v>
      </c>
      <c r="EZ4" s="14">
        <f t="shared" ref="EZ4:EZ14" si="44">EX4/EU4</f>
        <v>0.30303367723246627</v>
      </c>
      <c r="FA4" s="14">
        <f t="shared" ref="FA4:FA14" si="45">EY4/EU4</f>
        <v>0.17165752058295053</v>
      </c>
      <c r="FB4" s="10">
        <f>SUM(ED4:EG4)</f>
        <v>2517.4082249455687</v>
      </c>
    </row>
    <row r="5" spans="1:158" x14ac:dyDescent="0.15">
      <c r="A5" s="7" t="str">
        <f t="shared" si="11"/>
        <v>2005_3</v>
      </c>
      <c r="B5" s="30">
        <v>2005</v>
      </c>
      <c r="C5" s="5" t="s">
        <v>23</v>
      </c>
      <c r="D5" s="11">
        <v>1122.5781688810471</v>
      </c>
      <c r="E5" s="11">
        <v>1385.7268175499182</v>
      </c>
      <c r="F5" s="11">
        <v>1398.7058773043423</v>
      </c>
      <c r="G5" s="11">
        <v>1272.6453016366627</v>
      </c>
      <c r="H5" s="11">
        <v>1191.203733823495</v>
      </c>
      <c r="I5" s="11">
        <v>1445.1472100971171</v>
      </c>
      <c r="J5" s="11">
        <v>1732.0716005685804</v>
      </c>
      <c r="K5" s="11">
        <v>1678.0658554716365</v>
      </c>
      <c r="L5" s="11">
        <v>1768.1040597675842</v>
      </c>
      <c r="M5" s="11">
        <v>1657.1022394021284</v>
      </c>
      <c r="N5" s="11">
        <v>1595.0927254032372</v>
      </c>
      <c r="O5" s="11">
        <v>1690.1287884990536</v>
      </c>
      <c r="P5" s="11">
        <v>1247.8856077147566</v>
      </c>
      <c r="Q5" s="11">
        <v>1173.7397434277605</v>
      </c>
      <c r="R5" s="11">
        <v>1091.6336464198234</v>
      </c>
      <c r="S5" s="11">
        <v>935.64573995035516</v>
      </c>
      <c r="T5" s="11">
        <v>547.30615687285945</v>
      </c>
      <c r="U5" s="11">
        <v>269.12890934878999</v>
      </c>
      <c r="V5" s="11">
        <v>130.07525597139798</v>
      </c>
      <c r="W5" s="11">
        <v>32.012561889453721</v>
      </c>
      <c r="X5" s="11">
        <v>2</v>
      </c>
      <c r="Y5" s="11">
        <f>SUM(D5:X5)</f>
        <v>23366</v>
      </c>
      <c r="Z5" s="11">
        <f t="shared" si="12"/>
        <v>1670.6596169125562</v>
      </c>
      <c r="AA5" s="11">
        <f t="shared" si="13"/>
        <v>814.01141124906951</v>
      </c>
      <c r="AB5" s="11">
        <f t="shared" si="0"/>
        <v>4181.5420138804402</v>
      </c>
      <c r="AC5" s="11">
        <f t="shared" si="14"/>
        <v>1916.1686240328563</v>
      </c>
      <c r="AD5" s="15">
        <f t="shared" si="15"/>
        <v>0.17895840168965335</v>
      </c>
      <c r="AE5" s="15">
        <f t="shared" si="16"/>
        <v>8.2006703074247039E-2</v>
      </c>
      <c r="AF5" s="11">
        <f t="shared" si="17"/>
        <v>6046.4883999608292</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0.96936391766427299</v>
      </c>
      <c r="AN5" s="6">
        <f t="shared" si="1"/>
        <v>1.0097681076580793</v>
      </c>
      <c r="AO5" s="6">
        <f t="shared" si="1"/>
        <v>0.92855346625716884</v>
      </c>
      <c r="AP5" s="6">
        <f t="shared" si="1"/>
        <v>0.64622544400231985</v>
      </c>
      <c r="AQ5" s="6">
        <f t="shared" si="1"/>
        <v>1.0609758198162373</v>
      </c>
      <c r="AR5" s="6">
        <f t="shared" si="1"/>
        <v>1.1167584252356886</v>
      </c>
      <c r="AS5" s="6">
        <f t="shared" si="1"/>
        <v>0.996990307082253</v>
      </c>
      <c r="AT5" s="6">
        <f t="shared" si="1"/>
        <v>1.0612057232276719</v>
      </c>
      <c r="AU5" s="6">
        <f t="shared" si="1"/>
        <v>1.0196127473553247</v>
      </c>
      <c r="AV5" s="6">
        <f t="shared" si="1"/>
        <v>1.0078530851430687</v>
      </c>
      <c r="AW5" s="6">
        <f t="shared" si="1"/>
        <v>0.99457022381253279</v>
      </c>
      <c r="AX5" s="6">
        <f t="shared" si="1"/>
        <v>1.0236658676283319</v>
      </c>
      <c r="AY5" s="6">
        <f t="shared" si="1"/>
        <v>0.96327272063954594</v>
      </c>
      <c r="AZ5" s="6">
        <f t="shared" si="1"/>
        <v>0.93398683564603036</v>
      </c>
      <c r="BA5" s="6">
        <f t="shared" si="1"/>
        <v>0.88168074210664604</v>
      </c>
      <c r="BB5" s="6">
        <f t="shared" si="1"/>
        <v>0.80377238624330671</v>
      </c>
      <c r="BC5" s="6">
        <f t="shared" si="1"/>
        <v>0.64524789749173306</v>
      </c>
      <c r="BD5" s="6">
        <f t="shared" si="1"/>
        <v>0.48390313018988784</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0.24199762678873185</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0.20310735050625539</v>
      </c>
      <c r="BH5" s="7" t="str">
        <f t="shared" si="19"/>
        <v>2025_3</v>
      </c>
      <c r="BI5" s="30">
        <f>BI4</f>
        <v>2025</v>
      </c>
      <c r="BJ5" s="5" t="s">
        <v>23</v>
      </c>
      <c r="BK5" s="16">
        <f>BK3+BK4</f>
        <v>871.55810419098793</v>
      </c>
      <c r="BL5" s="16">
        <f t="shared" ref="BL5:CE5" si="46">BL3+BL4</f>
        <v>986.43508427286281</v>
      </c>
      <c r="BM5" s="16">
        <f t="shared" si="46"/>
        <v>1119.5109607180466</v>
      </c>
      <c r="BN5" s="16">
        <f t="shared" si="46"/>
        <v>1007.7383691902259</v>
      </c>
      <c r="BO5" s="16">
        <f t="shared" si="46"/>
        <v>782.08617158365541</v>
      </c>
      <c r="BP5" s="16">
        <f t="shared" si="46"/>
        <v>977.49317349862758</v>
      </c>
      <c r="BQ5" s="16">
        <f t="shared" si="46"/>
        <v>1096.3187639330467</v>
      </c>
      <c r="BR5" s="16">
        <f t="shared" si="46"/>
        <v>1298.5796713013992</v>
      </c>
      <c r="BS5" s="16">
        <f t="shared" si="46"/>
        <v>1438.3335678130345</v>
      </c>
      <c r="BT5" s="16">
        <f t="shared" si="46"/>
        <v>1591.7870794613068</v>
      </c>
      <c r="BU5" s="16">
        <f t="shared" si="46"/>
        <v>1842.7356627017311</v>
      </c>
      <c r="BV5" s="16">
        <f t="shared" si="46"/>
        <v>1745.649037012291</v>
      </c>
      <c r="BW5" s="16">
        <f t="shared" si="46"/>
        <v>1786.6283290417023</v>
      </c>
      <c r="BX5" s="16">
        <f t="shared" si="46"/>
        <v>1693.185322283643</v>
      </c>
      <c r="BY5" s="16">
        <f t="shared" si="46"/>
        <v>1499.8679666029989</v>
      </c>
      <c r="BZ5" s="16">
        <f t="shared" si="46"/>
        <v>1433.8946277561026</v>
      </c>
      <c r="CA5" s="16">
        <f t="shared" si="46"/>
        <v>940.02288187486829</v>
      </c>
      <c r="CB5" s="16">
        <f t="shared" si="46"/>
        <v>647.81926584875885</v>
      </c>
      <c r="CC5" s="16">
        <f t="shared" si="46"/>
        <v>387.74188592878789</v>
      </c>
      <c r="CD5" s="16">
        <f t="shared" si="46"/>
        <v>111.41196444489051</v>
      </c>
      <c r="CE5" s="16">
        <f t="shared" si="46"/>
        <v>23.49817629256162</v>
      </c>
      <c r="CF5" s="11">
        <f>SUM(BK5:CE5)</f>
        <v>23282.296065751529</v>
      </c>
      <c r="CG5" s="11">
        <f t="shared" si="20"/>
        <v>1263.5676269945457</v>
      </c>
      <c r="CH5" s="11">
        <f t="shared" si="21"/>
        <v>649.35205812526374</v>
      </c>
      <c r="CI5" s="11">
        <f t="shared" si="3"/>
        <v>6737.4420910326116</v>
      </c>
      <c r="CJ5" s="11">
        <f t="shared" si="22"/>
        <v>3544.3888021459697</v>
      </c>
      <c r="CK5" s="15">
        <f t="shared" si="23"/>
        <v>0.28938048343708894</v>
      </c>
      <c r="CL5" s="15">
        <f t="shared" si="24"/>
        <v>0.15223536339097579</v>
      </c>
      <c r="CM5" s="11">
        <f t="shared" si="25"/>
        <v>4154.477780316729</v>
      </c>
      <c r="CO5" s="7" t="str">
        <f t="shared" si="26"/>
        <v>2025_3</v>
      </c>
      <c r="CP5" s="30">
        <f>CP4</f>
        <v>2025</v>
      </c>
      <c r="CQ5" s="5" t="s">
        <v>23</v>
      </c>
      <c r="CR5" s="16">
        <f>CR3+CR4</f>
        <v>873.55810419098793</v>
      </c>
      <c r="CS5" s="16">
        <f t="shared" ref="CS5" si="47">CS3+CS4</f>
        <v>986.43508427286281</v>
      </c>
      <c r="CT5" s="16">
        <f t="shared" ref="CT5" si="48">CT3+CT4</f>
        <v>1121.5109607180466</v>
      </c>
      <c r="CU5" s="16">
        <f t="shared" ref="CU5" si="49">CU3+CU4</f>
        <v>1007.7383691902259</v>
      </c>
      <c r="CV5" s="16">
        <f t="shared" ref="CV5" si="50">CV3+CV4</f>
        <v>782.08617158365541</v>
      </c>
      <c r="CW5" s="16">
        <f t="shared" ref="CW5" si="51">CW3+CW4</f>
        <v>981.49317349862758</v>
      </c>
      <c r="CX5" s="16">
        <f t="shared" ref="CX5" si="52">CX3+CX4</f>
        <v>1096.3187639330467</v>
      </c>
      <c r="CY5" s="16">
        <f t="shared" ref="CY5" si="53">CY3+CY4</f>
        <v>1298.5796713013992</v>
      </c>
      <c r="CZ5" s="16">
        <f t="shared" ref="CZ5" si="54">CZ3+CZ4</f>
        <v>1439.3335678130345</v>
      </c>
      <c r="DA5" s="16">
        <f t="shared" ref="DA5" si="55">DA3+DA4</f>
        <v>1591.7870794613068</v>
      </c>
      <c r="DB5" s="16">
        <f t="shared" ref="DB5" si="56">DB3+DB4</f>
        <v>1842.7356627017311</v>
      </c>
      <c r="DC5" s="16">
        <f t="shared" ref="DC5" si="57">DC3+DC4</f>
        <v>1745.649037012291</v>
      </c>
      <c r="DD5" s="16">
        <f t="shared" ref="DD5" si="58">DD3+DD4</f>
        <v>1786.6283290417023</v>
      </c>
      <c r="DE5" s="16">
        <f t="shared" ref="DE5" si="59">DE3+DE4</f>
        <v>1693.185322283643</v>
      </c>
      <c r="DF5" s="16">
        <f t="shared" ref="DF5" si="60">DF3+DF4</f>
        <v>1499.8679666029989</v>
      </c>
      <c r="DG5" s="16">
        <f t="shared" ref="DG5" si="61">DG3+DG4</f>
        <v>1433.8946277561026</v>
      </c>
      <c r="DH5" s="16">
        <f t="shared" ref="DH5" si="62">DH3+DH4</f>
        <v>940.02288187486829</v>
      </c>
      <c r="DI5" s="16">
        <f t="shared" ref="DI5" si="63">DI3+DI4</f>
        <v>647.81926584875885</v>
      </c>
      <c r="DJ5" s="16">
        <f t="shared" ref="DJ5" si="64">DJ3+DJ4</f>
        <v>387.74188592878789</v>
      </c>
      <c r="DK5" s="16">
        <f t="shared" ref="DK5" si="65">DK3+DK4</f>
        <v>111.41196444489051</v>
      </c>
      <c r="DL5" s="16">
        <f t="shared" ref="DL5" si="66">DL3+DL4</f>
        <v>23.49817629256162</v>
      </c>
      <c r="DM5" s="11">
        <f>SUM(CR5:DL5)</f>
        <v>23291.296065751529</v>
      </c>
      <c r="DN5" s="11">
        <f t="shared" si="34"/>
        <v>1264.7676269945457</v>
      </c>
      <c r="DO5" s="11">
        <f t="shared" si="35"/>
        <v>650.15205812526381</v>
      </c>
      <c r="DP5" s="11">
        <f t="shared" si="6"/>
        <v>6737.4420910326116</v>
      </c>
      <c r="DQ5" s="11">
        <f t="shared" si="36"/>
        <v>3544.3888021459697</v>
      </c>
      <c r="DR5" s="15">
        <f t="shared" si="37"/>
        <v>0.28926866379667127</v>
      </c>
      <c r="DS5" s="15">
        <f t="shared" si="38"/>
        <v>0.15217653805696899</v>
      </c>
      <c r="DT5" s="11">
        <f>SUM(CV5:CY5)</f>
        <v>4158.477780316729</v>
      </c>
      <c r="DV5" s="289"/>
      <c r="DW5" s="290"/>
      <c r="DX5" s="30">
        <f>DX4</f>
        <v>2025</v>
      </c>
      <c r="DY5" s="5" t="s">
        <v>23</v>
      </c>
      <c r="DZ5" s="16">
        <f>DZ3+DZ4</f>
        <v>871.55810419098793</v>
      </c>
      <c r="EA5" s="16">
        <f t="shared" ref="EA5:ET5" si="67">EA3+EA4</f>
        <v>986.43508427286281</v>
      </c>
      <c r="EB5" s="16">
        <f t="shared" si="67"/>
        <v>1119.5109607180466</v>
      </c>
      <c r="EC5" s="16">
        <f t="shared" si="67"/>
        <v>1007.7383691902259</v>
      </c>
      <c r="ED5" s="16">
        <f t="shared" si="67"/>
        <v>782.08617158365541</v>
      </c>
      <c r="EE5" s="16">
        <f t="shared" si="67"/>
        <v>1211.4931734986276</v>
      </c>
      <c r="EF5" s="16">
        <f t="shared" si="67"/>
        <v>1330.3187639330467</v>
      </c>
      <c r="EG5" s="16">
        <f t="shared" si="67"/>
        <v>1532.5796713013992</v>
      </c>
      <c r="EH5" s="16">
        <f t="shared" si="67"/>
        <v>1438.3335678130345</v>
      </c>
      <c r="EI5" s="16">
        <f t="shared" si="67"/>
        <v>1591.7870794613068</v>
      </c>
      <c r="EJ5" s="16">
        <f t="shared" si="67"/>
        <v>1842.7356627017311</v>
      </c>
      <c r="EK5" s="16">
        <f t="shared" si="67"/>
        <v>1745.649037012291</v>
      </c>
      <c r="EL5" s="16">
        <f t="shared" si="67"/>
        <v>1786.6283290417023</v>
      </c>
      <c r="EM5" s="16">
        <f t="shared" si="67"/>
        <v>1693.185322283643</v>
      </c>
      <c r="EN5" s="16">
        <f t="shared" si="67"/>
        <v>1499.8679666029989</v>
      </c>
      <c r="EO5" s="16">
        <f t="shared" si="67"/>
        <v>1433.8946277561026</v>
      </c>
      <c r="EP5" s="16">
        <f t="shared" si="67"/>
        <v>940.02288187486829</v>
      </c>
      <c r="EQ5" s="16">
        <f t="shared" si="67"/>
        <v>647.81926584875885</v>
      </c>
      <c r="ER5" s="16">
        <f t="shared" si="67"/>
        <v>387.74188592878789</v>
      </c>
      <c r="ES5" s="16">
        <f t="shared" si="67"/>
        <v>111.41196444489051</v>
      </c>
      <c r="ET5" s="16">
        <f t="shared" si="67"/>
        <v>23.49817629256162</v>
      </c>
      <c r="EU5" s="11">
        <f>SUM(DZ5:ET5)</f>
        <v>23984.296065751529</v>
      </c>
      <c r="EV5" s="11">
        <f t="shared" si="41"/>
        <v>1263.5676269945457</v>
      </c>
      <c r="EW5" s="11">
        <f t="shared" si="42"/>
        <v>649.35205812526374</v>
      </c>
      <c r="EX5" s="11">
        <f t="shared" si="10"/>
        <v>6737.4420910326116</v>
      </c>
      <c r="EY5" s="11">
        <f t="shared" si="43"/>
        <v>3544.3888021459697</v>
      </c>
      <c r="EZ5" s="15">
        <f t="shared" si="44"/>
        <v>0.28091056216794158</v>
      </c>
      <c r="FA5" s="15">
        <f t="shared" si="45"/>
        <v>0.14777956344556611</v>
      </c>
      <c r="FB5" s="11">
        <f>SUM(ED5:EG5)</f>
        <v>4856.477780316729</v>
      </c>
    </row>
    <row r="6" spans="1:158" x14ac:dyDescent="0.15">
      <c r="A6" s="7" t="str">
        <f t="shared" si="11"/>
        <v>2010_1</v>
      </c>
      <c r="B6" s="28">
        <v>2010</v>
      </c>
      <c r="C6" s="3" t="s">
        <v>21</v>
      </c>
      <c r="D6" s="9">
        <v>521.74716527369026</v>
      </c>
      <c r="E6" s="9">
        <v>591.12955031735748</v>
      </c>
      <c r="F6" s="9">
        <v>747.34335871599035</v>
      </c>
      <c r="G6" s="9">
        <v>679.71973659923322</v>
      </c>
      <c r="H6" s="9">
        <v>475.38259585735813</v>
      </c>
      <c r="I6" s="9">
        <v>540.902222176583</v>
      </c>
      <c r="J6" s="9">
        <v>718.4682981944876</v>
      </c>
      <c r="K6" s="9">
        <v>822.91697466215828</v>
      </c>
      <c r="L6" s="9">
        <v>755.85119522515072</v>
      </c>
      <c r="M6" s="9">
        <v>855.807717422829</v>
      </c>
      <c r="N6" s="9">
        <v>814.07797606805514</v>
      </c>
      <c r="O6" s="9">
        <v>756.49441310201848</v>
      </c>
      <c r="P6" s="9">
        <v>784.98076372410253</v>
      </c>
      <c r="Q6" s="9">
        <v>566.76437098344354</v>
      </c>
      <c r="R6" s="9">
        <v>497.86482081012792</v>
      </c>
      <c r="S6" s="9">
        <v>398.87527849060012</v>
      </c>
      <c r="T6" s="9">
        <v>314.32145399375247</v>
      </c>
      <c r="U6" s="9">
        <v>132.00864527641519</v>
      </c>
      <c r="V6" s="9">
        <v>33.293780381913621</v>
      </c>
      <c r="W6" s="9">
        <v>10.023641058066238</v>
      </c>
      <c r="X6" s="9">
        <v>2.026041666666667</v>
      </c>
      <c r="Y6" s="9">
        <f t="shared" ref="Y6:Y11" si="68">SUM(D6:X6)</f>
        <v>11020</v>
      </c>
      <c r="Z6" s="9">
        <f t="shared" si="12"/>
        <v>803.08374542000877</v>
      </c>
      <c r="AA6" s="9">
        <f t="shared" si="13"/>
        <v>434.88129080624276</v>
      </c>
      <c r="AB6" s="9">
        <f t="shared" si="0"/>
        <v>1955.1780326609858</v>
      </c>
      <c r="AC6" s="9">
        <f t="shared" si="14"/>
        <v>890.54884086741436</v>
      </c>
      <c r="AD6" s="13">
        <f t="shared" si="15"/>
        <v>0.1774208741071675</v>
      </c>
      <c r="AE6" s="13">
        <f t="shared" si="16"/>
        <v>8.0812054525173718E-2</v>
      </c>
      <c r="AF6" s="9">
        <f t="shared" si="17"/>
        <v>2557.6700908905868</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1.0076455951679495</v>
      </c>
      <c r="AN6" s="193">
        <f t="shared" si="18"/>
        <v>1.0552167687070435</v>
      </c>
      <c r="AO6" s="193">
        <f t="shared" si="18"/>
        <v>1.0352615430362846</v>
      </c>
      <c r="AP6" s="193">
        <f t="shared" si="18"/>
        <v>0.84829462640407394</v>
      </c>
      <c r="AQ6" s="193">
        <f t="shared" si="18"/>
        <v>0.9883933224617063</v>
      </c>
      <c r="AR6" s="193">
        <f t="shared" si="18"/>
        <v>1.0107998063938353</v>
      </c>
      <c r="AS6" s="193">
        <f t="shared" si="18"/>
        <v>1.0513714727175205</v>
      </c>
      <c r="AT6" s="193">
        <f t="shared" si="18"/>
        <v>1.0182890120262562</v>
      </c>
      <c r="AU6" s="193">
        <f t="shared" si="18"/>
        <v>0.98162880220256499</v>
      </c>
      <c r="AV6" s="193">
        <f t="shared" si="18"/>
        <v>0.99007902458935859</v>
      </c>
      <c r="AW6" s="193">
        <f t="shared" si="18"/>
        <v>0.98030989141375136</v>
      </c>
      <c r="AX6" s="193">
        <f t="shared" si="18"/>
        <v>0.95681838538215025</v>
      </c>
      <c r="AY6" s="193">
        <f t="shared" si="18"/>
        <v>0.99154735637954405</v>
      </c>
      <c r="AZ6" s="193">
        <f t="shared" si="18"/>
        <v>0.99847173963990887</v>
      </c>
      <c r="BA6" s="193">
        <f t="shared" si="18"/>
        <v>0.92796489836958784</v>
      </c>
      <c r="BB6" s="193">
        <f t="shared" si="18"/>
        <v>0.906136656752908</v>
      </c>
      <c r="BC6" s="193">
        <f t="shared" si="18"/>
        <v>0.73286069581546132</v>
      </c>
      <c r="BD6" s="193">
        <f t="shared" si="18"/>
        <v>0.59011131314840581</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0.43538402061486081</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0.30895855892419244</v>
      </c>
      <c r="BH6" s="7" t="str">
        <f t="shared" si="19"/>
        <v>2030_1</v>
      </c>
      <c r="BI6" s="28">
        <f>管理者入力シート!B9</f>
        <v>2030</v>
      </c>
      <c r="BJ6" s="3" t="s">
        <v>21</v>
      </c>
      <c r="BK6" s="9">
        <f>CM7*$AK$13</f>
        <v>386.12308688056891</v>
      </c>
      <c r="BL6" s="9">
        <f>IF(管理者入力シート!$B$14=1,BK3*管理者用人口入力シート!AM$3,IF(管理者入力シート!$B$14=2,BK3*管理者用人口入力シート!AM$7))</f>
        <v>441.11486030937351</v>
      </c>
      <c r="BM6" s="9">
        <f>IF(管理者入力シート!$B$14=1,BL3*管理者用人口入力シート!AN$3,IF(管理者入力シート!$B$14=2,BL3*管理者用人口入力シート!AN$7))</f>
        <v>519.26595837125706</v>
      </c>
      <c r="BN6" s="9">
        <f>IF(管理者入力シート!$B$14=1,BM3*管理者用人口入力シート!AO$3,IF(管理者入力シート!$B$14=2,BM3*管理者用人口入力シート!AO$7))</f>
        <v>512.61856373345063</v>
      </c>
      <c r="BO6" s="9">
        <f>IF(管理者入力シート!$B$14=1,BN3*管理者用人口入力シート!AP$3,IF(管理者入力シート!$B$14=2,BN3*管理者用人口入力シート!AP$7))</f>
        <v>337.91365905347067</v>
      </c>
      <c r="BP6" s="9">
        <f>IF(管理者入力シート!$B$14=1,BO3*管理者用人口入力シート!AQ$3,IF(管理者入力シート!$B$14=2,BO3*管理者用人口入力シート!AQ$7))</f>
        <v>371.36417434481154</v>
      </c>
      <c r="BQ6" s="9">
        <f>IF(管理者入力シート!$B$14=1,BP3*管理者用人口入力シート!AR$3,IF(管理者入力シート!$B$14=2,BP3*管理者用人口入力シート!AR$7))</f>
        <v>551.21024703279227</v>
      </c>
      <c r="BR6" s="9">
        <f>IF(管理者入力シート!$B$14=1,BQ3*管理者用人口入力シート!AS$3,IF(管理者入力シート!$B$14=2,BQ3*管理者用人口入力シート!AS$7))</f>
        <v>552.84835612251618</v>
      </c>
      <c r="BS6" s="9">
        <f>IF(管理者入力シート!$B$14=1,BR3*管理者用人口入力シート!AT$3,IF(管理者入力シート!$B$14=2,BR3*管理者用人口入力シート!AT$7))</f>
        <v>671.12891032677624</v>
      </c>
      <c r="BT6" s="9">
        <f>IF(管理者入力シート!$B$14=1,BS3*管理者用人口入力シート!AU$3,IF(管理者入力シート!$B$14=2,BS3*管理者用人口入力シート!AU$7))</f>
        <v>730.87828370581758</v>
      </c>
      <c r="BU6" s="9">
        <f>IF(管理者入力シート!$B$14=1,BT3*管理者用人口入力シート!AV$3,IF(管理者入力シート!$B$14=2,BT3*管理者用人口入力シート!AV$7))</f>
        <v>794.44493479527057</v>
      </c>
      <c r="BV6" s="9">
        <f>IF(管理者入力シート!$B$14=1,BU3*管理者用人口入力シート!AW$3,IF(管理者入力シート!$B$14=2,BU3*管理者用人口入力シート!AW$7))</f>
        <v>902.29710961414423</v>
      </c>
      <c r="BW6" s="9">
        <f>IF(管理者入力シート!$B$14=1,BV3*管理者用人口入力シート!AX$3,IF(管理者入力シート!$B$14=2,BV3*管理者用人口入力シート!AX$7))</f>
        <v>807.7006512931697</v>
      </c>
      <c r="BX6" s="9">
        <f>IF(管理者入力シート!$B$14=1,BW3*管理者用人口入力シート!AY$3,IF(管理者入力シート!$B$14=2,BW3*管理者用人口入力シート!AY$7))</f>
        <v>858.4317615892262</v>
      </c>
      <c r="BY6" s="9">
        <f>IF(管理者入力シート!$B$14=1,BX3*管理者用人口入力シート!AZ$3,IF(管理者入力シート!$B$14=2,BX3*管理者用人口入力シート!AZ$7))</f>
        <v>760.07771221625012</v>
      </c>
      <c r="BZ6" s="9">
        <f>IF(管理者入力シート!$B$14=1,BY3*管理者用人口入力シート!BA$3,IF(管理者入力シート!$B$14=2,BY3*管理者用人口入力シート!BA$7))</f>
        <v>615.13628441575111</v>
      </c>
      <c r="CA6" s="9">
        <f>IF(管理者入力シート!$B$14=1,BZ3*管理者用人口入力シート!BB$3,IF(管理者入力シート!$B$14=2,BZ3*管理者用人口入力シート!BB$7))</f>
        <v>501.00940659069931</v>
      </c>
      <c r="CB6" s="9">
        <f>IF(管理者入力シート!$B$14=1,CA3*管理者用人口入力シート!BC$3,IF(管理者入力シート!$B$14=2,CA3*管理者用人口入力シート!BC$7))</f>
        <v>251.05107406167545</v>
      </c>
      <c r="CC6" s="9">
        <f>IF(管理者入力シート!$B$14=1,CB3*管理者用人口入力シート!BD$3,IF(管理者入力シート!$B$14=2,CB3*管理者用人口入力シート!BD$7))</f>
        <v>125.48747316133473</v>
      </c>
      <c r="CD6" s="9">
        <f>IF(管理者入力シート!$B$14=1,CC3*管理者用人口入力シート!BE$3,IF(管理者入力シート!$B$14=2,CC3*管理者用人口入力シート!BE$7))</f>
        <v>24.033852614831439</v>
      </c>
      <c r="CE6" s="9">
        <f>IF(管理者入力シート!$B$14=1,CD3*管理者用人口入力シート!BF$3,IF(管理者入力シート!$B$14=2,CD3*管理者用人口入力シート!BF$7))</f>
        <v>6.3571470659547931</v>
      </c>
      <c r="CF6" s="9">
        <f t="shared" si="2"/>
        <v>10720.493507299143</v>
      </c>
      <c r="CG6" s="9">
        <f t="shared" si="20"/>
        <v>576.22849120837839</v>
      </c>
      <c r="CH6" s="9">
        <f t="shared" si="21"/>
        <v>310.23009609519295</v>
      </c>
      <c r="CI6" s="9">
        <f t="shared" si="3"/>
        <v>3141.5847117157236</v>
      </c>
      <c r="CJ6" s="9">
        <f t="shared" si="22"/>
        <v>1523.0752379102469</v>
      </c>
      <c r="CK6" s="13">
        <f t="shared" si="23"/>
        <v>0.29304478469920697</v>
      </c>
      <c r="CL6" s="13">
        <f t="shared" si="24"/>
        <v>0.14207137356813357</v>
      </c>
      <c r="CM6" s="9">
        <f t="shared" si="25"/>
        <v>1813.3364365535906</v>
      </c>
      <c r="CO6" s="7" t="str">
        <f t="shared" si="26"/>
        <v>2030_1</v>
      </c>
      <c r="CP6" s="28">
        <f>管理者入力シート!B9</f>
        <v>2030</v>
      </c>
      <c r="CQ6" s="3" t="s">
        <v>21</v>
      </c>
      <c r="CR6" s="9">
        <f>DT7*$AK$13+将来予測シート②!$G17</f>
        <v>387.94935443220942</v>
      </c>
      <c r="CS6" s="9">
        <f>IF(管理者入力シート!$B$14=1,CR3*管理者用人口入力シート!AM$3,IF(管理者入力シート!$B$14=2,CR3*管理者用人口入力シート!AM$7))+将来予測シート②!$G18</f>
        <v>442.12528617941371</v>
      </c>
      <c r="CT6" s="9">
        <f>IF(管理者入力シート!$B$14=1,CS3*管理者用人口入力シート!AN$3,IF(管理者入力シート!$B$14=2,CS3*管理者用人口入力シート!AN$7))+将来予測シート②!$G19</f>
        <v>520.26595837125706</v>
      </c>
      <c r="CU6" s="9">
        <f>IF(管理者入力シート!$B$14=1,CT3*管理者用人口入力シート!AO$3,IF(管理者入力シート!$B$14=2,CT3*管理者用人口入力シート!AO$7))+将来予測シート②!$G20</f>
        <v>513.53756678228001</v>
      </c>
      <c r="CV6" s="9">
        <f>IF(管理者入力シート!$B$14=1,CU3*管理者用人口入力シート!AP$3,IF(管理者入力シート!$B$14=2,CU3*管理者用人口入力シート!AP$7))+将来予測シート②!$G21</f>
        <v>337.91365905347067</v>
      </c>
      <c r="CW6" s="9">
        <f>IF(管理者入力シート!$B$14=1,CV3*管理者用人口入力シート!AQ$3,IF(管理者入力シート!$B$14=2,CV3*管理者用人口入力シート!AQ$7))+将来予測シート②!$G22</f>
        <v>373.36417434481154</v>
      </c>
      <c r="CX6" s="9">
        <f>IF(管理者入力シート!$B$14=1,CW3*管理者用人口入力シート!AR$3,IF(管理者入力シート!$B$14=2,CW3*管理者用人口入力シート!AR$7))+将来予測シート②!$G23</f>
        <v>553.51312881627166</v>
      </c>
      <c r="CY6" s="9">
        <f>IF(管理者入力シート!$B$14=1,CX3*管理者用人口入力シート!AS$3,IF(管理者入力シート!$B$14=2,CX3*管理者用人口入力シート!AS$7))+将来予測シート②!$G24</f>
        <v>552.84835612251618</v>
      </c>
      <c r="CZ6" s="9">
        <f>IF(管理者入力シート!$B$14=1,CY3*管理者用人口入力シート!AT$3,IF(管理者入力シート!$B$14=2,CY3*管理者用人口入力シート!AT$7))+将来予測シート②!$G25</f>
        <v>671.12891032677624</v>
      </c>
      <c r="DA6" s="9">
        <f>IF(管理者入力シート!$B$14=1,CZ3*管理者用人口入力シート!AU$3,IF(管理者入力シート!$B$14=2,CZ3*管理者用人口入力シート!AU$7))+将来予測シート②!$G26</f>
        <v>730.87828370581758</v>
      </c>
      <c r="DB6" s="9">
        <f>IF(管理者入力シート!$B$14=1,DA3*管理者用人口入力シート!AV$3,IF(管理者入力シート!$B$14=2,DA3*管理者用人口入力シート!AV$7))+将来予測シート②!$G27</f>
        <v>794.44493479527057</v>
      </c>
      <c r="DC6" s="9">
        <f>IF(管理者入力シート!$B$14=1,DB3*管理者用人口入力シート!AW$3,IF(管理者入力シート!$B$14=2,DB3*管理者用人口入力シート!AW$7))+将来予測シート②!$G28</f>
        <v>902.29710961414423</v>
      </c>
      <c r="DD6" s="9">
        <f>IF(管理者入力シート!$B$14=1,DC3*管理者用人口入力シート!AX$3,IF(管理者入力シート!$B$14=2,DC3*管理者用人口入力シート!AX$7))+将来予測シート②!$G29</f>
        <v>807.7006512931697</v>
      </c>
      <c r="DE6" s="9">
        <f>IF(管理者入力シート!$B$14=1,DD3*管理者用人口入力シート!AY$3,IF(管理者入力シート!$B$14=2,DD3*管理者用人口入力シート!AY$7))</f>
        <v>858.4317615892262</v>
      </c>
      <c r="DF6" s="9">
        <f>IF(管理者入力シート!$B$14=1,DE3*管理者用人口入力シート!AZ$3,IF(管理者入力シート!$B$14=2,DE3*管理者用人口入力シート!AZ$7))</f>
        <v>760.07771221625012</v>
      </c>
      <c r="DG6" s="9">
        <f>IF(管理者入力シート!$B$14=1,DF3*管理者用人口入力シート!BA$3,IF(管理者入力シート!$B$14=2,DF3*管理者用人口入力シート!BA$7))</f>
        <v>615.13628441575111</v>
      </c>
      <c r="DH6" s="9">
        <f>IF(管理者入力シート!$B$14=1,DG3*管理者用人口入力シート!BB$3,IF(管理者入力シート!$B$14=2,DG3*管理者用人口入力シート!BB$7))</f>
        <v>501.00940659069931</v>
      </c>
      <c r="DI6" s="9">
        <f>IF(管理者入力シート!$B$14=1,DH3*管理者用人口入力シート!BC$3,IF(管理者入力シート!$B$14=2,DH3*管理者用人口入力シート!BC$7))</f>
        <v>251.05107406167545</v>
      </c>
      <c r="DJ6" s="9">
        <f>IF(管理者入力シート!$B$14=1,DI3*管理者用人口入力シート!BD$3,IF(管理者入力シート!$B$14=2,DI3*管理者用人口入力シート!BD$7))</f>
        <v>125.48747316133473</v>
      </c>
      <c r="DK6" s="9">
        <f>IF(管理者入力シート!$B$14=1,DJ3*管理者用人口入力シート!BE$3,IF(管理者入力シート!$B$14=2,DJ3*管理者用人口入力シート!BE$7))</f>
        <v>24.033852614831439</v>
      </c>
      <c r="DL6" s="9">
        <f>IF(管理者入力シート!$B$14=1,DK3*管理者用人口入力シート!BF$3,IF(管理者入力シート!$B$14=2,DK3*管理者用人口入力シート!BF$7))</f>
        <v>6.3571470659547931</v>
      </c>
      <c r="DM6" s="9">
        <f t="shared" ref="DM6:DM14" si="69">SUM(CR6:DL6)</f>
        <v>10729.552085553132</v>
      </c>
      <c r="DN6" s="9">
        <f t="shared" si="34"/>
        <v>577.43474673040237</v>
      </c>
      <c r="DO6" s="9">
        <f t="shared" si="35"/>
        <v>310.81389670495884</v>
      </c>
      <c r="DP6" s="9">
        <f t="shared" si="6"/>
        <v>3141.5847117157236</v>
      </c>
      <c r="DQ6" s="9">
        <f t="shared" si="36"/>
        <v>1523.0752379102469</v>
      </c>
      <c r="DR6" s="13">
        <f t="shared" si="37"/>
        <v>0.29279737743626116</v>
      </c>
      <c r="DS6" s="13">
        <f t="shared" si="38"/>
        <v>0.14195142777311276</v>
      </c>
      <c r="DT6" s="9">
        <f t="shared" ref="DT6:DT14" si="70">SUM(CV6:CY6)</f>
        <v>1817.6393183370701</v>
      </c>
      <c r="DV6" s="7" t="s">
        <v>400</v>
      </c>
      <c r="DX6" s="28">
        <f>管理者入力シート!B9</f>
        <v>2030</v>
      </c>
      <c r="DY6" s="3" t="s">
        <v>21</v>
      </c>
      <c r="DZ6" s="9">
        <f>FB7*$AK$13</f>
        <v>506.49907206086726</v>
      </c>
      <c r="EA6" s="129">
        <f>IF(管理者入力シート!$B$14=1,DZ3*管理者用人口入力シート!AM$3,IF(管理者入力シート!$B$14=2,DZ3*管理者用人口入力シート!AM$7))</f>
        <v>441.11486030937351</v>
      </c>
      <c r="EB6" s="9">
        <f>IF(管理者入力シート!$B$14=1,EA3*管理者用人口入力シート!AN$3,IF(管理者入力シート!$B$14=2,EA3*管理者用人口入力シート!AN$7))</f>
        <v>519.26595837125706</v>
      </c>
      <c r="EC6" s="9">
        <f>IF(管理者入力シート!$B$14=1,EB3*管理者用人口入力シート!AO$3,IF(管理者入力シート!$B$14=2,EB3*管理者用人口入力シート!AO$7))</f>
        <v>512.61856373345063</v>
      </c>
      <c r="ED6" s="9">
        <f>IF(管理者入力シート!$B$14=1,EC3*管理者用人口入力シート!AP$3,IF(管理者入力シート!$B$14=2,EC3*管理者用人口入力シート!AP$7))</f>
        <v>337.91365905347067</v>
      </c>
      <c r="EE6" s="9">
        <f>IF(管理者入力シート!$B$14=1,ED3*管理者用人口入力シート!AQ$3,IF(管理者入力シート!$B$14=2,ED3*管理者用人口入力シート!AQ$7))+DX1</f>
        <v>488.36417434481154</v>
      </c>
      <c r="EF6" s="9">
        <f>IF(管理者入力シート!$B$14=1,EE3*管理者用人口入力シート!AR$3,IF(管理者入力シート!$B$14=2,EE3*管理者用人口入力シート!AR$7))+DX1</f>
        <v>802.92883136634043</v>
      </c>
      <c r="EG6" s="9">
        <f>IF(管理者入力シート!$B$14=1,EF3*管理者用人口入力シート!AS$3,IF(管理者入力シート!$B$14=2,EF3*管理者用人口入力シート!AS$7))+DX1</f>
        <v>793.02608382446101</v>
      </c>
      <c r="EH6" s="9">
        <f>IF(管理者入力シート!$B$14=1,EG3*管理者用人口入力シート!AT$3,IF(管理者入力シート!$B$14=2,EG3*管理者用人口入力シート!AT$7))</f>
        <v>795.68720646118322</v>
      </c>
      <c r="EI6" s="9">
        <f>IF(管理者入力シート!$B$14=1,EH3*管理者用人口入力シート!AU$3,IF(管理者入力シート!$B$14=2,EH3*管理者用人口入力シート!AU$7))</f>
        <v>730.87828370581758</v>
      </c>
      <c r="EJ6" s="9">
        <f>IF(管理者入力シート!$B$14=1,EI3*管理者用人口入力シート!AV$3,IF(管理者入力シート!$B$14=2,EI3*管理者用人口入力シート!AV$7))</f>
        <v>794.44493479527057</v>
      </c>
      <c r="EK6" s="9">
        <f>IF(管理者入力シート!$B$14=1,EJ3*管理者用人口入力シート!AW$3,IF(管理者入力シート!$B$14=2,EJ3*管理者用人口入力シート!AW$7))</f>
        <v>902.29710961414423</v>
      </c>
      <c r="EL6" s="9">
        <f>IF(管理者入力シート!$B$14=1,EK3*管理者用人口入力シート!AX$3,IF(管理者入力シート!$B$14=2,EK3*管理者用人口入力シート!AX$7))</f>
        <v>807.7006512931697</v>
      </c>
      <c r="EM6" s="9">
        <f>IF(管理者入力シート!$B$14=1,EL3*管理者用人口入力シート!AY$3,IF(管理者入力シート!$B$14=2,EL3*管理者用人口入力シート!AY$7))</f>
        <v>858.4317615892262</v>
      </c>
      <c r="EN6" s="9">
        <f>IF(管理者入力シート!$B$14=1,EM3*管理者用人口入力シート!AZ$3,IF(管理者入力シート!$B$14=2,EM3*管理者用人口入力シート!AZ$7))</f>
        <v>760.07771221625012</v>
      </c>
      <c r="EO6" s="9">
        <f>IF(管理者入力シート!$B$14=1,EN3*管理者用人口入力シート!BA$3,IF(管理者入力シート!$B$14=2,EN3*管理者用人口入力シート!BA$7))</f>
        <v>615.13628441575111</v>
      </c>
      <c r="EP6" s="9">
        <f>IF(管理者入力シート!$B$14=1,EO3*管理者用人口入力シート!BB$3,IF(管理者入力シート!$B$14=2,EO3*管理者用人口入力シート!BB$7))</f>
        <v>501.00940659069931</v>
      </c>
      <c r="EQ6" s="9">
        <f>IF(管理者入力シート!$B$14=1,EP3*管理者用人口入力シート!BC$3,IF(管理者入力シート!$B$14=2,EP3*管理者用人口入力シート!BC$7))</f>
        <v>251.05107406167545</v>
      </c>
      <c r="ER6" s="9">
        <f>IF(管理者入力シート!$B$14=1,EQ3*管理者用人口入力シート!BD$3,IF(管理者入力シート!$B$14=2,EQ3*管理者用人口入力シート!BD$7))</f>
        <v>125.48747316133473</v>
      </c>
      <c r="ES6" s="9">
        <f>IF(管理者入力シート!$B$14=1,ER3*管理者用人口入力シート!BE$3,IF(管理者入力シート!$B$14=2,ER3*管理者用人口入力シート!BE$7))</f>
        <v>24.033852614831439</v>
      </c>
      <c r="ET6" s="9">
        <f>IF(管理者入力シート!$B$14=1,ES3*管理者用人口入力シート!BF$3,IF(管理者入力シート!$B$14=2,ES3*管理者用人口入力シート!BF$7))</f>
        <v>6.3571470659547931</v>
      </c>
      <c r="EU6" s="9">
        <f t="shared" ref="EU6:EU14" si="71">SUM(DZ6:ET6)</f>
        <v>11574.324100649344</v>
      </c>
      <c r="EV6" s="9">
        <f t="shared" si="41"/>
        <v>576.22849120837839</v>
      </c>
      <c r="EW6" s="9">
        <f t="shared" si="42"/>
        <v>310.23009609519295</v>
      </c>
      <c r="EX6" s="9">
        <f t="shared" si="10"/>
        <v>3141.5847117157236</v>
      </c>
      <c r="EY6" s="9">
        <f t="shared" si="43"/>
        <v>1523.0752379102469</v>
      </c>
      <c r="EZ6" s="13">
        <f t="shared" si="44"/>
        <v>0.271427055644612</v>
      </c>
      <c r="FA6" s="13">
        <f t="shared" si="45"/>
        <v>0.13159085789076869</v>
      </c>
      <c r="FB6" s="9">
        <f t="shared" ref="FB6:FB14" si="72">SUM(ED6:EG6)</f>
        <v>2422.2327485890837</v>
      </c>
    </row>
    <row r="7" spans="1:158" x14ac:dyDescent="0.15">
      <c r="A7" s="7" t="str">
        <f t="shared" si="11"/>
        <v>2010_2</v>
      </c>
      <c r="B7" s="29">
        <v>2010</v>
      </c>
      <c r="C7" s="4" t="s">
        <v>22</v>
      </c>
      <c r="D7" s="10">
        <v>497.62975121998835</v>
      </c>
      <c r="E7" s="10">
        <v>557.62039085906406</v>
      </c>
      <c r="F7" s="10">
        <v>710.16028554982086</v>
      </c>
      <c r="G7" s="10">
        <v>690.75205824832403</v>
      </c>
      <c r="H7" s="10">
        <v>587.06724951354909</v>
      </c>
      <c r="I7" s="10">
        <v>658.3929947986735</v>
      </c>
      <c r="J7" s="10">
        <v>756.60705240667971</v>
      </c>
      <c r="K7" s="10">
        <v>917.34484736427919</v>
      </c>
      <c r="L7" s="10">
        <v>960.82139819788415</v>
      </c>
      <c r="M7" s="10">
        <v>933.69608686159063</v>
      </c>
      <c r="N7" s="10">
        <v>892.29967643383486</v>
      </c>
      <c r="O7" s="10">
        <v>843.44777075563968</v>
      </c>
      <c r="P7" s="10">
        <v>889.55470475412085</v>
      </c>
      <c r="Q7" s="10">
        <v>663.43206833541944</v>
      </c>
      <c r="R7" s="10">
        <v>636.23760266792658</v>
      </c>
      <c r="S7" s="10">
        <v>647.01368184413275</v>
      </c>
      <c r="T7" s="10">
        <v>480.12729407325116</v>
      </c>
      <c r="U7" s="10">
        <v>309.96968113635836</v>
      </c>
      <c r="V7" s="10">
        <v>157.57404226806065</v>
      </c>
      <c r="W7" s="10">
        <v>52.234253907096118</v>
      </c>
      <c r="X7" s="10">
        <v>8.0171088043060372</v>
      </c>
      <c r="Y7" s="10">
        <f t="shared" si="68"/>
        <v>12850.000000000002</v>
      </c>
      <c r="Z7" s="10">
        <f t="shared" si="12"/>
        <v>760.66840584533088</v>
      </c>
      <c r="AA7" s="10">
        <f t="shared" si="13"/>
        <v>422.21452586959316</v>
      </c>
      <c r="AB7" s="10">
        <f t="shared" si="0"/>
        <v>2954.6057330365511</v>
      </c>
      <c r="AC7" s="10">
        <f t="shared" si="14"/>
        <v>1654.936062033205</v>
      </c>
      <c r="AD7" s="14">
        <f t="shared" si="15"/>
        <v>0.2299304072401985</v>
      </c>
      <c r="AE7" s="14">
        <f t="shared" si="16"/>
        <v>0.12878879860180581</v>
      </c>
      <c r="AF7" s="10">
        <f t="shared" si="17"/>
        <v>2919.4121440831814</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1.010425870040246</v>
      </c>
      <c r="AN7" s="48">
        <f t="shared" si="73"/>
        <v>1.0613284353839718</v>
      </c>
      <c r="AO7" s="48">
        <f t="shared" si="73"/>
        <v>0.91900304882943895</v>
      </c>
      <c r="AP7" s="48">
        <f t="shared" si="73"/>
        <v>0.65172427304483849</v>
      </c>
      <c r="AQ7" s="48">
        <f t="shared" si="73"/>
        <v>1.0495540280777154</v>
      </c>
      <c r="AR7" s="48">
        <f t="shared" si="73"/>
        <v>1.1514408917397292</v>
      </c>
      <c r="AS7" s="48">
        <f t="shared" si="73"/>
        <v>1.0528010914696133</v>
      </c>
      <c r="AT7" s="48">
        <f t="shared" si="73"/>
        <v>1.0646008216615985</v>
      </c>
      <c r="AU7" s="48">
        <f t="shared" si="73"/>
        <v>1.0223004236302009</v>
      </c>
      <c r="AV7" s="48">
        <f t="shared" si="73"/>
        <v>1.0158105127190586</v>
      </c>
      <c r="AW7" s="48">
        <f t="shared" si="73"/>
        <v>0.99233756908514148</v>
      </c>
      <c r="AX7" s="48">
        <f t="shared" si="73"/>
        <v>1.0315523248771254</v>
      </c>
      <c r="AY7" s="48">
        <f t="shared" si="73"/>
        <v>0.97444576649844405</v>
      </c>
      <c r="AZ7" s="48">
        <f t="shared" si="73"/>
        <v>0.92677554327277711</v>
      </c>
      <c r="BA7" s="48">
        <f t="shared" si="73"/>
        <v>0.86949431713436376</v>
      </c>
      <c r="BB7" s="48">
        <f t="shared" si="73"/>
        <v>0.82863349043391632</v>
      </c>
      <c r="BC7" s="48">
        <f t="shared" si="73"/>
        <v>0.66747371046801063</v>
      </c>
      <c r="BD7" s="48">
        <f t="shared" si="73"/>
        <v>0.50136213639446237</v>
      </c>
      <c r="BE7" s="48">
        <f t="shared" si="73"/>
        <v>0.2165508671462347</v>
      </c>
      <c r="BF7" s="48">
        <f t="shared" si="73"/>
        <v>0.2786487346736255</v>
      </c>
      <c r="BH7" s="7" t="str">
        <f t="shared" si="19"/>
        <v>2030_2</v>
      </c>
      <c r="BI7" s="29">
        <f>BI6</f>
        <v>2030</v>
      </c>
      <c r="BJ7" s="4" t="s">
        <v>22</v>
      </c>
      <c r="BK7" s="10">
        <f>CM7*$AK$14</f>
        <v>384.73579984287835</v>
      </c>
      <c r="BL7" s="10">
        <f>IF(管理者入力シート!$B$14=1,BK4*管理者用人口入力シート!AM$4,IF(管理者入力シート!$B$14=2,BK4*管理者用人口入力シート!AM$8))</f>
        <v>448.25036972569404</v>
      </c>
      <c r="BM7" s="10">
        <f>IF(管理者入力シート!$B$14=1,BL4*管理者用人口入力シート!AN$4,IF(管理者入力シート!$B$14=2,BL4*管理者用人口入力シート!AN$8))</f>
        <v>508.05664871247041</v>
      </c>
      <c r="BN7" s="10">
        <f>IF(管理者入力シート!$B$14=1,BM4*管理者用人口入力シート!AO$4,IF(管理者入力シート!$B$14=2,BM4*管理者用人口入力シート!AO$8))</f>
        <v>553.8130106033783</v>
      </c>
      <c r="BO7" s="10">
        <f>IF(管理者入力シート!$B$14=1,BN4*管理者用人口入力シート!AP$4,IF(管理者入力シート!$B$14=2,BN4*管理者用人口入力シート!AP$8))</f>
        <v>379.22983338412337</v>
      </c>
      <c r="BP7" s="10">
        <f>IF(管理者入力シート!$B$14=1,BO4*管理者用人口入力シート!AQ$4,IF(管理者入力シート!$B$14=2,BO4*管理者用人口入力シート!AQ$8))</f>
        <v>410.2068309815163</v>
      </c>
      <c r="BQ7" s="10">
        <f>IF(管理者入力シート!$B$14=1,BP4*管理者用人口入力シート!AR$4,IF(管理者入力シート!$B$14=2,BP4*管理者用人口入力シート!AR$8))</f>
        <v>523.78911634465032</v>
      </c>
      <c r="BR7" s="10">
        <f>IF(管理者入力シート!$B$14=1,BQ4*管理者用人口入力シート!AS$4,IF(管理者入力シート!$B$14=2,BQ4*管理者用人口入力シート!AS$8))</f>
        <v>602.87714397103207</v>
      </c>
      <c r="BS7" s="10">
        <f>IF(管理者入力シート!$B$14=1,BR4*管理者用人口入力シート!AT$4,IF(管理者入力シート!$B$14=2,BR4*管理者用人口入力シート!AT$8))</f>
        <v>685.47053504887037</v>
      </c>
      <c r="BT7" s="10">
        <f>IF(管理者入力シート!$B$14=1,BS4*管理者用人口入力シート!AU$4,IF(管理者入力シート!$B$14=2,BS4*管理者用人口入力シート!AU$8))</f>
        <v>712.4486383155006</v>
      </c>
      <c r="BU7" s="10">
        <f>IF(管理者入力シート!$B$14=1,BT4*管理者用人口入力シート!AV$4,IF(管理者入力シート!$B$14=2,BT4*管理者用人口入力シート!AV$8))</f>
        <v>818.88116353102191</v>
      </c>
      <c r="BV7" s="10">
        <f>IF(管理者入力シート!$B$14=1,BU4*管理者用人口入力シート!AW$4,IF(管理者入力シート!$B$14=2,BU4*管理者用人口入力シート!AW$8))</f>
        <v>922.28525415909303</v>
      </c>
      <c r="BW7" s="10">
        <f>IF(管理者入力シート!$B$14=1,BV4*管理者用人口入力シート!AX$4,IF(管理者入力シート!$B$14=2,BV4*管理者用人口入力シート!AX$8))</f>
        <v>947.12347772176656</v>
      </c>
      <c r="BX7" s="10">
        <f>IF(管理者入力シート!$B$14=1,BW4*管理者用人口入力シート!AY$4,IF(管理者入力シート!$B$14=2,BW4*管理者用人口入力シート!AY$8))</f>
        <v>893.5121917798416</v>
      </c>
      <c r="BY7" s="10">
        <f>IF(管理者入力シート!$B$14=1,BX4*管理者用人口入力シート!AZ$4,IF(管理者入力シート!$B$14=2,BX4*管理者用人口入力シート!AZ$8))</f>
        <v>873.3058493683518</v>
      </c>
      <c r="BZ7" s="10">
        <f>IF(管理者入力シート!$B$14=1,BY4*管理者用人口入力シート!BA$4,IF(管理者入力シート!$B$14=2,BY4*管理者用人口入力シート!BA$8))</f>
        <v>743.4353555961959</v>
      </c>
      <c r="CA7" s="10">
        <f>IF(管理者入力シート!$B$14=1,BZ4*管理者用人口入力シート!BB$4,IF(管理者入力シート!$B$14=2,BZ4*管理者用人口入力シート!BB$8))</f>
        <v>744.2293107518808</v>
      </c>
      <c r="CB7" s="10">
        <f>IF(管理者入力シート!$B$14=1,CA4*管理者用人口入力シート!BC$4,IF(管理者入力シート!$B$14=2,CA4*管理者用人口入力シート!BC$8))</f>
        <v>427.16316780410051</v>
      </c>
      <c r="CC7" s="10">
        <f>IF(管理者入力シート!$B$14=1,CB4*管理者用人口入力シート!BD$4,IF(管理者入力シート!$B$14=2,CB4*管理者用人口入力シート!BD$8))</f>
        <v>239.66124684052144</v>
      </c>
      <c r="CD7" s="10">
        <f>IF(管理者入力シート!$B$14=1,CC4*管理者用人口入力シート!BE$4,IF(管理者入力シート!$B$14=2,CC4*管理者用人口入力シート!BE$8))</f>
        <v>113.13930685569552</v>
      </c>
      <c r="CE7" s="10">
        <f>IF(管理者入力シート!$B$14=1,CD4*管理者用人口入力シート!BF$4,IF(管理者入力シート!$B$14=2,CD4*管理者用人口入力シート!BF$8))</f>
        <v>25.299002114775725</v>
      </c>
      <c r="CF7" s="10">
        <f t="shared" si="2"/>
        <v>11956.91325345336</v>
      </c>
      <c r="CG7" s="10">
        <f t="shared" si="20"/>
        <v>573.78421106289863</v>
      </c>
      <c r="CH7" s="10">
        <f t="shared" si="21"/>
        <v>313.98526160566382</v>
      </c>
      <c r="CI7" s="10">
        <f t="shared" si="3"/>
        <v>4059.7454311113634</v>
      </c>
      <c r="CJ7" s="10">
        <f t="shared" si="22"/>
        <v>2292.9273899631698</v>
      </c>
      <c r="CK7" s="14">
        <f t="shared" si="23"/>
        <v>0.3395312272537262</v>
      </c>
      <c r="CL7" s="14">
        <f t="shared" si="24"/>
        <v>0.19176582963842556</v>
      </c>
      <c r="CM7" s="10">
        <f t="shared" si="25"/>
        <v>1916.1029246813223</v>
      </c>
      <c r="CO7" s="7" t="str">
        <f t="shared" si="26"/>
        <v>2030_2</v>
      </c>
      <c r="CP7" s="29">
        <f>CP6</f>
        <v>2030</v>
      </c>
      <c r="CQ7" s="4" t="s">
        <v>22</v>
      </c>
      <c r="CR7" s="10">
        <f>DT7*$AK$14+将来予測シート②!$H17</f>
        <v>386.55909872907768</v>
      </c>
      <c r="CS7" s="10">
        <f>IF(管理者入力シート!$B$14=1,CR4*管理者用人口入力シート!AM$4,IF(管理者入力シート!$B$14=2,CR4*管理者用人口入力シート!AM$8))+将来予測シート②!$H18</f>
        <v>449.28084267306383</v>
      </c>
      <c r="CT7" s="10">
        <f>IF(管理者入力シート!$B$14=1,CS4*管理者用人口入力シート!AN$4,IF(管理者入力シート!$B$14=2,CS4*管理者用人口入力シート!AN$8))+将来予測シート②!$H19</f>
        <v>509.05664871247041</v>
      </c>
      <c r="CU7" s="10">
        <f>IF(管理者入力シート!$B$14=1,CT4*管理者用人口入力シート!AO$4,IF(管理者入力シート!$B$14=2,CT4*管理者用人口入力シート!AO$8))+将来予測シート②!$H20</f>
        <v>554.79894752656196</v>
      </c>
      <c r="CV7" s="10">
        <f>IF(管理者入力シート!$B$14=1,CU4*管理者用人口入力シート!AP$4,IF(管理者入力シート!$B$14=2,CU4*管理者用人口入力シート!AP$8))+将来予測シート②!$H21</f>
        <v>379.22983338412337</v>
      </c>
      <c r="CW7" s="10">
        <f>IF(管理者入力シート!$B$14=1,CV4*管理者用人口入力シート!AQ$4,IF(管理者入力シート!$B$14=2,CV4*管理者用人口入力シート!AQ$8))+将来予測シート②!$H22</f>
        <v>412.2068309815163</v>
      </c>
      <c r="CX7" s="10">
        <f>IF(管理者入力シート!$B$14=1,CW4*管理者用人口入力シート!AR$4,IF(管理者入力シート!$B$14=2,CW4*管理者用人口入力シート!AR$8))+将来予測シート②!$H23</f>
        <v>525.88939867963916</v>
      </c>
      <c r="CY7" s="10">
        <f>IF(管理者入力シート!$B$14=1,CX4*管理者用人口入力シート!AS$4,IF(管理者入力シート!$B$14=2,CX4*管理者用人口入力シート!AS$8))+将来予測シート②!$H24</f>
        <v>602.87714397103207</v>
      </c>
      <c r="CZ7" s="10">
        <f>IF(管理者入力シート!$B$14=1,CY4*管理者用人口入力シート!AT$4,IF(管理者入力シート!$B$14=2,CY4*管理者用人口入力シート!AT$8))+将来予測シート②!$H25</f>
        <v>686.47053504887037</v>
      </c>
      <c r="DA7" s="10">
        <f>IF(管理者入力シート!$B$14=1,CZ4*管理者用人口入力シート!AU$4,IF(管理者入力シート!$B$14=2,CZ4*管理者用人口入力シート!AU$8))+将来予測シート②!$H26</f>
        <v>713.43350143647444</v>
      </c>
      <c r="DB7" s="10">
        <f>IF(管理者入力シート!$B$14=1,DA4*管理者用人口入力シート!AV$4,IF(管理者入力シート!$B$14=2,DA4*管理者用人口入力シート!AV$8))+将来予測シート②!$H27</f>
        <v>818.88116353102191</v>
      </c>
      <c r="DC7" s="10">
        <f>IF(管理者入力シート!$B$14=1,DB4*管理者用人口入力シート!AW$4,IF(管理者入力シート!$B$14=2,DB4*管理者用人口入力シート!AW$8))+将来予測シート②!$H28</f>
        <v>922.28525415909303</v>
      </c>
      <c r="DD7" s="10">
        <f>IF(管理者入力シート!$B$14=1,DC4*管理者用人口入力シート!AX$4,IF(管理者入力シート!$B$14=2,DC4*管理者用人口入力シート!AX$8))+将来予測シート②!$H29</f>
        <v>947.12347772176656</v>
      </c>
      <c r="DE7" s="10">
        <f>IF(管理者入力シート!$B$14=1,DD4*管理者用人口入力シート!AY$4,IF(管理者入力シート!$B$14=2,DD4*管理者用人口入力シート!AY$8))</f>
        <v>893.5121917798416</v>
      </c>
      <c r="DF7" s="10">
        <f>IF(管理者入力シート!$B$14=1,DE4*管理者用人口入力シート!AZ$4,IF(管理者入力シート!$B$14=2,DE4*管理者用人口入力シート!AZ$8))</f>
        <v>873.3058493683518</v>
      </c>
      <c r="DG7" s="10">
        <f>IF(管理者入力シート!$B$14=1,DF4*管理者用人口入力シート!BA$4,IF(管理者入力シート!$B$14=2,DF4*管理者用人口入力シート!BA$8))</f>
        <v>743.4353555961959</v>
      </c>
      <c r="DH7" s="10">
        <f>IF(管理者入力シート!$B$14=1,DG4*管理者用人口入力シート!BB$4,IF(管理者入力シート!$B$14=2,DG4*管理者用人口入力シート!BB$8))</f>
        <v>744.2293107518808</v>
      </c>
      <c r="DI7" s="10">
        <f>IF(管理者入力シート!$B$14=1,DH4*管理者用人口入力シート!BC$4,IF(管理者入力シート!$B$14=2,DH4*管理者用人口入力シート!BC$8))</f>
        <v>427.16316780410051</v>
      </c>
      <c r="DJ7" s="10">
        <f>IF(管理者入力シート!$B$14=1,DI4*管理者用人口入力シート!BD$4,IF(管理者入力シート!$B$14=2,DI4*管理者用人口入力シート!BD$8))</f>
        <v>239.66124684052144</v>
      </c>
      <c r="DK7" s="10">
        <f>IF(管理者入力シート!$B$14=1,DJ4*管理者用人口入力シート!BE$4,IF(管理者入力シート!$B$14=2,DJ4*管理者用人口入力シート!BE$8))</f>
        <v>113.13930685569552</v>
      </c>
      <c r="DL7" s="10">
        <f>IF(管理者入力シート!$B$14=1,DK4*管理者用人口入力シート!BF$4,IF(管理者入力シート!$B$14=2,DK4*管理者用人口入力シート!BF$8))</f>
        <v>25.299002114775725</v>
      </c>
      <c r="DM7" s="10">
        <f t="shared" si="69"/>
        <v>11967.838107666073</v>
      </c>
      <c r="DN7" s="10">
        <f t="shared" si="34"/>
        <v>575.00249483132052</v>
      </c>
      <c r="DO7" s="10">
        <f t="shared" si="35"/>
        <v>314.58244899030058</v>
      </c>
      <c r="DP7" s="10">
        <f t="shared" si="6"/>
        <v>4059.7454311113634</v>
      </c>
      <c r="DQ7" s="10">
        <f t="shared" si="36"/>
        <v>2292.9273899631698</v>
      </c>
      <c r="DR7" s="14">
        <f t="shared" si="37"/>
        <v>0.33922128579854938</v>
      </c>
      <c r="DS7" s="14">
        <f t="shared" si="38"/>
        <v>0.19159077598939284</v>
      </c>
      <c r="DT7" s="10">
        <f t="shared" si="70"/>
        <v>1920.2032070163109</v>
      </c>
      <c r="DV7" s="7" t="s">
        <v>401</v>
      </c>
      <c r="DW7" s="210">
        <f>(CF12-Y12)/4</f>
        <v>-283.32969825095552</v>
      </c>
      <c r="DX7" s="29">
        <f>DX6</f>
        <v>2030</v>
      </c>
      <c r="DY7" s="4" t="s">
        <v>22</v>
      </c>
      <c r="DZ7" s="10">
        <f>FB7*$AK$14</f>
        <v>504.67929069801477</v>
      </c>
      <c r="EA7" s="10">
        <f>IF(管理者入力シート!$B$14=1,DZ4*管理者用人口入力シート!AM$4,IF(管理者入力シート!$B$14=2,DZ4*管理者用人口入力シート!AM$8))</f>
        <v>448.25036972569404</v>
      </c>
      <c r="EB7" s="10">
        <f>IF(管理者入力シート!$B$14=1,EA4*管理者用人口入力シート!AN$4,IF(管理者入力シート!$B$14=2,EA4*管理者用人口入力シート!AN$8))</f>
        <v>508.05664871247041</v>
      </c>
      <c r="EC7" s="10">
        <f>IF(管理者入力シート!$B$14=1,EB4*管理者用人口入力シート!AO$4,IF(管理者入力シート!$B$14=2,EB4*管理者用人口入力シート!AO$8))</f>
        <v>553.8130106033783</v>
      </c>
      <c r="ED7" s="10">
        <f>IF(管理者入力シート!$B$14=1,EC4*管理者用人口入力シート!AP$4,IF(管理者入力シート!$B$14=2,EC4*管理者用人口入力シート!AP$8))</f>
        <v>379.22983338412337</v>
      </c>
      <c r="EE7" s="10">
        <f>IF(管理者入力シート!$B$14=1,ED4*管理者用人口入力シート!AQ$4,IF(管理者入力シート!$B$14=2,ED4*管理者用人口入力シート!AQ$8))+DX1</f>
        <v>527.2068309815163</v>
      </c>
      <c r="EF7" s="10">
        <f>IF(管理者入力シート!$B$14=1,EE4*管理者用人口入力シート!AR$4,IF(管理者入力シート!$B$14=2,EE4*管理者用人口入力シート!AR$8))+DX1</f>
        <v>763.65563294149672</v>
      </c>
      <c r="EG7" s="10">
        <f>IF(管理者入力シート!$B$14=1,EF4*管理者用人口入力シート!AS$4,IF(管理者入力シート!$B$14=2,EF4*管理者用人口入力シート!AS$8))+DX1</f>
        <v>843.3661989583012</v>
      </c>
      <c r="EH7" s="10">
        <f>IF(管理者入力シート!$B$14=1,EG4*管理者用人口入力シート!AT$4,IF(管理者入力シート!$B$14=2,EG4*管理者用人口入力シート!AT$8))</f>
        <v>805.4989784456327</v>
      </c>
      <c r="EI7" s="10">
        <f>IF(管理者入力シート!$B$14=1,EH4*管理者用人口入力シート!AU$4,IF(管理者入力シート!$B$14=2,EH4*管理者用人口入力シート!AU$8))</f>
        <v>712.4486383155006</v>
      </c>
      <c r="EJ7" s="10">
        <f>IF(管理者入力シート!$B$14=1,EI4*管理者用人口入力シート!AV$4,IF(管理者入力シート!$B$14=2,EI4*管理者用人口入力シート!AV$8))</f>
        <v>818.88116353102191</v>
      </c>
      <c r="EK7" s="10">
        <f>IF(管理者入力シート!$B$14=1,EJ4*管理者用人口入力シート!AW$4,IF(管理者入力シート!$B$14=2,EJ4*管理者用人口入力シート!AW$8))</f>
        <v>922.28525415909303</v>
      </c>
      <c r="EL7" s="10">
        <f>IF(管理者入力シート!$B$14=1,EK4*管理者用人口入力シート!AX$4,IF(管理者入力シート!$B$14=2,EK4*管理者用人口入力シート!AX$8))</f>
        <v>947.12347772176656</v>
      </c>
      <c r="EM7" s="10">
        <f>IF(管理者入力シート!$B$14=1,EL4*管理者用人口入力シート!AY$4,IF(管理者入力シート!$B$14=2,EL4*管理者用人口入力シート!AY$8))</f>
        <v>893.5121917798416</v>
      </c>
      <c r="EN7" s="10">
        <f>IF(管理者入力シート!$B$14=1,EM4*管理者用人口入力シート!AZ$4,IF(管理者入力シート!$B$14=2,EM4*管理者用人口入力シート!AZ$8))</f>
        <v>873.3058493683518</v>
      </c>
      <c r="EO7" s="10">
        <f>IF(管理者入力シート!$B$14=1,EN4*管理者用人口入力シート!BA$4,IF(管理者入力シート!$B$14=2,EN4*管理者用人口入力シート!BA$8))</f>
        <v>743.4353555961959</v>
      </c>
      <c r="EP7" s="10">
        <f>IF(管理者入力シート!$B$14=1,EO4*管理者用人口入力シート!BB$4,IF(管理者入力シート!$B$14=2,EO4*管理者用人口入力シート!BB$8))</f>
        <v>744.2293107518808</v>
      </c>
      <c r="EQ7" s="10">
        <f>IF(管理者入力シート!$B$14=1,EP4*管理者用人口入力シート!BC$4,IF(管理者入力シート!$B$14=2,EP4*管理者用人口入力シート!BC$8))</f>
        <v>427.16316780410051</v>
      </c>
      <c r="ER7" s="10">
        <f>IF(管理者入力シート!$B$14=1,EQ4*管理者用人口入力シート!BD$4,IF(管理者入力シート!$B$14=2,EQ4*管理者用人口入力シート!BD$8))</f>
        <v>239.66124684052144</v>
      </c>
      <c r="ES7" s="10">
        <f>IF(管理者入力シート!$B$14=1,ER4*管理者用人口入力シート!BE$4,IF(管理者入力シート!$B$14=2,ER4*管理者用人口入力シート!BE$8))</f>
        <v>113.13930685569552</v>
      </c>
      <c r="ET7" s="10">
        <f>IF(管理者入力シート!$B$14=1,ES4*管理者用人口入力シート!BF$4,IF(管理者入力シート!$B$14=2,ES4*管理者用人口入力シート!BF$8))</f>
        <v>25.299002114775725</v>
      </c>
      <c r="EU7" s="10">
        <f t="shared" si="71"/>
        <v>12794.240759289376</v>
      </c>
      <c r="EV7" s="10">
        <f t="shared" si="41"/>
        <v>573.78421106289863</v>
      </c>
      <c r="EW7" s="10">
        <f t="shared" si="42"/>
        <v>313.98526160566382</v>
      </c>
      <c r="EX7" s="10">
        <f t="shared" si="10"/>
        <v>4059.7454311113634</v>
      </c>
      <c r="EY7" s="10">
        <f t="shared" si="43"/>
        <v>2292.9273899631698</v>
      </c>
      <c r="EZ7" s="14">
        <f t="shared" si="44"/>
        <v>0.31731038265508238</v>
      </c>
      <c r="FA7" s="14">
        <f t="shared" si="45"/>
        <v>0.17921558872482282</v>
      </c>
      <c r="FB7" s="10">
        <f t="shared" si="72"/>
        <v>2513.4584962654376</v>
      </c>
    </row>
    <row r="8" spans="1:158" x14ac:dyDescent="0.15">
      <c r="A8" s="7" t="str">
        <f t="shared" si="11"/>
        <v>2010_3</v>
      </c>
      <c r="B8" s="30">
        <v>2010</v>
      </c>
      <c r="C8" s="5" t="s">
        <v>23</v>
      </c>
      <c r="D8" s="11">
        <v>1019.3769164936787</v>
      </c>
      <c r="E8" s="11">
        <v>1148.7499411764215</v>
      </c>
      <c r="F8" s="11">
        <v>1457.5036442658111</v>
      </c>
      <c r="G8" s="11">
        <v>1370.4717948475572</v>
      </c>
      <c r="H8" s="11">
        <v>1062.4498453709073</v>
      </c>
      <c r="I8" s="11">
        <v>1199.2952169752566</v>
      </c>
      <c r="J8" s="11">
        <v>1475.0753506011674</v>
      </c>
      <c r="K8" s="11">
        <v>1740.2618220264376</v>
      </c>
      <c r="L8" s="11">
        <v>1716.6725934230349</v>
      </c>
      <c r="M8" s="11">
        <v>1789.5038042844196</v>
      </c>
      <c r="N8" s="11">
        <v>1706.37765250189</v>
      </c>
      <c r="O8" s="11">
        <v>1599.9421838576582</v>
      </c>
      <c r="P8" s="11">
        <v>1674.5354684782233</v>
      </c>
      <c r="Q8" s="11">
        <v>1230.196439318863</v>
      </c>
      <c r="R8" s="11">
        <v>1134.1024234780546</v>
      </c>
      <c r="S8" s="11">
        <v>1045.8889603347329</v>
      </c>
      <c r="T8" s="11">
        <v>794.44874806700363</v>
      </c>
      <c r="U8" s="11">
        <v>441.97832641277353</v>
      </c>
      <c r="V8" s="11">
        <v>190.86782264997427</v>
      </c>
      <c r="W8" s="11">
        <v>62.257894965162357</v>
      </c>
      <c r="X8" s="11">
        <v>10.043150470972705</v>
      </c>
      <c r="Y8" s="11">
        <f t="shared" si="68"/>
        <v>23870.000000000004</v>
      </c>
      <c r="Z8" s="11">
        <f t="shared" si="12"/>
        <v>1563.7521512653395</v>
      </c>
      <c r="AA8" s="11">
        <f t="shared" si="13"/>
        <v>857.09581667583598</v>
      </c>
      <c r="AB8" s="11">
        <f t="shared" si="0"/>
        <v>4909.7837656975371</v>
      </c>
      <c r="AC8" s="11">
        <f t="shared" si="14"/>
        <v>2545.4849029006195</v>
      </c>
      <c r="AD8" s="15">
        <f t="shared" si="15"/>
        <v>0.20568846944690139</v>
      </c>
      <c r="AE8" s="15">
        <f t="shared" si="16"/>
        <v>0.10663950158779301</v>
      </c>
      <c r="AF8" s="11">
        <f t="shared" si="17"/>
        <v>5477.0822349737682</v>
      </c>
      <c r="AH8" s="7"/>
      <c r="AI8" s="30" t="s">
        <v>88</v>
      </c>
      <c r="AJ8" s="5">
        <f>AJ7</f>
        <v>2010</v>
      </c>
      <c r="AK8" s="5">
        <f>AK7</f>
        <v>2020</v>
      </c>
      <c r="AL8" s="33" t="s">
        <v>22</v>
      </c>
      <c r="AM8" s="47">
        <f t="shared" si="73"/>
        <v>1.0304729473697634</v>
      </c>
      <c r="AN8" s="47">
        <f t="shared" si="73"/>
        <v>1.0218875758144865</v>
      </c>
      <c r="AO8" s="47">
        <f t="shared" si="73"/>
        <v>0.98593692318365378</v>
      </c>
      <c r="AP8" s="47">
        <f t="shared" si="73"/>
        <v>0.77513020786038511</v>
      </c>
      <c r="AQ8" s="47">
        <f t="shared" si="73"/>
        <v>0.95785487635742828</v>
      </c>
      <c r="AR8" s="47">
        <f t="shared" si="73"/>
        <v>1.050141167494413</v>
      </c>
      <c r="AS8" s="47">
        <f t="shared" si="73"/>
        <v>1.0554620084381978</v>
      </c>
      <c r="AT8" s="47">
        <f t="shared" si="73"/>
        <v>1.025884131596259</v>
      </c>
      <c r="AU8" s="47">
        <f t="shared" si="73"/>
        <v>0.98486312097382001</v>
      </c>
      <c r="AV8" s="47">
        <f t="shared" si="73"/>
        <v>1.0113299413780208</v>
      </c>
      <c r="AW8" s="47">
        <f t="shared" si="73"/>
        <v>0.9880166393680111</v>
      </c>
      <c r="AX8" s="47">
        <f t="shared" si="73"/>
        <v>0.98386727144621366</v>
      </c>
      <c r="AY8" s="47">
        <f t="shared" si="73"/>
        <v>0.98655985154033732</v>
      </c>
      <c r="AZ8" s="47">
        <f t="shared" si="73"/>
        <v>1.0002885441396188</v>
      </c>
      <c r="BA8" s="47">
        <f t="shared" si="73"/>
        <v>0.93820295198641501</v>
      </c>
      <c r="BB8" s="47">
        <f t="shared" si="73"/>
        <v>0.89744747592444762</v>
      </c>
      <c r="BC8" s="47">
        <f t="shared" si="73"/>
        <v>0.75751367816400239</v>
      </c>
      <c r="BD8" s="47">
        <f t="shared" si="73"/>
        <v>0.6028816595962937</v>
      </c>
      <c r="BE8" s="47">
        <f t="shared" si="73"/>
        <v>0.40880363578512097</v>
      </c>
      <c r="BF8" s="47">
        <f t="shared" si="73"/>
        <v>0.28554897919204647</v>
      </c>
      <c r="BH8" s="7" t="str">
        <f t="shared" si="19"/>
        <v>2030_3</v>
      </c>
      <c r="BI8" s="30">
        <f>BI7</f>
        <v>2030</v>
      </c>
      <c r="BJ8" s="5" t="s">
        <v>23</v>
      </c>
      <c r="BK8" s="16">
        <f>BK6+BK7</f>
        <v>770.85888672344731</v>
      </c>
      <c r="BL8" s="16">
        <f t="shared" ref="BL8" si="74">BL6+BL7</f>
        <v>889.3652300350675</v>
      </c>
      <c r="BM8" s="16">
        <f t="shared" ref="BM8" si="75">BM6+BM7</f>
        <v>1027.3226070837275</v>
      </c>
      <c r="BN8" s="16">
        <f t="shared" ref="BN8" si="76">BN6+BN7</f>
        <v>1066.4315743368288</v>
      </c>
      <c r="BO8" s="16">
        <f t="shared" ref="BO8" si="77">BO6+BO7</f>
        <v>717.14349243759398</v>
      </c>
      <c r="BP8" s="16">
        <f t="shared" ref="BP8" si="78">BP6+BP7</f>
        <v>781.57100532632785</v>
      </c>
      <c r="BQ8" s="16">
        <f t="shared" ref="BQ8" si="79">BQ6+BQ7</f>
        <v>1074.9993633774425</v>
      </c>
      <c r="BR8" s="16">
        <f t="shared" ref="BR8" si="80">BR6+BR7</f>
        <v>1155.7255000935484</v>
      </c>
      <c r="BS8" s="16">
        <f t="shared" ref="BS8" si="81">BS6+BS7</f>
        <v>1356.5994453756466</v>
      </c>
      <c r="BT8" s="16">
        <f t="shared" ref="BT8" si="82">BT6+BT7</f>
        <v>1443.3269220213183</v>
      </c>
      <c r="BU8" s="16">
        <f t="shared" ref="BU8" si="83">BU6+BU7</f>
        <v>1613.3260983262926</v>
      </c>
      <c r="BV8" s="16">
        <f t="shared" ref="BV8" si="84">BV6+BV7</f>
        <v>1824.5823637732374</v>
      </c>
      <c r="BW8" s="16">
        <f t="shared" ref="BW8" si="85">BW6+BW7</f>
        <v>1754.8241290149363</v>
      </c>
      <c r="BX8" s="16">
        <f t="shared" ref="BX8" si="86">BX6+BX7</f>
        <v>1751.9439533690679</v>
      </c>
      <c r="BY8" s="16">
        <f t="shared" ref="BY8" si="87">BY6+BY7</f>
        <v>1633.3835615846019</v>
      </c>
      <c r="BZ8" s="16">
        <f t="shared" ref="BZ8" si="88">BZ6+BZ7</f>
        <v>1358.571640011947</v>
      </c>
      <c r="CA8" s="16">
        <f t="shared" ref="CA8" si="89">CA6+CA7</f>
        <v>1245.23871734258</v>
      </c>
      <c r="CB8" s="16">
        <f t="shared" ref="CB8" si="90">CB6+CB7</f>
        <v>678.21424186577599</v>
      </c>
      <c r="CC8" s="16">
        <f t="shared" ref="CC8" si="91">CC6+CC7</f>
        <v>365.14872000185619</v>
      </c>
      <c r="CD8" s="16">
        <f t="shared" ref="CD8" si="92">CD6+CD7</f>
        <v>137.17315947052697</v>
      </c>
      <c r="CE8" s="16">
        <f t="shared" ref="CE8" si="93">CE6+CE7</f>
        <v>31.656149180730516</v>
      </c>
      <c r="CF8" s="11">
        <f t="shared" si="2"/>
        <v>22677.406760752499</v>
      </c>
      <c r="CG8" s="11">
        <f t="shared" si="20"/>
        <v>1150.012702271277</v>
      </c>
      <c r="CH8" s="11">
        <f t="shared" si="21"/>
        <v>624.21535770085677</v>
      </c>
      <c r="CI8" s="11">
        <f t="shared" si="3"/>
        <v>7201.3301428270861</v>
      </c>
      <c r="CJ8" s="11">
        <f t="shared" si="22"/>
        <v>3816.0026278734167</v>
      </c>
      <c r="CK8" s="15">
        <f t="shared" si="23"/>
        <v>0.31755527511595094</v>
      </c>
      <c r="CL8" s="15">
        <f t="shared" si="24"/>
        <v>0.16827332455304034</v>
      </c>
      <c r="CM8" s="11">
        <f t="shared" si="25"/>
        <v>3729.4393612349127</v>
      </c>
      <c r="CO8" s="7" t="str">
        <f t="shared" si="26"/>
        <v>2030_3</v>
      </c>
      <c r="CP8" s="30">
        <f>CP7</f>
        <v>2030</v>
      </c>
      <c r="CQ8" s="5" t="s">
        <v>23</v>
      </c>
      <c r="CR8" s="16">
        <f>CR6+CR7</f>
        <v>774.50845316128709</v>
      </c>
      <c r="CS8" s="16">
        <f t="shared" ref="CS8" si="94">CS6+CS7</f>
        <v>891.40612885247754</v>
      </c>
      <c r="CT8" s="16">
        <f t="shared" ref="CT8" si="95">CT6+CT7</f>
        <v>1029.3226070837275</v>
      </c>
      <c r="CU8" s="16">
        <f t="shared" ref="CU8" si="96">CU6+CU7</f>
        <v>1068.336514308842</v>
      </c>
      <c r="CV8" s="16">
        <f t="shared" ref="CV8" si="97">CV6+CV7</f>
        <v>717.14349243759398</v>
      </c>
      <c r="CW8" s="16">
        <f t="shared" ref="CW8" si="98">CW6+CW7</f>
        <v>785.57100532632785</v>
      </c>
      <c r="CX8" s="16">
        <f t="shared" ref="CX8" si="99">CX6+CX7</f>
        <v>1079.4025274959108</v>
      </c>
      <c r="CY8" s="16">
        <f t="shared" ref="CY8" si="100">CY6+CY7</f>
        <v>1155.7255000935484</v>
      </c>
      <c r="CZ8" s="16">
        <f t="shared" ref="CZ8" si="101">CZ6+CZ7</f>
        <v>1357.5994453756466</v>
      </c>
      <c r="DA8" s="16">
        <f t="shared" ref="DA8" si="102">DA6+DA7</f>
        <v>1444.3117851422921</v>
      </c>
      <c r="DB8" s="16">
        <f t="shared" ref="DB8" si="103">DB6+DB7</f>
        <v>1613.3260983262926</v>
      </c>
      <c r="DC8" s="16">
        <f t="shared" ref="DC8" si="104">DC6+DC7</f>
        <v>1824.5823637732374</v>
      </c>
      <c r="DD8" s="16">
        <f t="shared" ref="DD8" si="105">DD6+DD7</f>
        <v>1754.8241290149363</v>
      </c>
      <c r="DE8" s="16">
        <f t="shared" ref="DE8" si="106">DE6+DE7</f>
        <v>1751.9439533690679</v>
      </c>
      <c r="DF8" s="16">
        <f t="shared" ref="DF8" si="107">DF6+DF7</f>
        <v>1633.3835615846019</v>
      </c>
      <c r="DG8" s="16">
        <f t="shared" ref="DG8" si="108">DG6+DG7</f>
        <v>1358.571640011947</v>
      </c>
      <c r="DH8" s="16">
        <f t="shared" ref="DH8" si="109">DH6+DH7</f>
        <v>1245.23871734258</v>
      </c>
      <c r="DI8" s="16">
        <f t="shared" ref="DI8" si="110">DI6+DI7</f>
        <v>678.21424186577599</v>
      </c>
      <c r="DJ8" s="16">
        <f t="shared" ref="DJ8" si="111">DJ6+DJ7</f>
        <v>365.14872000185619</v>
      </c>
      <c r="DK8" s="16">
        <f t="shared" ref="DK8" si="112">DK6+DK7</f>
        <v>137.17315947052697</v>
      </c>
      <c r="DL8" s="16">
        <f t="shared" ref="DL8" si="113">DL6+DL7</f>
        <v>31.656149180730516</v>
      </c>
      <c r="DM8" s="11">
        <f t="shared" si="69"/>
        <v>22697.390193219209</v>
      </c>
      <c r="DN8" s="11">
        <f t="shared" si="34"/>
        <v>1152.4372415617231</v>
      </c>
      <c r="DO8" s="11">
        <f t="shared" si="35"/>
        <v>625.39634569525947</v>
      </c>
      <c r="DP8" s="11">
        <f t="shared" si="6"/>
        <v>7201.3301428270861</v>
      </c>
      <c r="DQ8" s="11">
        <f t="shared" si="36"/>
        <v>3816.0026278734167</v>
      </c>
      <c r="DR8" s="15">
        <f t="shared" si="37"/>
        <v>0.31727569035573377</v>
      </c>
      <c r="DS8" s="15">
        <f t="shared" si="38"/>
        <v>0.16812517189810827</v>
      </c>
      <c r="DT8" s="11">
        <f t="shared" si="70"/>
        <v>3737.842525353381</v>
      </c>
      <c r="DV8" s="7" t="s">
        <v>402</v>
      </c>
      <c r="DW8" s="210">
        <f>(CF13-Y13)/4</f>
        <v>-416.14032266650884</v>
      </c>
      <c r="DX8" s="30">
        <f>DX7</f>
        <v>2030</v>
      </c>
      <c r="DY8" s="5" t="s">
        <v>23</v>
      </c>
      <c r="DZ8" s="16">
        <f>DZ6+DZ7</f>
        <v>1011.178362758882</v>
      </c>
      <c r="EA8" s="16">
        <f t="shared" ref="EA8:ET8" si="114">EA6+EA7</f>
        <v>889.3652300350675</v>
      </c>
      <c r="EB8" s="16">
        <f t="shared" si="114"/>
        <v>1027.3226070837275</v>
      </c>
      <c r="EC8" s="16">
        <f t="shared" si="114"/>
        <v>1066.4315743368288</v>
      </c>
      <c r="ED8" s="16">
        <f t="shared" si="114"/>
        <v>717.14349243759398</v>
      </c>
      <c r="EE8" s="16">
        <f t="shared" si="114"/>
        <v>1015.5710053263278</v>
      </c>
      <c r="EF8" s="16">
        <f t="shared" si="114"/>
        <v>1566.5844643078372</v>
      </c>
      <c r="EG8" s="16">
        <f t="shared" si="114"/>
        <v>1636.3922827827623</v>
      </c>
      <c r="EH8" s="16">
        <f t="shared" si="114"/>
        <v>1601.1861849068159</v>
      </c>
      <c r="EI8" s="16">
        <f t="shared" si="114"/>
        <v>1443.3269220213183</v>
      </c>
      <c r="EJ8" s="16">
        <f t="shared" si="114"/>
        <v>1613.3260983262926</v>
      </c>
      <c r="EK8" s="16">
        <f t="shared" si="114"/>
        <v>1824.5823637732374</v>
      </c>
      <c r="EL8" s="16">
        <f t="shared" si="114"/>
        <v>1754.8241290149363</v>
      </c>
      <c r="EM8" s="16">
        <f t="shared" si="114"/>
        <v>1751.9439533690679</v>
      </c>
      <c r="EN8" s="16">
        <f t="shared" si="114"/>
        <v>1633.3835615846019</v>
      </c>
      <c r="EO8" s="16">
        <f t="shared" si="114"/>
        <v>1358.571640011947</v>
      </c>
      <c r="EP8" s="16">
        <f t="shared" si="114"/>
        <v>1245.23871734258</v>
      </c>
      <c r="EQ8" s="16">
        <f t="shared" si="114"/>
        <v>678.21424186577599</v>
      </c>
      <c r="ER8" s="16">
        <f t="shared" si="114"/>
        <v>365.14872000185619</v>
      </c>
      <c r="ES8" s="16">
        <f t="shared" si="114"/>
        <v>137.17315947052697</v>
      </c>
      <c r="ET8" s="16">
        <f t="shared" si="114"/>
        <v>31.656149180730516</v>
      </c>
      <c r="EU8" s="11">
        <f t="shared" si="71"/>
        <v>24368.564859938713</v>
      </c>
      <c r="EV8" s="11">
        <f t="shared" si="41"/>
        <v>1150.012702271277</v>
      </c>
      <c r="EW8" s="11">
        <f t="shared" si="42"/>
        <v>624.21535770085677</v>
      </c>
      <c r="EX8" s="11">
        <f t="shared" si="10"/>
        <v>7201.3301428270861</v>
      </c>
      <c r="EY8" s="11">
        <f t="shared" si="43"/>
        <v>3816.0026278734167</v>
      </c>
      <c r="EZ8" s="15">
        <f t="shared" si="44"/>
        <v>0.29551720358657169</v>
      </c>
      <c r="FA8" s="15">
        <f t="shared" si="45"/>
        <v>0.15659529602200029</v>
      </c>
      <c r="FB8" s="11">
        <f t="shared" si="72"/>
        <v>4935.6912448545208</v>
      </c>
    </row>
    <row r="9" spans="1:158" x14ac:dyDescent="0.15">
      <c r="A9" s="7" t="str">
        <f t="shared" si="11"/>
        <v>2015_1</v>
      </c>
      <c r="B9" s="28">
        <v>2015</v>
      </c>
      <c r="C9" s="3" t="s">
        <v>21</v>
      </c>
      <c r="D9" s="9">
        <v>499.00570784839476</v>
      </c>
      <c r="E9" s="9">
        <v>505.76287615993334</v>
      </c>
      <c r="F9" s="9">
        <v>596.90376740472948</v>
      </c>
      <c r="G9" s="9">
        <v>693.94826622000755</v>
      </c>
      <c r="H9" s="9">
        <v>439.25218858097935</v>
      </c>
      <c r="I9" s="9">
        <v>504.36943936613159</v>
      </c>
      <c r="J9" s="9">
        <v>604.05711384440542</v>
      </c>
      <c r="K9" s="9">
        <v>716.30592924578593</v>
      </c>
      <c r="L9" s="9">
        <v>873.28420325268348</v>
      </c>
      <c r="M9" s="9">
        <v>770.67551375532173</v>
      </c>
      <c r="N9" s="9">
        <v>862.52844829384571</v>
      </c>
      <c r="O9" s="9">
        <v>809.65771485885932</v>
      </c>
      <c r="P9" s="9">
        <v>774.39750974406343</v>
      </c>
      <c r="Q9" s="9">
        <v>756.15055592222484</v>
      </c>
      <c r="R9" s="9">
        <v>529.35046141173927</v>
      </c>
      <c r="S9" s="9">
        <v>438.95782468066596</v>
      </c>
      <c r="T9" s="9">
        <v>320.60493440585316</v>
      </c>
      <c r="U9" s="9">
        <v>202.81525732601327</v>
      </c>
      <c r="V9" s="9">
        <v>63.879396661383865</v>
      </c>
      <c r="W9" s="9">
        <v>8.0570158392483346</v>
      </c>
      <c r="X9" s="9">
        <v>2.0358751777295518</v>
      </c>
      <c r="Y9" s="9">
        <f t="shared" si="68"/>
        <v>10971.999999999998</v>
      </c>
      <c r="Z9" s="9">
        <f t="shared" si="12"/>
        <v>661.5999861387977</v>
      </c>
      <c r="AA9" s="9">
        <f t="shared" si="13"/>
        <v>377.55116020589332</v>
      </c>
      <c r="AB9" s="9">
        <f t="shared" si="0"/>
        <v>2321.8513214248583</v>
      </c>
      <c r="AC9" s="9">
        <f t="shared" si="14"/>
        <v>1036.3503040908943</v>
      </c>
      <c r="AD9" s="13">
        <f t="shared" si="15"/>
        <v>0.21161605189800023</v>
      </c>
      <c r="AE9" s="13">
        <f t="shared" si="16"/>
        <v>9.4454092607628007E-2</v>
      </c>
      <c r="AF9" s="9">
        <f t="shared" si="17"/>
        <v>2263.9846710373022</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357.91827174076064</v>
      </c>
      <c r="BL9" s="9">
        <f>IF(管理者入力シート!$B$14=1,BK6*管理者用人口入力シート!AM$3,IF(管理者入力シート!$B$14=2,BK6*管理者用人口入力シート!AM$7))</f>
        <v>390.14875600392435</v>
      </c>
      <c r="BM9" s="9">
        <f>IF(管理者入力シート!$B$14=1,BL6*管理者用人口入力シート!AN$3,IF(管理者入力シート!$B$14=2,BL6*管理者用人口入力シート!AN$7))</f>
        <v>468.16774451676667</v>
      </c>
      <c r="BN9" s="9">
        <f>IF(管理者入力シート!$B$14=1,BM6*管理者用人口入力シート!AO$3,IF(管理者入力シート!$B$14=2,BM6*管理者用人口入力シート!AO$7))</f>
        <v>477.20699889652576</v>
      </c>
      <c r="BO9" s="9">
        <f>IF(管理者入力シート!$B$14=1,BN6*管理者用人口入力シート!AP$3,IF(管理者入力シート!$B$14=2,BN6*管理者用人口入力シート!AP$7))</f>
        <v>334.08596079847234</v>
      </c>
      <c r="BP9" s="9">
        <f>IF(管理者入力シート!$B$14=1,BO6*管理者用人口入力シート!AQ$3,IF(管理者入力シート!$B$14=2,BO6*管理者用人口入力シート!AQ$7))</f>
        <v>354.65864200204987</v>
      </c>
      <c r="BQ9" s="9">
        <f>IF(管理者入力シート!$B$14=1,BP6*管理者用人口入力シート!AR$3,IF(管理者入力シート!$B$14=2,BP6*管理者用人口入力シート!AR$7))</f>
        <v>427.60389606777807</v>
      </c>
      <c r="BR9" s="9">
        <f>IF(管理者入力シート!$B$14=1,BQ6*管理者用人口入力シート!AS$3,IF(管理者入力シート!$B$14=2,BQ6*管理者用人口入力シート!AS$7))</f>
        <v>580.31474970535885</v>
      </c>
      <c r="BS9" s="9">
        <f>IF(管理者入力シート!$B$14=1,BR6*管理者用人口入力シート!AT$3,IF(管理者入力シート!$B$14=2,BR6*管理者用人口入力シート!AT$7))</f>
        <v>588.5628141822948</v>
      </c>
      <c r="BT9" s="9">
        <f>IF(管理者入力シート!$B$14=1,BS6*管理者用人口入力シート!AU$3,IF(管理者入力シート!$B$14=2,BS6*管理者用人口入力シート!AU$7))</f>
        <v>686.0953693375385</v>
      </c>
      <c r="BU9" s="9">
        <f>IF(管理者入力シート!$B$14=1,BT6*管理者用人口入力シート!AV$3,IF(管理者入力シート!$B$14=2,BT6*管理者用人口入力シート!AV$7))</f>
        <v>742.43384410643216</v>
      </c>
      <c r="BV9" s="9">
        <f>IF(管理者入力シート!$B$14=1,BU6*管理者用人口入力シート!AW$3,IF(管理者入力シート!$B$14=2,BU6*管理者用人口入力シート!AW$7))</f>
        <v>788.35755536674253</v>
      </c>
      <c r="BW9" s="9">
        <f>IF(管理者入力シート!$B$14=1,BV6*管理者用人口入力シート!AX$3,IF(管理者入力シート!$B$14=2,BV6*管理者用人口入力シート!AX$7))</f>
        <v>930.76668115238101</v>
      </c>
      <c r="BX9" s="9">
        <f>IF(管理者入力シート!$B$14=1,BW6*管理者用人口入力シート!AY$3,IF(管理者入力シート!$B$14=2,BW6*管理者用人口入力シート!AY$7))</f>
        <v>787.06048025066525</v>
      </c>
      <c r="BY9" s="9">
        <f>IF(管理者入力シート!$B$14=1,BX6*管理者用人口入力シート!AZ$3,IF(管理者入力シート!$B$14=2,BX6*管理者用人口入力シート!AZ$7))</f>
        <v>795.57356220946224</v>
      </c>
      <c r="BZ9" s="9">
        <f>IF(管理者入力シート!$B$14=1,BY6*管理者用人口入力シート!BA$3,IF(管理者入力シート!$B$14=2,BY6*管理者用人口入力シート!BA$7))</f>
        <v>660.88325135251785</v>
      </c>
      <c r="CA9" s="9">
        <f>IF(管理者入力シート!$B$14=1,BZ6*管理者用人口入力シート!BB$3,IF(管理者入力シート!$B$14=2,BZ6*管理者用人口入力シート!BB$7))</f>
        <v>509.72252644797413</v>
      </c>
      <c r="CB9" s="9">
        <f>IF(管理者入力シート!$B$14=1,CA6*管理者用人口入力シート!BC$3,IF(管理者入力シート!$B$14=2,CA6*管理者用人口入力シート!BC$7))</f>
        <v>334.41060759647024</v>
      </c>
      <c r="CC9" s="9">
        <f>IF(管理者入力シート!$B$14=1,CB6*管理者用人口入力シート!BD$3,IF(管理者入力シート!$B$14=2,CB6*管理者用人口入力シート!BD$7))</f>
        <v>125.867502835686</v>
      </c>
      <c r="CD9" s="9">
        <f>IF(管理者入力シート!$B$14=1,CC6*管理者用人口入力シート!BE$3,IF(管理者入力シート!$B$14=2,CC6*管理者用人口入力シート!BE$7))</f>
        <v>27.17442112907689</v>
      </c>
      <c r="CE9" s="9">
        <f>IF(管理者入力シート!$B$14=1,CD6*管理者用人口入力シート!BF$3,IF(管理者入力シート!$B$14=2,CD6*管理者用人口入力シート!BF$7))</f>
        <v>6.6970026204551862</v>
      </c>
      <c r="CF9" s="9">
        <f t="shared" si="2"/>
        <v>10373.710638319333</v>
      </c>
      <c r="CG9" s="9">
        <f t="shared" si="20"/>
        <v>514.98990031241465</v>
      </c>
      <c r="CH9" s="9">
        <f t="shared" si="21"/>
        <v>282.70849758601184</v>
      </c>
      <c r="CI9" s="9">
        <f t="shared" si="3"/>
        <v>3247.3893544423076</v>
      </c>
      <c r="CJ9" s="9">
        <f t="shared" si="22"/>
        <v>1664.7553119821803</v>
      </c>
      <c r="CK9" s="13">
        <f t="shared" si="23"/>
        <v>0.31304028690050528</v>
      </c>
      <c r="CL9" s="13">
        <f t="shared" si="24"/>
        <v>0.16047828689502475</v>
      </c>
      <c r="CM9" s="9">
        <f t="shared" si="25"/>
        <v>1696.6632485736591</v>
      </c>
      <c r="CO9" s="7" t="str">
        <f t="shared" si="26"/>
        <v>2035_1</v>
      </c>
      <c r="CP9" s="28">
        <f>管理者入力シート!B10</f>
        <v>2035</v>
      </c>
      <c r="CQ9" s="3" t="s">
        <v>21</v>
      </c>
      <c r="CR9" s="9">
        <f>DT10*$AK$13+将来予測シート②!$G17</f>
        <v>360.34525443172942</v>
      </c>
      <c r="CS9" s="9">
        <f>IF(管理者入力シート!$B$14=1,CR6*管理者用人口入力シート!AM$3,IF(管理者入力シート!$B$14=2,CR6*管理者用人口入力シート!AM$7))+将来予測シート②!$G18</f>
        <v>391.99406398371696</v>
      </c>
      <c r="CT9" s="9">
        <f>IF(管理者入力シート!$B$14=1,CS6*管理者用人口入力シート!AN$3,IF(管理者入力シート!$B$14=2,CS6*管理者用人口入力シート!AN$7))+将来予測シート②!$G19</f>
        <v>470.24013822448791</v>
      </c>
      <c r="CU9" s="9">
        <f>IF(管理者入力シート!$B$14=1,CT6*管理者用人口入力シート!AO$3,IF(管理者入力シート!$B$14=2,CT6*管理者用人口入力シート!AO$7))+将来予測シート②!$G20</f>
        <v>478.1260019453552</v>
      </c>
      <c r="CV9" s="9">
        <f>IF(管理者入力シート!$B$14=1,CU6*管理者用人口入力シート!AP$3,IF(管理者入力シート!$B$14=2,CU6*管理者用人口入力シート!AP$7))+将来予測シート②!$G21</f>
        <v>334.68489739239664</v>
      </c>
      <c r="CW9" s="9">
        <f>IF(管理者入力シート!$B$14=1,CV6*管理者用人口入力シート!AQ$3,IF(管理者入力シート!$B$14=2,CV6*管理者用人口入力シート!AQ$7))+将来予測シート②!$G22</f>
        <v>356.65864200204987</v>
      </c>
      <c r="CX9" s="9">
        <f>IF(管理者入力シート!$B$14=1,CW6*管理者用人口入力シート!AR$3,IF(管理者入力シート!$B$14=2,CW6*管理者用人口入力シート!AR$7))+将来予測シート②!$G23</f>
        <v>429.90677785125752</v>
      </c>
      <c r="CY9" s="9">
        <f>IF(管理者入力シート!$B$14=1,CX6*管理者用人口入力シート!AS$3,IF(管理者入力シート!$B$14=2,CX6*管理者用人口入力シート!AS$7))+将来予測シート②!$G24</f>
        <v>582.73922616053153</v>
      </c>
      <c r="CZ9" s="9">
        <f>IF(管理者入力シート!$B$14=1,CY6*管理者用人口入力シート!AT$3,IF(管理者入力シート!$B$14=2,CY6*管理者用人口入力シート!AT$7))+将来予測シート②!$G25</f>
        <v>588.5628141822948</v>
      </c>
      <c r="DA9" s="9">
        <f>IF(管理者入力シート!$B$14=1,CZ6*管理者用人口入力シート!AU$3,IF(管理者入力シート!$B$14=2,CZ6*管理者用人口入力シート!AU$7))+将来予測シート②!$G26</f>
        <v>686.0953693375385</v>
      </c>
      <c r="DB9" s="9">
        <f>IF(管理者入力シート!$B$14=1,DA6*管理者用人口入力シート!AV$3,IF(管理者入力シート!$B$14=2,DA6*管理者用人口入力シート!AV$7))+将来予測シート②!$G27</f>
        <v>742.43384410643216</v>
      </c>
      <c r="DC9" s="9">
        <f>IF(管理者入力シート!$B$14=1,DB6*管理者用人口入力シート!AW$3,IF(管理者入力シート!$B$14=2,DB6*管理者用人口入力シート!AW$7))+将来予測シート②!$G28</f>
        <v>788.35755536674253</v>
      </c>
      <c r="DD9" s="9">
        <f>IF(管理者入力シート!$B$14=1,DC6*管理者用人口入力シート!AX$3,IF(管理者入力シート!$B$14=2,DC6*管理者用人口入力シート!AX$7))+将来予測シート②!$G29</f>
        <v>930.76668115238101</v>
      </c>
      <c r="DE9" s="9">
        <f>IF(管理者入力シート!$B$14=1,DD6*管理者用人口入力シート!AY$3,IF(管理者入力シート!$B$14=2,DD6*管理者用人口入力シート!AY$7))</f>
        <v>787.06048025066525</v>
      </c>
      <c r="DF9" s="9">
        <f>IF(管理者入力シート!$B$14=1,DE6*管理者用人口入力シート!AZ$3,IF(管理者入力シート!$B$14=2,DE6*管理者用人口入力シート!AZ$7))</f>
        <v>795.57356220946224</v>
      </c>
      <c r="DG9" s="9">
        <f>IF(管理者入力シート!$B$14=1,DF6*管理者用人口入力シート!BA$3,IF(管理者入力シート!$B$14=2,DF6*管理者用人口入力シート!BA$7))</f>
        <v>660.88325135251785</v>
      </c>
      <c r="DH9" s="9">
        <f>IF(管理者入力シート!$B$14=1,DG6*管理者用人口入力シート!BB$3,IF(管理者入力シート!$B$14=2,DG6*管理者用人口入力シート!BB$7))</f>
        <v>509.72252644797413</v>
      </c>
      <c r="DI9" s="9">
        <f>IF(管理者入力シート!$B$14=1,DH6*管理者用人口入力シート!BC$3,IF(管理者入力シート!$B$14=2,DH6*管理者用人口入力シート!BC$7))</f>
        <v>334.41060759647024</v>
      </c>
      <c r="DJ9" s="9">
        <f>IF(管理者入力シート!$B$14=1,DI6*管理者用人口入力シート!BD$3,IF(管理者入力シート!$B$14=2,DI6*管理者用人口入力シート!BD$7))</f>
        <v>125.867502835686</v>
      </c>
      <c r="DK9" s="9">
        <f>IF(管理者入力シート!$B$14=1,DJ6*管理者用人口入力シート!BE$3,IF(管理者入力シート!$B$14=2,DJ6*管理者用人口入力シート!BE$7))</f>
        <v>27.17442112907689</v>
      </c>
      <c r="DL9" s="9">
        <f>IF(管理者入力シート!$B$14=1,DK6*管理者用人口入力シート!BF$3,IF(管理者入力シート!$B$14=2,DK6*管理者用人口入力シート!BF$7))</f>
        <v>6.6970026204551862</v>
      </c>
      <c r="DM9" s="9">
        <f t="shared" si="69"/>
        <v>10388.300620579221</v>
      </c>
      <c r="DN9" s="9">
        <f t="shared" si="34"/>
        <v>517.34052132492297</v>
      </c>
      <c r="DO9" s="9">
        <f t="shared" si="35"/>
        <v>283.72125567886621</v>
      </c>
      <c r="DP9" s="9">
        <f t="shared" si="6"/>
        <v>3247.3893544423076</v>
      </c>
      <c r="DQ9" s="9">
        <f t="shared" si="36"/>
        <v>1664.7553119821803</v>
      </c>
      <c r="DR9" s="13">
        <f t="shared" si="37"/>
        <v>0.31260063344809547</v>
      </c>
      <c r="DS9" s="13">
        <f t="shared" si="38"/>
        <v>0.16025290110341053</v>
      </c>
      <c r="DT9" s="9">
        <f t="shared" si="70"/>
        <v>1703.9895434062355</v>
      </c>
      <c r="DV9" s="7" t="s">
        <v>403</v>
      </c>
      <c r="DW9" s="210">
        <f>DW7+DW8</f>
        <v>-699.47002091746435</v>
      </c>
      <c r="DX9" s="28">
        <f>管理者入力シート!B10</f>
        <v>2035</v>
      </c>
      <c r="DY9" s="3" t="s">
        <v>21</v>
      </c>
      <c r="DZ9" s="9">
        <f>FB10*$AK$13</f>
        <v>504.42688495632683</v>
      </c>
      <c r="EA9" s="129">
        <f>IF(管理者入力シート!$B$14=1,DZ6*管理者用人口入力シート!AM$3,IF(管理者入力シート!$B$14=2,DZ6*管理者用人口入力シート!AM$7))</f>
        <v>511.77976556167903</v>
      </c>
      <c r="EB9" s="9">
        <f>IF(管理者入力シート!$B$14=1,EA6*管理者用人口入力シート!AN$3,IF(管理者入力シート!$B$14=2,EA6*管理者用人口入力シート!AN$7))</f>
        <v>468.16774451676667</v>
      </c>
      <c r="EC9" s="9">
        <f>IF(管理者入力シート!$B$14=1,EB6*管理者用人口入力シート!AO$3,IF(管理者入力シート!$B$14=2,EB6*管理者用人口入力シート!AO$7))</f>
        <v>477.20699889652576</v>
      </c>
      <c r="ED9" s="9">
        <f>IF(管理者入力シート!$B$14=1,EC6*管理者用人口入力シート!AP$3,IF(管理者入力シート!$B$14=2,EC6*管理者用人口入力シート!AP$7))</f>
        <v>334.08596079847234</v>
      </c>
      <c r="EE9" s="9">
        <f>IF(管理者入力シート!$B$14=1,ED6*管理者用人口入力シート!AQ$3,IF(管理者入力シート!$B$14=2,ED6*管理者用人口入力シート!AQ$7))+DX1</f>
        <v>471.65864200204987</v>
      </c>
      <c r="EF9" s="9">
        <f>IF(管理者入力シート!$B$14=1,EE6*管理者用人口入力シート!AR$3,IF(管理者入力シート!$B$14=2,EE6*管理者用人口入力シート!AR$7))+DX1</f>
        <v>679.3224804013264</v>
      </c>
      <c r="EG9" s="9">
        <f>IF(管理者入力シート!$B$14=1,EF6*管理者用人口入力シート!AS$3,IF(管理者入力シート!$B$14=2,EF6*管理者用人口入力シート!AS$7))+DX1</f>
        <v>962.32435003490434</v>
      </c>
      <c r="EH9" s="9">
        <f>IF(管理者入力シート!$B$14=1,EG6*管理者用人口入力シート!AT$3,IF(管理者入力シート!$B$14=2,EG6*管理者用人口入力シート!AT$7))</f>
        <v>844.25622043860085</v>
      </c>
      <c r="EI9" s="9">
        <f>IF(管理者入力シート!$B$14=1,EH6*管理者用人口入力シート!AU$3,IF(管理者入力シート!$B$14=2,EH6*管理者用人口入力シート!AU$7))</f>
        <v>813.43136824239878</v>
      </c>
      <c r="EJ9" s="9">
        <f>IF(管理者入力シート!$B$14=1,EI6*管理者用人口入力シート!AV$3,IF(管理者入力シート!$B$14=2,EI6*管理者用人口入力シート!AV$7))</f>
        <v>742.43384410643216</v>
      </c>
      <c r="EK9" s="9">
        <f>IF(管理者入力シート!$B$14=1,EJ6*管理者用人口入力シート!AW$3,IF(管理者入力シート!$B$14=2,EJ6*管理者用人口入力シート!AW$7))</f>
        <v>788.35755536674253</v>
      </c>
      <c r="EL9" s="9">
        <f>IF(管理者入力シート!$B$14=1,EK6*管理者用人口入力シート!AX$3,IF(管理者入力シート!$B$14=2,EK6*管理者用人口入力シート!AX$7))</f>
        <v>930.76668115238101</v>
      </c>
      <c r="EM9" s="9">
        <f>IF(管理者入力シート!$B$14=1,EL6*管理者用人口入力シート!AY$3,IF(管理者入力シート!$B$14=2,EL6*管理者用人口入力シート!AY$7))</f>
        <v>787.06048025066525</v>
      </c>
      <c r="EN9" s="9">
        <f>IF(管理者入力シート!$B$14=1,EM6*管理者用人口入力シート!AZ$3,IF(管理者入力シート!$B$14=2,EM6*管理者用人口入力シート!AZ$7))</f>
        <v>795.57356220946224</v>
      </c>
      <c r="EO9" s="9">
        <f>IF(管理者入力シート!$B$14=1,EN6*管理者用人口入力シート!BA$3,IF(管理者入力シート!$B$14=2,EN6*管理者用人口入力シート!BA$7))</f>
        <v>660.88325135251785</v>
      </c>
      <c r="EP9" s="9">
        <f>IF(管理者入力シート!$B$14=1,EO6*管理者用人口入力シート!BB$3,IF(管理者入力シート!$B$14=2,EO6*管理者用人口入力シート!BB$7))</f>
        <v>509.72252644797413</v>
      </c>
      <c r="EQ9" s="9">
        <f>IF(管理者入力シート!$B$14=1,EP6*管理者用人口入力シート!BC$3,IF(管理者入力シート!$B$14=2,EP6*管理者用人口入力シート!BC$7))</f>
        <v>334.41060759647024</v>
      </c>
      <c r="ER9" s="9">
        <f>IF(管理者入力シート!$B$14=1,EQ6*管理者用人口入力シート!BD$3,IF(管理者入力シート!$B$14=2,EQ6*管理者用人口入力シート!BD$7))</f>
        <v>125.867502835686</v>
      </c>
      <c r="ES9" s="9">
        <f>IF(管理者入力シート!$B$14=1,ER6*管理者用人口入力シート!BE$3,IF(管理者入力シート!$B$14=2,ER6*管理者用人口入力シート!BE$7))</f>
        <v>27.17442112907689</v>
      </c>
      <c r="ET9" s="9">
        <f>IF(管理者入力シート!$B$14=1,ES6*管理者用人口入力シート!BF$3,IF(管理者入力シート!$B$14=2,ES6*管理者用人口入力シート!BF$7))</f>
        <v>6.6970026204551862</v>
      </c>
      <c r="EU9" s="9">
        <f t="shared" si="71"/>
        <v>11775.607850916915</v>
      </c>
      <c r="EV9" s="9">
        <f t="shared" si="41"/>
        <v>587.96850604706742</v>
      </c>
      <c r="EW9" s="9">
        <f t="shared" si="42"/>
        <v>282.70849758601184</v>
      </c>
      <c r="EX9" s="9">
        <f t="shared" si="10"/>
        <v>3247.3893544423076</v>
      </c>
      <c r="EY9" s="9">
        <f t="shared" si="43"/>
        <v>1664.7553119821803</v>
      </c>
      <c r="EZ9" s="13">
        <f t="shared" si="44"/>
        <v>0.27577254571953563</v>
      </c>
      <c r="FA9" s="13">
        <f t="shared" si="45"/>
        <v>0.14137319559707937</v>
      </c>
      <c r="FB9" s="9">
        <f t="shared" si="72"/>
        <v>2447.3914332367531</v>
      </c>
    </row>
    <row r="10" spans="1:158" x14ac:dyDescent="0.15">
      <c r="A10" s="7" t="str">
        <f t="shared" si="11"/>
        <v>2015_2</v>
      </c>
      <c r="B10" s="29">
        <v>2015</v>
      </c>
      <c r="C10" s="4" t="s">
        <v>22</v>
      </c>
      <c r="D10" s="10">
        <v>521.60953911299566</v>
      </c>
      <c r="E10" s="10">
        <v>501.43442684134379</v>
      </c>
      <c r="F10" s="10">
        <v>588.41038700746026</v>
      </c>
      <c r="G10" s="10">
        <v>735.20163302139599</v>
      </c>
      <c r="H10" s="10">
        <v>585.96125918960718</v>
      </c>
      <c r="I10" s="10">
        <v>580.25334925515233</v>
      </c>
      <c r="J10" s="10">
        <v>665.50351167355655</v>
      </c>
      <c r="K10" s="10">
        <v>795.47507095727303</v>
      </c>
      <c r="L10" s="10">
        <v>934.12217830994859</v>
      </c>
      <c r="M10" s="10">
        <v>943.16995824358276</v>
      </c>
      <c r="N10" s="10">
        <v>924.43291094282472</v>
      </c>
      <c r="O10" s="10">
        <v>874.7301989133781</v>
      </c>
      <c r="P10" s="10">
        <v>807.02633416858521</v>
      </c>
      <c r="Q10" s="10">
        <v>882.03561585393436</v>
      </c>
      <c r="R10" s="10">
        <v>662.41817140376918</v>
      </c>
      <c r="S10" s="10">
        <v>590.4061622986527</v>
      </c>
      <c r="T10" s="10">
        <v>586.28281453963211</v>
      </c>
      <c r="U10" s="10">
        <v>351.86642281451748</v>
      </c>
      <c r="V10" s="10">
        <v>182.91661557156908</v>
      </c>
      <c r="W10" s="10">
        <v>68.605220067204272</v>
      </c>
      <c r="X10" s="10">
        <v>16.138219813616786</v>
      </c>
      <c r="Y10" s="10">
        <f t="shared" si="68"/>
        <v>12797.999999999998</v>
      </c>
      <c r="Z10" s="10">
        <f t="shared" si="12"/>
        <v>653.90688830928241</v>
      </c>
      <c r="AA10" s="10">
        <f t="shared" si="13"/>
        <v>382.40448140726329</v>
      </c>
      <c r="AB10" s="10">
        <f t="shared" si="0"/>
        <v>3340.6692423628956</v>
      </c>
      <c r="AC10" s="10">
        <f t="shared" si="14"/>
        <v>1796.2154551051926</v>
      </c>
      <c r="AD10" s="14">
        <f t="shared" si="15"/>
        <v>0.26103057058625534</v>
      </c>
      <c r="AE10" s="14">
        <f t="shared" si="16"/>
        <v>0.14035126231482989</v>
      </c>
      <c r="AF10" s="10">
        <f t="shared" si="17"/>
        <v>2627.1931910755893</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356.63232071682683</v>
      </c>
      <c r="BL10" s="10">
        <f>IF(管理者入力シート!$B$14=1,BK7*管理者用人口入力シート!AM$4,IF(管理者入力シート!$B$14=2,BK7*管理者用人口入力シート!AM$8))</f>
        <v>396.45983362275422</v>
      </c>
      <c r="BM10" s="10">
        <f>IF(管理者入力シート!$B$14=1,BL7*管理者用人口入力シート!AN$4,IF(管理者入力シート!$B$14=2,BL7*管理者用人口入力シート!AN$8))</f>
        <v>458.0614836769368</v>
      </c>
      <c r="BN10" s="10">
        <f>IF(管理者入力シート!$B$14=1,BM7*管理者用人口入力シート!AO$4,IF(管理者入力シート!$B$14=2,BM7*管理者用人口入力シート!AO$8))</f>
        <v>500.91180903457149</v>
      </c>
      <c r="BO10" s="10">
        <f>IF(管理者入力シート!$B$14=1,BN7*管理者用人口入力シート!AP$4,IF(管理者入力シート!$B$14=2,BN7*管理者用人口入力シート!AP$8))</f>
        <v>429.27719402478226</v>
      </c>
      <c r="BP10" s="10">
        <f>IF(管理者入力シート!$B$14=1,BO7*管理者用人口入力シート!AQ$4,IF(管理者入力シート!$B$14=2,BO7*管理者用人口入力シート!AQ$8))</f>
        <v>363.24714516719763</v>
      </c>
      <c r="BQ10" s="10">
        <f>IF(管理者入力シート!$B$14=1,BP7*管理者用人口入力シート!AR$4,IF(管理者入力シート!$B$14=2,BP7*管理者用人口入力シート!AR$8))</f>
        <v>430.77508040111286</v>
      </c>
      <c r="BR10" s="10">
        <f>IF(管理者入力シート!$B$14=1,BQ7*管理者用人口入力シート!AS$4,IF(管理者入力シート!$B$14=2,BQ7*管理者用人口入力シート!AS$8))</f>
        <v>552.83951273519347</v>
      </c>
      <c r="BS10" s="10">
        <f>IF(管理者入力シート!$B$14=1,BR7*管理者用人口入力シート!AT$4,IF(管理者入力シート!$B$14=2,BR7*管理者用人口入力シート!AT$8))</f>
        <v>618.48209530195504</v>
      </c>
      <c r="BT10" s="10">
        <f>IF(管理者入力シート!$B$14=1,BS7*管理者用人口入力シート!AU$4,IF(管理者入力シート!$B$14=2,BS7*管理者用人口入力シート!AU$8))</f>
        <v>675.09465048382469</v>
      </c>
      <c r="BU10" s="10">
        <f>IF(管理者入力シート!$B$14=1,BT7*管理者用人口入力シート!AV$4,IF(管理者入力シート!$B$14=2,BT7*管理者用人口入力シート!AV$8))</f>
        <v>720.52063962246598</v>
      </c>
      <c r="BV10" s="10">
        <f>IF(管理者入力シート!$B$14=1,BU7*管理者用人口入力シート!AW$4,IF(管理者入力シート!$B$14=2,BU7*管理者用人口入力シート!AW$8))</f>
        <v>809.06821523368694</v>
      </c>
      <c r="BW10" s="10">
        <f>IF(管理者入力シート!$B$14=1,BV7*管理者用人口入力シート!AX$4,IF(管理者入力シート!$B$14=2,BV7*管理者用人口入力シート!AX$8))</f>
        <v>907.40627650458453</v>
      </c>
      <c r="BX10" s="10">
        <f>IF(管理者入力シート!$B$14=1,BW7*管理者用人口入力シート!AY$4,IF(管理者入力シート!$B$14=2,BW7*管理者用人口入力シート!AY$8))</f>
        <v>934.393997571554</v>
      </c>
      <c r="BY10" s="10">
        <f>IF(管理者入力シート!$B$14=1,BX7*管理者用人口入力シート!AZ$4,IF(管理者入力シート!$B$14=2,BX7*管理者用人口入力シート!AZ$8))</f>
        <v>893.77000948645764</v>
      </c>
      <c r="BZ10" s="10">
        <f>IF(管理者入力シート!$B$14=1,BY7*管理者用人口入力シート!BA$4,IF(管理者入力シート!$B$14=2,BY7*管理者用人口入力シート!BA$8))</f>
        <v>819.33812586439115</v>
      </c>
      <c r="CA10" s="10">
        <f>IF(管理者入力シート!$B$14=1,BZ7*管理者用人口入力シート!BB$4,IF(管理者入力シート!$B$14=2,BZ7*管理者用人口入力シート!BB$8))</f>
        <v>667.19418339280014</v>
      </c>
      <c r="CB10" s="10">
        <f>IF(管理者入力シート!$B$14=1,CA7*管理者用人口入力シート!BC$4,IF(管理者入力シート!$B$14=2,CA7*管理者用人口入力シート!BC$8))</f>
        <v>563.76388258511759</v>
      </c>
      <c r="CC10" s="10">
        <f>IF(管理者入力シート!$B$14=1,CB7*管理者用人口入力シート!BD$4,IF(管理者入力シート!$B$14=2,CB7*管理者用人口入力シート!BD$8))</f>
        <v>257.52883952414618</v>
      </c>
      <c r="CD10" s="10">
        <f>IF(管理者入力シート!$B$14=1,CC7*管理者用人口入力シート!BE$4,IF(管理者入力シート!$B$14=2,CC7*管理者用人口入力シート!BE$8))</f>
        <v>97.974389065200498</v>
      </c>
      <c r="CE10" s="10">
        <f>IF(管理者入力シート!$B$14=1,CD7*管理者用人口入力シート!BF$4,IF(管理者入力シート!$B$14=2,CD7*管理者用人口入力シート!BF$8))</f>
        <v>32.306813579139565</v>
      </c>
      <c r="CF10" s="10">
        <f t="shared" si="2"/>
        <v>11485.046497594698</v>
      </c>
      <c r="CG10" s="10">
        <f t="shared" si="20"/>
        <v>512.71279037981458</v>
      </c>
      <c r="CH10" s="10">
        <f t="shared" si="21"/>
        <v>283.40695527768901</v>
      </c>
      <c r="CI10" s="10">
        <f t="shared" si="3"/>
        <v>4266.270241068808</v>
      </c>
      <c r="CJ10" s="10">
        <f t="shared" si="22"/>
        <v>2438.1062340107947</v>
      </c>
      <c r="CK10" s="14">
        <f t="shared" si="23"/>
        <v>0.37146303604101982</v>
      </c>
      <c r="CL10" s="14">
        <f t="shared" si="24"/>
        <v>0.21228527324825414</v>
      </c>
      <c r="CM10" s="10">
        <f t="shared" si="25"/>
        <v>1776.1389323282863</v>
      </c>
      <c r="CO10" s="7" t="str">
        <f t="shared" si="26"/>
        <v>2035_2</v>
      </c>
      <c r="CP10" s="29">
        <f>CP9</f>
        <v>2035</v>
      </c>
      <c r="CQ10" s="4" t="s">
        <v>22</v>
      </c>
      <c r="CR10" s="10">
        <f>DT10*$AK$14+将来予測シート②!$H17</f>
        <v>359.05417645564626</v>
      </c>
      <c r="CS10" s="10">
        <f>IF(管理者入力シート!$B$14=1,CR7*管理者用人口入力シート!AM$4,IF(管理者入力シート!$B$14=2,CR7*管理者用人口入力シート!AM$8))+将来予測シート②!$H18</f>
        <v>398.33869379995201</v>
      </c>
      <c r="CT10" s="10">
        <f>IF(管理者入力シート!$B$14=1,CS7*管理者用人口入力シート!AN$4,IF(管理者入力シート!$B$14=2,CS7*管理者用人口入力シート!AN$8))+将来予測シート②!$H19</f>
        <v>460.11451117906688</v>
      </c>
      <c r="CU10" s="10">
        <f>IF(管理者入力シート!$B$14=1,CT7*管理者用人口入力シート!AO$4,IF(管理者入力シート!$B$14=2,CT7*管理者用人口入力シート!AO$8))+将来予測シート②!$H20</f>
        <v>501.89774595775515</v>
      </c>
      <c r="CV10" s="10">
        <f>IF(管理者入力シート!$B$14=1,CU7*管理者用人口入力シート!AP$4,IF(管理者入力シート!$B$14=2,CU7*管理者用人口入力シート!AP$8))+将来予測シート②!$H21</f>
        <v>430.04142351698687</v>
      </c>
      <c r="CW10" s="10">
        <f>IF(管理者入力シート!$B$14=1,CV7*管理者用人口入力シート!AQ$4,IF(管理者入力シート!$B$14=2,CV7*管理者用人口入力シート!AQ$8))+将来予測シート②!$H22</f>
        <v>365.24714516719763</v>
      </c>
      <c r="CX10" s="10">
        <f>IF(管理者入力シート!$B$14=1,CW7*管理者用人口入力シート!AR$4,IF(管理者入力シート!$B$14=2,CW7*管理者用人口入力シート!AR$8))+将来予測シート②!$H23</f>
        <v>432.87536273610169</v>
      </c>
      <c r="CY10" s="10">
        <f>IF(管理者入力シート!$B$14=1,CX7*管理者用人口入力シート!AS$4,IF(管理者入力シート!$B$14=2,CX7*管理者用人口入力シート!AS$8))+将来予測シート②!$H24</f>
        <v>555.05628094676808</v>
      </c>
      <c r="CZ10" s="10">
        <f>IF(管理者入力シート!$B$14=1,CY7*管理者用人口入力シート!AT$4,IF(管理者入力シート!$B$14=2,CY7*管理者用人口入力シート!AT$8))+将来予測シート②!$H25</f>
        <v>619.48209530195504</v>
      </c>
      <c r="DA10" s="10">
        <f>IF(管理者入力シート!$B$14=1,CZ7*管理者用人口入力シート!AU$4,IF(管理者入力シート!$B$14=2,CZ7*管理者用人口入力シート!AU$8))+将来予測シート②!$H26</f>
        <v>676.07951360479854</v>
      </c>
      <c r="DB10" s="10">
        <f>IF(管理者入力シート!$B$14=1,DA7*管理者用人口入力シート!AV$4,IF(管理者入力シート!$B$14=2,DA7*管理者用人口入力シート!AV$8))+将来予測シート②!$H27</f>
        <v>721.51666118486582</v>
      </c>
      <c r="DC10" s="10">
        <f>IF(管理者入力シート!$B$14=1,DB7*管理者用人口入力シート!AW$4,IF(管理者入力シート!$B$14=2,DB7*管理者用人口入力シート!AW$8))+将来予測シート②!$H28</f>
        <v>809.06821523368694</v>
      </c>
      <c r="DD10" s="10">
        <f>IF(管理者入力シート!$B$14=1,DC7*管理者用人口入力シート!AX$4,IF(管理者入力シート!$B$14=2,DC7*管理者用人口入力シート!AX$8))+将来予測シート②!$H29</f>
        <v>907.40627650458453</v>
      </c>
      <c r="DE10" s="10">
        <f>IF(管理者入力シート!$B$14=1,DD7*管理者用人口入力シート!AY$4,IF(管理者入力シート!$B$14=2,DD7*管理者用人口入力シート!AY$8))</f>
        <v>934.393997571554</v>
      </c>
      <c r="DF10" s="10">
        <f>IF(管理者入力シート!$B$14=1,DE7*管理者用人口入力シート!AZ$4,IF(管理者入力シート!$B$14=2,DE7*管理者用人口入力シート!AZ$8))</f>
        <v>893.77000948645764</v>
      </c>
      <c r="DG10" s="10">
        <f>IF(管理者入力シート!$B$14=1,DF7*管理者用人口入力シート!BA$4,IF(管理者入力シート!$B$14=2,DF7*管理者用人口入力シート!BA$8))</f>
        <v>819.33812586439115</v>
      </c>
      <c r="DH10" s="10">
        <f>IF(管理者入力シート!$B$14=1,DG7*管理者用人口入力シート!BB$4,IF(管理者入力シート!$B$14=2,DG7*管理者用人口入力シート!BB$8))</f>
        <v>667.19418339280014</v>
      </c>
      <c r="DI10" s="10">
        <f>IF(管理者入力シート!$B$14=1,DH7*管理者用人口入力シート!BC$4,IF(管理者入力シート!$B$14=2,DH7*管理者用人口入力シート!BC$8))</f>
        <v>563.76388258511759</v>
      </c>
      <c r="DJ10" s="10">
        <f>IF(管理者入力シート!$B$14=1,DI7*管理者用人口入力シート!BD$4,IF(管理者入力シート!$B$14=2,DI7*管理者用人口入力シート!BD$8))</f>
        <v>257.52883952414618</v>
      </c>
      <c r="DK10" s="10">
        <f>IF(管理者入力シート!$B$14=1,DJ7*管理者用人口入力シート!BE$4,IF(管理者入力シート!$B$14=2,DJ7*管理者用人口入力シート!BE$8))</f>
        <v>97.974389065200498</v>
      </c>
      <c r="DL10" s="10">
        <f>IF(管理者入力シート!$B$14=1,DK7*管理者用人口入力シート!BF$4,IF(管理者入力シート!$B$14=2,DK7*管理者用人口入力シート!BF$8))</f>
        <v>32.306813579139565</v>
      </c>
      <c r="DM10" s="10">
        <f t="shared" si="69"/>
        <v>11502.448342658172</v>
      </c>
      <c r="DN10" s="10">
        <f t="shared" si="34"/>
        <v>515.07192298741131</v>
      </c>
      <c r="DO10" s="10">
        <f t="shared" si="35"/>
        <v>284.42535366317782</v>
      </c>
      <c r="DP10" s="10">
        <f t="shared" si="6"/>
        <v>4266.270241068808</v>
      </c>
      <c r="DQ10" s="10">
        <f t="shared" si="36"/>
        <v>2438.1062340107947</v>
      </c>
      <c r="DR10" s="14">
        <f t="shared" si="37"/>
        <v>0.37090105636439563</v>
      </c>
      <c r="DS10" s="14">
        <f t="shared" si="38"/>
        <v>0.21196411071621971</v>
      </c>
      <c r="DT10" s="10">
        <f t="shared" si="70"/>
        <v>1783.2202123670543</v>
      </c>
      <c r="DV10" s="62" t="s">
        <v>405</v>
      </c>
      <c r="DW10" s="210">
        <f>((SUM(BL12:BL13)*3/5+SUM(BM12:BM13)+SUM(BN12:BN13)*1/5)-(SUM(E12:E13)*3/5+SUM(F12:F13)+SUM(G12:G13)*1/5))/4</f>
        <v>-122.89204934268065</v>
      </c>
      <c r="DX10" s="29">
        <f>DX9</f>
        <v>2035</v>
      </c>
      <c r="DY10" s="4" t="s">
        <v>22</v>
      </c>
      <c r="DZ10" s="10">
        <f>FB10*$AK$14</f>
        <v>502.61454867616294</v>
      </c>
      <c r="EA10" s="10">
        <f>IF(管理者入力シート!$B$14=1,DZ7*管理者用人口入力シート!AM$4,IF(管理者入力シート!$B$14=2,DZ7*管理者用人口入力シート!AM$8))</f>
        <v>520.05835616206491</v>
      </c>
      <c r="EB10" s="10">
        <f>IF(管理者入力シート!$B$14=1,EA7*管理者用人口入力シート!AN$4,IF(管理者入力シート!$B$14=2,EA7*管理者用人口入力シート!AN$8))</f>
        <v>458.0614836769368</v>
      </c>
      <c r="EC10" s="10">
        <f>IF(管理者入力シート!$B$14=1,EB7*管理者用人口入力シート!AO$4,IF(管理者入力シート!$B$14=2,EB7*管理者用人口入力シート!AO$8))</f>
        <v>500.91180903457149</v>
      </c>
      <c r="ED10" s="10">
        <f>IF(管理者入力シート!$B$14=1,EC7*管理者用人口入力シート!AP$4,IF(管理者入力シート!$B$14=2,EC7*管理者用人口入力シート!AP$8))</f>
        <v>429.27719402478226</v>
      </c>
      <c r="EE10" s="10">
        <f>IF(管理者入力シート!$B$14=1,ED7*管理者用人口入力シート!AQ$4,IF(管理者入力シート!$B$14=2,ED7*管理者用人口入力シート!AQ$8))+DX1</f>
        <v>480.24714516719763</v>
      </c>
      <c r="EF10" s="10">
        <f>IF(管理者入力シート!$B$14=1,EE7*管理者用人口入力シート!AR$4,IF(管理者入力シート!$B$14=2,EE7*管理者用人口入力シート!AR$8))+DX1</f>
        <v>670.64159699795914</v>
      </c>
      <c r="EG10" s="10">
        <f>IF(管理者入力シート!$B$14=1,EF7*管理者用人口入力シート!AS$4,IF(管理者入力シート!$B$14=2,EF7*管理者用人口入力シート!AS$8))+DX1</f>
        <v>923.00950809957533</v>
      </c>
      <c r="EH10" s="10">
        <f>IF(管理者入力シート!$B$14=1,EG7*管理者用人口入力シート!AT$4,IF(管理者入力シート!$B$14=2,EG7*管理者用人口入力シート!AT$8))</f>
        <v>865.19600063597466</v>
      </c>
      <c r="EI10" s="10">
        <f>IF(管理者入力シート!$B$14=1,EH7*管理者用人口入力シート!AU$4,IF(管理者入力シート!$B$14=2,EH7*管理者用人口入力シート!AU$8))</f>
        <v>793.3062378531896</v>
      </c>
      <c r="EJ10" s="10">
        <f>IF(管理者入力シート!$B$14=1,EI7*管理者用人口入力シート!AV$4,IF(管理者入力シート!$B$14=2,EI7*管理者用人口入力シート!AV$8))</f>
        <v>720.52063962246598</v>
      </c>
      <c r="EK10" s="10">
        <f>IF(管理者入力シート!$B$14=1,EJ7*管理者用人口入力シート!AW$4,IF(管理者入力シート!$B$14=2,EJ7*管理者用人口入力シート!AW$8))</f>
        <v>809.06821523368694</v>
      </c>
      <c r="EL10" s="10">
        <f>IF(管理者入力シート!$B$14=1,EK7*管理者用人口入力シート!AX$4,IF(管理者入力シート!$B$14=2,EK7*管理者用人口入力シート!AX$8))</f>
        <v>907.40627650458453</v>
      </c>
      <c r="EM10" s="10">
        <f>IF(管理者入力シート!$B$14=1,EL7*管理者用人口入力シート!AY$4,IF(管理者入力シート!$B$14=2,EL7*管理者用人口入力シート!AY$8))</f>
        <v>934.393997571554</v>
      </c>
      <c r="EN10" s="10">
        <f>IF(管理者入力シート!$B$14=1,EM7*管理者用人口入力シート!AZ$4,IF(管理者入力シート!$B$14=2,EM7*管理者用人口入力シート!AZ$8))</f>
        <v>893.77000948645764</v>
      </c>
      <c r="EO10" s="10">
        <f>IF(管理者入力シート!$B$14=1,EN7*管理者用人口入力シート!BA$4,IF(管理者入力シート!$B$14=2,EN7*管理者用人口入力シート!BA$8))</f>
        <v>819.33812586439115</v>
      </c>
      <c r="EP10" s="10">
        <f>IF(管理者入力シート!$B$14=1,EO7*管理者用人口入力シート!BB$4,IF(管理者入力シート!$B$14=2,EO7*管理者用人口入力シート!BB$8))</f>
        <v>667.19418339280014</v>
      </c>
      <c r="EQ10" s="10">
        <f>IF(管理者入力シート!$B$14=1,EP7*管理者用人口入力シート!BC$4,IF(管理者入力シート!$B$14=2,EP7*管理者用人口入力シート!BC$8))</f>
        <v>563.76388258511759</v>
      </c>
      <c r="ER10" s="10">
        <f>IF(管理者入力シート!$B$14=1,EQ7*管理者用人口入力シート!BD$4,IF(管理者入力シート!$B$14=2,EQ7*管理者用人口入力シート!BD$8))</f>
        <v>257.52883952414618</v>
      </c>
      <c r="ES10" s="10">
        <f>IF(管理者入力シート!$B$14=1,ER7*管理者用人口入力シート!BE$4,IF(管理者入力シート!$B$14=2,ER7*管理者用人口入力シート!BE$8))</f>
        <v>97.974389065200498</v>
      </c>
      <c r="ET10" s="10">
        <f>IF(管理者入力シート!$B$14=1,ES7*管理者用人口入力シート!BF$4,IF(管理者入力シート!$B$14=2,ES7*管理者用人口入力シート!BF$8))</f>
        <v>32.306813579139565</v>
      </c>
      <c r="EU10" s="10">
        <f t="shared" si="71"/>
        <v>12846.589252757958</v>
      </c>
      <c r="EV10" s="10">
        <f t="shared" si="41"/>
        <v>586.87190390340106</v>
      </c>
      <c r="EW10" s="10">
        <f t="shared" si="42"/>
        <v>283.40695527768901</v>
      </c>
      <c r="EX10" s="10">
        <f t="shared" si="10"/>
        <v>4266.270241068808</v>
      </c>
      <c r="EY10" s="10">
        <f t="shared" si="43"/>
        <v>2438.1062340107947</v>
      </c>
      <c r="EZ10" s="14">
        <f t="shared" si="44"/>
        <v>0.3320936131084683</v>
      </c>
      <c r="FA10" s="14">
        <f t="shared" si="45"/>
        <v>0.18978626824916756</v>
      </c>
      <c r="FB10" s="10">
        <f t="shared" si="72"/>
        <v>2503.1754442895144</v>
      </c>
    </row>
    <row r="11" spans="1:158" x14ac:dyDescent="0.15">
      <c r="A11" s="7" t="str">
        <f t="shared" si="11"/>
        <v>2015_3</v>
      </c>
      <c r="B11" s="30">
        <v>2015</v>
      </c>
      <c r="C11" s="5" t="s">
        <v>23</v>
      </c>
      <c r="D11" s="11">
        <v>1020.6152469613904</v>
      </c>
      <c r="E11" s="11">
        <v>1007.1973030012771</v>
      </c>
      <c r="F11" s="11">
        <v>1185.3141544121897</v>
      </c>
      <c r="G11" s="11">
        <v>1429.1498992414035</v>
      </c>
      <c r="H11" s="11">
        <v>1025.2134477705865</v>
      </c>
      <c r="I11" s="11">
        <v>1084.6227886212839</v>
      </c>
      <c r="J11" s="11">
        <v>1269.5606255179619</v>
      </c>
      <c r="K11" s="11">
        <v>1511.781000203059</v>
      </c>
      <c r="L11" s="11">
        <v>1807.4063815626321</v>
      </c>
      <c r="M11" s="11">
        <v>1713.8454719989045</v>
      </c>
      <c r="N11" s="11">
        <v>1786.9613592366704</v>
      </c>
      <c r="O11" s="11">
        <v>1684.3879137722374</v>
      </c>
      <c r="P11" s="11">
        <v>1581.4238439126486</v>
      </c>
      <c r="Q11" s="11">
        <v>1638.1861717761592</v>
      </c>
      <c r="R11" s="11">
        <v>1191.7686328155085</v>
      </c>
      <c r="S11" s="11">
        <v>1029.3639869793187</v>
      </c>
      <c r="T11" s="11">
        <v>906.88774894548533</v>
      </c>
      <c r="U11" s="11">
        <v>554.68168014053072</v>
      </c>
      <c r="V11" s="11">
        <v>246.79601223295293</v>
      </c>
      <c r="W11" s="11">
        <v>76.662235906452608</v>
      </c>
      <c r="X11" s="11">
        <v>18.174094991346337</v>
      </c>
      <c r="Y11" s="11">
        <f t="shared" si="68"/>
        <v>23770</v>
      </c>
      <c r="Z11" s="11">
        <f t="shared" si="12"/>
        <v>1315.50687444808</v>
      </c>
      <c r="AA11" s="11">
        <f t="shared" si="13"/>
        <v>759.95564161315656</v>
      </c>
      <c r="AB11" s="11">
        <f t="shared" si="0"/>
        <v>5662.5205637877552</v>
      </c>
      <c r="AC11" s="11">
        <f t="shared" si="14"/>
        <v>2832.5657591960867</v>
      </c>
      <c r="AD11" s="15">
        <f t="shared" si="15"/>
        <v>0.23822131105543776</v>
      </c>
      <c r="AE11" s="15">
        <f t="shared" si="16"/>
        <v>0.11916557674363007</v>
      </c>
      <c r="AF11" s="11">
        <f t="shared" si="17"/>
        <v>4891.1778621128915</v>
      </c>
      <c r="BH11" s="7" t="str">
        <f t="shared" si="19"/>
        <v>2035_3</v>
      </c>
      <c r="BI11" s="30">
        <f>BI10</f>
        <v>2035</v>
      </c>
      <c r="BJ11" s="5" t="s">
        <v>23</v>
      </c>
      <c r="BK11" s="16">
        <f>BK9+BK10</f>
        <v>714.55059245758753</v>
      </c>
      <c r="BL11" s="16">
        <f t="shared" ref="BL11" si="117">BL9+BL10</f>
        <v>786.60858962667862</v>
      </c>
      <c r="BM11" s="16">
        <f t="shared" ref="BM11" si="118">BM9+BM10</f>
        <v>926.22922819370342</v>
      </c>
      <c r="BN11" s="16">
        <f t="shared" ref="BN11" si="119">BN9+BN10</f>
        <v>978.11880793109731</v>
      </c>
      <c r="BO11" s="16">
        <f t="shared" ref="BO11" si="120">BO9+BO10</f>
        <v>763.3631548232546</v>
      </c>
      <c r="BP11" s="16">
        <f t="shared" ref="BP11" si="121">BP9+BP10</f>
        <v>717.90578716924756</v>
      </c>
      <c r="BQ11" s="16">
        <f t="shared" ref="BQ11" si="122">BQ9+BQ10</f>
        <v>858.37897646889087</v>
      </c>
      <c r="BR11" s="16">
        <f t="shared" ref="BR11" si="123">BR9+BR10</f>
        <v>1133.1542624405524</v>
      </c>
      <c r="BS11" s="16">
        <f t="shared" ref="BS11" si="124">BS9+BS10</f>
        <v>1207.0449094842497</v>
      </c>
      <c r="BT11" s="16">
        <f t="shared" ref="BT11" si="125">BT9+BT10</f>
        <v>1361.1900198213632</v>
      </c>
      <c r="BU11" s="16">
        <f t="shared" ref="BU11" si="126">BU9+BU10</f>
        <v>1462.9544837288981</v>
      </c>
      <c r="BV11" s="16">
        <f t="shared" ref="BV11" si="127">BV9+BV10</f>
        <v>1597.4257706004296</v>
      </c>
      <c r="BW11" s="16">
        <f t="shared" ref="BW11" si="128">BW9+BW10</f>
        <v>1838.1729576569655</v>
      </c>
      <c r="BX11" s="16">
        <f t="shared" ref="BX11" si="129">BX9+BX10</f>
        <v>1721.4544778222194</v>
      </c>
      <c r="BY11" s="16">
        <f t="shared" ref="BY11" si="130">BY9+BY10</f>
        <v>1689.3435716959198</v>
      </c>
      <c r="BZ11" s="16">
        <f t="shared" ref="BZ11" si="131">BZ9+BZ10</f>
        <v>1480.2213772169089</v>
      </c>
      <c r="CA11" s="16">
        <f t="shared" ref="CA11" si="132">CA9+CA10</f>
        <v>1176.9167098407743</v>
      </c>
      <c r="CB11" s="16">
        <f t="shared" ref="CB11" si="133">CB9+CB10</f>
        <v>898.17449018158777</v>
      </c>
      <c r="CC11" s="16">
        <f t="shared" ref="CC11" si="134">CC9+CC10</f>
        <v>383.39634235983215</v>
      </c>
      <c r="CD11" s="16">
        <f t="shared" ref="CD11" si="135">CD9+CD10</f>
        <v>125.14881019427739</v>
      </c>
      <c r="CE11" s="16">
        <f t="shared" ref="CE11" si="136">CE9+CE10</f>
        <v>39.003816199594752</v>
      </c>
      <c r="CF11" s="11">
        <f t="shared" si="2"/>
        <v>21858.757135914031</v>
      </c>
      <c r="CG11" s="11">
        <f t="shared" si="20"/>
        <v>1027.7026906922292</v>
      </c>
      <c r="CH11" s="11">
        <f t="shared" si="21"/>
        <v>566.11545286370085</v>
      </c>
      <c r="CI11" s="11">
        <f t="shared" si="3"/>
        <v>7513.6595955111152</v>
      </c>
      <c r="CJ11" s="11">
        <f t="shared" si="22"/>
        <v>4102.8615459929752</v>
      </c>
      <c r="CK11" s="15">
        <f t="shared" si="23"/>
        <v>0.34373681672715695</v>
      </c>
      <c r="CL11" s="15">
        <f t="shared" si="24"/>
        <v>0.18769875709227568</v>
      </c>
      <c r="CM11" s="11">
        <f t="shared" si="25"/>
        <v>3472.8021809019456</v>
      </c>
      <c r="CO11" s="7" t="str">
        <f t="shared" si="26"/>
        <v>2035_3</v>
      </c>
      <c r="CP11" s="30">
        <f>CP10</f>
        <v>2035</v>
      </c>
      <c r="CQ11" s="5" t="s">
        <v>23</v>
      </c>
      <c r="CR11" s="16">
        <f>CR9+CR10</f>
        <v>719.39943088737573</v>
      </c>
      <c r="CS11" s="16">
        <f t="shared" ref="CS11" si="137">CS9+CS10</f>
        <v>790.33275778366897</v>
      </c>
      <c r="CT11" s="16">
        <f t="shared" ref="CT11" si="138">CT9+CT10</f>
        <v>930.35464940355473</v>
      </c>
      <c r="CU11" s="16">
        <f t="shared" ref="CU11" si="139">CU9+CU10</f>
        <v>980.02374790311035</v>
      </c>
      <c r="CV11" s="16">
        <f t="shared" ref="CV11" si="140">CV9+CV10</f>
        <v>764.7263209093835</v>
      </c>
      <c r="CW11" s="16">
        <f t="shared" ref="CW11" si="141">CW9+CW10</f>
        <v>721.90578716924756</v>
      </c>
      <c r="CX11" s="16">
        <f t="shared" ref="CX11" si="142">CX9+CX10</f>
        <v>862.78214058735921</v>
      </c>
      <c r="CY11" s="16">
        <f t="shared" ref="CY11" si="143">CY9+CY10</f>
        <v>1137.7955071072997</v>
      </c>
      <c r="CZ11" s="16">
        <f t="shared" ref="CZ11" si="144">CZ9+CZ10</f>
        <v>1208.0449094842497</v>
      </c>
      <c r="DA11" s="16">
        <f t="shared" ref="DA11" si="145">DA9+DA10</f>
        <v>1362.174882942337</v>
      </c>
      <c r="DB11" s="16">
        <f t="shared" ref="DB11" si="146">DB9+DB10</f>
        <v>1463.950505291298</v>
      </c>
      <c r="DC11" s="16">
        <f t="shared" ref="DC11" si="147">DC9+DC10</f>
        <v>1597.4257706004296</v>
      </c>
      <c r="DD11" s="16">
        <f t="shared" ref="DD11" si="148">DD9+DD10</f>
        <v>1838.1729576569655</v>
      </c>
      <c r="DE11" s="16">
        <f t="shared" ref="DE11" si="149">DE9+DE10</f>
        <v>1721.4544778222194</v>
      </c>
      <c r="DF11" s="16">
        <f t="shared" ref="DF11" si="150">DF9+DF10</f>
        <v>1689.3435716959198</v>
      </c>
      <c r="DG11" s="16">
        <f t="shared" ref="DG11" si="151">DG9+DG10</f>
        <v>1480.2213772169089</v>
      </c>
      <c r="DH11" s="16">
        <f t="shared" ref="DH11" si="152">DH9+DH10</f>
        <v>1176.9167098407743</v>
      </c>
      <c r="DI11" s="16">
        <f t="shared" ref="DI11" si="153">DI9+DI10</f>
        <v>898.17449018158777</v>
      </c>
      <c r="DJ11" s="16">
        <f t="shared" ref="DJ11" si="154">DJ9+DJ10</f>
        <v>383.39634235983215</v>
      </c>
      <c r="DK11" s="16">
        <f t="shared" ref="DK11" si="155">DK9+DK10</f>
        <v>125.14881019427739</v>
      </c>
      <c r="DL11" s="16">
        <f t="shared" ref="DL11" si="156">DL9+DL10</f>
        <v>39.003816199594752</v>
      </c>
      <c r="DM11" s="11">
        <f t="shared" si="69"/>
        <v>21890.748963237394</v>
      </c>
      <c r="DN11" s="11">
        <f t="shared" si="34"/>
        <v>1032.4124443123342</v>
      </c>
      <c r="DO11" s="11">
        <f t="shared" si="35"/>
        <v>568.14660934204392</v>
      </c>
      <c r="DP11" s="11">
        <f t="shared" si="6"/>
        <v>7513.6595955111152</v>
      </c>
      <c r="DQ11" s="11">
        <f t="shared" si="36"/>
        <v>4102.8615459929752</v>
      </c>
      <c r="DR11" s="15">
        <f t="shared" si="37"/>
        <v>0.34323446895897936</v>
      </c>
      <c r="DS11" s="15">
        <f t="shared" si="38"/>
        <v>0.18742444823990198</v>
      </c>
      <c r="DT11" s="11">
        <f t="shared" si="70"/>
        <v>3487.20975577329</v>
      </c>
      <c r="DW11" s="211"/>
      <c r="DX11" s="30">
        <f>DX10</f>
        <v>2035</v>
      </c>
      <c r="DY11" s="5" t="s">
        <v>23</v>
      </c>
      <c r="DZ11" s="16">
        <f>DZ9+DZ10</f>
        <v>1007.0414336324898</v>
      </c>
      <c r="EA11" s="16">
        <f t="shared" ref="EA11" si="157">EA9+EA10</f>
        <v>1031.8381217237438</v>
      </c>
      <c r="EB11" s="16">
        <f t="shared" ref="EB11" si="158">EB9+EB10</f>
        <v>926.22922819370342</v>
      </c>
      <c r="EC11" s="16">
        <f t="shared" ref="EC11" si="159">EC9+EC10</f>
        <v>978.11880793109731</v>
      </c>
      <c r="ED11" s="16">
        <f t="shared" ref="ED11" si="160">ED9+ED10</f>
        <v>763.3631548232546</v>
      </c>
      <c r="EE11" s="16">
        <f t="shared" ref="EE11" si="161">EE9+EE10</f>
        <v>951.90578716924756</v>
      </c>
      <c r="EF11" s="16">
        <f t="shared" ref="EF11" si="162">EF9+EF10</f>
        <v>1349.9640773992855</v>
      </c>
      <c r="EG11" s="16">
        <f t="shared" ref="EG11" si="163">EG9+EG10</f>
        <v>1885.3338581344797</v>
      </c>
      <c r="EH11" s="16">
        <f t="shared" ref="EH11" si="164">EH9+EH10</f>
        <v>1709.4522210745754</v>
      </c>
      <c r="EI11" s="16">
        <f t="shared" ref="EI11" si="165">EI9+EI10</f>
        <v>1606.7376060955885</v>
      </c>
      <c r="EJ11" s="16">
        <f t="shared" ref="EJ11" si="166">EJ9+EJ10</f>
        <v>1462.9544837288981</v>
      </c>
      <c r="EK11" s="16">
        <f t="shared" ref="EK11" si="167">EK9+EK10</f>
        <v>1597.4257706004296</v>
      </c>
      <c r="EL11" s="16">
        <f t="shared" ref="EL11" si="168">EL9+EL10</f>
        <v>1838.1729576569655</v>
      </c>
      <c r="EM11" s="16">
        <f t="shared" ref="EM11" si="169">EM9+EM10</f>
        <v>1721.4544778222194</v>
      </c>
      <c r="EN11" s="16">
        <f t="shared" ref="EN11" si="170">EN9+EN10</f>
        <v>1689.3435716959198</v>
      </c>
      <c r="EO11" s="16">
        <f t="shared" ref="EO11" si="171">EO9+EO10</f>
        <v>1480.2213772169089</v>
      </c>
      <c r="EP11" s="16">
        <f t="shared" ref="EP11" si="172">EP9+EP10</f>
        <v>1176.9167098407743</v>
      </c>
      <c r="EQ11" s="16">
        <f t="shared" ref="EQ11" si="173">EQ9+EQ10</f>
        <v>898.17449018158777</v>
      </c>
      <c r="ER11" s="16">
        <f t="shared" ref="ER11" si="174">ER9+ER10</f>
        <v>383.39634235983215</v>
      </c>
      <c r="ES11" s="16">
        <f t="shared" ref="ES11" si="175">ES9+ES10</f>
        <v>125.14881019427739</v>
      </c>
      <c r="ET11" s="16">
        <f t="shared" ref="ET11" si="176">ET9+ET10</f>
        <v>39.003816199594752</v>
      </c>
      <c r="EU11" s="11">
        <f t="shared" si="71"/>
        <v>24622.197103674873</v>
      </c>
      <c r="EV11" s="11">
        <f t="shared" si="41"/>
        <v>1174.8404099504683</v>
      </c>
      <c r="EW11" s="11">
        <f t="shared" si="42"/>
        <v>566.11545286370085</v>
      </c>
      <c r="EX11" s="11">
        <f t="shared" si="10"/>
        <v>7513.6595955111152</v>
      </c>
      <c r="EY11" s="11">
        <f t="shared" si="43"/>
        <v>4102.8615459929752</v>
      </c>
      <c r="EZ11" s="15">
        <f t="shared" si="44"/>
        <v>0.30515796636156806</v>
      </c>
      <c r="FA11" s="15">
        <f t="shared" si="45"/>
        <v>0.16663263350209398</v>
      </c>
      <c r="FB11" s="11">
        <f t="shared" si="72"/>
        <v>4950.5668775262675</v>
      </c>
    </row>
    <row r="12" spans="1:158" x14ac:dyDescent="0.15">
      <c r="A12" s="7" t="str">
        <f t="shared" si="11"/>
        <v>2020_1</v>
      </c>
      <c r="B12" s="28">
        <v>2020</v>
      </c>
      <c r="C12" s="3" t="s">
        <v>21</v>
      </c>
      <c r="D12" s="9">
        <v>484.21205256288732</v>
      </c>
      <c r="E12" s="9">
        <v>525.56638140547784</v>
      </c>
      <c r="F12" s="9">
        <v>564.18936909396461</v>
      </c>
      <c r="G12" s="9">
        <v>542.91433495939373</v>
      </c>
      <c r="H12" s="9">
        <v>456.11130230210301</v>
      </c>
      <c r="I12" s="9">
        <v>456.05586718980453</v>
      </c>
      <c r="J12" s="9">
        <v>598.78763540322029</v>
      </c>
      <c r="K12" s="9">
        <v>671.5521135344602</v>
      </c>
      <c r="L12" s="9">
        <v>765.01959040658483</v>
      </c>
      <c r="M12" s="9">
        <v>895.11210308570764</v>
      </c>
      <c r="N12" s="9">
        <v>789.04130278843138</v>
      </c>
      <c r="O12" s="9">
        <v>853.9979783880093</v>
      </c>
      <c r="P12" s="9">
        <v>841.63882250603467</v>
      </c>
      <c r="Q12" s="9">
        <v>763.36111319850704</v>
      </c>
      <c r="R12" s="9">
        <v>695.37112065155566</v>
      </c>
      <c r="S12" s="9">
        <v>453.90549126876243</v>
      </c>
      <c r="T12" s="9">
        <v>374.98567474799739</v>
      </c>
      <c r="U12" s="9">
        <v>221.36651814447671</v>
      </c>
      <c r="V12" s="9">
        <v>105.35259952015149</v>
      </c>
      <c r="W12" s="9">
        <v>12.378543662633779</v>
      </c>
      <c r="X12" s="9">
        <v>3.0800851798361464</v>
      </c>
      <c r="Y12" s="9">
        <f t="shared" ref="Y12:Y14" si="177">SUM(D12:X12)</f>
        <v>11074</v>
      </c>
      <c r="Z12" s="9">
        <f>E12*3/5+F12*3/5</f>
        <v>653.85345029966538</v>
      </c>
      <c r="AA12" s="9">
        <f>F12*2/5+G12*1/5</f>
        <v>334.2586146294646</v>
      </c>
      <c r="AB12" s="9">
        <f t="shared" ref="AB12:AB14" si="178">SUM(Q12:X12)</f>
        <v>2629.8011463739213</v>
      </c>
      <c r="AC12" s="9">
        <f>SUM(S12:X12)</f>
        <v>1171.0689125238578</v>
      </c>
      <c r="AD12" s="13">
        <f>AB12/Y12</f>
        <v>0.23747527057738135</v>
      </c>
      <c r="AE12" s="13">
        <f>AC12/Y12</f>
        <v>0.10574940514031585</v>
      </c>
      <c r="AF12" s="9">
        <f>SUM(H12:K12)</f>
        <v>2182.506918429588</v>
      </c>
      <c r="AK12" s="61">
        <f>管理者入力シート!B5</f>
        <v>2020</v>
      </c>
      <c r="AL12" s="62"/>
      <c r="BH12" s="7" t="str">
        <f t="shared" si="19"/>
        <v>2040_1</v>
      </c>
      <c r="BI12" s="28">
        <f>管理者入力シート!B11</f>
        <v>2040</v>
      </c>
      <c r="BJ12" s="3" t="s">
        <v>21</v>
      </c>
      <c r="BK12" s="9">
        <f>CM13*$AK$13</f>
        <v>329.59450260872177</v>
      </c>
      <c r="BL12" s="9">
        <f>IF(管理者入力シート!$B$14=1,BK9*管理者用人口入力シート!AM$3,IF(管理者入力シート!$B$14=2,BK9*管理者用人口入力シート!AM$7))</f>
        <v>361.64988112695926</v>
      </c>
      <c r="BM12" s="9">
        <f>IF(管理者入力シート!$B$14=1,BL9*管理者用人口入力シート!AN$3,IF(管理者入力シート!$B$14=2,BL9*管理者用人口入力シート!AN$7))</f>
        <v>414.07596877664798</v>
      </c>
      <c r="BN12" s="9">
        <f>IF(管理者入力シート!$B$14=1,BM9*管理者用人口入力シート!AO$3,IF(管理者入力シート!$B$14=2,BM9*管理者用人口入力シート!AO$7))</f>
        <v>430.24758457451043</v>
      </c>
      <c r="BO12" s="9">
        <f>IF(管理者入力シート!$B$14=1,BN9*管理者用人口入力シート!AP$3,IF(管理者入力シート!$B$14=2,BN9*管理者用人口入力シート!AP$7))</f>
        <v>311.00738444774731</v>
      </c>
      <c r="BP12" s="9">
        <f>IF(管理者入力シート!$B$14=1,BO9*管理者用人口入力シート!AQ$3,IF(管理者入力シート!$B$14=2,BO9*管理者用人口入力シート!AQ$7))</f>
        <v>350.64126588025033</v>
      </c>
      <c r="BQ12" s="9">
        <f>IF(管理者入力シート!$B$14=1,BP9*管理者用人口入力シート!AR$3,IF(管理者入力シート!$B$14=2,BP9*管理者用人口入力シート!AR$7))</f>
        <v>408.36846301004169</v>
      </c>
      <c r="BR12" s="9">
        <f>IF(管理者入力シート!$B$14=1,BQ9*管理者用人口入力シート!AS$3,IF(管理者入力シート!$B$14=2,BQ9*管理者用人口入力シート!AS$7))</f>
        <v>450.18184849681586</v>
      </c>
      <c r="BS12" s="9">
        <f>IF(管理者入力シート!$B$14=1,BR9*管理者用人口入力シート!AT$3,IF(管理者入力シート!$B$14=2,BR9*管理者用人口入力シート!AT$7))</f>
        <v>617.80355935866987</v>
      </c>
      <c r="BT12" s="9">
        <f>IF(管理者入力シート!$B$14=1,BS9*管理者用人口入力シート!AU$3,IF(管理者入力シート!$B$14=2,BS9*管理者用人口入力シート!AU$7))</f>
        <v>601.68801427154324</v>
      </c>
      <c r="BU12" s="9">
        <f>IF(管理者入力シート!$B$14=1,BT9*管理者用人口入力シート!AV$3,IF(管理者入力シート!$B$14=2,BT9*管理者用人口入力シート!AV$7))</f>
        <v>696.94288890093685</v>
      </c>
      <c r="BV12" s="9">
        <f>IF(管理者入力シート!$B$14=1,BU9*管理者用人口入力シート!AW$3,IF(管理者入力シート!$B$14=2,BU9*管理者用人口入力シート!AW$7))</f>
        <v>736.74499606711379</v>
      </c>
      <c r="BW12" s="9">
        <f>IF(管理者入力シート!$B$14=1,BV9*管理者用人口入力シート!AX$3,IF(管理者入力シート!$B$14=2,BV9*管理者用人口入力シート!AX$7))</f>
        <v>813.23206907301039</v>
      </c>
      <c r="BX12" s="9">
        <f>IF(管理者入力シート!$B$14=1,BW9*管理者用人口入力シート!AY$3,IF(管理者入力シート!$B$14=2,BW9*管理者用人口入力シート!AY$7))</f>
        <v>906.98165204674478</v>
      </c>
      <c r="BY12" s="9">
        <f>IF(管理者入力シート!$B$14=1,BX9*管理者用人口入力シート!AZ$3,IF(管理者入力シート!$B$14=2,BX9*管理者用人口入力シート!AZ$7))</f>
        <v>729.4284041728431</v>
      </c>
      <c r="BZ12" s="9">
        <f>IF(管理者入力シート!$B$14=1,BY9*管理者用人口入力シート!BA$3,IF(管理者入力シート!$B$14=2,BY9*管理者用人口入力シート!BA$7))</f>
        <v>691.7466912034696</v>
      </c>
      <c r="CA12" s="9">
        <f>IF(管理者入力シート!$B$14=1,BZ9*管理者用人口入力シート!BB$3,IF(管理者入力シート!$B$14=2,BZ9*管理者用人口入力シート!BB$7))</f>
        <v>547.62999533755215</v>
      </c>
      <c r="CB12" s="9">
        <f>IF(管理者入力シート!$B$14=1,CA9*管理者用人口入力シート!BC$3,IF(管理者入力シート!$B$14=2,CA9*管理者用人口入力シート!BC$7))</f>
        <v>340.226386037358</v>
      </c>
      <c r="CC12" s="9">
        <f>IF(管理者入力シート!$B$14=1,CB9*管理者用人口入力シート!BD$3,IF(管理者入力シート!$B$14=2,CB9*管理者用人口入力シート!BD$7))</f>
        <v>167.66081665753654</v>
      </c>
      <c r="CD12" s="9">
        <f>IF(管理者入力シート!$B$14=1,CC9*管理者用人口入力シート!BE$3,IF(管理者入力シート!$B$14=2,CC9*管理者用人口入力シート!BE$7))</f>
        <v>27.256716884598958</v>
      </c>
      <c r="CE12" s="9">
        <f>IF(管理者入力シート!$B$14=1,CD9*管理者用人口入力シート!BF$3,IF(管理者入力シート!$B$14=2,CD9*管理者用人口入力シート!BF$7))</f>
        <v>7.5721180631055089</v>
      </c>
      <c r="CF12" s="9">
        <f t="shared" si="2"/>
        <v>9940.6812069961779</v>
      </c>
      <c r="CG12" s="9">
        <f t="shared" si="20"/>
        <v>465.43550994216434</v>
      </c>
      <c r="CH12" s="9">
        <f t="shared" si="21"/>
        <v>251.67990442556129</v>
      </c>
      <c r="CI12" s="9">
        <f t="shared" si="3"/>
        <v>3418.5027804032084</v>
      </c>
      <c r="CJ12" s="9">
        <f t="shared" si="22"/>
        <v>1782.0927241836207</v>
      </c>
      <c r="CK12" s="13">
        <f t="shared" si="23"/>
        <v>0.34389019315872349</v>
      </c>
      <c r="CL12" s="13">
        <f t="shared" si="24"/>
        <v>0.17927269641535201</v>
      </c>
      <c r="CM12" s="9">
        <f t="shared" si="25"/>
        <v>1520.1989618348553</v>
      </c>
      <c r="CO12" s="7" t="str">
        <f t="shared" si="26"/>
        <v>2040_1</v>
      </c>
      <c r="CP12" s="28">
        <f>管理者入力シート!B11</f>
        <v>2040</v>
      </c>
      <c r="CQ12" s="3" t="s">
        <v>21</v>
      </c>
      <c r="CR12" s="9">
        <f>DT13*$AK$13+将来予測シート②!$G17</f>
        <v>332.16899835005904</v>
      </c>
      <c r="CS12" s="9">
        <f>IF(管理者入力シート!$B$14=1,CR9*管理者用人口入力シート!AM$3,IF(管理者入力シート!$B$14=2,CR9*管理者用人口入力シート!AM$7))+将来予測シート②!$G18</f>
        <v>364.10216722405397</v>
      </c>
      <c r="CT12" s="9">
        <f>IF(管理者入力シート!$B$14=1,CS9*管理者用人口入力シート!AN$3,IF(管理者入力シート!$B$14=2,CS9*管理者用人口入力シート!AN$7))+将来予測シート②!$G19</f>
        <v>417.03444660764285</v>
      </c>
      <c r="CU12" s="9">
        <f>IF(管理者入力シート!$B$14=1,CT9*管理者用人口入力シート!AO$3,IF(管理者入力シート!$B$14=2,CT9*管理者用人口入力シート!AO$7))+将来予測シート②!$G20</f>
        <v>432.15212071028117</v>
      </c>
      <c r="CV12" s="9">
        <f>IF(管理者入力シート!$B$14=1,CU9*管理者用人口入力シート!AP$3,IF(管理者入力シート!$B$14=2,CU9*管理者用人口入力シート!AP$7))+将来予測シート②!$G21</f>
        <v>311.60632104167166</v>
      </c>
      <c r="CW12" s="9">
        <f>IF(管理者入力シート!$B$14=1,CV9*管理者用人口入力シート!AQ$3,IF(管理者入力シート!$B$14=2,CV9*管理者用人口入力シート!AQ$7))+将来予測シート②!$G22</f>
        <v>353.26988219496673</v>
      </c>
      <c r="CX12" s="9">
        <f>IF(管理者入力シート!$B$14=1,CW9*管理者用人口入力シート!AR$3,IF(管理者入力シート!$B$14=2,CW9*管理者用人口入力シート!AR$7))+将来予測シート②!$G23</f>
        <v>410.67134479352114</v>
      </c>
      <c r="CY12" s="9">
        <f>IF(管理者入力シート!$B$14=1,CX9*管理者用人口入力シート!AS$3,IF(管理者入力シート!$B$14=2,CX9*管理者用人口入力シート!AS$7))+将来予測シート②!$G24</f>
        <v>452.60632495198848</v>
      </c>
      <c r="CZ12" s="9">
        <f>IF(管理者入力シート!$B$14=1,CY9*管理者用人口入力シート!AT$3,IF(管理者入力シート!$B$14=2,CY9*管理者用人口入力シート!AT$7))+将来予測シート②!$G25</f>
        <v>620.38465898494599</v>
      </c>
      <c r="DA12" s="9">
        <f>IF(管理者入力シート!$B$14=1,CZ9*管理者用人口入力シート!AU$3,IF(管理者入力シート!$B$14=2,CZ9*管理者用人口入力シート!AU$7))+将来予測シート②!$G26</f>
        <v>601.68801427154324</v>
      </c>
      <c r="DB12" s="9">
        <f>IF(管理者入力シート!$B$14=1,DA9*管理者用人口入力シート!AV$3,IF(管理者入力シート!$B$14=2,DA9*管理者用人口入力シート!AV$7))+将来予測シート②!$G27</f>
        <v>696.94288890093685</v>
      </c>
      <c r="DC12" s="9">
        <f>IF(管理者入力シート!$B$14=1,DB9*管理者用人口入力シート!AW$3,IF(管理者入力シート!$B$14=2,DB9*管理者用人口入力シート!AW$7))+将来予測シート②!$G28</f>
        <v>736.74499606711379</v>
      </c>
      <c r="DD12" s="9">
        <f>IF(管理者入力シート!$B$14=1,DC9*管理者用人口入力シート!AX$3,IF(管理者入力シート!$B$14=2,DC9*管理者用人口入力シート!AX$7))+将来予測シート②!$G29</f>
        <v>813.23206907301039</v>
      </c>
      <c r="DE12" s="9">
        <f>IF(管理者入力シート!$B$14=1,DD9*管理者用人口入力シート!AY$3,IF(管理者入力シート!$B$14=2,DD9*管理者用人口入力シート!AY$7))</f>
        <v>906.98165204674478</v>
      </c>
      <c r="DF12" s="9">
        <f>IF(管理者入力シート!$B$14=1,DE9*管理者用人口入力シート!AZ$3,IF(管理者入力シート!$B$14=2,DE9*管理者用人口入力シート!AZ$7))</f>
        <v>729.4284041728431</v>
      </c>
      <c r="DG12" s="9">
        <f>IF(管理者入力シート!$B$14=1,DF9*管理者用人口入力シート!BA$3,IF(管理者入力シート!$B$14=2,DF9*管理者用人口入力シート!BA$7))</f>
        <v>691.7466912034696</v>
      </c>
      <c r="DH12" s="9">
        <f>IF(管理者入力シート!$B$14=1,DG9*管理者用人口入力シート!BB$3,IF(管理者入力シート!$B$14=2,DG9*管理者用人口入力シート!BB$7))</f>
        <v>547.62999533755215</v>
      </c>
      <c r="DI12" s="9">
        <f>IF(管理者入力シート!$B$14=1,DH9*管理者用人口入力シート!BC$3,IF(管理者入力シート!$B$14=2,DH9*管理者用人口入力シート!BC$7))</f>
        <v>340.226386037358</v>
      </c>
      <c r="DJ12" s="9">
        <f>IF(管理者入力シート!$B$14=1,DI9*管理者用人口入力シート!BD$3,IF(管理者入力シート!$B$14=2,DI9*管理者用人口入力シート!BD$7))</f>
        <v>167.66081665753654</v>
      </c>
      <c r="DK12" s="9">
        <f>IF(管理者入力シート!$B$14=1,DJ9*管理者用人口入力シート!BE$3,IF(管理者入力シート!$B$14=2,DJ9*管理者用人口入力シート!BE$7))</f>
        <v>27.256716884598958</v>
      </c>
      <c r="DL12" s="9">
        <f>IF(管理者入力シート!$B$14=1,DK9*管理者用人口入力シート!BF$3,IF(管理者入力シート!$B$14=2,DK9*管理者用人口入力シート!BF$7))</f>
        <v>7.5721180631055089</v>
      </c>
      <c r="DM12" s="9">
        <f t="shared" si="69"/>
        <v>9961.1070135749451</v>
      </c>
      <c r="DN12" s="9">
        <f t="shared" si="34"/>
        <v>468.68196829901808</v>
      </c>
      <c r="DO12" s="9">
        <f t="shared" si="35"/>
        <v>253.24420278511337</v>
      </c>
      <c r="DP12" s="9">
        <f t="shared" si="6"/>
        <v>3418.5027804032084</v>
      </c>
      <c r="DQ12" s="9">
        <f t="shared" si="36"/>
        <v>1782.0927241836207</v>
      </c>
      <c r="DR12" s="13">
        <f t="shared" si="37"/>
        <v>0.34318502710035043</v>
      </c>
      <c r="DS12" s="13">
        <f t="shared" si="38"/>
        <v>0.1789050877332202</v>
      </c>
      <c r="DT12" s="9">
        <f t="shared" si="70"/>
        <v>1528.153872982148</v>
      </c>
      <c r="DV12" s="212"/>
      <c r="DX12" s="28">
        <f>管理者入力シート!B11</f>
        <v>2040</v>
      </c>
      <c r="DY12" s="3" t="s">
        <v>21</v>
      </c>
      <c r="DZ12" s="9">
        <f>FB13*$AK$13</f>
        <v>476.10311582428795</v>
      </c>
      <c r="EA12" s="129">
        <f>IF(管理者入力シート!$B$14=1,DZ9*管理者用人口入力シート!AM$3,IF(管理者入力シート!$B$14=2,DZ9*管理者用人口入力シート!AM$7))</f>
        <v>509.68597410368761</v>
      </c>
      <c r="EB12" s="9">
        <f>IF(管理者入力シート!$B$14=1,EA9*管理者用人口入力シート!AN$3,IF(管理者入力シート!$B$14=2,EA9*管理者用人口入力シート!AN$7))</f>
        <v>543.16641784475269</v>
      </c>
      <c r="EC12" s="9">
        <f>IF(管理者入力シート!$B$14=1,EB9*管理者用人口入力シート!AO$3,IF(管理者入力シート!$B$14=2,EB9*管理者用人口入力シート!AO$7))</f>
        <v>430.24758457451043</v>
      </c>
      <c r="ED12" s="9">
        <f>IF(管理者入力シート!$B$14=1,EC9*管理者用人口入力シート!AP$3,IF(管理者入力シート!$B$14=2,EC9*管理者用人口入力シート!AP$7))</f>
        <v>311.00738444774731</v>
      </c>
      <c r="EE12" s="9">
        <f>IF(管理者入力シート!$B$14=1,ED9*管理者用人口入力シート!AQ$3,IF(管理者入力シート!$B$14=2,ED9*管理者用人口入力シート!AQ$7))+DX1</f>
        <v>467.64126588025033</v>
      </c>
      <c r="EF12" s="9">
        <f>IF(管理者入力シート!$B$14=1,EE9*管理者用人口入力シート!AR$3,IF(管理者入力シート!$B$14=2,EE9*管理者用人口入力シート!AR$7))+DX1</f>
        <v>660.08704734359003</v>
      </c>
      <c r="EG12" s="9">
        <f>IF(管理者入力シート!$B$14=1,EF9*管理者用人口入力シート!AS$3,IF(管理者入力シート!$B$14=2,EF9*管理者用人口入力シート!AS$7))+DX1</f>
        <v>832.19144882636147</v>
      </c>
      <c r="EH12" s="9">
        <f>IF(管理者入力シート!$B$14=1,EG9*管理者用人口入力シート!AT$3,IF(管理者入力シート!$B$14=2,EG9*管理者用人口入力シート!AT$7))</f>
        <v>1024.4912937521228</v>
      </c>
      <c r="EI12" s="9">
        <f>IF(管理者入力シート!$B$14=1,EH9*管理者用人口入力シート!AU$3,IF(管理者入力シート!$B$14=2,EH9*管理者用人口入力シート!AU$7))</f>
        <v>863.08349180681398</v>
      </c>
      <c r="EJ12" s="9">
        <f>IF(管理者入力シート!$B$14=1,EI9*管理者用人口入力シート!AV$3,IF(管理者入力シート!$B$14=2,EI9*管理者用人口入力シート!AV$7))</f>
        <v>826.29213523607655</v>
      </c>
      <c r="EK12" s="9">
        <f>IF(管理者入力シート!$B$14=1,EJ9*管理者用人口入力シート!AW$3,IF(管理者入力シート!$B$14=2,EJ9*管理者用人口入力シート!AW$7))</f>
        <v>736.74499606711379</v>
      </c>
      <c r="EL12" s="9">
        <f>IF(管理者入力シート!$B$14=1,EK9*管理者用人口入力シート!AX$3,IF(管理者入力シート!$B$14=2,EK9*管理者用人口入力シート!AX$7))</f>
        <v>813.23206907301039</v>
      </c>
      <c r="EM12" s="9">
        <f>IF(管理者入力シート!$B$14=1,EL9*管理者用人口入力シート!AY$3,IF(管理者入力シート!$B$14=2,EL9*管理者用人口入力シート!AY$7))</f>
        <v>906.98165204674478</v>
      </c>
      <c r="EN12" s="9">
        <f>IF(管理者入力シート!$B$14=1,EM9*管理者用人口入力シート!AZ$3,IF(管理者入力シート!$B$14=2,EM9*管理者用人口入力シート!AZ$7))</f>
        <v>729.4284041728431</v>
      </c>
      <c r="EO12" s="9">
        <f>IF(管理者入力シート!$B$14=1,EN9*管理者用人口入力シート!BA$3,IF(管理者入力シート!$B$14=2,EN9*管理者用人口入力シート!BA$7))</f>
        <v>691.7466912034696</v>
      </c>
      <c r="EP12" s="9">
        <f>IF(管理者入力シート!$B$14=1,EO9*管理者用人口入力シート!BB$3,IF(管理者入力シート!$B$14=2,EO9*管理者用人口入力シート!BB$7))</f>
        <v>547.62999533755215</v>
      </c>
      <c r="EQ12" s="9">
        <f>IF(管理者入力シート!$B$14=1,EP9*管理者用人口入力シート!BC$3,IF(管理者入力シート!$B$14=2,EP9*管理者用人口入力シート!BC$7))</f>
        <v>340.226386037358</v>
      </c>
      <c r="ER12" s="9">
        <f>IF(管理者入力シート!$B$14=1,EQ9*管理者用人口入力シート!BD$3,IF(管理者入力シート!$B$14=2,EQ9*管理者用人口入力シート!BD$7))</f>
        <v>167.66081665753654</v>
      </c>
      <c r="ES12" s="9">
        <f>IF(管理者入力シート!$B$14=1,ER9*管理者用人口入力シート!BE$3,IF(管理者入力シート!$B$14=2,ER9*管理者用人口入力シート!BE$7))</f>
        <v>27.256716884598958</v>
      </c>
      <c r="ET12" s="9">
        <f>IF(管理者入力シート!$B$14=1,ES9*管理者用人口入力シート!BF$3,IF(管理者入力シート!$B$14=2,ES9*管理者用人口入力シート!BF$7))</f>
        <v>7.5721180631055089</v>
      </c>
      <c r="EU12" s="9">
        <f t="shared" si="71"/>
        <v>11912.477005183535</v>
      </c>
      <c r="EV12" s="9">
        <f t="shared" si="41"/>
        <v>631.7114351690642</v>
      </c>
      <c r="EW12" s="9">
        <f t="shared" si="42"/>
        <v>303.31608405280315</v>
      </c>
      <c r="EX12" s="9">
        <f t="shared" si="10"/>
        <v>3418.5027804032084</v>
      </c>
      <c r="EY12" s="9">
        <f t="shared" si="43"/>
        <v>1782.0927241836207</v>
      </c>
      <c r="EZ12" s="13">
        <f t="shared" si="44"/>
        <v>0.28696825848357971</v>
      </c>
      <c r="FA12" s="13">
        <f t="shared" si="45"/>
        <v>0.14959883854618733</v>
      </c>
      <c r="FB12" s="9">
        <f t="shared" si="72"/>
        <v>2270.9271464979493</v>
      </c>
    </row>
    <row r="13" spans="1:158" x14ac:dyDescent="0.15">
      <c r="A13" s="7" t="str">
        <f t="shared" si="11"/>
        <v>2020_2</v>
      </c>
      <c r="B13" s="29">
        <v>2020</v>
      </c>
      <c r="C13" s="4" t="s">
        <v>22</v>
      </c>
      <c r="D13" s="10">
        <v>482.47234538961021</v>
      </c>
      <c r="E13" s="10">
        <v>549.68122594390775</v>
      </c>
      <c r="F13" s="10">
        <v>496.22507015550843</v>
      </c>
      <c r="G13" s="10">
        <v>552.49520269471839</v>
      </c>
      <c r="H13" s="10">
        <v>520.72577091475887</v>
      </c>
      <c r="I13" s="10">
        <v>543.92438580018018</v>
      </c>
      <c r="J13" s="10">
        <v>633.06437356196409</v>
      </c>
      <c r="K13" s="10">
        <v>705.1465303689497</v>
      </c>
      <c r="L13" s="10">
        <v>822.15204413647268</v>
      </c>
      <c r="M13" s="10">
        <v>923.01368735634549</v>
      </c>
      <c r="N13" s="10">
        <v>974.32944986757639</v>
      </c>
      <c r="O13" s="10">
        <v>920.53547798565876</v>
      </c>
      <c r="P13" s="10">
        <v>884.94776410045904</v>
      </c>
      <c r="Q13" s="10">
        <v>792.17497875746744</v>
      </c>
      <c r="R13" s="10">
        <v>883.89552419808274</v>
      </c>
      <c r="S13" s="10">
        <v>628.33937967995871</v>
      </c>
      <c r="T13" s="10">
        <v>524.77756852635684</v>
      </c>
      <c r="U13" s="10">
        <v>459.05708203330283</v>
      </c>
      <c r="V13" s="10">
        <v>216.72451002676814</v>
      </c>
      <c r="W13" s="10">
        <v>70.211810319176664</v>
      </c>
      <c r="X13" s="10">
        <v>18.105818182777305</v>
      </c>
      <c r="Y13" s="10">
        <f t="shared" si="177"/>
        <v>12602.000000000004</v>
      </c>
      <c r="Z13" s="10">
        <f t="shared" ref="Z13:Z14" si="179">E13*3/5+F13*3/5</f>
        <v>627.54377765964966</v>
      </c>
      <c r="AA13" s="10">
        <f t="shared" ref="AA13:AA14" si="180">F13*2/5+G13*1/5</f>
        <v>308.98906860114704</v>
      </c>
      <c r="AB13" s="10">
        <f t="shared" si="178"/>
        <v>3593.2866717238908</v>
      </c>
      <c r="AC13" s="10">
        <f t="shared" ref="AC13:AC14" si="181">SUM(S13:X13)</f>
        <v>1917.2161687683406</v>
      </c>
      <c r="AD13" s="14">
        <f t="shared" ref="AD13:AD14" si="182">AB13/Y13</f>
        <v>0.28513622216504442</v>
      </c>
      <c r="AE13" s="14">
        <f t="shared" ref="AE13:AE14" si="183">AC13/Y13</f>
        <v>0.15213586484433742</v>
      </c>
      <c r="AF13" s="10">
        <f t="shared" ref="AF13:AF14" si="184">SUM(H13:K13)</f>
        <v>2402.8610606458528</v>
      </c>
      <c r="AI13" s="60" t="s">
        <v>47</v>
      </c>
      <c r="AJ13" s="1" t="s">
        <v>21</v>
      </c>
      <c r="AK13" s="8">
        <f>VLOOKUP(AK12&amp;"_1",A:D,4,FALSE)/VLOOKUP(AK12&amp;"_2",A:AF,32,FALSE)</f>
        <v>0.20151479438130243</v>
      </c>
      <c r="AL13" s="63"/>
      <c r="BH13" s="7" t="str">
        <f t="shared" si="19"/>
        <v>2040_2</v>
      </c>
      <c r="BI13" s="29">
        <f>BI12</f>
        <v>2040</v>
      </c>
      <c r="BJ13" s="4" t="s">
        <v>22</v>
      </c>
      <c r="BK13" s="10">
        <f>CM13*$AK$14</f>
        <v>328.41031498384513</v>
      </c>
      <c r="BL13" s="10">
        <f>IF(管理者入力シート!$B$14=1,BK10*管理者用人口入力シート!AM$4,IF(管理者入力シート!$B$14=2,BK10*管理者用人口入力シート!AM$8))</f>
        <v>367.49995865638726</v>
      </c>
      <c r="BM13" s="10">
        <f>IF(管理者入力シート!$B$14=1,BL10*管理者用人口入力シート!AN$4,IF(管理者入力シート!$B$14=2,BL10*管理者用人口入力シート!AN$8))</f>
        <v>405.13737828857097</v>
      </c>
      <c r="BN13" s="10">
        <f>IF(管理者入力シート!$B$14=1,BM10*管理者用人口入力シート!AO$4,IF(管理者入力シート!$B$14=2,BM10*管理者用人口入力シート!AO$8))</f>
        <v>451.61972984537852</v>
      </c>
      <c r="BO13" s="10">
        <f>IF(管理者入力シート!$B$14=1,BN10*管理者用人口入力シート!AP$4,IF(管理者入力シート!$B$14=2,BN10*管理者用人口入力シート!AP$8))</f>
        <v>388.27187465668891</v>
      </c>
      <c r="BP13" s="10">
        <f>IF(管理者入力シート!$B$14=1,BO10*管理者用人口入力シート!AQ$4,IF(管理者入力シート!$B$14=2,BO10*管理者用人口入力シート!AQ$8))</f>
        <v>411.18525360567156</v>
      </c>
      <c r="BQ13" s="10">
        <f>IF(管理者入力シート!$B$14=1,BP10*管理者用人口入力シート!AR$4,IF(管理者入力シート!$B$14=2,BP10*管理者用人口入力シート!AR$8))</f>
        <v>381.46078111489345</v>
      </c>
      <c r="BR13" s="10">
        <f>IF(管理者入力シート!$B$14=1,BQ10*管理者用人口入力シート!AS$4,IF(管理者入力シート!$B$14=2,BQ10*管理者用人口入力シート!AS$8))</f>
        <v>454.66673154528473</v>
      </c>
      <c r="BS13" s="10">
        <f>IF(管理者入力シート!$B$14=1,BR10*管理者用人口入力シート!AT$4,IF(管理者入力シート!$B$14=2,BR10*管理者用人口入力シート!AT$8))</f>
        <v>567.14928343444296</v>
      </c>
      <c r="BT13" s="10">
        <f>IF(管理者入力シート!$B$14=1,BS10*管理者用人口入力シート!AU$4,IF(管理者入力シート!$B$14=2,BS10*管理者用人口入力シート!AU$8))</f>
        <v>609.12020664551108</v>
      </c>
      <c r="BU13" s="10">
        <f>IF(管理者入力シート!$B$14=1,BT10*管理者用人口入力シート!AV$4,IF(管理者入力シート!$B$14=2,BT10*管理者用人口入力シート!AV$8))</f>
        <v>682.74343329842191</v>
      </c>
      <c r="BV13" s="10">
        <f>IF(管理者入力シート!$B$14=1,BU10*管理者用人口入力シート!AW$4,IF(管理者入力シート!$B$14=2,BU10*管理者用人口入力シート!AW$8))</f>
        <v>711.88638095507861</v>
      </c>
      <c r="BW13" s="10">
        <f>IF(管理者入力シート!$B$14=1,BV10*管理者用人口入力シート!AX$4,IF(管理者入力シート!$B$14=2,BV10*管理者用人口入力シート!AX$8))</f>
        <v>796.01573733582552</v>
      </c>
      <c r="BX13" s="10">
        <f>IF(管理者入力シート!$B$14=1,BW10*管理者用人口入力シート!AY$4,IF(管理者入力シート!$B$14=2,BW10*管理者用人口入力シート!AY$8))</f>
        <v>895.21060143513319</v>
      </c>
      <c r="BY13" s="10">
        <f>IF(管理者入力シート!$B$14=1,BX10*管理者用人口入力シート!AZ$4,IF(管理者入力シート!$B$14=2,BX10*管理者用人口入力シート!AZ$8))</f>
        <v>934.6636114836482</v>
      </c>
      <c r="BZ13" s="10">
        <f>IF(管理者入力シート!$B$14=1,BY10*管理者用人口入力シート!BA$4,IF(管理者入力シート!$B$14=2,BY10*管理者用人口入力シート!BA$8))</f>
        <v>838.53766129712074</v>
      </c>
      <c r="CA13" s="10">
        <f>IF(管理者入力シート!$B$14=1,BZ10*管理者用人口入力シート!BB$4,IF(管理者入力シート!$B$14=2,BZ10*管理者用人口入力シート!BB$8))</f>
        <v>735.31293298566516</v>
      </c>
      <c r="CB13" s="10">
        <f>IF(管理者入力シート!$B$14=1,CA10*管理者用人口入力シート!BC$4,IF(管理者入力シート!$B$14=2,CA10*管理者用人口入力シート!BC$8))</f>
        <v>505.408719911508</v>
      </c>
      <c r="CC13" s="10">
        <f>IF(管理者入力シート!$B$14=1,CB10*管理者用人口入力シート!BD$4,IF(管理者入力シート!$B$14=2,CB10*管理者用人口入力シート!BD$8))</f>
        <v>339.88290515336575</v>
      </c>
      <c r="CD13" s="10">
        <f>IF(管理者入力シート!$B$14=1,CC10*管理者用人口入力シート!BE$4,IF(管理者入力シート!$B$14=2,CC10*管理者用人口入力シート!BE$8))</f>
        <v>105.27872591699392</v>
      </c>
      <c r="CE13" s="10">
        <f>IF(管理者入力シート!$B$14=1,CD10*管理者用人口入力シート!BF$4,IF(管理者入力シート!$B$14=2,CD10*管理者用人口入力シート!BF$8))</f>
        <v>27.976486784532401</v>
      </c>
      <c r="CF13" s="10">
        <f t="shared" si="2"/>
        <v>10937.438709333968</v>
      </c>
      <c r="CG13" s="10">
        <f t="shared" si="20"/>
        <v>463.58240216697493</v>
      </c>
      <c r="CH13" s="10">
        <f t="shared" si="21"/>
        <v>252.37889728450409</v>
      </c>
      <c r="CI13" s="10">
        <f t="shared" si="3"/>
        <v>4382.2716449679665</v>
      </c>
      <c r="CJ13" s="10">
        <f t="shared" si="22"/>
        <v>2552.3974320491861</v>
      </c>
      <c r="CK13" s="14">
        <f t="shared" si="23"/>
        <v>0.40066708133670753</v>
      </c>
      <c r="CL13" s="14">
        <f t="shared" si="24"/>
        <v>0.2333633586326733</v>
      </c>
      <c r="CM13" s="10">
        <f t="shared" si="25"/>
        <v>1635.5846409225387</v>
      </c>
      <c r="CO13" s="7" t="str">
        <f t="shared" si="26"/>
        <v>2040_2</v>
      </c>
      <c r="CP13" s="29">
        <f>CP12</f>
        <v>2040</v>
      </c>
      <c r="CQ13" s="4" t="s">
        <v>22</v>
      </c>
      <c r="CR13" s="10">
        <f>DT13*$AK$14+将来予測シート②!$H17</f>
        <v>330.97915377897255</v>
      </c>
      <c r="CS13" s="10">
        <f>IF(管理者入力シート!$B$14=1,CR10*管理者用人口入力シート!AM$4,IF(管理者入力シート!$B$14=2,CR10*管理者用人口入力シート!AM$8))+将来予測シート②!$H18</f>
        <v>369.99561547767291</v>
      </c>
      <c r="CT13" s="10">
        <f>IF(管理者入力シート!$B$14=1,CS10*管理者用人口入力シート!AN$4,IF(管理者入力シート!$B$14=2,CS10*管理者用人口入力シート!AN$8))+将来予測シート②!$H19</f>
        <v>408.057362160342</v>
      </c>
      <c r="CU13" s="10">
        <f>IF(管理者入力シート!$B$14=1,CT10*管理者用人口入力シート!AO$4,IF(管理者入力シート!$B$14=2,CT10*管理者用人口入力シート!AO$8))+将来予測シート②!$H20</f>
        <v>453.64388546404007</v>
      </c>
      <c r="CV13" s="10">
        <f>IF(管理者入力シート!$B$14=1,CU10*管理者用人口入力シート!AP$4,IF(管理者入力シート!$B$14=2,CU10*管理者用人口入力シート!AP$8))+将来予測シート②!$H21</f>
        <v>389.03610414889351</v>
      </c>
      <c r="CW13" s="10">
        <f>IF(管理者入力シート!$B$14=1,CV10*管理者用人口入力シート!AQ$4,IF(管理者入力シート!$B$14=2,CV10*管理者用人口入力シート!AQ$8))+将来予測シート②!$H22</f>
        <v>413.91727455143592</v>
      </c>
      <c r="CX13" s="10">
        <f>IF(管理者入力シート!$B$14=1,CW10*管理者用人口入力シート!AR$4,IF(管理者入力シート!$B$14=2,CW10*管理者用人口入力シート!AR$8))+将来予測シート②!$H23</f>
        <v>383.56106344988228</v>
      </c>
      <c r="CY13" s="10">
        <f>IF(管理者入力シート!$B$14=1,CX10*管理者用人口入力シート!AS$4,IF(管理者入力シート!$B$14=2,CX10*管理者用人口入力シート!AS$8))+将来予測シート②!$H24</f>
        <v>456.88349975685929</v>
      </c>
      <c r="CZ13" s="10">
        <f>IF(管理者入力シート!$B$14=1,CY10*管理者用人口入力シート!AT$4,IF(管理者入力シート!$B$14=2,CY10*管理者用人口入力シート!AT$8))+将来予測シート②!$H25</f>
        <v>570.4234307661244</v>
      </c>
      <c r="DA13" s="10">
        <f>IF(管理者入力シート!$B$14=1,CZ10*管理者用人口入力シート!AU$4,IF(管理者入力シート!$B$14=2,CZ10*管理者用人口入力シート!AU$8))+将来予測シート②!$H26</f>
        <v>610.1050697664848</v>
      </c>
      <c r="DB13" s="10">
        <f>IF(管理者入力シート!$B$14=1,DA10*管理者用人口入力シート!AV$4,IF(管理者入力シート!$B$14=2,DA10*管理者用人口入力シート!AV$8))+将来予測シート②!$H27</f>
        <v>683.73945486082175</v>
      </c>
      <c r="DC13" s="10">
        <f>IF(管理者入力シート!$B$14=1,DB10*管理者用人口入力シート!AW$4,IF(管理者入力シート!$B$14=2,DB10*管理者用人口入力シート!AW$8))+将来予測シート②!$H28</f>
        <v>712.87046683189908</v>
      </c>
      <c r="DD13" s="10">
        <f>IF(管理者入力シート!$B$14=1,DC10*管理者用人口入力シート!AX$4,IF(管理者入力シート!$B$14=2,DC10*管理者用人口入力シート!AX$8))+将来予測シート②!$H29</f>
        <v>796.01573733582552</v>
      </c>
      <c r="DE13" s="10">
        <f>IF(管理者入力シート!$B$14=1,DD10*管理者用人口入力シート!AY$4,IF(管理者入力シート!$B$14=2,DD10*管理者用人口入力シート!AY$8))</f>
        <v>895.21060143513319</v>
      </c>
      <c r="DF13" s="10">
        <f>IF(管理者入力シート!$B$14=1,DE10*管理者用人口入力シート!AZ$4,IF(管理者入力シート!$B$14=2,DE10*管理者用人口入力シート!AZ$8))</f>
        <v>934.6636114836482</v>
      </c>
      <c r="DG13" s="10">
        <f>IF(管理者入力シート!$B$14=1,DF10*管理者用人口入力シート!BA$4,IF(管理者入力シート!$B$14=2,DF10*管理者用人口入力シート!BA$8))</f>
        <v>838.53766129712074</v>
      </c>
      <c r="DH13" s="10">
        <f>IF(管理者入力シート!$B$14=1,DG10*管理者用人口入力シート!BB$4,IF(管理者入力シート!$B$14=2,DG10*管理者用人口入力シート!BB$8))</f>
        <v>735.31293298566516</v>
      </c>
      <c r="DI13" s="10">
        <f>IF(管理者入力シート!$B$14=1,DH10*管理者用人口入力シート!BC$4,IF(管理者入力シート!$B$14=2,DH10*管理者用人口入力シート!BC$8))</f>
        <v>505.408719911508</v>
      </c>
      <c r="DJ13" s="10">
        <f>IF(管理者入力シート!$B$14=1,DI10*管理者用人口入力シート!BD$4,IF(管理者入力シート!$B$14=2,DI10*管理者用人口入力シート!BD$8))</f>
        <v>339.88290515336575</v>
      </c>
      <c r="DK13" s="10">
        <f>IF(管理者入力シート!$B$14=1,DJ10*管理者用人口入力シート!BE$4,IF(管理者入力シート!$B$14=2,DJ10*管理者用人口入力シート!BE$8))</f>
        <v>105.27872591699392</v>
      </c>
      <c r="DL13" s="10">
        <f>IF(管理者入力シート!$B$14=1,DK10*管理者用人口入力シート!BF$4,IF(管理者入力シート!$B$14=2,DK10*管理者用人口入力シート!BF$8))</f>
        <v>27.976486784532401</v>
      </c>
      <c r="DM13" s="10">
        <f t="shared" si="69"/>
        <v>10961.499763317221</v>
      </c>
      <c r="DN13" s="10">
        <f t="shared" si="34"/>
        <v>466.83178658280895</v>
      </c>
      <c r="DO13" s="10">
        <f t="shared" si="35"/>
        <v>253.95172195694482</v>
      </c>
      <c r="DP13" s="10">
        <f t="shared" si="6"/>
        <v>4382.2716449679665</v>
      </c>
      <c r="DQ13" s="10">
        <f t="shared" si="36"/>
        <v>2552.3974320491861</v>
      </c>
      <c r="DR13" s="14">
        <f t="shared" si="37"/>
        <v>0.3997875965507281</v>
      </c>
      <c r="DS13" s="14">
        <f t="shared" si="38"/>
        <v>0.23285111409579301</v>
      </c>
      <c r="DT13" s="10">
        <f t="shared" si="70"/>
        <v>1643.3979419070711</v>
      </c>
      <c r="DV13" s="62"/>
      <c r="DX13" s="29">
        <f>DX12</f>
        <v>2040</v>
      </c>
      <c r="DY13" s="4" t="s">
        <v>22</v>
      </c>
      <c r="DZ13" s="10">
        <f>FB13*$AK$14</f>
        <v>474.39254294318118</v>
      </c>
      <c r="EA13" s="10">
        <f>IF(管理者入力シート!$B$14=1,DZ10*管理者用人口入力シート!AM$4,IF(管理者入力シート!$B$14=2,DZ10*管理者用人口入力シート!AM$8))</f>
        <v>517.93069536524899</v>
      </c>
      <c r="EB13" s="10">
        <f>IF(管理者入力シート!$B$14=1,EA10*管理者用人口入力シート!AN$4,IF(管理者入力シート!$B$14=2,EA10*管理者用人口入力シート!AN$8))</f>
        <v>531.44117286051937</v>
      </c>
      <c r="EC13" s="10">
        <f>IF(管理者入力シート!$B$14=1,EB10*管理者用人口入力シート!AO$4,IF(管理者入力シート!$B$14=2,EB10*管理者用人口入力シート!AO$8))</f>
        <v>451.61972984537852</v>
      </c>
      <c r="ED13" s="10">
        <f>IF(管理者入力シート!$B$14=1,EC10*管理者用人口入力シート!AP$4,IF(管理者入力シート!$B$14=2,EC10*管理者用人口入力シート!AP$8))</f>
        <v>388.27187465668891</v>
      </c>
      <c r="EE13" s="10">
        <f>IF(管理者入力シート!$B$14=1,ED10*管理者用人口入力シート!AQ$4,IF(管理者入力シート!$B$14=2,ED10*管理者用人口入力シート!AQ$8))+DX1</f>
        <v>528.18525360567151</v>
      </c>
      <c r="EF13" s="10">
        <f>IF(管理者入力シート!$B$14=1,EE10*管理者用人口入力シート!AR$4,IF(管理者入力シート!$B$14=2,EE10*管理者用人口入力シート!AR$8))+DX1</f>
        <v>621.32729771173967</v>
      </c>
      <c r="EG13" s="10">
        <f>IF(管理者入力シート!$B$14=1,EF10*管理者用人口入力シート!AS$4,IF(管理者入力シート!$B$14=2,EF10*管理者用人口入力シート!AS$8))+DX1</f>
        <v>824.83672690966637</v>
      </c>
      <c r="EH13" s="10">
        <f>IF(管理者入力シート!$B$14=1,EG10*管理者用人口入力シート!AT$4,IF(管理者入力シート!$B$14=2,EG10*管理者用人口入力シート!AT$8))</f>
        <v>946.90080767182303</v>
      </c>
      <c r="EI13" s="10">
        <f>IF(管理者入力シート!$B$14=1,EH10*管理者用人口入力シート!AU$4,IF(管理者入力シート!$B$14=2,EH10*管理者用人口入力シート!AU$8))</f>
        <v>852.09963344041319</v>
      </c>
      <c r="EJ13" s="10">
        <f>IF(管理者入力シート!$B$14=1,EI10*管理者用人口入力シート!AV$4,IF(管理者入力シート!$B$14=2,EI10*管理者用人口入力シート!AV$8))</f>
        <v>802.29435102288448</v>
      </c>
      <c r="EK13" s="10">
        <f>IF(管理者入力シート!$B$14=1,EJ10*管理者用人口入力シート!AW$4,IF(管理者入力シート!$B$14=2,EJ10*管理者用人口入力シート!AW$8))</f>
        <v>711.88638095507861</v>
      </c>
      <c r="EL13" s="10">
        <f>IF(管理者入力シート!$B$14=1,EK10*管理者用人口入力シート!AX$4,IF(管理者入力シート!$B$14=2,EK10*管理者用人口入力シート!AX$8))</f>
        <v>796.01573733582552</v>
      </c>
      <c r="EM13" s="10">
        <f>IF(管理者入力シート!$B$14=1,EL10*管理者用人口入力シート!AY$4,IF(管理者入力シート!$B$14=2,EL10*管理者用人口入力シート!AY$8))</f>
        <v>895.21060143513319</v>
      </c>
      <c r="EN13" s="10">
        <f>IF(管理者入力シート!$B$14=1,EM10*管理者用人口入力シート!AZ$4,IF(管理者入力シート!$B$14=2,EM10*管理者用人口入力シート!AZ$8))</f>
        <v>934.6636114836482</v>
      </c>
      <c r="EO13" s="10">
        <f>IF(管理者入力シート!$B$14=1,EN10*管理者用人口入力シート!BA$4,IF(管理者入力シート!$B$14=2,EN10*管理者用人口入力シート!BA$8))</f>
        <v>838.53766129712074</v>
      </c>
      <c r="EP13" s="10">
        <f>IF(管理者入力シート!$B$14=1,EO10*管理者用人口入力シート!BB$4,IF(管理者入力シート!$B$14=2,EO10*管理者用人口入力シート!BB$8))</f>
        <v>735.31293298566516</v>
      </c>
      <c r="EQ13" s="10">
        <f>IF(管理者入力シート!$B$14=1,EP10*管理者用人口入力シート!BC$4,IF(管理者入力シート!$B$14=2,EP10*管理者用人口入力シート!BC$8))</f>
        <v>505.408719911508</v>
      </c>
      <c r="ER13" s="10">
        <f>IF(管理者入力シート!$B$14=1,EQ10*管理者用人口入力シート!BD$4,IF(管理者入力シート!$B$14=2,EQ10*管理者用人口入力シート!BD$8))</f>
        <v>339.88290515336575</v>
      </c>
      <c r="ES13" s="10">
        <f>IF(管理者入力シート!$B$14=1,ER10*管理者用人口入力シート!BE$4,IF(管理者入力シート!$B$14=2,ER10*管理者用人口入力シート!BE$8))</f>
        <v>105.27872591699392</v>
      </c>
      <c r="ET13" s="10">
        <f>IF(管理者入力シート!$B$14=1,ES10*管理者用人口入力シート!BF$4,IF(管理者入力シート!$B$14=2,ES10*管理者用人口入力シート!BF$8))</f>
        <v>27.976486784532401</v>
      </c>
      <c r="EU13" s="10">
        <f t="shared" si="71"/>
        <v>12829.473849292088</v>
      </c>
      <c r="EV13" s="10">
        <f t="shared" si="41"/>
        <v>629.62312093546097</v>
      </c>
      <c r="EW13" s="10">
        <f t="shared" si="42"/>
        <v>302.90041511328343</v>
      </c>
      <c r="EX13" s="10">
        <f t="shared" si="10"/>
        <v>4382.2716449679665</v>
      </c>
      <c r="EY13" s="10">
        <f t="shared" si="43"/>
        <v>2552.3974320491861</v>
      </c>
      <c r="EZ13" s="14">
        <f t="shared" si="44"/>
        <v>0.34157843855847403</v>
      </c>
      <c r="FA13" s="14">
        <f t="shared" si="45"/>
        <v>0.19894794299690036</v>
      </c>
      <c r="FB13" s="10">
        <f t="shared" si="72"/>
        <v>2362.6211528837666</v>
      </c>
    </row>
    <row r="14" spans="1:158" x14ac:dyDescent="0.15">
      <c r="A14" s="7" t="str">
        <f t="shared" si="11"/>
        <v>2020_3</v>
      </c>
      <c r="B14" s="30">
        <v>2020</v>
      </c>
      <c r="C14" s="5" t="s">
        <v>23</v>
      </c>
      <c r="D14" s="11">
        <v>966.68439795249753</v>
      </c>
      <c r="E14" s="11">
        <v>1075.2476073493856</v>
      </c>
      <c r="F14" s="11">
        <v>1060.4144392494732</v>
      </c>
      <c r="G14" s="11">
        <v>1095.4095376541122</v>
      </c>
      <c r="H14" s="11">
        <v>976.83707321686188</v>
      </c>
      <c r="I14" s="11">
        <v>999.98025298998471</v>
      </c>
      <c r="J14" s="11">
        <v>1231.8520089651843</v>
      </c>
      <c r="K14" s="11">
        <v>1376.6986439034099</v>
      </c>
      <c r="L14" s="11">
        <v>1587.1716345430575</v>
      </c>
      <c r="M14" s="11">
        <v>1818.1257904420531</v>
      </c>
      <c r="N14" s="11">
        <v>1763.3707526560079</v>
      </c>
      <c r="O14" s="11">
        <v>1774.5334563736681</v>
      </c>
      <c r="P14" s="11">
        <v>1726.5865866064937</v>
      </c>
      <c r="Q14" s="11">
        <v>1555.5360919559744</v>
      </c>
      <c r="R14" s="11">
        <v>1579.2666448496384</v>
      </c>
      <c r="S14" s="11">
        <v>1082.2448709487212</v>
      </c>
      <c r="T14" s="11">
        <v>899.76324327435418</v>
      </c>
      <c r="U14" s="11">
        <v>680.42360017777958</v>
      </c>
      <c r="V14" s="11">
        <v>322.07710954691964</v>
      </c>
      <c r="W14" s="11">
        <v>82.590353981810438</v>
      </c>
      <c r="X14" s="11">
        <v>21.185903362613452</v>
      </c>
      <c r="Y14" s="11">
        <f t="shared" si="177"/>
        <v>23676.000000000004</v>
      </c>
      <c r="Z14" s="11">
        <f t="shared" si="179"/>
        <v>1281.3972279593154</v>
      </c>
      <c r="AA14" s="11">
        <f t="shared" si="180"/>
        <v>643.24768323061176</v>
      </c>
      <c r="AB14" s="11">
        <f t="shared" si="178"/>
        <v>6223.0878180978107</v>
      </c>
      <c r="AC14" s="11">
        <f t="shared" si="181"/>
        <v>3088.2850812921984</v>
      </c>
      <c r="AD14" s="15">
        <f t="shared" si="182"/>
        <v>0.26284371591898165</v>
      </c>
      <c r="AE14" s="15">
        <f t="shared" si="183"/>
        <v>0.1304394780069352</v>
      </c>
      <c r="AF14" s="11">
        <f t="shared" si="184"/>
        <v>4585.3679790754413</v>
      </c>
      <c r="AI14" s="43"/>
      <c r="AJ14" s="1" t="s">
        <v>22</v>
      </c>
      <c r="AK14" s="8">
        <f>VLOOKUP(AK12&amp;"_2",A:D,4,FALSE)/VLOOKUP(AK12&amp;"_2",A:AF,32,FALSE)</f>
        <v>0.20079077949680907</v>
      </c>
      <c r="AL14" s="63"/>
      <c r="BH14" s="7" t="str">
        <f t="shared" si="19"/>
        <v>2040_3</v>
      </c>
      <c r="BI14" s="30">
        <f>BI13</f>
        <v>2040</v>
      </c>
      <c r="BJ14" s="5" t="s">
        <v>23</v>
      </c>
      <c r="BK14" s="16">
        <f>BK12+BK13</f>
        <v>658.00481759256695</v>
      </c>
      <c r="BL14" s="16">
        <f t="shared" ref="BL14" si="185">BL12+BL13</f>
        <v>729.14983978334658</v>
      </c>
      <c r="BM14" s="16">
        <f t="shared" ref="BM14" si="186">BM12+BM13</f>
        <v>819.21334706521895</v>
      </c>
      <c r="BN14" s="16">
        <f t="shared" ref="BN14" si="187">BN12+BN13</f>
        <v>881.867314419889</v>
      </c>
      <c r="BO14" s="16">
        <f t="shared" ref="BO14" si="188">BO12+BO13</f>
        <v>699.27925910443628</v>
      </c>
      <c r="BP14" s="16">
        <f t="shared" ref="BP14" si="189">BP12+BP13</f>
        <v>761.82651948592184</v>
      </c>
      <c r="BQ14" s="16">
        <f t="shared" ref="BQ14" si="190">BQ12+BQ13</f>
        <v>789.82924412493514</v>
      </c>
      <c r="BR14" s="16">
        <f t="shared" ref="BR14" si="191">BR12+BR13</f>
        <v>904.84858004210059</v>
      </c>
      <c r="BS14" s="16">
        <f t="shared" ref="BS14" si="192">BS12+BS13</f>
        <v>1184.9528427931127</v>
      </c>
      <c r="BT14" s="16">
        <f t="shared" ref="BT14" si="193">BT12+BT13</f>
        <v>1210.8082209170543</v>
      </c>
      <c r="BU14" s="16">
        <f t="shared" ref="BU14" si="194">BU12+BU13</f>
        <v>1379.6863221993588</v>
      </c>
      <c r="BV14" s="16">
        <f t="shared" ref="BV14" si="195">BV12+BV13</f>
        <v>1448.6313770221923</v>
      </c>
      <c r="BW14" s="16">
        <f t="shared" ref="BW14" si="196">BW12+BW13</f>
        <v>1609.2478064088359</v>
      </c>
      <c r="BX14" s="16">
        <f t="shared" ref="BX14" si="197">BX12+BX13</f>
        <v>1802.192253481878</v>
      </c>
      <c r="BY14" s="16">
        <f t="shared" ref="BY14" si="198">BY12+BY13</f>
        <v>1664.0920156564912</v>
      </c>
      <c r="BZ14" s="16">
        <f t="shared" ref="BZ14" si="199">BZ12+BZ13</f>
        <v>1530.2843525005903</v>
      </c>
      <c r="CA14" s="16">
        <f t="shared" ref="CA14" si="200">CA12+CA13</f>
        <v>1282.9429283232173</v>
      </c>
      <c r="CB14" s="16">
        <f t="shared" ref="CB14" si="201">CB12+CB13</f>
        <v>845.635105948866</v>
      </c>
      <c r="CC14" s="16">
        <f t="shared" ref="CC14" si="202">CC12+CC13</f>
        <v>507.5437218109023</v>
      </c>
      <c r="CD14" s="16">
        <f t="shared" ref="CD14" si="203">CD12+CD13</f>
        <v>132.53544280159286</v>
      </c>
      <c r="CE14" s="16">
        <f t="shared" ref="CE14" si="204">CE12+CE13</f>
        <v>35.548604847637911</v>
      </c>
      <c r="CF14" s="11">
        <f t="shared" si="2"/>
        <v>20878.119916330146</v>
      </c>
      <c r="CG14" s="11">
        <f t="shared" si="20"/>
        <v>929.01791210913939</v>
      </c>
      <c r="CH14" s="11">
        <f t="shared" si="21"/>
        <v>504.05880171006538</v>
      </c>
      <c r="CI14" s="11">
        <f t="shared" si="3"/>
        <v>7800.7744253711753</v>
      </c>
      <c r="CJ14" s="11">
        <f t="shared" si="22"/>
        <v>4334.4901562328068</v>
      </c>
      <c r="CK14" s="15">
        <f t="shared" si="23"/>
        <v>0.37363395059675264</v>
      </c>
      <c r="CL14" s="15">
        <f t="shared" si="24"/>
        <v>0.20760921833974705</v>
      </c>
      <c r="CM14" s="11">
        <f t="shared" si="25"/>
        <v>3155.783602757394</v>
      </c>
      <c r="CO14" s="7" t="str">
        <f t="shared" si="26"/>
        <v>2040_3</v>
      </c>
      <c r="CP14" s="30">
        <f>CP13</f>
        <v>2040</v>
      </c>
      <c r="CQ14" s="5" t="s">
        <v>23</v>
      </c>
      <c r="CR14" s="16">
        <f>CR12+CR13</f>
        <v>663.14815212903159</v>
      </c>
      <c r="CS14" s="16">
        <f t="shared" ref="CS14" si="205">CS12+CS13</f>
        <v>734.09778270172683</v>
      </c>
      <c r="CT14" s="16">
        <f t="shared" ref="CT14" si="206">CT12+CT13</f>
        <v>825.09180876798484</v>
      </c>
      <c r="CU14" s="16">
        <f t="shared" ref="CU14" si="207">CU12+CU13</f>
        <v>885.79600617432129</v>
      </c>
      <c r="CV14" s="16">
        <f t="shared" ref="CV14" si="208">CV12+CV13</f>
        <v>700.64242519056518</v>
      </c>
      <c r="CW14" s="16">
        <f t="shared" ref="CW14" si="209">CW12+CW13</f>
        <v>767.18715674640271</v>
      </c>
      <c r="CX14" s="16">
        <f t="shared" ref="CX14" si="210">CX12+CX13</f>
        <v>794.23240824340337</v>
      </c>
      <c r="CY14" s="16">
        <f t="shared" ref="CY14" si="211">CY12+CY13</f>
        <v>909.48982470884778</v>
      </c>
      <c r="CZ14" s="16">
        <f t="shared" ref="CZ14" si="212">CZ12+CZ13</f>
        <v>1190.8080897510704</v>
      </c>
      <c r="DA14" s="16">
        <f t="shared" ref="DA14" si="213">DA12+DA13</f>
        <v>1211.7930840380282</v>
      </c>
      <c r="DB14" s="16">
        <f t="shared" ref="DB14" si="214">DB12+DB13</f>
        <v>1380.6823437617586</v>
      </c>
      <c r="DC14" s="16">
        <f t="shared" ref="DC14" si="215">DC12+DC13</f>
        <v>1449.615462899013</v>
      </c>
      <c r="DD14" s="16">
        <f t="shared" ref="DD14" si="216">DD12+DD13</f>
        <v>1609.2478064088359</v>
      </c>
      <c r="DE14" s="16">
        <f t="shared" ref="DE14" si="217">DE12+DE13</f>
        <v>1802.192253481878</v>
      </c>
      <c r="DF14" s="16">
        <f t="shared" ref="DF14" si="218">DF12+DF13</f>
        <v>1664.0920156564912</v>
      </c>
      <c r="DG14" s="16">
        <f t="shared" ref="DG14" si="219">DG12+DG13</f>
        <v>1530.2843525005903</v>
      </c>
      <c r="DH14" s="16">
        <f t="shared" ref="DH14" si="220">DH12+DH13</f>
        <v>1282.9429283232173</v>
      </c>
      <c r="DI14" s="16">
        <f t="shared" ref="DI14" si="221">DI12+DI13</f>
        <v>845.635105948866</v>
      </c>
      <c r="DJ14" s="16">
        <f t="shared" ref="DJ14" si="222">DJ12+DJ13</f>
        <v>507.5437218109023</v>
      </c>
      <c r="DK14" s="16">
        <f t="shared" ref="DK14" si="223">DK12+DK13</f>
        <v>132.53544280159286</v>
      </c>
      <c r="DL14" s="16">
        <f t="shared" ref="DL14" si="224">DL12+DL13</f>
        <v>35.548604847637911</v>
      </c>
      <c r="DM14" s="11">
        <f t="shared" si="69"/>
        <v>20922.606776892168</v>
      </c>
      <c r="DN14" s="11">
        <f t="shared" si="34"/>
        <v>935.51375488182703</v>
      </c>
      <c r="DO14" s="11">
        <f t="shared" si="35"/>
        <v>507.1959247420582</v>
      </c>
      <c r="DP14" s="11">
        <f t="shared" si="6"/>
        <v>7800.7744253711753</v>
      </c>
      <c r="DQ14" s="11">
        <f t="shared" si="36"/>
        <v>4334.4901562328068</v>
      </c>
      <c r="DR14" s="15">
        <f t="shared" si="37"/>
        <v>0.37283950841090646</v>
      </c>
      <c r="DS14" s="15">
        <f t="shared" si="38"/>
        <v>0.20716778757320076</v>
      </c>
      <c r="DT14" s="11">
        <f t="shared" si="70"/>
        <v>3171.5518148892188</v>
      </c>
      <c r="DX14" s="30">
        <f>DX13</f>
        <v>2040</v>
      </c>
      <c r="DY14" s="5" t="s">
        <v>23</v>
      </c>
      <c r="DZ14" s="16">
        <f>DZ12+DZ13</f>
        <v>950.49565876746919</v>
      </c>
      <c r="EA14" s="16">
        <f t="shared" ref="EA14" si="225">EA12+EA13</f>
        <v>1027.6166694689366</v>
      </c>
      <c r="EB14" s="16">
        <f t="shared" ref="EB14" si="226">EB12+EB13</f>
        <v>1074.6075907052721</v>
      </c>
      <c r="EC14" s="16">
        <f t="shared" ref="EC14" si="227">EC12+EC13</f>
        <v>881.867314419889</v>
      </c>
      <c r="ED14" s="16">
        <f t="shared" ref="ED14" si="228">ED12+ED13</f>
        <v>699.27925910443628</v>
      </c>
      <c r="EE14" s="16">
        <f t="shared" ref="EE14" si="229">EE12+EE13</f>
        <v>995.82651948592184</v>
      </c>
      <c r="EF14" s="16">
        <f t="shared" ref="EF14" si="230">EF12+EF13</f>
        <v>1281.4143450553297</v>
      </c>
      <c r="EG14" s="16">
        <f t="shared" ref="EG14" si="231">EG12+EG13</f>
        <v>1657.0281757360278</v>
      </c>
      <c r="EH14" s="16">
        <f t="shared" ref="EH14" si="232">EH12+EH13</f>
        <v>1971.3921014239459</v>
      </c>
      <c r="EI14" s="16">
        <f t="shared" ref="EI14" si="233">EI12+EI13</f>
        <v>1715.1831252472271</v>
      </c>
      <c r="EJ14" s="16">
        <f t="shared" ref="EJ14" si="234">EJ12+EJ13</f>
        <v>1628.586486258961</v>
      </c>
      <c r="EK14" s="16">
        <f t="shared" ref="EK14" si="235">EK12+EK13</f>
        <v>1448.6313770221923</v>
      </c>
      <c r="EL14" s="16">
        <f t="shared" ref="EL14" si="236">EL12+EL13</f>
        <v>1609.2478064088359</v>
      </c>
      <c r="EM14" s="16">
        <f t="shared" ref="EM14" si="237">EM12+EM13</f>
        <v>1802.192253481878</v>
      </c>
      <c r="EN14" s="16">
        <f t="shared" ref="EN14" si="238">EN12+EN13</f>
        <v>1664.0920156564912</v>
      </c>
      <c r="EO14" s="16">
        <f t="shared" ref="EO14" si="239">EO12+EO13</f>
        <v>1530.2843525005903</v>
      </c>
      <c r="EP14" s="16">
        <f t="shared" ref="EP14" si="240">EP12+EP13</f>
        <v>1282.9429283232173</v>
      </c>
      <c r="EQ14" s="16">
        <f t="shared" ref="EQ14" si="241">EQ12+EQ13</f>
        <v>845.635105948866</v>
      </c>
      <c r="ER14" s="16">
        <f t="shared" ref="ER14" si="242">ER12+ER13</f>
        <v>507.5437218109023</v>
      </c>
      <c r="ES14" s="16">
        <f t="shared" ref="ES14" si="243">ES12+ES13</f>
        <v>132.53544280159286</v>
      </c>
      <c r="ET14" s="16">
        <f t="shared" ref="ET14" si="244">ET12+ET13</f>
        <v>35.548604847637911</v>
      </c>
      <c r="EU14" s="11">
        <f t="shared" si="71"/>
        <v>24741.950854475621</v>
      </c>
      <c r="EV14" s="11">
        <f t="shared" si="41"/>
        <v>1261.3345561045253</v>
      </c>
      <c r="EW14" s="11">
        <f t="shared" si="42"/>
        <v>606.21649916608658</v>
      </c>
      <c r="EX14" s="11">
        <f t="shared" si="10"/>
        <v>7800.7744253711753</v>
      </c>
      <c r="EY14" s="11">
        <f t="shared" si="43"/>
        <v>4334.4901562328068</v>
      </c>
      <c r="EZ14" s="15">
        <f t="shared" si="44"/>
        <v>0.31528534153401561</v>
      </c>
      <c r="FA14" s="15">
        <f t="shared" si="45"/>
        <v>0.17518788965861729</v>
      </c>
      <c r="FB14" s="11">
        <f t="shared" si="72"/>
        <v>4633.5482993817159</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313.63603965364547</v>
      </c>
      <c r="BL15" s="9">
        <f>IF(管理者入力シート!$B$14=1,BK12*管理者用人口入力シート!AM$3,IF(管理者入力シート!$B$14=2,BK12*管理者用人口入力シート!AM$7))</f>
        <v>333.03081205889981</v>
      </c>
      <c r="BM15" s="9">
        <f>IF(管理者入力シート!$B$14=1,BL12*管理者用人口入力シート!AN$3,IF(管理者入力シート!$B$14=2,BL12*管理者用人口入力シート!AN$7))</f>
        <v>383.82930249327507</v>
      </c>
      <c r="BN15" s="9">
        <f>IF(管理者入力シート!$B$14=1,BM12*管理者用人口入力シート!AO$3,IF(管理者入力シート!$B$14=2,BM12*管理者用人口入力シート!AO$7))</f>
        <v>380.53707775274307</v>
      </c>
      <c r="BO15" s="9">
        <f>IF(管理者入力シート!$B$14=1,BN12*管理者用人口入力シート!AP$3,IF(管理者入力シート!$B$14=2,BN12*管理者用人口入力シート!AP$7))</f>
        <v>280.40279428612047</v>
      </c>
      <c r="BP15" s="9">
        <f>IF(管理者入力シート!$B$14=1,BO12*管理者用人口入力シート!AQ$3,IF(管理者入力シート!$B$14=2,BO12*管理者用人口入力シート!AQ$7))</f>
        <v>326.41905310904781</v>
      </c>
      <c r="BQ15" s="9">
        <f>IF(管理者入力シート!$B$14=1,BP12*管理者用人口入力シート!AR$3,IF(管理者入力シート!$B$14=2,BP12*管理者用人口入力シート!AR$7))</f>
        <v>403.74269186590294</v>
      </c>
      <c r="BR15" s="9">
        <f>IF(管理者入力シート!$B$14=1,BQ12*管理者用人口入力シート!AS$3,IF(管理者入力シート!$B$14=2,BQ12*管理者用人口入力シート!AS$7))</f>
        <v>429.93076357874031</v>
      </c>
      <c r="BS15" s="9">
        <f>IF(管理者入力シート!$B$14=1,BR12*管理者用人口入力シート!AT$3,IF(管理者入力シート!$B$14=2,BR12*管理者用人口入力シート!AT$7))</f>
        <v>479.26396580684741</v>
      </c>
      <c r="BT15" s="9">
        <f>IF(管理者入力シート!$B$14=1,BS12*管理者用人口入力シート!AU$3,IF(管理者入力シート!$B$14=2,BS12*管理者用人口入力シート!AU$7))</f>
        <v>631.58084045261421</v>
      </c>
      <c r="BU15" s="9">
        <f>IF(管理者入力シート!$B$14=1,BT12*管理者用人口入力シート!AV$3,IF(管理者入力シート!$B$14=2,BT12*管理者用人口入力シート!AV$7))</f>
        <v>611.20101027408862</v>
      </c>
      <c r="BV15" s="9">
        <f>IF(管理者入力シート!$B$14=1,BU12*管理者用人口入力シート!AW$3,IF(管理者入力シート!$B$14=2,BU12*管理者用人口入力シート!AW$7))</f>
        <v>691.60261216313154</v>
      </c>
      <c r="BW15" s="9">
        <f>IF(管理者入力シート!$B$14=1,BV12*管理者用人口入力シート!AX$3,IF(管理者入力シート!$B$14=2,BV12*管理者用人口入力シート!AX$7))</f>
        <v>759.99101353461992</v>
      </c>
      <c r="BX15" s="9">
        <f>IF(管理者入力シート!$B$14=1,BW12*管理者用人口入力シート!AY$3,IF(管理者入力シート!$B$14=2,BW12*管理者用人口入力シート!AY$7))</f>
        <v>792.45054688896516</v>
      </c>
      <c r="BY15" s="9">
        <f>IF(管理者入力シート!$B$14=1,BX12*管理者用人口入力シート!AZ$3,IF(管理者入力シート!$B$14=2,BX12*管理者用人口入力シート!AZ$7))</f>
        <v>840.56841331406281</v>
      </c>
      <c r="BZ15" s="9">
        <f>IF(管理者入力シート!$B$14=1,BY12*管理者用人口入力シート!BA$3,IF(管理者入力シート!$B$14=2,BY12*管理者用人口入力シート!BA$7))</f>
        <v>634.2338521846749</v>
      </c>
      <c r="CA15" s="9">
        <f>IF(管理者入力シート!$B$14=1,BZ12*管理者用人口入力シート!BB$3,IF(管理者入力シート!$B$14=2,BZ12*管理者用人口入力シート!BB$7))</f>
        <v>573.20447522804352</v>
      </c>
      <c r="CB15" s="9">
        <f>IF(管理者入力シート!$B$14=1,CA12*管理者用人口入力シート!BC$3,IF(管理者入力シート!$B$14=2,CA12*管理者用人口入力シート!BC$7))</f>
        <v>365.52862495153528</v>
      </c>
      <c r="CC15" s="9">
        <f>IF(管理者入力シート!$B$14=1,CB12*管理者用人口入力シート!BD$3,IF(管理者入力シート!$B$14=2,CB12*管理者用人口入力シート!BD$7))</f>
        <v>170.57662776145688</v>
      </c>
      <c r="CD15" s="9">
        <f>IF(管理者入力シート!$B$14=1,CC12*管理者用人口入力シート!BE$3,IF(管理者入力シート!$B$14=2,CC12*管理者用人口入力シート!BE$7))</f>
        <v>36.307095233635408</v>
      </c>
      <c r="CE15" s="9">
        <f>IF(管理者入力シート!$B$14=1,CD12*管理者用人口入力シート!BF$3,IF(管理者入力シート!$B$14=2,CD12*管理者用人口入力シート!BF$7))</f>
        <v>7.5950496712507434</v>
      </c>
      <c r="CF15" s="9">
        <f t="shared" ref="CF15:CF20" si="252">SUM(BK15:CE15)</f>
        <v>9445.6326622633005</v>
      </c>
      <c r="CG15" s="9">
        <f t="shared" ref="CG15:CG20" si="253">BL15*3/5+BM15*3/5</f>
        <v>430.11606873130495</v>
      </c>
      <c r="CH15" s="9">
        <f t="shared" ref="CH15:CH20" si="254">BM15*2/5+BN15*1/5</f>
        <v>229.63913654785864</v>
      </c>
      <c r="CI15" s="9">
        <f t="shared" ref="CI15:CI20" si="255">SUM(BX15:CE15)</f>
        <v>3420.4646852336246</v>
      </c>
      <c r="CJ15" s="9">
        <f t="shared" ref="CJ15:CJ20" si="256">SUM(BZ15:CE15)</f>
        <v>1787.4457250305968</v>
      </c>
      <c r="CK15" s="13">
        <f t="shared" ref="CK15:CK20" si="257">CI15/CF15</f>
        <v>0.3621212900750298</v>
      </c>
      <c r="CL15" s="13">
        <f t="shared" ref="CL15:CL20" si="258">CJ15/CF15</f>
        <v>0.18923515120079853</v>
      </c>
      <c r="CM15" s="9">
        <f t="shared" ref="CM15:CM20" si="259">SUM(BO15:BR15)</f>
        <v>1440.4953028398118</v>
      </c>
      <c r="CO15" s="7" t="str">
        <f t="shared" si="26"/>
        <v>2045_1</v>
      </c>
      <c r="CP15" s="28">
        <f>管理者入力シート!B12</f>
        <v>2045</v>
      </c>
      <c r="CQ15" s="3" t="s">
        <v>21</v>
      </c>
      <c r="CR15" s="9">
        <f>DT16*$AK$13+将来予測シート②!$G17</f>
        <v>316.52761489442082</v>
      </c>
      <c r="CS15" s="9">
        <f>IF(管理者入力シート!$B$14=1,CR12*管理者用人口入力シート!AM$3,IF(管理者入力シート!$B$14=2,CR12*管理者用人口入力シート!AM$7))+将来予測シート②!$G18</f>
        <v>335.63214915825546</v>
      </c>
      <c r="CT15" s="9">
        <f>IF(管理者入力シート!$B$14=1,CS12*管理者用人口入力シート!AN$3,IF(管理者入力シート!$B$14=2,CS12*管理者用人口入力シート!AN$7))+将来予測シート②!$G19</f>
        <v>387.43198345981847</v>
      </c>
      <c r="CU15" s="9">
        <f>IF(管理者入力シート!$B$14=1,CT12*管理者用人口入力シート!AO$3,IF(管理者入力シート!$B$14=2,CT12*管理者用人口入力シート!AO$7))+将来予測シート②!$G20</f>
        <v>383.25592789932165</v>
      </c>
      <c r="CV15" s="9">
        <f>IF(管理者入力シート!$B$14=1,CU12*管理者用人口入力シート!AP$3,IF(管理者入力シート!$B$14=2,CU12*管理者用人口入力シート!AP$7))+将来予測シート②!$G21</f>
        <v>281.64402671469327</v>
      </c>
      <c r="CW15" s="9">
        <f>IF(管理者入力シート!$B$14=1,CV12*管理者用人口入力シート!AQ$3,IF(管理者入力シート!$B$14=2,CV12*管理者用人口入力シート!AQ$7))+将来予測シート②!$G22</f>
        <v>329.04766942376426</v>
      </c>
      <c r="CX15" s="9">
        <f>IF(管理者入力シート!$B$14=1,CW12*管理者用人口入力シート!AR$3,IF(管理者入力シート!$B$14=2,CW12*管理者用人口入力シート!AR$7))+将来予測シート②!$G23</f>
        <v>406.76938817936156</v>
      </c>
      <c r="CY15" s="9">
        <f>IF(管理者入力シート!$B$14=1,CX12*管理者用人口入力シート!AS$3,IF(管理者入力シート!$B$14=2,CX12*管理者用人口入力シート!AS$7))+将来予測シート②!$G24</f>
        <v>432.35524003391293</v>
      </c>
      <c r="CZ15" s="9">
        <f>IF(管理者入力シート!$B$14=1,CY12*管理者用人口入力シート!AT$3,IF(管理者入力シート!$B$14=2,CY12*管理者用人口入力シート!AT$7))+将来予測シート②!$G25</f>
        <v>481.84506543312341</v>
      </c>
      <c r="DA15" s="9">
        <f>IF(管理者入力シート!$B$14=1,CZ12*管理者用人口入力シート!AU$3,IF(管理者入力シート!$B$14=2,CZ12*管理者用人口入力シート!AU$7))+将来予測シート②!$G26</f>
        <v>634.21949969398804</v>
      </c>
      <c r="DB15" s="9">
        <f>IF(管理者入力シート!$B$14=1,DA12*管理者用人口入力シート!AV$3,IF(管理者入力シート!$B$14=2,DA12*管理者用人口入力シート!AV$7))+将来予測シート②!$G27</f>
        <v>611.20101027408862</v>
      </c>
      <c r="DC15" s="9">
        <f>IF(管理者入力シート!$B$14=1,DB12*管理者用人口入力シート!AW$3,IF(管理者入力シート!$B$14=2,DB12*管理者用人口入力シート!AW$7))+将来予測シート②!$G28</f>
        <v>691.60261216313154</v>
      </c>
      <c r="DD15" s="9">
        <f>IF(管理者入力シート!$B$14=1,DC12*管理者用人口入力シート!AX$3,IF(管理者入力シート!$B$14=2,DC12*管理者用人口入力シート!AX$7))+将来予測シート②!$G29</f>
        <v>759.99101353461992</v>
      </c>
      <c r="DE15" s="9">
        <f>IF(管理者入力シート!$B$14=1,DD12*管理者用人口入力シート!AY$3,IF(管理者入力シート!$B$14=2,DD12*管理者用人口入力シート!AY$7))</f>
        <v>792.45054688896516</v>
      </c>
      <c r="DF15" s="9">
        <f>IF(管理者入力シート!$B$14=1,DE12*管理者用人口入力シート!AZ$3,IF(管理者入力シート!$B$14=2,DE12*管理者用人口入力シート!AZ$7))</f>
        <v>840.56841331406281</v>
      </c>
      <c r="DG15" s="9">
        <f>IF(管理者入力シート!$B$14=1,DF12*管理者用人口入力シート!BA$3,IF(管理者入力シート!$B$14=2,DF12*管理者用人口入力シート!BA$7))</f>
        <v>634.2338521846749</v>
      </c>
      <c r="DH15" s="9">
        <f>IF(管理者入力シート!$B$14=1,DG12*管理者用人口入力シート!BB$3,IF(管理者入力シート!$B$14=2,DG12*管理者用人口入力シート!BB$7))</f>
        <v>573.20447522804352</v>
      </c>
      <c r="DI15" s="9">
        <f>IF(管理者入力シート!$B$14=1,DH12*管理者用人口入力シート!BC$3,IF(管理者入力シート!$B$14=2,DH12*管理者用人口入力シート!BC$7))</f>
        <v>365.52862495153528</v>
      </c>
      <c r="DJ15" s="9">
        <f>IF(管理者入力シート!$B$14=1,DI12*管理者用人口入力シート!BD$3,IF(管理者入力シート!$B$14=2,DI12*管理者用人口入力シート!BD$7))</f>
        <v>170.57662776145688</v>
      </c>
      <c r="DK15" s="9">
        <f>IF(管理者入力シート!$B$14=1,DJ12*管理者用人口入力シート!BE$3,IF(管理者入力シート!$B$14=2,DJ12*管理者用人口入力シート!BE$7))</f>
        <v>36.307095233635408</v>
      </c>
      <c r="DL15" s="9">
        <f>IF(管理者入力シート!$B$14=1,DK12*管理者用人口入力シート!BF$3,IF(管理者入力シート!$B$14=2,DK12*管理者用人口入力シート!BF$7))</f>
        <v>7.5950496712507434</v>
      </c>
      <c r="DM15" s="9">
        <f t="shared" ref="DM15:DM20" si="260">SUM(CR15:DL15)</f>
        <v>9471.9878860961235</v>
      </c>
      <c r="DN15" s="9">
        <f t="shared" ref="DN15:DN20" si="261">CS15*3/5+CT15*3/5</f>
        <v>433.83847957084436</v>
      </c>
      <c r="DO15" s="9">
        <f t="shared" ref="DO15:DO20" si="262">CT15*2/5+CU15*1/5</f>
        <v>231.62397896379173</v>
      </c>
      <c r="DP15" s="9">
        <f t="shared" ref="DP15:DP20" si="263">SUM(DE15:DL15)</f>
        <v>3420.4646852336246</v>
      </c>
      <c r="DQ15" s="9">
        <f t="shared" ref="DQ15:DQ20" si="264">SUM(DG15:DL15)</f>
        <v>1787.4457250305968</v>
      </c>
      <c r="DR15" s="13">
        <f t="shared" ref="DR15:DR20" si="265">DP15/DM15</f>
        <v>0.36111370985329333</v>
      </c>
      <c r="DS15" s="13">
        <f t="shared" ref="DS15:DS20" si="266">DQ15/DM15</f>
        <v>0.18870861602920525</v>
      </c>
      <c r="DT15" s="9">
        <f t="shared" ref="DT15:DT20" si="267">SUM(CV15:CY15)</f>
        <v>1449.816324351732</v>
      </c>
      <c r="DV15" s="62" t="s">
        <v>404</v>
      </c>
      <c r="DW15" s="211">
        <f>AK13+AK14</f>
        <v>0.4023055738781115</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312.50918858685424</v>
      </c>
      <c r="BL16" s="10">
        <f>IF(管理者入力シート!$B$14=1,BK13*管理者用人口入力シート!AM$4,IF(管理者入力シート!$B$14=2,BK13*管理者用人口入力シート!AM$8))</f>
        <v>338.41794522803525</v>
      </c>
      <c r="BM16" s="10">
        <f>IF(管理者入力シート!$B$14=1,BL13*管理者用人口入力シート!AN$4,IF(管理者入力シート!$B$14=2,BL13*管理者用人口入力シート!AN$8))</f>
        <v>375.54364186329963</v>
      </c>
      <c r="BN16" s="10">
        <f>IF(管理者入力シート!$B$14=1,BM13*管理者用人口入力シート!AO$4,IF(管理者入力シート!$B$14=2,BM13*管理者用人口入力シート!AO$8))</f>
        <v>399.4399002165257</v>
      </c>
      <c r="BO16" s="10">
        <f>IF(管理者入力シート!$B$14=1,BN13*管理者用人口入力シート!AP$4,IF(管理者入力シート!$B$14=2,BN13*管理者用人口入力シート!AP$8))</f>
        <v>350.06409506889923</v>
      </c>
      <c r="BP16" s="10">
        <f>IF(管理者入力シート!$B$14=1,BO13*管理者用人口入力シート!AQ$4,IF(管理者入力シート!$B$14=2,BO13*管理者用人口入力シート!AQ$8))</f>
        <v>371.90810849234964</v>
      </c>
      <c r="BQ16" s="10">
        <f>IF(管理者入力シート!$B$14=1,BP13*管理者用人口入力シート!AR$4,IF(管理者入力シート!$B$14=2,BP13*管理者用人口入力シート!AR$8))</f>
        <v>431.80256227794621</v>
      </c>
      <c r="BR16" s="10">
        <f>IF(管理者入力シート!$B$14=1,BQ13*管理者用人口入力シート!AS$4,IF(管理者入力シート!$B$14=2,BQ13*管理者用人口入力シート!AS$8))</f>
        <v>402.6173621759292</v>
      </c>
      <c r="BS16" s="10">
        <f>IF(管理者入力シート!$B$14=1,BR13*管理者用人口入力シート!AT$4,IF(管理者入力シート!$B$14=2,BR13*管理者用人口入力シート!AT$8))</f>
        <v>466.43538505704385</v>
      </c>
      <c r="BT16" s="10">
        <f>IF(管理者入力シート!$B$14=1,BS13*管理者用人口入力シート!AU$4,IF(管理者入力シート!$B$14=2,BS13*管理者用人口入力シート!AU$8))</f>
        <v>558.56441334131114</v>
      </c>
      <c r="BU16" s="10">
        <f>IF(管理者入力シート!$B$14=1,BT13*管理者用人口入力シート!AV$4,IF(管理者入力シート!$B$14=2,BT13*管理者用人口入力シート!AV$8))</f>
        <v>616.02150287897268</v>
      </c>
      <c r="BV16" s="10">
        <f>IF(管理者入力シート!$B$14=1,BU13*管理者用人口入力シート!AW$4,IF(管理者入力シート!$B$14=2,BU13*管理者用人口入力シート!AW$8))</f>
        <v>674.56187251808467</v>
      </c>
      <c r="BW16" s="10">
        <f>IF(管理者入力シート!$B$14=1,BV13*管理者用人口入力シート!AX$4,IF(管理者入力シート!$B$14=2,BV13*管理者用人口入力シート!AX$8))</f>
        <v>700.40171120999298</v>
      </c>
      <c r="BX16" s="10">
        <f>IF(管理者入力シート!$B$14=1,BW13*管理者用人口入力シート!AY$4,IF(管理者入力シート!$B$14=2,BW13*管理者用人口入力シート!AY$8))</f>
        <v>785.31716764980422</v>
      </c>
      <c r="BY16" s="10">
        <f>IF(管理者入力シート!$B$14=1,BX13*管理者用人口入力シート!AZ$4,IF(管理者入力シート!$B$14=2,BX13*管理者用人口入力シート!AZ$8))</f>
        <v>895.4689092079019</v>
      </c>
      <c r="BZ16" s="10">
        <f>IF(管理者入力シート!$B$14=1,BY13*管理者用人口入力シート!BA$4,IF(管理者入力シート!$B$14=2,BY13*管理者用人口入力シート!BA$8))</f>
        <v>876.90415940824244</v>
      </c>
      <c r="CA16" s="10">
        <f>IF(管理者入力シート!$B$14=1,BZ13*管理者用人口入力シート!BB$4,IF(管理者入力シート!$B$14=2,BZ13*管理者用人口入力シート!BB$8))</f>
        <v>752.54350759869033</v>
      </c>
      <c r="CB16" s="10">
        <f>IF(管理者入力シート!$B$14=1,CA13*管理者用人口入力シート!BC$4,IF(管理者入力シート!$B$14=2,CA13*管理者用人口入力シート!BC$8))</f>
        <v>557.00960446753186</v>
      </c>
      <c r="CC16" s="10">
        <f>IF(管理者入力シート!$B$14=1,CB13*管理者用人口入力シート!BD$4,IF(管理者入力シート!$B$14=2,CB13*管理者用人口入力シート!BD$8))</f>
        <v>304.70164783468829</v>
      </c>
      <c r="CD16" s="10">
        <f>IF(管理者入力シート!$B$14=1,CC13*管理者用人口入力シート!BE$4,IF(管理者入力シート!$B$14=2,CC13*管理者用人口入力シート!BE$8))</f>
        <v>138.94536736790536</v>
      </c>
      <c r="CE16" s="10">
        <f>IF(管理者入力シート!$B$14=1,CD13*管理者用人口入力シート!BF$4,IF(管理者入力シート!$B$14=2,CD13*管理者用人口入力シート!BF$8))</f>
        <v>30.06223271623686</v>
      </c>
      <c r="CF16" s="10">
        <f t="shared" si="252"/>
        <v>10339.240285166245</v>
      </c>
      <c r="CG16" s="10">
        <f t="shared" si="253"/>
        <v>428.37695225480093</v>
      </c>
      <c r="CH16" s="10">
        <f t="shared" si="254"/>
        <v>230.10543678862498</v>
      </c>
      <c r="CI16" s="10">
        <f t="shared" si="255"/>
        <v>4340.9525962510015</v>
      </c>
      <c r="CJ16" s="10">
        <f t="shared" si="256"/>
        <v>2660.1665193932949</v>
      </c>
      <c r="CK16" s="14">
        <f t="shared" si="257"/>
        <v>0.41985218222261322</v>
      </c>
      <c r="CL16" s="14">
        <f t="shared" si="258"/>
        <v>0.25728839315301028</v>
      </c>
      <c r="CM16" s="10">
        <f t="shared" si="259"/>
        <v>1556.3921280151242</v>
      </c>
      <c r="CO16" s="7" t="str">
        <f t="shared" si="26"/>
        <v>2045_2</v>
      </c>
      <c r="CP16" s="29">
        <f>CP15</f>
        <v>2045</v>
      </c>
      <c r="CQ16" s="4" t="s">
        <v>22</v>
      </c>
      <c r="CR16" s="10">
        <f>DT16*$AK$14+将来予測シート②!$H17</f>
        <v>315.39396765847653</v>
      </c>
      <c r="CS16" s="10">
        <f>IF(管理者入力シート!$B$14=1,CR13*管理者用人口入力シート!AM$4,IF(管理者入力シート!$B$14=2,CR13*管理者用人口入力シート!AM$8))+将来予測シート②!$H18</f>
        <v>341.065064112568</v>
      </c>
      <c r="CT16" s="10">
        <f>IF(管理者入力シート!$B$14=1,CS13*管理者用人口入力シート!AN$4,IF(管理者入力シート!$B$14=2,CS13*管理者用人口入力シート!AN$8))+将来予測シート②!$H19</f>
        <v>379.09392256246809</v>
      </c>
      <c r="CU16" s="10">
        <f>IF(管理者入力シート!$B$14=1,CT13*管理者用人口入力シート!AO$4,IF(管理者入力シート!$B$14=2,CT13*管理者用人口入力シート!AO$8))+将来予測シート②!$H20</f>
        <v>402.31882013080548</v>
      </c>
      <c r="CV16" s="10">
        <f>IF(管理者入力シート!$B$14=1,CU13*管理者用人口入力シート!AP$4,IF(管理者入力シート!$B$14=2,CU13*管理者用人口入力シート!AP$8))+将来予測シート②!$H21</f>
        <v>351.6330792343341</v>
      </c>
      <c r="CW16" s="10">
        <f>IF(管理者入力シート!$B$14=1,CV13*管理者用人口入力シート!AQ$4,IF(管理者入力シート!$B$14=2,CV13*管理者用人口入力シート!AQ$8))+将来予測シート②!$H22</f>
        <v>374.640129438114</v>
      </c>
      <c r="CX16" s="10">
        <f>IF(管理者入力シート!$B$14=1,CW13*管理者用人口入力シート!AR$4,IF(管理者入力シート!$B$14=2,CW13*管理者用人口入力シート!AR$8))+将来予測シート②!$H23</f>
        <v>434.67156994355042</v>
      </c>
      <c r="CY16" s="10">
        <f>IF(管理者入力シート!$B$14=1,CX13*管理者用人口入力シート!AS$4,IF(管理者入力シート!$B$14=2,CX13*管理者用人口入力シート!AS$8))+将来予測シート②!$H24</f>
        <v>404.83413038750376</v>
      </c>
      <c r="CZ16" s="10">
        <f>IF(管理者入力シート!$B$14=1,CY13*管理者用人口入力シート!AT$4,IF(管理者入力シート!$B$14=2,CY13*管理者用人口入力シート!AT$8))+将来予測シート②!$H25</f>
        <v>469.70953238872522</v>
      </c>
      <c r="DA16" s="10">
        <f>IF(管理者入力シート!$B$14=1,CZ13*管理者用人口入力シート!AU$4,IF(管理者入力シート!$B$14=2,CZ13*管理者用人口入力シート!AU$8))+将来予測シート②!$H26</f>
        <v>561.78900030091904</v>
      </c>
      <c r="DB16" s="10">
        <f>IF(管理者入力シート!$B$14=1,DA13*管理者用人口入力シート!AV$4,IF(管理者入力シート!$B$14=2,DA13*管理者用人口入力シート!AV$8))+将来予測シート②!$H27</f>
        <v>617.01752444137242</v>
      </c>
      <c r="DC16" s="10">
        <f>IF(管理者入力シート!$B$14=1,DB13*管理者用人口入力シート!AW$4,IF(管理者入力シート!$B$14=2,DB13*管理者用人口入力シート!AW$8))+将来予測シート②!$H28</f>
        <v>675.54595839490503</v>
      </c>
      <c r="DD16" s="10">
        <f>IF(管理者入力シート!$B$14=1,DC13*管理者用人口入力シート!AX$4,IF(管理者入力シート!$B$14=2,DC13*管理者用人口入力シート!AX$8))+将来予測シート②!$H29</f>
        <v>701.36992109648907</v>
      </c>
      <c r="DE16" s="10">
        <f>IF(管理者入力シート!$B$14=1,DD13*管理者用人口入力シート!AY$4,IF(管理者入力シート!$B$14=2,DD13*管理者用人口入力シート!AY$8))</f>
        <v>785.31716764980422</v>
      </c>
      <c r="DF16" s="10">
        <f>IF(管理者入力シート!$B$14=1,DE13*管理者用人口入力シート!AZ$4,IF(管理者入力シート!$B$14=2,DE13*管理者用人口入力シート!AZ$8))</f>
        <v>895.4689092079019</v>
      </c>
      <c r="DG16" s="10">
        <f>IF(管理者入力シート!$B$14=1,DF13*管理者用人口入力シート!BA$4,IF(管理者入力シート!$B$14=2,DF13*管理者用人口入力シート!BA$8))</f>
        <v>876.90415940824244</v>
      </c>
      <c r="DH16" s="10">
        <f>IF(管理者入力シート!$B$14=1,DG13*管理者用人口入力シート!BB$4,IF(管理者入力シート!$B$14=2,DG13*管理者用人口入力シート!BB$8))</f>
        <v>752.54350759869033</v>
      </c>
      <c r="DI16" s="10">
        <f>IF(管理者入力シート!$B$14=1,DH13*管理者用人口入力シート!BC$4,IF(管理者入力シート!$B$14=2,DH13*管理者用人口入力シート!BC$8))</f>
        <v>557.00960446753186</v>
      </c>
      <c r="DJ16" s="10">
        <f>IF(管理者入力シート!$B$14=1,DI13*管理者用人口入力シート!BD$4,IF(管理者入力シート!$B$14=2,DI13*管理者用人口入力シート!BD$8))</f>
        <v>304.70164783468829</v>
      </c>
      <c r="DK16" s="10">
        <f>IF(管理者入力シート!$B$14=1,DJ13*管理者用人口入力シート!BE$4,IF(管理者入力シート!$B$14=2,DJ13*管理者用人口入力シート!BE$8))</f>
        <v>138.94536736790536</v>
      </c>
      <c r="DL16" s="10">
        <f>IF(管理者入力シート!$B$14=1,DK13*管理者用人口入力シート!BF$4,IF(管理者入力シート!$B$14=2,DK13*管理者用人口入力シート!BF$8))</f>
        <v>30.06223271623686</v>
      </c>
      <c r="DM16" s="10">
        <f t="shared" si="260"/>
        <v>10370.03521634123</v>
      </c>
      <c r="DN16" s="10">
        <f t="shared" si="261"/>
        <v>432.09539200502161</v>
      </c>
      <c r="DO16" s="10">
        <f t="shared" si="262"/>
        <v>232.10133305114834</v>
      </c>
      <c r="DP16" s="10">
        <f t="shared" si="263"/>
        <v>4340.9525962510015</v>
      </c>
      <c r="DQ16" s="10">
        <f t="shared" si="264"/>
        <v>2660.1665193932949</v>
      </c>
      <c r="DR16" s="14">
        <f t="shared" si="265"/>
        <v>0.41860538616209081</v>
      </c>
      <c r="DS16" s="14">
        <f t="shared" si="266"/>
        <v>0.25652434768990673</v>
      </c>
      <c r="DT16" s="10">
        <f t="shared" si="267"/>
        <v>1565.7789090035023</v>
      </c>
      <c r="DV16" s="212" t="s">
        <v>406</v>
      </c>
      <c r="DW16" s="7">
        <f>IF(DW10&lt;0,ABS(DW10)/DW15,0)</f>
        <v>305.46941758235209</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626.1452282404997</v>
      </c>
      <c r="BL17" s="16">
        <f t="shared" ref="BL17:CE17" si="268">BL15+BL16</f>
        <v>671.44875728693501</v>
      </c>
      <c r="BM17" s="16">
        <f t="shared" si="268"/>
        <v>759.37294435657464</v>
      </c>
      <c r="BN17" s="16">
        <f t="shared" si="268"/>
        <v>779.97697796926877</v>
      </c>
      <c r="BO17" s="16">
        <f t="shared" si="268"/>
        <v>630.4668893550197</v>
      </c>
      <c r="BP17" s="16">
        <f t="shared" si="268"/>
        <v>698.32716160139739</v>
      </c>
      <c r="BQ17" s="16">
        <f t="shared" si="268"/>
        <v>835.54525414384921</v>
      </c>
      <c r="BR17" s="16">
        <f t="shared" si="268"/>
        <v>832.54812575466951</v>
      </c>
      <c r="BS17" s="16">
        <f t="shared" si="268"/>
        <v>945.69935086389125</v>
      </c>
      <c r="BT17" s="16">
        <f t="shared" si="268"/>
        <v>1190.1452537939253</v>
      </c>
      <c r="BU17" s="16">
        <f t="shared" si="268"/>
        <v>1227.2225131530613</v>
      </c>
      <c r="BV17" s="16">
        <f t="shared" si="268"/>
        <v>1366.1644846812162</v>
      </c>
      <c r="BW17" s="16">
        <f t="shared" si="268"/>
        <v>1460.3927247446129</v>
      </c>
      <c r="BX17" s="16">
        <f t="shared" si="268"/>
        <v>1577.7677145387693</v>
      </c>
      <c r="BY17" s="16">
        <f t="shared" si="268"/>
        <v>1736.0373225219646</v>
      </c>
      <c r="BZ17" s="16">
        <f t="shared" si="268"/>
        <v>1511.1380115929173</v>
      </c>
      <c r="CA17" s="16">
        <f t="shared" si="268"/>
        <v>1325.7479828267337</v>
      </c>
      <c r="CB17" s="16">
        <f t="shared" si="268"/>
        <v>922.53822941906719</v>
      </c>
      <c r="CC17" s="16">
        <f t="shared" si="268"/>
        <v>475.27827559614514</v>
      </c>
      <c r="CD17" s="16">
        <f t="shared" si="268"/>
        <v>175.25246260154077</v>
      </c>
      <c r="CE17" s="16">
        <f t="shared" si="268"/>
        <v>37.657282387487605</v>
      </c>
      <c r="CF17" s="11">
        <f t="shared" si="252"/>
        <v>19784.872947429551</v>
      </c>
      <c r="CG17" s="11">
        <f t="shared" si="253"/>
        <v>858.49302098610588</v>
      </c>
      <c r="CH17" s="11">
        <f t="shared" si="254"/>
        <v>459.7445733364836</v>
      </c>
      <c r="CI17" s="11">
        <f t="shared" si="255"/>
        <v>7761.4172814846261</v>
      </c>
      <c r="CJ17" s="11">
        <f t="shared" si="256"/>
        <v>4447.6122444238918</v>
      </c>
      <c r="CK17" s="15">
        <f t="shared" si="257"/>
        <v>0.39229047879698359</v>
      </c>
      <c r="CL17" s="15">
        <f t="shared" si="258"/>
        <v>0.22479862550756108</v>
      </c>
      <c r="CM17" s="11">
        <f t="shared" si="259"/>
        <v>2996.8874308549357</v>
      </c>
      <c r="CO17" s="7" t="str">
        <f t="shared" si="26"/>
        <v>2045_3</v>
      </c>
      <c r="CP17" s="30">
        <f>CP16</f>
        <v>2045</v>
      </c>
      <c r="CQ17" s="5" t="s">
        <v>23</v>
      </c>
      <c r="CR17" s="16">
        <f>CR15+CR16</f>
        <v>631.92158255289735</v>
      </c>
      <c r="CS17" s="16">
        <f>CS15+CS16</f>
        <v>676.69721327082345</v>
      </c>
      <c r="CT17" s="16">
        <f t="shared" ref="CT17:DL17" si="269">CT15+CT16</f>
        <v>766.52590602228656</v>
      </c>
      <c r="CU17" s="16">
        <f t="shared" si="269"/>
        <v>785.57474803012713</v>
      </c>
      <c r="CV17" s="16">
        <f t="shared" si="269"/>
        <v>633.27710594902737</v>
      </c>
      <c r="CW17" s="16">
        <f t="shared" si="269"/>
        <v>703.68779886187826</v>
      </c>
      <c r="CX17" s="16">
        <f t="shared" si="269"/>
        <v>841.44095812291198</v>
      </c>
      <c r="CY17" s="16">
        <f t="shared" si="269"/>
        <v>837.1893704214167</v>
      </c>
      <c r="CZ17" s="16">
        <f t="shared" si="269"/>
        <v>951.55459782184857</v>
      </c>
      <c r="DA17" s="16">
        <f t="shared" si="269"/>
        <v>1196.0084999949072</v>
      </c>
      <c r="DB17" s="16">
        <f t="shared" si="269"/>
        <v>1228.2185347154609</v>
      </c>
      <c r="DC17" s="16">
        <f t="shared" si="269"/>
        <v>1367.1485705580367</v>
      </c>
      <c r="DD17" s="16">
        <f t="shared" si="269"/>
        <v>1461.3609346311091</v>
      </c>
      <c r="DE17" s="16">
        <f t="shared" si="269"/>
        <v>1577.7677145387693</v>
      </c>
      <c r="DF17" s="16">
        <f t="shared" si="269"/>
        <v>1736.0373225219646</v>
      </c>
      <c r="DG17" s="16">
        <f t="shared" si="269"/>
        <v>1511.1380115929173</v>
      </c>
      <c r="DH17" s="16">
        <f t="shared" si="269"/>
        <v>1325.7479828267337</v>
      </c>
      <c r="DI17" s="16">
        <f t="shared" si="269"/>
        <v>922.53822941906719</v>
      </c>
      <c r="DJ17" s="16">
        <f t="shared" si="269"/>
        <v>475.27827559614514</v>
      </c>
      <c r="DK17" s="16">
        <f t="shared" si="269"/>
        <v>175.25246260154077</v>
      </c>
      <c r="DL17" s="16">
        <f t="shared" si="269"/>
        <v>37.657282387487605</v>
      </c>
      <c r="DM17" s="11">
        <f t="shared" si="260"/>
        <v>19842.023102437361</v>
      </c>
      <c r="DN17" s="11">
        <f t="shared" si="261"/>
        <v>865.93387157586608</v>
      </c>
      <c r="DO17" s="11">
        <f t="shared" si="262"/>
        <v>463.72531201494007</v>
      </c>
      <c r="DP17" s="11">
        <f t="shared" si="263"/>
        <v>7761.4172814846261</v>
      </c>
      <c r="DQ17" s="11">
        <f t="shared" si="264"/>
        <v>4447.6122444238918</v>
      </c>
      <c r="DR17" s="15">
        <f t="shared" si="265"/>
        <v>0.39116058082460486</v>
      </c>
      <c r="DS17" s="15">
        <f t="shared" si="266"/>
        <v>0.22415114736347397</v>
      </c>
      <c r="DT17" s="11">
        <f t="shared" si="267"/>
        <v>3015.5952333552345</v>
      </c>
      <c r="DV17" s="62" t="s">
        <v>407</v>
      </c>
      <c r="DW17" s="7">
        <f>IF(DW9&gt;=0,0,IF(AND(DW10&lt;=0,DW9&lt;=0,DW16*2&gt;=ABS(DW9)),ROUND(DW16/3,0),ROUND(ABS(DW9)/6,0)))</f>
        <v>117</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300.50606518574949</v>
      </c>
      <c r="BL18" s="9">
        <f>IF(管理者入力シート!$B$14=1,BK15*管理者用人口入力シート!AM$3,IF(管理者入力シート!$B$14=2,BK15*管理者用人口入力シート!AM$7))</f>
        <v>316.90596824301178</v>
      </c>
      <c r="BM18" s="9">
        <f>IF(管理者入力シート!$B$14=1,BL15*管理者用人口入力シート!AN$3,IF(管理者入力シート!$B$14=2,BL15*管理者用人口入力シート!AN$7))</f>
        <v>353.45507069712573</v>
      </c>
      <c r="BN18" s="9">
        <f>IF(管理者入力シート!$B$14=1,BM15*管理者用人口入力シート!AO$3,IF(管理者入力シート!$B$14=2,BM15*管理者用人口入力シート!AO$7))</f>
        <v>352.74029922139675</v>
      </c>
      <c r="BO18" s="9">
        <f>IF(管理者入力シート!$B$14=1,BN15*管理者用人口入力シート!AP$3,IF(管理者入力シート!$B$14=2,BN15*管理者用人口入力シート!AP$7))</f>
        <v>248.00525036501367</v>
      </c>
      <c r="BP18" s="9">
        <f>IF(管理者入力シート!$B$14=1,BO15*管理者用人口入力シート!AQ$3,IF(管理者入力シート!$B$14=2,BO15*管理者用人口入力シート!AQ$7))</f>
        <v>294.29788222724471</v>
      </c>
      <c r="BQ18" s="9">
        <f>IF(管理者入力シート!$B$14=1,BP15*管理者用人口入力シート!AR$3,IF(管理者入力シート!$B$14=2,BP15*管理者用人口入力シート!AR$7))</f>
        <v>375.85224559272001</v>
      </c>
      <c r="BR18" s="9">
        <f>IF(管理者入力シート!$B$14=1,BQ15*管理者用人口入力シート!AS$3,IF(管理者入力シート!$B$14=2,BQ15*管理者用人口入力シート!AS$7))</f>
        <v>425.06074666930238</v>
      </c>
      <c r="BS18" s="9">
        <f>IF(管理者入力シート!$B$14=1,BR15*管理者用人口入力シート!AT$3,IF(管理者入力シート!$B$14=2,BR15*管理者用人口入力シート!AT$7))</f>
        <v>457.70464416352542</v>
      </c>
      <c r="BT18" s="9">
        <f>IF(管理者入力シート!$B$14=1,BS15*管理者用人口入力シート!AU$3,IF(管理者入力シート!$B$14=2,BS15*管理者用人口入力シート!AU$7))</f>
        <v>489.95175527503022</v>
      </c>
      <c r="BU18" s="9">
        <f>IF(管理者入力シート!$B$14=1,BT15*管理者用人口入力シート!AV$3,IF(管理者入力シート!$B$14=2,BT15*管理者用人口入力シート!AV$7))</f>
        <v>641.56645736370399</v>
      </c>
      <c r="BV18" s="9">
        <f>IF(管理者入力シート!$B$14=1,BU15*管理者用人口入力シート!AW$3,IF(管理者入力シート!$B$14=2,BU15*管理者用人口入力シート!AW$7))</f>
        <v>606.5177247577717</v>
      </c>
      <c r="BW18" s="9">
        <f>IF(管理者入力シート!$B$14=1,BV15*管理者用人口入力シート!AX$3,IF(管理者入力シート!$B$14=2,BV15*管理者用人口入力シート!AX$7))</f>
        <v>713.42428246797124</v>
      </c>
      <c r="BX18" s="9">
        <f>IF(管理者入力シート!$B$14=1,BW15*管理者用人口入力シート!AY$3,IF(管理者入力シート!$B$14=2,BW15*管理者用人口入力シート!AY$7))</f>
        <v>740.57002571567205</v>
      </c>
      <c r="BY18" s="9">
        <f>IF(管理者入力シート!$B$14=1,BX15*管理者用人口入力シート!AZ$3,IF(管理者入力シート!$B$14=2,BX15*管理者用人口入力シート!AZ$7))</f>
        <v>734.42378610983008</v>
      </c>
      <c r="BZ18" s="9">
        <f>IF(管理者入力シート!$B$14=1,BY15*管理者用人口入力シート!BA$3,IF(管理者入力シート!$B$14=2,BY15*管理者用人口入力シート!BA$7))</f>
        <v>730.86945853922668</v>
      </c>
      <c r="CA18" s="9">
        <f>IF(管理者入力シート!$B$14=1,BZ15*管理者用人口入力シート!BB$3,IF(管理者入力シート!$B$14=2,BZ15*管理者用人口入力シート!BB$7))</f>
        <v>525.54741068713565</v>
      </c>
      <c r="CB18" s="9">
        <f>IF(管理者入力シート!$B$14=1,CA15*管理者用人口入力シート!BC$3,IF(管理者入力シート!$B$14=2,CA15*管理者用人口入力シート!BC$7))</f>
        <v>382.59891793733107</v>
      </c>
      <c r="CC18" s="9">
        <f>IF(管理者入力シート!$B$14=1,CB15*管理者用人口入力シート!BD$3,IF(管理者入力シート!$B$14=2,CB15*管理者用人口入力シート!BD$7))</f>
        <v>183.2622123190319</v>
      </c>
      <c r="CD18" s="9">
        <f>IF(管理者入力シート!$B$14=1,CC15*管理者用人口入力シート!BE$3,IF(管理者入力シート!$B$14=2,CC15*管理者用人口入力シート!BE$7))</f>
        <v>36.938516656623975</v>
      </c>
      <c r="CE18" s="9">
        <f>IF(管理者入力シート!$B$14=1,CD15*管理者用人口入力シート!BF$3,IF(管理者入力シート!$B$14=2,CD15*管理者用人口入力シート!BF$7))</f>
        <v>10.116926146527327</v>
      </c>
      <c r="CF18" s="9">
        <f t="shared" si="252"/>
        <v>8920.3156463409468</v>
      </c>
      <c r="CG18" s="9">
        <f t="shared" si="253"/>
        <v>402.21662336408247</v>
      </c>
      <c r="CH18" s="9">
        <f t="shared" si="254"/>
        <v>211.93008812312965</v>
      </c>
      <c r="CI18" s="9">
        <f t="shared" si="255"/>
        <v>3344.3272541113788</v>
      </c>
      <c r="CJ18" s="9">
        <f t="shared" si="256"/>
        <v>1869.3334422858766</v>
      </c>
      <c r="CK18" s="13">
        <f t="shared" si="257"/>
        <v>0.37491131331021893</v>
      </c>
      <c r="CL18" s="13">
        <f t="shared" si="258"/>
        <v>0.20955911386977258</v>
      </c>
      <c r="CM18" s="9">
        <f t="shared" si="259"/>
        <v>1343.2161248542807</v>
      </c>
      <c r="CO18" s="7" t="str">
        <f t="shared" si="26"/>
        <v>2050_1</v>
      </c>
      <c r="CP18" s="28">
        <f>管理者入力シート!B13</f>
        <v>2050</v>
      </c>
      <c r="CQ18" s="3" t="s">
        <v>21</v>
      </c>
      <c r="CR18" s="9">
        <f>DT19*$AK$13+将来予測シート②!$G17</f>
        <v>303.84999120364756</v>
      </c>
      <c r="CS18" s="9">
        <f>IF(管理者入力シート!$B$14=1,CR15*管理者用人口入力シート!AM$3,IF(管理者入力シート!$B$14=2,CR15*管理者用人口入力シート!AM$7))+将来予測シート②!$G18</f>
        <v>319.8276906714591</v>
      </c>
      <c r="CT18" s="9">
        <f>IF(管理者入力シート!$B$14=1,CS15*管理者用人口入力シート!AN$3,IF(管理者入力シート!$B$14=2,CS15*管理者用人口入力シート!AN$7))+将来予測シート②!$G19</f>
        <v>357.21594373069109</v>
      </c>
      <c r="CU18" s="9">
        <f>IF(管理者入力シート!$B$14=1,CT15*管理者用人口入力シート!AO$3,IF(管理者入力シート!$B$14=2,CT15*管理者用人口入力シート!AO$7))+将来予測シート②!$G20</f>
        <v>356.05117401360991</v>
      </c>
      <c r="CV18" s="9">
        <f>IF(管理者入力シート!$B$14=1,CU15*管理者用人口入力シート!AP$3,IF(管理者入力シート!$B$14=2,CU15*管理者用人口入力シート!AP$7))+将来予測シート②!$G21</f>
        <v>249.77719100031044</v>
      </c>
      <c r="CW18" s="9">
        <f>IF(管理者入力シート!$B$14=1,CV15*管理者用人口入力シート!AQ$3,IF(管理者入力シート!$B$14=2,CV15*管理者用人口入力シート!AQ$7))+将来予測シート②!$G22</f>
        <v>297.60062272243397</v>
      </c>
      <c r="CX18" s="9">
        <f>IF(管理者入力シート!$B$14=1,CW15*管理者用人口入力シート!AR$3,IF(管理者入力シート!$B$14=2,CW15*管理者用人口入力シート!AR$7))+将来予測シート②!$G23</f>
        <v>378.87894190617874</v>
      </c>
      <c r="CY18" s="9">
        <f>IF(管理者入力シート!$B$14=1,CX15*管理者用人口入力シート!AS$3,IF(管理者入力シート!$B$14=2,CX15*管理者用人口入力シート!AS$7))+将来予測シート②!$G24</f>
        <v>428.24725585165868</v>
      </c>
      <c r="CZ18" s="9">
        <f>IF(管理者入力シート!$B$14=1,CY15*管理者用人口入力シート!AT$3,IF(管理者入力シート!$B$14=2,CY15*管理者用人口入力シート!AT$7))+将来予測シート②!$G25</f>
        <v>460.28574378980136</v>
      </c>
      <c r="DA18" s="9">
        <f>IF(管理者入力シート!$B$14=1,CZ15*管理者用人口入力シート!AU$3,IF(管理者入力シート!$B$14=2,CZ15*管理者用人口入力シート!AU$7))+将来予測シート②!$G26</f>
        <v>492.59041451640394</v>
      </c>
      <c r="DB18" s="9">
        <f>IF(管理者入力シート!$B$14=1,DA15*管理者用人口入力シート!AV$3,IF(管理者入力シート!$B$14=2,DA15*管理者用人口入力シート!AV$7))+将来予測シート②!$G27</f>
        <v>644.24683516057485</v>
      </c>
      <c r="DC18" s="9">
        <f>IF(管理者入力シート!$B$14=1,DB15*管理者用人口入力シート!AW$3,IF(管理者入力シート!$B$14=2,DB15*管理者用人口入力シート!AW$7))+将来予測シート②!$G28</f>
        <v>606.5177247577717</v>
      </c>
      <c r="DD18" s="9">
        <f>IF(管理者入力シート!$B$14=1,DC15*管理者用人口入力シート!AX$3,IF(管理者入力シート!$B$14=2,DC15*管理者用人口入力シート!AX$7))+将来予測シート②!$G29</f>
        <v>713.42428246797124</v>
      </c>
      <c r="DE18" s="9">
        <f>IF(管理者入力シート!$B$14=1,DD15*管理者用人口入力シート!AY$3,IF(管理者入力シート!$B$14=2,DD15*管理者用人口入力シート!AY$7))</f>
        <v>740.57002571567205</v>
      </c>
      <c r="DF18" s="9">
        <f>IF(管理者入力シート!$B$14=1,DE15*管理者用人口入力シート!AZ$3,IF(管理者入力シート!$B$14=2,DE15*管理者用人口入力シート!AZ$7))</f>
        <v>734.42378610983008</v>
      </c>
      <c r="DG18" s="9">
        <f>IF(管理者入力シート!$B$14=1,DF15*管理者用人口入力シート!BA$3,IF(管理者入力シート!$B$14=2,DF15*管理者用人口入力シート!BA$7))</f>
        <v>730.86945853922668</v>
      </c>
      <c r="DH18" s="9">
        <f>IF(管理者入力シート!$B$14=1,DG15*管理者用人口入力シート!BB$3,IF(管理者入力シート!$B$14=2,DG15*管理者用人口入力シート!BB$7))</f>
        <v>525.54741068713565</v>
      </c>
      <c r="DI18" s="9">
        <f>IF(管理者入力シート!$B$14=1,DH15*管理者用人口入力シート!BC$3,IF(管理者入力シート!$B$14=2,DH15*管理者用人口入力シート!BC$7))</f>
        <v>382.59891793733107</v>
      </c>
      <c r="DJ18" s="9">
        <f>IF(管理者入力シート!$B$14=1,DI15*管理者用人口入力シート!BD$3,IF(管理者入力シート!$B$14=2,DI15*管理者用人口入力シート!BD$7))</f>
        <v>183.2622123190319</v>
      </c>
      <c r="DK18" s="9">
        <f>IF(管理者入力シート!$B$14=1,DJ15*管理者用人口入力シート!BE$3,IF(管理者入力シート!$B$14=2,DJ15*管理者用人口入力シート!BE$7))</f>
        <v>36.938516656623975</v>
      </c>
      <c r="DL18" s="9">
        <f>IF(管理者入力シート!$B$14=1,DK15*管理者用人口入力シート!BF$3,IF(管理者入力シート!$B$14=2,DK15*管理者用人口入力シート!BF$7))</f>
        <v>10.116926146527327</v>
      </c>
      <c r="DM18" s="9">
        <f t="shared" si="260"/>
        <v>8952.8410659038927</v>
      </c>
      <c r="DN18" s="9">
        <f t="shared" si="261"/>
        <v>406.22618064129011</v>
      </c>
      <c r="DO18" s="9">
        <f t="shared" si="262"/>
        <v>214.09661229499841</v>
      </c>
      <c r="DP18" s="9">
        <f t="shared" si="263"/>
        <v>3344.3272541113788</v>
      </c>
      <c r="DQ18" s="9">
        <f t="shared" si="264"/>
        <v>1869.3334422858766</v>
      </c>
      <c r="DR18" s="13">
        <f t="shared" si="265"/>
        <v>0.37354927106300978</v>
      </c>
      <c r="DS18" s="13">
        <f t="shared" si="266"/>
        <v>0.20879779150833677</v>
      </c>
      <c r="DT18" s="9">
        <f t="shared" si="267"/>
        <v>1354.5040114805818</v>
      </c>
      <c r="DX18" s="308">
        <f>DX1</f>
        <v>117</v>
      </c>
      <c r="DY18" s="309"/>
      <c r="DZ18" s="312" t="s">
        <v>0</v>
      </c>
      <c r="EA18" s="312" t="s">
        <v>1</v>
      </c>
      <c r="EB18" s="312" t="s">
        <v>2</v>
      </c>
      <c r="EC18" s="312" t="s">
        <v>3</v>
      </c>
      <c r="ED18" s="312" t="s">
        <v>4</v>
      </c>
      <c r="EE18" s="312" t="s">
        <v>5</v>
      </c>
      <c r="EF18" s="312" t="s">
        <v>6</v>
      </c>
      <c r="EG18" s="312" t="s">
        <v>7</v>
      </c>
      <c r="EH18" s="312" t="s">
        <v>8</v>
      </c>
      <c r="EI18" s="312" t="s">
        <v>9</v>
      </c>
      <c r="EJ18" s="312" t="s">
        <v>10</v>
      </c>
      <c r="EK18" s="312" t="s">
        <v>11</v>
      </c>
      <c r="EL18" s="312" t="s">
        <v>12</v>
      </c>
      <c r="EM18" s="312" t="s">
        <v>13</v>
      </c>
      <c r="EN18" s="312" t="s">
        <v>14</v>
      </c>
      <c r="EO18" s="312" t="s">
        <v>15</v>
      </c>
      <c r="EP18" s="312" t="s">
        <v>16</v>
      </c>
      <c r="EQ18" s="312" t="s">
        <v>17</v>
      </c>
      <c r="ER18" s="312" t="s">
        <v>18</v>
      </c>
      <c r="ES18" s="312" t="s">
        <v>19</v>
      </c>
      <c r="ET18" s="312" t="s">
        <v>20</v>
      </c>
      <c r="EU18" s="312" t="s">
        <v>23</v>
      </c>
      <c r="EV18" s="313" t="s">
        <v>50</v>
      </c>
      <c r="EW18" s="313" t="s">
        <v>51</v>
      </c>
      <c r="EX18" s="314" t="s">
        <v>79</v>
      </c>
      <c r="EY18" s="314" t="s">
        <v>80</v>
      </c>
      <c r="EZ18" s="313" t="s">
        <v>48</v>
      </c>
      <c r="FA18" s="313" t="s">
        <v>49</v>
      </c>
      <c r="FB18" s="31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299.42638830771671</v>
      </c>
      <c r="BL19" s="10">
        <f>IF(管理者入力シート!$B$14=1,BK16*管理者用人口入力シート!AM$4,IF(管理者入力シート!$B$14=2,BK16*管理者用人口入力シート!AM$8))</f>
        <v>322.03226464322887</v>
      </c>
      <c r="BM19" s="10">
        <f>IF(管理者入力シート!$B$14=1,BL16*管理者用人口入力シート!AN$4,IF(管理者入力シート!$B$14=2,BL16*管理者用人口入力シート!AN$8))</f>
        <v>345.8250936611966</v>
      </c>
      <c r="BN19" s="10">
        <f>IF(管理者入力シート!$B$14=1,BM16*管理者用人口入力シート!AO$4,IF(管理者入力シート!$B$14=2,BM16*管理者用人口入力シート!AO$8))</f>
        <v>370.26234277988561</v>
      </c>
      <c r="BO19" s="10">
        <f>IF(管理者入力シート!$B$14=1,BN16*管理者用人口入力シート!AP$4,IF(管理者入力シート!$B$14=2,BN16*管理者用人口入力シート!AP$8))</f>
        <v>309.61793288256706</v>
      </c>
      <c r="BP19" s="10">
        <f>IF(管理者入力シート!$B$14=1,BO16*管理者用人口入力シート!AQ$4,IF(管理者入力シート!$B$14=2,BO16*管理者用人口入力シート!AQ$8))</f>
        <v>335.31060049939549</v>
      </c>
      <c r="BQ19" s="10">
        <f>IF(管理者入力シート!$B$14=1,BP16*管理者用人口入力シート!AR$4,IF(管理者入力シート!$B$14=2,BP16*管理者用人口入力シート!AR$8))</f>
        <v>390.55601525279485</v>
      </c>
      <c r="BR19" s="10">
        <f>IF(管理者入力シート!$B$14=1,BQ16*管理者用人口入力シート!AS$4,IF(管理者入力シート!$B$14=2,BQ16*管理者用人口入力シート!AS$8))</f>
        <v>455.75119963064111</v>
      </c>
      <c r="BS19" s="10">
        <f>IF(管理者入力シート!$B$14=1,BR16*管理者用人口入力シート!AT$4,IF(管理者入力シート!$B$14=2,BR16*管理者用人口入力シート!AT$8))</f>
        <v>413.03876296142965</v>
      </c>
      <c r="BT19" s="10">
        <f>IF(管理者入力シート!$B$14=1,BS16*管理者用人口入力シート!AU$4,IF(管理者入力シート!$B$14=2,BS16*管理者用人口入力シート!AU$8))</f>
        <v>459.37500905990566</v>
      </c>
      <c r="BU19" s="10">
        <f>IF(管理者入力シート!$B$14=1,BT16*管理者用人口入力シート!AV$4,IF(管理者入力シート!$B$14=2,BT16*管理者用人口入力シート!AV$8))</f>
        <v>564.89291540031672</v>
      </c>
      <c r="BV19" s="10">
        <f>IF(管理者入力シート!$B$14=1,BU16*管理者用人口入力シート!AW$4,IF(管理者入力シート!$B$14=2,BU16*管理者用人口入力シート!AW$8))</f>
        <v>608.63949505291419</v>
      </c>
      <c r="BW19" s="10">
        <f>IF(管理者入力シート!$B$14=1,BV16*管理者用人口入力シート!AX$4,IF(管理者入力シート!$B$14=2,BV16*管理者用人口入力シート!AX$8))</f>
        <v>663.67934893601659</v>
      </c>
      <c r="BX19" s="10">
        <f>IF(管理者入力シート!$B$14=1,BW16*管理者用人口入力シート!AY$4,IF(管理者入力シート!$B$14=2,BW16*管理者用人口入力シート!AY$8))</f>
        <v>690.98820822992889</v>
      </c>
      <c r="BY19" s="10">
        <f>IF(管理者入力シート!$B$14=1,BX16*管理者用人口入力シート!AZ$4,IF(管理者入力シート!$B$14=2,BX16*管理者用人口入力シート!AZ$8))</f>
        <v>785.54376631627156</v>
      </c>
      <c r="BZ19" s="10">
        <f>IF(管理者入力シート!$B$14=1,BY16*管理者用人口入力シート!BA$4,IF(管理者入力シート!$B$14=2,BY16*管理者用人口入力シート!BA$8))</f>
        <v>840.13157403090861</v>
      </c>
      <c r="CA19" s="10">
        <f>IF(管理者入力シート!$B$14=1,BZ16*管理者用人口入力シート!BB$4,IF(管理者入力シート!$B$14=2,BZ16*管理者用人口入力シート!BB$8))</f>
        <v>786.97542448857666</v>
      </c>
      <c r="CB19" s="10">
        <f>IF(管理者入力シート!$B$14=1,CA16*管理者用人口入力シート!BC$4,IF(管理者入力シート!$B$14=2,CA16*管理者用人口入力シート!BC$8))</f>
        <v>570.06200041952377</v>
      </c>
      <c r="CC19" s="10">
        <f>IF(管理者入力シート!$B$14=1,CB16*管理者用人口入力シート!BD$4,IF(管理者入力シート!$B$14=2,CB16*管理者用人口入力シート!BD$8))</f>
        <v>335.81087475246073</v>
      </c>
      <c r="CD19" s="10">
        <f>IF(管理者入力シート!$B$14=1,CC16*管理者用人口入力シート!BE$4,IF(管理者入力シート!$B$14=2,CC16*管理者用人口入力シート!BE$8))</f>
        <v>124.56314146453811</v>
      </c>
      <c r="CE19" s="10">
        <f>IF(管理者入力シート!$B$14=1,CD16*管理者用人口入力シート!BF$4,IF(管理者入力シート!$B$14=2,CD16*管理者用人口入力シート!BF$8))</f>
        <v>39.675707815369258</v>
      </c>
      <c r="CF19" s="10">
        <f t="shared" si="252"/>
        <v>9712.1580665855854</v>
      </c>
      <c r="CG19" s="10">
        <f t="shared" si="253"/>
        <v>400.71441498265528</v>
      </c>
      <c r="CH19" s="10">
        <f t="shared" si="254"/>
        <v>212.38250602045576</v>
      </c>
      <c r="CI19" s="10">
        <f t="shared" si="255"/>
        <v>4173.7506975175775</v>
      </c>
      <c r="CJ19" s="10">
        <f t="shared" si="256"/>
        <v>2697.2187229713772</v>
      </c>
      <c r="CK19" s="14">
        <f t="shared" si="257"/>
        <v>0.42974493093118538</v>
      </c>
      <c r="CL19" s="14">
        <f t="shared" si="258"/>
        <v>0.2777156945428107</v>
      </c>
      <c r="CM19" s="10">
        <f t="shared" si="259"/>
        <v>1491.2357482653986</v>
      </c>
      <c r="CO19" s="7" t="str">
        <f t="shared" si="26"/>
        <v>2050_2</v>
      </c>
      <c r="CP19" s="29">
        <f>CP18</f>
        <v>2050</v>
      </c>
      <c r="CQ19" s="4" t="s">
        <v>22</v>
      </c>
      <c r="CR19" s="10">
        <f>DT19*$AK$14+将来予測シート②!$H17</f>
        <v>302.76189292246016</v>
      </c>
      <c r="CS19" s="10">
        <f>IF(管理者入力シート!$B$14=1,CR16*管理者用人口入力シート!AM$4,IF(管理者入力シート!$B$14=2,CR16*管理者用人口入力シート!AM$8))+将来予測シート②!$H18</f>
        <v>325.00495143567412</v>
      </c>
      <c r="CT19" s="10">
        <f>IF(管理者入力シート!$B$14=1,CS16*管理者用人口入力シート!AN$4,IF(管理者入力シート!$B$14=2,CS16*管理者用人口入力シート!AN$8))+将来予測シート②!$H19</f>
        <v>349.53015156100452</v>
      </c>
      <c r="CU19" s="10">
        <f>IF(管理者入力シート!$B$14=1,CT16*管理者用人口入力シート!AO$4,IF(管理者入力シート!$B$14=2,CT16*管理者用人口入力シート!AO$8))+将来予測シート②!$H20</f>
        <v>373.76269560886209</v>
      </c>
      <c r="CV19" s="10">
        <f>IF(管理者入力シート!$B$14=1,CU16*管理者用人口入力シート!AP$4,IF(管理者入力シート!$B$14=2,CU16*管理者用人口入力シート!AP$8))+将来予測シート②!$H21</f>
        <v>311.84947067413611</v>
      </c>
      <c r="CW19" s="10">
        <f>IF(管理者入力シート!$B$14=1,CV16*管理者用人口入力シート!AQ$4,IF(管理者入力シート!$B$14=2,CV16*管理者用人口入力シート!AQ$8))+将来予測シート②!$H22</f>
        <v>338.81345963318489</v>
      </c>
      <c r="CX19" s="10">
        <f>IF(管理者入力シート!$B$14=1,CW16*管理者用人口入力シート!AR$4,IF(管理者入力シート!$B$14=2,CW16*管理者用人口入力シート!AR$8))+将来予測シート②!$H23</f>
        <v>393.42502291839907</v>
      </c>
      <c r="CY19" s="10">
        <f>IF(管理者入力シート!$B$14=1,CX16*管理者用人口入力シート!AS$4,IF(管理者入力シート!$B$14=2,CX16*管理者用人口入力シート!AS$8))+将来予測シート②!$H24</f>
        <v>458.7793282236043</v>
      </c>
      <c r="CZ19" s="10">
        <f>IF(管理者入力シート!$B$14=1,CY16*管理者用人口入力シート!AT$4,IF(管理者入力シート!$B$14=2,CY16*管理者用人口入力シート!AT$8))+将来予測シート②!$H25</f>
        <v>416.31291029311097</v>
      </c>
      <c r="DA19" s="10">
        <f>IF(管理者入力シート!$B$14=1,CZ16*管理者用人口入力シート!AU$4,IF(管理者入力シート!$B$14=2,CZ16*管理者用人口入力シート!AU$8))+将来予測シート②!$H26</f>
        <v>462.59959601951351</v>
      </c>
      <c r="DB19" s="10">
        <f>IF(管理者入力シート!$B$14=1,DA16*管理者用人口入力シート!AV$4,IF(管理者入力シート!$B$14=2,DA16*管理者用人口入力シート!AV$8))+将来予測シート②!$H27</f>
        <v>568.15403674114532</v>
      </c>
      <c r="DC19" s="10">
        <f>IF(管理者入力シート!$B$14=1,DB16*管理者用人口入力シート!AW$4,IF(管理者入力シート!$B$14=2,DB16*管理者用人口入力シート!AW$8))+将来予測シート②!$H28</f>
        <v>609.62358092973443</v>
      </c>
      <c r="DD19" s="10">
        <f>IF(管理者入力シート!$B$14=1,DC16*管理者用人口入力シート!AX$4,IF(管理者入力シート!$B$14=2,DC16*管理者用人口入力シート!AX$8))+将来予測シート②!$H29</f>
        <v>664.64755882251256</v>
      </c>
      <c r="DE19" s="10">
        <f>IF(管理者入力シート!$B$14=1,DD16*管理者用人口入力シート!AY$4,IF(管理者入力シート!$B$14=2,DD16*管理者用人口入力シート!AY$8))</f>
        <v>691.9434052318104</v>
      </c>
      <c r="DF19" s="10">
        <f>IF(管理者入力シート!$B$14=1,DE16*管理者用人口入力シート!AZ$4,IF(管理者入力シート!$B$14=2,DE16*管理者用人口入力シート!AZ$8))</f>
        <v>785.54376631627156</v>
      </c>
      <c r="DG19" s="10">
        <f>IF(管理者入力シート!$B$14=1,DF16*管理者用人口入力シート!BA$4,IF(管理者入力シート!$B$14=2,DF16*管理者用人口入力シート!BA$8))</f>
        <v>840.13157403090861</v>
      </c>
      <c r="DH19" s="10">
        <f>IF(管理者入力シート!$B$14=1,DG16*管理者用人口入力シート!BB$4,IF(管理者入力シート!$B$14=2,DG16*管理者用人口入力シート!BB$8))</f>
        <v>786.97542448857666</v>
      </c>
      <c r="DI19" s="10">
        <f>IF(管理者入力シート!$B$14=1,DH16*管理者用人口入力シート!BC$4,IF(管理者入力シート!$B$14=2,DH16*管理者用人口入力シート!BC$8))</f>
        <v>570.06200041952377</v>
      </c>
      <c r="DJ19" s="10">
        <f>IF(管理者入力シート!$B$14=1,DI16*管理者用人口入力シート!BD$4,IF(管理者入力シート!$B$14=2,DI16*管理者用人口入力シート!BD$8))</f>
        <v>335.81087475246073</v>
      </c>
      <c r="DK19" s="10">
        <f>IF(管理者入力シート!$B$14=1,DJ16*管理者用人口入力シート!BE$4,IF(管理者入力シート!$B$14=2,DJ16*管理者用人口入力シート!BE$8))</f>
        <v>124.56314146453811</v>
      </c>
      <c r="DL19" s="10">
        <f>IF(管理者入力シート!$B$14=1,DK16*管理者用人口入力シート!BF$4,IF(管理者入力シート!$B$14=2,DK16*管理者用人口入力シート!BF$8))</f>
        <v>39.675707815369258</v>
      </c>
      <c r="DM19" s="10">
        <f t="shared" si="260"/>
        <v>9749.9705503028017</v>
      </c>
      <c r="DN19" s="10">
        <f t="shared" si="261"/>
        <v>404.72106179800721</v>
      </c>
      <c r="DO19" s="10">
        <f t="shared" si="262"/>
        <v>214.56459974617422</v>
      </c>
      <c r="DP19" s="10">
        <f t="shared" si="263"/>
        <v>4174.7058945194594</v>
      </c>
      <c r="DQ19" s="10">
        <f t="shared" si="264"/>
        <v>2697.2187229713772</v>
      </c>
      <c r="DR19" s="14">
        <f t="shared" si="265"/>
        <v>0.42817625683903293</v>
      </c>
      <c r="DS19" s="14">
        <f t="shared" si="266"/>
        <v>0.27663865332266163</v>
      </c>
      <c r="DT19" s="10">
        <f t="shared" si="267"/>
        <v>1502.8672814493243</v>
      </c>
      <c r="DX19" s="310"/>
      <c r="DY19" s="311"/>
      <c r="DZ19" s="312"/>
      <c r="EA19" s="312"/>
      <c r="EB19" s="312"/>
      <c r="EC19" s="312"/>
      <c r="ED19" s="312"/>
      <c r="EE19" s="312"/>
      <c r="EF19" s="312"/>
      <c r="EG19" s="312"/>
      <c r="EH19" s="312"/>
      <c r="EI19" s="312"/>
      <c r="EJ19" s="312"/>
      <c r="EK19" s="312"/>
      <c r="EL19" s="312"/>
      <c r="EM19" s="312"/>
      <c r="EN19" s="312"/>
      <c r="EO19" s="312"/>
      <c r="EP19" s="312"/>
      <c r="EQ19" s="312"/>
      <c r="ER19" s="312"/>
      <c r="ES19" s="312"/>
      <c r="ET19" s="312"/>
      <c r="EU19" s="312"/>
      <c r="EV19" s="313"/>
      <c r="EW19" s="313"/>
      <c r="EX19" s="315"/>
      <c r="EY19" s="315"/>
      <c r="EZ19" s="313"/>
      <c r="FA19" s="313"/>
      <c r="FB19" s="31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599.93245349346626</v>
      </c>
      <c r="BL20" s="16">
        <f t="shared" ref="BL20:CE20" si="276">BL18+BL19</f>
        <v>638.93823288624071</v>
      </c>
      <c r="BM20" s="16">
        <f t="shared" si="276"/>
        <v>699.28016435832228</v>
      </c>
      <c r="BN20" s="16">
        <f t="shared" si="276"/>
        <v>723.00264200128231</v>
      </c>
      <c r="BO20" s="16">
        <f t="shared" si="276"/>
        <v>557.62318324758076</v>
      </c>
      <c r="BP20" s="16">
        <f t="shared" si="276"/>
        <v>629.6084827266402</v>
      </c>
      <c r="BQ20" s="16">
        <f t="shared" si="276"/>
        <v>766.40826084551486</v>
      </c>
      <c r="BR20" s="16">
        <f t="shared" si="276"/>
        <v>880.81194629994343</v>
      </c>
      <c r="BS20" s="16">
        <f t="shared" si="276"/>
        <v>870.74340712495507</v>
      </c>
      <c r="BT20" s="16">
        <f t="shared" si="276"/>
        <v>949.32676433493589</v>
      </c>
      <c r="BU20" s="16">
        <f t="shared" si="276"/>
        <v>1206.4593727640208</v>
      </c>
      <c r="BV20" s="16">
        <f t="shared" si="276"/>
        <v>1215.157219810686</v>
      </c>
      <c r="BW20" s="16">
        <f t="shared" si="276"/>
        <v>1377.1036314039879</v>
      </c>
      <c r="BX20" s="16">
        <f t="shared" si="276"/>
        <v>1431.5582339456009</v>
      </c>
      <c r="BY20" s="16">
        <f t="shared" si="276"/>
        <v>1519.9675524261015</v>
      </c>
      <c r="BZ20" s="16">
        <f t="shared" si="276"/>
        <v>1571.0010325701353</v>
      </c>
      <c r="CA20" s="16">
        <f t="shared" si="276"/>
        <v>1312.5228351757123</v>
      </c>
      <c r="CB20" s="16">
        <f t="shared" si="276"/>
        <v>952.66091835685484</v>
      </c>
      <c r="CC20" s="16">
        <f t="shared" si="276"/>
        <v>519.07308707149264</v>
      </c>
      <c r="CD20" s="16">
        <f t="shared" si="276"/>
        <v>161.50165812116208</v>
      </c>
      <c r="CE20" s="16">
        <f t="shared" si="276"/>
        <v>49.792633961896584</v>
      </c>
      <c r="CF20" s="11">
        <f t="shared" si="252"/>
        <v>18632.47371292653</v>
      </c>
      <c r="CG20" s="11">
        <f t="shared" si="253"/>
        <v>802.93103834673775</v>
      </c>
      <c r="CH20" s="11">
        <f t="shared" si="254"/>
        <v>424.31259414358539</v>
      </c>
      <c r="CI20" s="11">
        <f t="shared" si="255"/>
        <v>7518.0779516289558</v>
      </c>
      <c r="CJ20" s="11">
        <f t="shared" si="256"/>
        <v>4566.5521652572534</v>
      </c>
      <c r="CK20" s="15">
        <f t="shared" si="257"/>
        <v>0.403493281002897</v>
      </c>
      <c r="CL20" s="15">
        <f t="shared" si="258"/>
        <v>0.24508566257035136</v>
      </c>
      <c r="CM20" s="11">
        <f t="shared" si="259"/>
        <v>2834.4518731196795</v>
      </c>
      <c r="CO20" s="7" t="str">
        <f t="shared" si="26"/>
        <v>2050_3</v>
      </c>
      <c r="CP20" s="30">
        <f>CP19</f>
        <v>2050</v>
      </c>
      <c r="CQ20" s="5" t="s">
        <v>23</v>
      </c>
      <c r="CR20" s="16">
        <f>CR18+CR19</f>
        <v>606.61188412610773</v>
      </c>
      <c r="CS20" s="16">
        <f t="shared" ref="CS20:DL20" si="277">CS18+CS19</f>
        <v>644.83264210713321</v>
      </c>
      <c r="CT20" s="16">
        <f t="shared" si="277"/>
        <v>706.74609529169561</v>
      </c>
      <c r="CU20" s="16">
        <f t="shared" si="277"/>
        <v>729.813869622472</v>
      </c>
      <c r="CV20" s="16">
        <f t="shared" si="277"/>
        <v>561.6266616744465</v>
      </c>
      <c r="CW20" s="16">
        <f t="shared" si="277"/>
        <v>636.4140823556188</v>
      </c>
      <c r="CX20" s="16">
        <f t="shared" si="277"/>
        <v>772.30396482457786</v>
      </c>
      <c r="CY20" s="16">
        <f t="shared" si="277"/>
        <v>887.02658407526292</v>
      </c>
      <c r="CZ20" s="16">
        <f t="shared" si="277"/>
        <v>876.59865408291239</v>
      </c>
      <c r="DA20" s="16">
        <f t="shared" si="277"/>
        <v>955.19001053591751</v>
      </c>
      <c r="DB20" s="16">
        <f t="shared" si="277"/>
        <v>1212.4008719017202</v>
      </c>
      <c r="DC20" s="16">
        <f t="shared" si="277"/>
        <v>1216.1413056875062</v>
      </c>
      <c r="DD20" s="16">
        <f t="shared" si="277"/>
        <v>1378.0718412904839</v>
      </c>
      <c r="DE20" s="16">
        <f t="shared" si="277"/>
        <v>1432.5134309474824</v>
      </c>
      <c r="DF20" s="16">
        <f t="shared" si="277"/>
        <v>1519.9675524261015</v>
      </c>
      <c r="DG20" s="16">
        <f t="shared" si="277"/>
        <v>1571.0010325701353</v>
      </c>
      <c r="DH20" s="16">
        <f t="shared" si="277"/>
        <v>1312.5228351757123</v>
      </c>
      <c r="DI20" s="16">
        <f t="shared" si="277"/>
        <v>952.66091835685484</v>
      </c>
      <c r="DJ20" s="16">
        <f t="shared" si="277"/>
        <v>519.07308707149264</v>
      </c>
      <c r="DK20" s="16">
        <f t="shared" si="277"/>
        <v>161.50165812116208</v>
      </c>
      <c r="DL20" s="16">
        <f t="shared" si="277"/>
        <v>49.792633961896584</v>
      </c>
      <c r="DM20" s="11">
        <f t="shared" si="260"/>
        <v>18702.811616206691</v>
      </c>
      <c r="DN20" s="11">
        <f t="shared" si="261"/>
        <v>810.94724243929727</v>
      </c>
      <c r="DO20" s="11">
        <f t="shared" si="262"/>
        <v>428.66121204117263</v>
      </c>
      <c r="DP20" s="11">
        <f t="shared" si="263"/>
        <v>7519.0331486308378</v>
      </c>
      <c r="DQ20" s="11">
        <f t="shared" si="264"/>
        <v>4566.5521652572534</v>
      </c>
      <c r="DR20" s="15">
        <f t="shared" si="265"/>
        <v>0.40202688787793339</v>
      </c>
      <c r="DS20" s="15">
        <f t="shared" si="266"/>
        <v>0.24416393957046351</v>
      </c>
      <c r="DT20" s="11">
        <f t="shared" si="267"/>
        <v>2857.3712929299063</v>
      </c>
      <c r="DX20" s="28">
        <f>DX3</f>
        <v>2025</v>
      </c>
      <c r="DY20" s="3" t="s">
        <v>21</v>
      </c>
      <c r="DZ20" s="9">
        <f t="shared" ref="DZ20:ET20" si="278">ROUND(DZ3,0)</f>
        <v>437</v>
      </c>
      <c r="EA20" s="9">
        <f t="shared" si="278"/>
        <v>489</v>
      </c>
      <c r="EB20" s="9">
        <f t="shared" si="278"/>
        <v>558</v>
      </c>
      <c r="EC20" s="9">
        <f t="shared" si="278"/>
        <v>518</v>
      </c>
      <c r="ED20" s="9">
        <f t="shared" si="278"/>
        <v>354</v>
      </c>
      <c r="EE20" s="9">
        <f t="shared" si="278"/>
        <v>596</v>
      </c>
      <c r="EF20" s="9">
        <f t="shared" si="278"/>
        <v>642</v>
      </c>
      <c r="EG20" s="9">
        <f t="shared" si="278"/>
        <v>747</v>
      </c>
      <c r="EH20" s="9">
        <f t="shared" si="278"/>
        <v>715</v>
      </c>
      <c r="EI20" s="9">
        <f t="shared" si="278"/>
        <v>782</v>
      </c>
      <c r="EJ20" s="9">
        <f t="shared" si="278"/>
        <v>909</v>
      </c>
      <c r="EK20" s="9">
        <f t="shared" si="278"/>
        <v>783</v>
      </c>
      <c r="EL20" s="9">
        <f t="shared" si="278"/>
        <v>881</v>
      </c>
      <c r="EM20" s="9">
        <f t="shared" si="278"/>
        <v>820</v>
      </c>
      <c r="EN20" s="9">
        <f t="shared" si="278"/>
        <v>707</v>
      </c>
      <c r="EO20" s="9">
        <f t="shared" si="278"/>
        <v>605</v>
      </c>
      <c r="EP20" s="9">
        <f t="shared" si="278"/>
        <v>376</v>
      </c>
      <c r="EQ20" s="9">
        <f t="shared" si="278"/>
        <v>250</v>
      </c>
      <c r="ER20" s="9">
        <f t="shared" si="278"/>
        <v>111</v>
      </c>
      <c r="ES20" s="9">
        <f t="shared" si="278"/>
        <v>23</v>
      </c>
      <c r="ET20" s="9">
        <f t="shared" si="278"/>
        <v>3</v>
      </c>
      <c r="EU20" s="9">
        <f t="shared" ref="EU20:EU21" si="279">SUM(DZ20:ET20)</f>
        <v>11306</v>
      </c>
      <c r="EV20" s="9">
        <f>EA20*3/5+EB20*3/5</f>
        <v>628.20000000000005</v>
      </c>
      <c r="EW20" s="9">
        <f>EB20*2/5+EC20*1/5</f>
        <v>326.79999999999995</v>
      </c>
      <c r="EX20" s="9">
        <f t="shared" ref="EX20:EX31" si="280">SUM(EM20:ET20)</f>
        <v>2895</v>
      </c>
      <c r="EY20" s="9">
        <f>SUM(EO20:ET20)</f>
        <v>1368</v>
      </c>
      <c r="EZ20" s="13">
        <f>EX20/EU20</f>
        <v>0.25605872987794093</v>
      </c>
      <c r="FA20" s="13">
        <f>EY20/EU20</f>
        <v>0.12099770033610473</v>
      </c>
      <c r="FB20" s="9">
        <f>SUM(ED20:EG20)</f>
        <v>2339</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435</v>
      </c>
      <c r="EA21" s="10">
        <f t="shared" si="281"/>
        <v>497</v>
      </c>
      <c r="EB21" s="10">
        <f t="shared" si="281"/>
        <v>562</v>
      </c>
      <c r="EC21" s="10">
        <f t="shared" si="281"/>
        <v>489</v>
      </c>
      <c r="ED21" s="10">
        <f t="shared" si="281"/>
        <v>428</v>
      </c>
      <c r="EE21" s="10">
        <f t="shared" si="281"/>
        <v>616</v>
      </c>
      <c r="EF21" s="10">
        <f t="shared" si="281"/>
        <v>688</v>
      </c>
      <c r="EG21" s="10">
        <f t="shared" si="281"/>
        <v>785</v>
      </c>
      <c r="EH21" s="10">
        <f t="shared" si="281"/>
        <v>723</v>
      </c>
      <c r="EI21" s="10">
        <f t="shared" si="281"/>
        <v>810</v>
      </c>
      <c r="EJ21" s="10">
        <f t="shared" si="281"/>
        <v>933</v>
      </c>
      <c r="EK21" s="10">
        <f t="shared" si="281"/>
        <v>963</v>
      </c>
      <c r="EL21" s="10">
        <f t="shared" si="281"/>
        <v>906</v>
      </c>
      <c r="EM21" s="10">
        <f t="shared" si="281"/>
        <v>873</v>
      </c>
      <c r="EN21" s="10">
        <f t="shared" si="281"/>
        <v>792</v>
      </c>
      <c r="EO21" s="10">
        <f t="shared" si="281"/>
        <v>829</v>
      </c>
      <c r="EP21" s="10">
        <f t="shared" si="281"/>
        <v>564</v>
      </c>
      <c r="EQ21" s="10">
        <f t="shared" si="281"/>
        <v>398</v>
      </c>
      <c r="ER21" s="10">
        <f t="shared" si="281"/>
        <v>277</v>
      </c>
      <c r="ES21" s="10">
        <f t="shared" si="281"/>
        <v>89</v>
      </c>
      <c r="ET21" s="10">
        <f t="shared" si="281"/>
        <v>20</v>
      </c>
      <c r="EU21" s="10">
        <f t="shared" si="279"/>
        <v>12677</v>
      </c>
      <c r="EV21" s="10">
        <f t="shared" ref="EV21:EV31" si="282">EA21*3/5+EB21*3/5</f>
        <v>635.4</v>
      </c>
      <c r="EW21" s="10">
        <f t="shared" ref="EW21:EW31" si="283">EB21*2/5+EC21*1/5</f>
        <v>322.60000000000002</v>
      </c>
      <c r="EX21" s="10">
        <f t="shared" si="280"/>
        <v>3842</v>
      </c>
      <c r="EY21" s="10">
        <f t="shared" ref="EY21:EY31" si="284">SUM(EO21:ET21)</f>
        <v>2177</v>
      </c>
      <c r="EZ21" s="14">
        <f t="shared" ref="EZ21:EZ31" si="285">EX21/EU21</f>
        <v>0.30306854934132682</v>
      </c>
      <c r="FA21" s="14">
        <f t="shared" ref="FA21:FA31" si="286">EY21/EU21</f>
        <v>0.17172832689122031</v>
      </c>
      <c r="FB21" s="10">
        <f>SUM(ED21:EG21)</f>
        <v>2517</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872</v>
      </c>
      <c r="EA22" s="16">
        <f t="shared" ref="EA22:ET22" si="287">EA20+EA21</f>
        <v>986</v>
      </c>
      <c r="EB22" s="16">
        <f t="shared" si="287"/>
        <v>1120</v>
      </c>
      <c r="EC22" s="16">
        <f t="shared" si="287"/>
        <v>1007</v>
      </c>
      <c r="ED22" s="16">
        <f t="shared" si="287"/>
        <v>782</v>
      </c>
      <c r="EE22" s="16">
        <f t="shared" si="287"/>
        <v>1212</v>
      </c>
      <c r="EF22" s="16">
        <f t="shared" si="287"/>
        <v>1330</v>
      </c>
      <c r="EG22" s="16">
        <f t="shared" si="287"/>
        <v>1532</v>
      </c>
      <c r="EH22" s="16">
        <f t="shared" si="287"/>
        <v>1438</v>
      </c>
      <c r="EI22" s="16">
        <f t="shared" si="287"/>
        <v>1592</v>
      </c>
      <c r="EJ22" s="16">
        <f t="shared" si="287"/>
        <v>1842</v>
      </c>
      <c r="EK22" s="16">
        <f t="shared" si="287"/>
        <v>1746</v>
      </c>
      <c r="EL22" s="16">
        <f t="shared" si="287"/>
        <v>1787</v>
      </c>
      <c r="EM22" s="16">
        <f t="shared" si="287"/>
        <v>1693</v>
      </c>
      <c r="EN22" s="16">
        <f t="shared" si="287"/>
        <v>1499</v>
      </c>
      <c r="EO22" s="16">
        <f t="shared" si="287"/>
        <v>1434</v>
      </c>
      <c r="EP22" s="16">
        <f t="shared" si="287"/>
        <v>940</v>
      </c>
      <c r="EQ22" s="16">
        <f t="shared" si="287"/>
        <v>648</v>
      </c>
      <c r="ER22" s="16">
        <f t="shared" si="287"/>
        <v>388</v>
      </c>
      <c r="ES22" s="16">
        <f t="shared" si="287"/>
        <v>112</v>
      </c>
      <c r="ET22" s="16">
        <f t="shared" si="287"/>
        <v>23</v>
      </c>
      <c r="EU22" s="11">
        <f>SUM(DZ22:ET22)</f>
        <v>23983</v>
      </c>
      <c r="EV22" s="11">
        <f t="shared" si="282"/>
        <v>1263.5999999999999</v>
      </c>
      <c r="EW22" s="11">
        <f t="shared" si="283"/>
        <v>649.4</v>
      </c>
      <c r="EX22" s="11">
        <f t="shared" si="280"/>
        <v>6737</v>
      </c>
      <c r="EY22" s="11">
        <f t="shared" si="284"/>
        <v>3545</v>
      </c>
      <c r="EZ22" s="15">
        <f t="shared" si="285"/>
        <v>0.28090730934411873</v>
      </c>
      <c r="FA22" s="15">
        <f t="shared" si="286"/>
        <v>0.14781303423258141</v>
      </c>
      <c r="FB22" s="11">
        <f>SUM(ED22:EG22)</f>
        <v>4856</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506</v>
      </c>
      <c r="EA23" s="9">
        <f t="shared" si="288"/>
        <v>441</v>
      </c>
      <c r="EB23" s="9">
        <f t="shared" si="288"/>
        <v>519</v>
      </c>
      <c r="EC23" s="9">
        <f t="shared" si="288"/>
        <v>513</v>
      </c>
      <c r="ED23" s="9">
        <f t="shared" si="288"/>
        <v>338</v>
      </c>
      <c r="EE23" s="9">
        <f t="shared" si="288"/>
        <v>488</v>
      </c>
      <c r="EF23" s="9">
        <f t="shared" si="288"/>
        <v>803</v>
      </c>
      <c r="EG23" s="9">
        <f t="shared" si="288"/>
        <v>793</v>
      </c>
      <c r="EH23" s="9">
        <f t="shared" si="288"/>
        <v>796</v>
      </c>
      <c r="EI23" s="9">
        <f t="shared" si="288"/>
        <v>731</v>
      </c>
      <c r="EJ23" s="9">
        <f t="shared" si="288"/>
        <v>794</v>
      </c>
      <c r="EK23" s="9">
        <f t="shared" si="288"/>
        <v>902</v>
      </c>
      <c r="EL23" s="9">
        <f t="shared" si="288"/>
        <v>808</v>
      </c>
      <c r="EM23" s="9">
        <f t="shared" si="288"/>
        <v>858</v>
      </c>
      <c r="EN23" s="9">
        <f t="shared" si="288"/>
        <v>760</v>
      </c>
      <c r="EO23" s="9">
        <f t="shared" si="288"/>
        <v>615</v>
      </c>
      <c r="EP23" s="9">
        <f t="shared" si="288"/>
        <v>501</v>
      </c>
      <c r="EQ23" s="9">
        <f t="shared" si="288"/>
        <v>251</v>
      </c>
      <c r="ER23" s="9">
        <f t="shared" si="288"/>
        <v>125</v>
      </c>
      <c r="ES23" s="9">
        <f t="shared" si="288"/>
        <v>24</v>
      </c>
      <c r="ET23" s="9">
        <f t="shared" si="288"/>
        <v>6</v>
      </c>
      <c r="EU23" s="9">
        <f t="shared" ref="EU23:EU31" si="289">SUM(DZ23:ET23)</f>
        <v>11572</v>
      </c>
      <c r="EV23" s="9">
        <f t="shared" si="282"/>
        <v>576</v>
      </c>
      <c r="EW23" s="9">
        <f t="shared" si="283"/>
        <v>310.2</v>
      </c>
      <c r="EX23" s="9">
        <f t="shared" si="280"/>
        <v>3140</v>
      </c>
      <c r="EY23" s="9">
        <f t="shared" si="284"/>
        <v>1522</v>
      </c>
      <c r="EZ23" s="13">
        <f t="shared" si="285"/>
        <v>0.27134462495679224</v>
      </c>
      <c r="FA23" s="13">
        <f t="shared" si="286"/>
        <v>0.13152436916695473</v>
      </c>
      <c r="FB23" s="9">
        <f t="shared" ref="FB23:FB31" si="290">SUM(ED23:EG23)</f>
        <v>2422</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505</v>
      </c>
      <c r="EA24" s="10">
        <f t="shared" si="291"/>
        <v>448</v>
      </c>
      <c r="EB24" s="10">
        <f t="shared" si="291"/>
        <v>508</v>
      </c>
      <c r="EC24" s="10">
        <f t="shared" si="291"/>
        <v>554</v>
      </c>
      <c r="ED24" s="10">
        <f t="shared" si="291"/>
        <v>379</v>
      </c>
      <c r="EE24" s="10">
        <f t="shared" si="291"/>
        <v>527</v>
      </c>
      <c r="EF24" s="10">
        <f t="shared" si="291"/>
        <v>764</v>
      </c>
      <c r="EG24" s="10">
        <f t="shared" si="291"/>
        <v>843</v>
      </c>
      <c r="EH24" s="10">
        <f t="shared" si="291"/>
        <v>805</v>
      </c>
      <c r="EI24" s="10">
        <f t="shared" si="291"/>
        <v>712</v>
      </c>
      <c r="EJ24" s="10">
        <f t="shared" si="291"/>
        <v>819</v>
      </c>
      <c r="EK24" s="10">
        <f t="shared" si="291"/>
        <v>922</v>
      </c>
      <c r="EL24" s="10">
        <f t="shared" si="291"/>
        <v>947</v>
      </c>
      <c r="EM24" s="10">
        <f t="shared" si="291"/>
        <v>894</v>
      </c>
      <c r="EN24" s="10">
        <f t="shared" si="291"/>
        <v>873</v>
      </c>
      <c r="EO24" s="10">
        <f t="shared" si="291"/>
        <v>743</v>
      </c>
      <c r="EP24" s="10">
        <f t="shared" si="291"/>
        <v>744</v>
      </c>
      <c r="EQ24" s="10">
        <f t="shared" si="291"/>
        <v>427</v>
      </c>
      <c r="ER24" s="10">
        <f t="shared" si="291"/>
        <v>240</v>
      </c>
      <c r="ES24" s="10">
        <f t="shared" si="291"/>
        <v>113</v>
      </c>
      <c r="ET24" s="10">
        <f t="shared" si="291"/>
        <v>25</v>
      </c>
      <c r="EU24" s="10">
        <f t="shared" si="289"/>
        <v>12792</v>
      </c>
      <c r="EV24" s="10">
        <f t="shared" si="282"/>
        <v>573.6</v>
      </c>
      <c r="EW24" s="10">
        <f t="shared" si="283"/>
        <v>314</v>
      </c>
      <c r="EX24" s="10">
        <f t="shared" si="280"/>
        <v>4059</v>
      </c>
      <c r="EY24" s="10">
        <f t="shared" si="284"/>
        <v>2292</v>
      </c>
      <c r="EZ24" s="14">
        <f t="shared" si="285"/>
        <v>0.31730769230769229</v>
      </c>
      <c r="FA24" s="14">
        <f t="shared" si="286"/>
        <v>0.17917448405253283</v>
      </c>
      <c r="FB24" s="10">
        <f t="shared" si="290"/>
        <v>2513</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1011</v>
      </c>
      <c r="EA25" s="16">
        <f t="shared" ref="EA25:ET25" si="292">EA23+EA24</f>
        <v>889</v>
      </c>
      <c r="EB25" s="16">
        <f t="shared" si="292"/>
        <v>1027</v>
      </c>
      <c r="EC25" s="16">
        <f t="shared" si="292"/>
        <v>1067</v>
      </c>
      <c r="ED25" s="16">
        <f t="shared" si="292"/>
        <v>717</v>
      </c>
      <c r="EE25" s="16">
        <f t="shared" si="292"/>
        <v>1015</v>
      </c>
      <c r="EF25" s="16">
        <f t="shared" si="292"/>
        <v>1567</v>
      </c>
      <c r="EG25" s="16">
        <f t="shared" si="292"/>
        <v>1636</v>
      </c>
      <c r="EH25" s="16">
        <f t="shared" si="292"/>
        <v>1601</v>
      </c>
      <c r="EI25" s="16">
        <f t="shared" si="292"/>
        <v>1443</v>
      </c>
      <c r="EJ25" s="16">
        <f t="shared" si="292"/>
        <v>1613</v>
      </c>
      <c r="EK25" s="16">
        <f t="shared" si="292"/>
        <v>1824</v>
      </c>
      <c r="EL25" s="16">
        <f t="shared" si="292"/>
        <v>1755</v>
      </c>
      <c r="EM25" s="16">
        <f t="shared" si="292"/>
        <v>1752</v>
      </c>
      <c r="EN25" s="16">
        <f t="shared" si="292"/>
        <v>1633</v>
      </c>
      <c r="EO25" s="16">
        <f t="shared" si="292"/>
        <v>1358</v>
      </c>
      <c r="EP25" s="16">
        <f t="shared" si="292"/>
        <v>1245</v>
      </c>
      <c r="EQ25" s="16">
        <f t="shared" si="292"/>
        <v>678</v>
      </c>
      <c r="ER25" s="16">
        <f t="shared" si="292"/>
        <v>365</v>
      </c>
      <c r="ES25" s="16">
        <f t="shared" si="292"/>
        <v>137</v>
      </c>
      <c r="ET25" s="16">
        <f t="shared" si="292"/>
        <v>31</v>
      </c>
      <c r="EU25" s="11">
        <f t="shared" si="289"/>
        <v>24364</v>
      </c>
      <c r="EV25" s="11">
        <f t="shared" si="282"/>
        <v>1149.5999999999999</v>
      </c>
      <c r="EW25" s="11">
        <f t="shared" si="283"/>
        <v>624.20000000000005</v>
      </c>
      <c r="EX25" s="11">
        <f t="shared" si="280"/>
        <v>7199</v>
      </c>
      <c r="EY25" s="11">
        <f t="shared" si="284"/>
        <v>3814</v>
      </c>
      <c r="EZ25" s="15">
        <f t="shared" si="285"/>
        <v>0.29547693318010176</v>
      </c>
      <c r="FA25" s="15">
        <f t="shared" si="286"/>
        <v>0.15654243966507964</v>
      </c>
      <c r="FB25" s="11">
        <f t="shared" si="290"/>
        <v>4935</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504</v>
      </c>
      <c r="EA26" s="9">
        <f t="shared" si="293"/>
        <v>512</v>
      </c>
      <c r="EB26" s="9">
        <f t="shared" si="293"/>
        <v>468</v>
      </c>
      <c r="EC26" s="9">
        <f t="shared" si="293"/>
        <v>477</v>
      </c>
      <c r="ED26" s="9">
        <f t="shared" si="293"/>
        <v>334</v>
      </c>
      <c r="EE26" s="9">
        <f t="shared" si="293"/>
        <v>472</v>
      </c>
      <c r="EF26" s="9">
        <f t="shared" si="293"/>
        <v>679</v>
      </c>
      <c r="EG26" s="9">
        <f t="shared" si="293"/>
        <v>962</v>
      </c>
      <c r="EH26" s="9">
        <f t="shared" si="293"/>
        <v>844</v>
      </c>
      <c r="EI26" s="9">
        <f t="shared" si="293"/>
        <v>813</v>
      </c>
      <c r="EJ26" s="9">
        <f t="shared" si="293"/>
        <v>742</v>
      </c>
      <c r="EK26" s="9">
        <f t="shared" si="293"/>
        <v>788</v>
      </c>
      <c r="EL26" s="9">
        <f t="shared" si="293"/>
        <v>931</v>
      </c>
      <c r="EM26" s="9">
        <f t="shared" si="293"/>
        <v>787</v>
      </c>
      <c r="EN26" s="9">
        <f t="shared" si="293"/>
        <v>796</v>
      </c>
      <c r="EO26" s="9">
        <f t="shared" si="293"/>
        <v>661</v>
      </c>
      <c r="EP26" s="9">
        <f t="shared" si="293"/>
        <v>510</v>
      </c>
      <c r="EQ26" s="9">
        <f t="shared" si="293"/>
        <v>334</v>
      </c>
      <c r="ER26" s="9">
        <f t="shared" si="293"/>
        <v>126</v>
      </c>
      <c r="ES26" s="9">
        <f t="shared" si="293"/>
        <v>27</v>
      </c>
      <c r="ET26" s="9">
        <f t="shared" si="293"/>
        <v>7</v>
      </c>
      <c r="EU26" s="9">
        <f t="shared" si="289"/>
        <v>11774</v>
      </c>
      <c r="EV26" s="9">
        <f t="shared" si="282"/>
        <v>588</v>
      </c>
      <c r="EW26" s="9">
        <f t="shared" si="283"/>
        <v>282.60000000000002</v>
      </c>
      <c r="EX26" s="9">
        <f t="shared" si="280"/>
        <v>3248</v>
      </c>
      <c r="EY26" s="9">
        <f t="shared" si="284"/>
        <v>1665</v>
      </c>
      <c r="EZ26" s="13">
        <f t="shared" si="285"/>
        <v>0.27586206896551724</v>
      </c>
      <c r="FA26" s="13">
        <f t="shared" si="286"/>
        <v>0.14141328350603025</v>
      </c>
      <c r="FB26" s="9">
        <f t="shared" si="290"/>
        <v>2447</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503</v>
      </c>
      <c r="EA27" s="10">
        <f t="shared" si="294"/>
        <v>520</v>
      </c>
      <c r="EB27" s="10">
        <f t="shared" si="294"/>
        <v>458</v>
      </c>
      <c r="EC27" s="10">
        <f t="shared" si="294"/>
        <v>501</v>
      </c>
      <c r="ED27" s="10">
        <f t="shared" si="294"/>
        <v>429</v>
      </c>
      <c r="EE27" s="10">
        <f t="shared" si="294"/>
        <v>480</v>
      </c>
      <c r="EF27" s="10">
        <f t="shared" si="294"/>
        <v>671</v>
      </c>
      <c r="EG27" s="10">
        <f t="shared" si="294"/>
        <v>923</v>
      </c>
      <c r="EH27" s="10">
        <f t="shared" si="294"/>
        <v>865</v>
      </c>
      <c r="EI27" s="10">
        <f t="shared" si="294"/>
        <v>793</v>
      </c>
      <c r="EJ27" s="10">
        <f t="shared" si="294"/>
        <v>721</v>
      </c>
      <c r="EK27" s="10">
        <f t="shared" si="294"/>
        <v>809</v>
      </c>
      <c r="EL27" s="10">
        <f t="shared" si="294"/>
        <v>907</v>
      </c>
      <c r="EM27" s="10">
        <f t="shared" si="294"/>
        <v>934</v>
      </c>
      <c r="EN27" s="10">
        <f t="shared" si="294"/>
        <v>894</v>
      </c>
      <c r="EO27" s="10">
        <f t="shared" si="294"/>
        <v>819</v>
      </c>
      <c r="EP27" s="10">
        <f t="shared" si="294"/>
        <v>667</v>
      </c>
      <c r="EQ27" s="10">
        <f t="shared" si="294"/>
        <v>564</v>
      </c>
      <c r="ER27" s="10">
        <f t="shared" si="294"/>
        <v>258</v>
      </c>
      <c r="ES27" s="10">
        <f t="shared" si="294"/>
        <v>98</v>
      </c>
      <c r="ET27" s="10">
        <f t="shared" si="294"/>
        <v>32</v>
      </c>
      <c r="EU27" s="10">
        <f t="shared" si="289"/>
        <v>12846</v>
      </c>
      <c r="EV27" s="10">
        <f t="shared" si="282"/>
        <v>586.79999999999995</v>
      </c>
      <c r="EW27" s="10">
        <f t="shared" si="283"/>
        <v>283.39999999999998</v>
      </c>
      <c r="EX27" s="10">
        <f t="shared" si="280"/>
        <v>4266</v>
      </c>
      <c r="EY27" s="10">
        <f t="shared" si="284"/>
        <v>2438</v>
      </c>
      <c r="EZ27" s="14">
        <f t="shared" si="285"/>
        <v>0.33208780943484351</v>
      </c>
      <c r="FA27" s="14">
        <f t="shared" si="286"/>
        <v>0.18978670403238362</v>
      </c>
      <c r="FB27" s="10">
        <f t="shared" si="290"/>
        <v>2503</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1007</v>
      </c>
      <c r="EA28" s="16">
        <f t="shared" ref="EA28:ET28" si="295">EA26+EA27</f>
        <v>1032</v>
      </c>
      <c r="EB28" s="16">
        <f t="shared" si="295"/>
        <v>926</v>
      </c>
      <c r="EC28" s="16">
        <f t="shared" si="295"/>
        <v>978</v>
      </c>
      <c r="ED28" s="16">
        <f t="shared" si="295"/>
        <v>763</v>
      </c>
      <c r="EE28" s="16">
        <f t="shared" si="295"/>
        <v>952</v>
      </c>
      <c r="EF28" s="16">
        <f t="shared" si="295"/>
        <v>1350</v>
      </c>
      <c r="EG28" s="16">
        <f t="shared" si="295"/>
        <v>1885</v>
      </c>
      <c r="EH28" s="16">
        <f t="shared" si="295"/>
        <v>1709</v>
      </c>
      <c r="EI28" s="16">
        <f t="shared" si="295"/>
        <v>1606</v>
      </c>
      <c r="EJ28" s="16">
        <f t="shared" si="295"/>
        <v>1463</v>
      </c>
      <c r="EK28" s="16">
        <f t="shared" si="295"/>
        <v>1597</v>
      </c>
      <c r="EL28" s="16">
        <f t="shared" si="295"/>
        <v>1838</v>
      </c>
      <c r="EM28" s="16">
        <f t="shared" si="295"/>
        <v>1721</v>
      </c>
      <c r="EN28" s="16">
        <f t="shared" si="295"/>
        <v>1690</v>
      </c>
      <c r="EO28" s="16">
        <f t="shared" si="295"/>
        <v>1480</v>
      </c>
      <c r="EP28" s="16">
        <f t="shared" si="295"/>
        <v>1177</v>
      </c>
      <c r="EQ28" s="16">
        <f t="shared" si="295"/>
        <v>898</v>
      </c>
      <c r="ER28" s="16">
        <f t="shared" si="295"/>
        <v>384</v>
      </c>
      <c r="ES28" s="16">
        <f t="shared" si="295"/>
        <v>125</v>
      </c>
      <c r="ET28" s="16">
        <f t="shared" si="295"/>
        <v>39</v>
      </c>
      <c r="EU28" s="11">
        <f t="shared" si="289"/>
        <v>24620</v>
      </c>
      <c r="EV28" s="11">
        <f t="shared" si="282"/>
        <v>1174.8000000000002</v>
      </c>
      <c r="EW28" s="11">
        <f t="shared" si="283"/>
        <v>566</v>
      </c>
      <c r="EX28" s="11">
        <f t="shared" si="280"/>
        <v>7514</v>
      </c>
      <c r="EY28" s="11">
        <f t="shared" si="284"/>
        <v>4103</v>
      </c>
      <c r="EZ28" s="15">
        <f t="shared" si="285"/>
        <v>0.30519902518277825</v>
      </c>
      <c r="FA28" s="15">
        <f t="shared" si="286"/>
        <v>0.16665312753858652</v>
      </c>
      <c r="FB28" s="11">
        <f t="shared" si="290"/>
        <v>4950</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476</v>
      </c>
      <c r="EA29" s="9">
        <f t="shared" si="296"/>
        <v>510</v>
      </c>
      <c r="EB29" s="9">
        <f t="shared" si="296"/>
        <v>543</v>
      </c>
      <c r="EC29" s="9">
        <f t="shared" si="296"/>
        <v>430</v>
      </c>
      <c r="ED29" s="9">
        <f t="shared" si="296"/>
        <v>311</v>
      </c>
      <c r="EE29" s="9">
        <f t="shared" si="296"/>
        <v>468</v>
      </c>
      <c r="EF29" s="9">
        <f t="shared" si="296"/>
        <v>660</v>
      </c>
      <c r="EG29" s="9">
        <f t="shared" si="296"/>
        <v>832</v>
      </c>
      <c r="EH29" s="9">
        <f t="shared" si="296"/>
        <v>1024</v>
      </c>
      <c r="EI29" s="9">
        <f t="shared" si="296"/>
        <v>863</v>
      </c>
      <c r="EJ29" s="9">
        <f t="shared" si="296"/>
        <v>826</v>
      </c>
      <c r="EK29" s="9">
        <f t="shared" si="296"/>
        <v>737</v>
      </c>
      <c r="EL29" s="9">
        <f t="shared" si="296"/>
        <v>813</v>
      </c>
      <c r="EM29" s="9">
        <f t="shared" si="296"/>
        <v>907</v>
      </c>
      <c r="EN29" s="9">
        <f t="shared" si="296"/>
        <v>729</v>
      </c>
      <c r="EO29" s="9">
        <f t="shared" si="296"/>
        <v>692</v>
      </c>
      <c r="EP29" s="9">
        <f t="shared" si="296"/>
        <v>548</v>
      </c>
      <c r="EQ29" s="9">
        <f t="shared" si="296"/>
        <v>340</v>
      </c>
      <c r="ER29" s="9">
        <f t="shared" si="296"/>
        <v>168</v>
      </c>
      <c r="ES29" s="9">
        <f t="shared" si="296"/>
        <v>27</v>
      </c>
      <c r="ET29" s="9">
        <f t="shared" si="296"/>
        <v>8</v>
      </c>
      <c r="EU29" s="9">
        <f t="shared" si="289"/>
        <v>11912</v>
      </c>
      <c r="EV29" s="9">
        <f t="shared" si="282"/>
        <v>631.79999999999995</v>
      </c>
      <c r="EW29" s="9">
        <f t="shared" si="283"/>
        <v>303.2</v>
      </c>
      <c r="EX29" s="9">
        <f t="shared" si="280"/>
        <v>3419</v>
      </c>
      <c r="EY29" s="9">
        <f t="shared" si="284"/>
        <v>1783</v>
      </c>
      <c r="EZ29" s="13">
        <f t="shared" si="285"/>
        <v>0.28702149093351242</v>
      </c>
      <c r="FA29" s="13">
        <f t="shared" si="286"/>
        <v>0.14968099395567494</v>
      </c>
      <c r="FB29" s="9">
        <f t="shared" si="290"/>
        <v>2271</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474</v>
      </c>
      <c r="EA30" s="10">
        <f t="shared" si="297"/>
        <v>518</v>
      </c>
      <c r="EB30" s="10">
        <f t="shared" si="297"/>
        <v>531</v>
      </c>
      <c r="EC30" s="10">
        <f t="shared" si="297"/>
        <v>452</v>
      </c>
      <c r="ED30" s="10">
        <f t="shared" si="297"/>
        <v>388</v>
      </c>
      <c r="EE30" s="10">
        <f t="shared" si="297"/>
        <v>528</v>
      </c>
      <c r="EF30" s="10">
        <f t="shared" si="297"/>
        <v>621</v>
      </c>
      <c r="EG30" s="10">
        <f t="shared" si="297"/>
        <v>825</v>
      </c>
      <c r="EH30" s="10">
        <f t="shared" si="297"/>
        <v>947</v>
      </c>
      <c r="EI30" s="10">
        <f t="shared" si="297"/>
        <v>852</v>
      </c>
      <c r="EJ30" s="10">
        <f t="shared" si="297"/>
        <v>802</v>
      </c>
      <c r="EK30" s="10">
        <f t="shared" si="297"/>
        <v>712</v>
      </c>
      <c r="EL30" s="10">
        <f t="shared" si="297"/>
        <v>796</v>
      </c>
      <c r="EM30" s="10">
        <f t="shared" si="297"/>
        <v>895</v>
      </c>
      <c r="EN30" s="10">
        <f t="shared" si="297"/>
        <v>935</v>
      </c>
      <c r="EO30" s="10">
        <f t="shared" si="297"/>
        <v>839</v>
      </c>
      <c r="EP30" s="10">
        <f t="shared" si="297"/>
        <v>735</v>
      </c>
      <c r="EQ30" s="10">
        <f t="shared" si="297"/>
        <v>505</v>
      </c>
      <c r="ER30" s="10">
        <f t="shared" si="297"/>
        <v>340</v>
      </c>
      <c r="ES30" s="10">
        <f t="shared" si="297"/>
        <v>105</v>
      </c>
      <c r="ET30" s="10">
        <f t="shared" si="297"/>
        <v>28</v>
      </c>
      <c r="EU30" s="10">
        <f t="shared" si="289"/>
        <v>12828</v>
      </c>
      <c r="EV30" s="10">
        <f t="shared" si="282"/>
        <v>629.40000000000009</v>
      </c>
      <c r="EW30" s="10">
        <f t="shared" si="283"/>
        <v>302.8</v>
      </c>
      <c r="EX30" s="10">
        <f t="shared" si="280"/>
        <v>4382</v>
      </c>
      <c r="EY30" s="10">
        <f t="shared" si="284"/>
        <v>2552</v>
      </c>
      <c r="EZ30" s="14">
        <f t="shared" si="285"/>
        <v>0.34159650763953853</v>
      </c>
      <c r="FA30" s="14">
        <f t="shared" si="286"/>
        <v>0.19893981914561895</v>
      </c>
      <c r="FB30" s="10">
        <f t="shared" si="290"/>
        <v>2362</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950</v>
      </c>
      <c r="EA31" s="16">
        <f t="shared" ref="EA31:ET31" si="298">EA29+EA30</f>
        <v>1028</v>
      </c>
      <c r="EB31" s="16">
        <f t="shared" si="298"/>
        <v>1074</v>
      </c>
      <c r="EC31" s="16">
        <f t="shared" si="298"/>
        <v>882</v>
      </c>
      <c r="ED31" s="16">
        <f t="shared" si="298"/>
        <v>699</v>
      </c>
      <c r="EE31" s="16">
        <f t="shared" si="298"/>
        <v>996</v>
      </c>
      <c r="EF31" s="16">
        <f t="shared" si="298"/>
        <v>1281</v>
      </c>
      <c r="EG31" s="16">
        <f t="shared" si="298"/>
        <v>1657</v>
      </c>
      <c r="EH31" s="16">
        <f t="shared" si="298"/>
        <v>1971</v>
      </c>
      <c r="EI31" s="16">
        <f t="shared" si="298"/>
        <v>1715</v>
      </c>
      <c r="EJ31" s="16">
        <f t="shared" si="298"/>
        <v>1628</v>
      </c>
      <c r="EK31" s="16">
        <f t="shared" si="298"/>
        <v>1449</v>
      </c>
      <c r="EL31" s="16">
        <f t="shared" si="298"/>
        <v>1609</v>
      </c>
      <c r="EM31" s="16">
        <f t="shared" si="298"/>
        <v>1802</v>
      </c>
      <c r="EN31" s="16">
        <f t="shared" si="298"/>
        <v>1664</v>
      </c>
      <c r="EO31" s="16">
        <f t="shared" si="298"/>
        <v>1531</v>
      </c>
      <c r="EP31" s="16">
        <f t="shared" si="298"/>
        <v>1283</v>
      </c>
      <c r="EQ31" s="16">
        <f t="shared" si="298"/>
        <v>845</v>
      </c>
      <c r="ER31" s="16">
        <f t="shared" si="298"/>
        <v>508</v>
      </c>
      <c r="ES31" s="16">
        <f t="shared" si="298"/>
        <v>132</v>
      </c>
      <c r="ET31" s="16">
        <f t="shared" si="298"/>
        <v>36</v>
      </c>
      <c r="EU31" s="11">
        <f t="shared" si="289"/>
        <v>24740</v>
      </c>
      <c r="EV31" s="11">
        <f t="shared" si="282"/>
        <v>1261.1999999999998</v>
      </c>
      <c r="EW31" s="11">
        <f t="shared" si="283"/>
        <v>606</v>
      </c>
      <c r="EX31" s="11">
        <f t="shared" si="280"/>
        <v>7801</v>
      </c>
      <c r="EY31" s="11">
        <f t="shared" si="284"/>
        <v>4335</v>
      </c>
      <c r="EZ31" s="15">
        <f t="shared" si="285"/>
        <v>0.31531932093775261</v>
      </c>
      <c r="FA31" s="15">
        <f t="shared" si="286"/>
        <v>0.17522231204527081</v>
      </c>
      <c r="FB31" s="11">
        <f t="shared" si="290"/>
        <v>4633</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11019</v>
      </c>
      <c r="D4" s="17">
        <f>SUM(C41:C61)</f>
        <v>12850</v>
      </c>
      <c r="E4" s="17">
        <f>C4+D4</f>
        <v>23869</v>
      </c>
      <c r="F4" s="85"/>
      <c r="G4" s="1" t="s">
        <v>58</v>
      </c>
      <c r="H4" s="1">
        <f>B4</f>
        <v>2010</v>
      </c>
      <c r="I4" s="17">
        <f>C4</f>
        <v>11019</v>
      </c>
      <c r="J4" s="17">
        <f>D4</f>
        <v>12850</v>
      </c>
      <c r="K4" s="17">
        <f>I4+J4</f>
        <v>23869</v>
      </c>
      <c r="N4" s="1" t="s">
        <v>58</v>
      </c>
      <c r="O4" s="1">
        <f>H4</f>
        <v>2010</v>
      </c>
      <c r="P4" s="17">
        <f>I4</f>
        <v>11019</v>
      </c>
      <c r="Q4" s="17">
        <f t="shared" ref="Q4:R4" si="0">J4</f>
        <v>12850</v>
      </c>
      <c r="R4" s="17">
        <f t="shared" si="0"/>
        <v>23869</v>
      </c>
      <c r="S4" s="1"/>
      <c r="T4" s="1"/>
      <c r="U4" s="1"/>
    </row>
    <row r="5" spans="1:21" x14ac:dyDescent="0.15">
      <c r="A5" s="1" t="s">
        <v>61</v>
      </c>
      <c r="B5" s="1">
        <f>管理者入力シート!B6</f>
        <v>2015</v>
      </c>
      <c r="C5" s="17">
        <f>SUM(B65:B85)</f>
        <v>10972</v>
      </c>
      <c r="D5" s="17">
        <f>SUM(C65:C85)</f>
        <v>12796</v>
      </c>
      <c r="E5" s="17">
        <f t="shared" ref="E5" si="1">C5+D5</f>
        <v>23768</v>
      </c>
      <c r="F5" s="85"/>
      <c r="G5" s="1" t="s">
        <v>57</v>
      </c>
      <c r="H5" s="1">
        <f t="shared" ref="H5:H6" si="2">B5</f>
        <v>2015</v>
      </c>
      <c r="I5" s="17">
        <f t="shared" ref="I5" si="3">C5</f>
        <v>10972</v>
      </c>
      <c r="J5" s="17">
        <f>D5</f>
        <v>12796</v>
      </c>
      <c r="K5" s="17">
        <f t="shared" ref="K5:K10" si="4">I5+J5</f>
        <v>23768</v>
      </c>
      <c r="N5" s="1" t="s">
        <v>57</v>
      </c>
      <c r="O5" s="1">
        <f t="shared" ref="O5:O10" si="5">H5</f>
        <v>2015</v>
      </c>
      <c r="P5" s="17">
        <f t="shared" ref="P5:P10" si="6">I5</f>
        <v>10972</v>
      </c>
      <c r="Q5" s="17">
        <f t="shared" ref="Q5:Q10" si="7">J5</f>
        <v>12796</v>
      </c>
      <c r="R5" s="17">
        <f t="shared" ref="R5:R10" si="8">K5</f>
        <v>23768</v>
      </c>
      <c r="S5" s="1"/>
      <c r="T5" s="1"/>
      <c r="U5" s="1"/>
    </row>
    <row r="6" spans="1:21" x14ac:dyDescent="0.15">
      <c r="A6" s="1" t="s">
        <v>62</v>
      </c>
      <c r="B6" s="1">
        <f>管理者入力シート!B5</f>
        <v>2020</v>
      </c>
      <c r="C6" s="17">
        <f>SUM(B89:B109)</f>
        <v>11073</v>
      </c>
      <c r="D6" s="17">
        <f>SUM(C89:C109)</f>
        <v>12601</v>
      </c>
      <c r="E6" s="17">
        <f>C6+D6</f>
        <v>23674</v>
      </c>
      <c r="F6" s="85"/>
      <c r="G6" s="1" t="s">
        <v>62</v>
      </c>
      <c r="H6" s="1">
        <f t="shared" si="2"/>
        <v>2020</v>
      </c>
      <c r="I6" s="17">
        <f>C6</f>
        <v>11073</v>
      </c>
      <c r="J6" s="17">
        <f>D6</f>
        <v>12601</v>
      </c>
      <c r="K6" s="17">
        <f t="shared" si="4"/>
        <v>23674</v>
      </c>
      <c r="N6" s="1" t="s">
        <v>62</v>
      </c>
      <c r="O6" s="1">
        <f t="shared" si="5"/>
        <v>2020</v>
      </c>
      <c r="P6" s="17">
        <f t="shared" si="6"/>
        <v>11073</v>
      </c>
      <c r="Q6" s="17">
        <f t="shared" si="7"/>
        <v>12601</v>
      </c>
      <c r="R6" s="17">
        <f t="shared" si="8"/>
        <v>23674</v>
      </c>
      <c r="S6" s="1"/>
      <c r="T6" s="1"/>
      <c r="U6" s="1"/>
    </row>
    <row r="7" spans="1:21" x14ac:dyDescent="0.15">
      <c r="G7" s="1" t="s">
        <v>106</v>
      </c>
      <c r="H7" s="1">
        <f>管理者入力シート!B8</f>
        <v>2025</v>
      </c>
      <c r="I7" s="17">
        <f>SUM(H69:H89)</f>
        <v>10955</v>
      </c>
      <c r="J7" s="17">
        <f>SUM(I69:I89)</f>
        <v>12326</v>
      </c>
      <c r="K7" s="17">
        <f t="shared" si="4"/>
        <v>23281</v>
      </c>
      <c r="N7" s="1" t="s">
        <v>106</v>
      </c>
      <c r="O7" s="1">
        <f t="shared" si="5"/>
        <v>2025</v>
      </c>
      <c r="P7" s="17">
        <f t="shared" si="6"/>
        <v>10955</v>
      </c>
      <c r="Q7" s="17">
        <f t="shared" si="7"/>
        <v>12326</v>
      </c>
      <c r="R7" s="17">
        <f t="shared" si="8"/>
        <v>23281</v>
      </c>
      <c r="S7" s="236">
        <f>SUM(O69:O89)</f>
        <v>10959</v>
      </c>
      <c r="T7" s="236">
        <f>SUM(P69:P89)</f>
        <v>12331</v>
      </c>
      <c r="U7" s="236">
        <f>S7+T7</f>
        <v>23290</v>
      </c>
    </row>
    <row r="8" spans="1:21" x14ac:dyDescent="0.15">
      <c r="A8" s="69" t="s">
        <v>71</v>
      </c>
      <c r="G8" s="1" t="s">
        <v>107</v>
      </c>
      <c r="H8" s="1">
        <f>管理者入力シート!B9</f>
        <v>2030</v>
      </c>
      <c r="I8" s="17">
        <f>SUM(H93:H113)</f>
        <v>10718</v>
      </c>
      <c r="J8" s="17">
        <f>SUM(I93:I113)</f>
        <v>11955</v>
      </c>
      <c r="K8" s="17">
        <f t="shared" si="4"/>
        <v>22673</v>
      </c>
      <c r="N8" s="1" t="s">
        <v>107</v>
      </c>
      <c r="O8" s="1">
        <f t="shared" si="5"/>
        <v>2030</v>
      </c>
      <c r="P8" s="17">
        <f t="shared" si="6"/>
        <v>10718</v>
      </c>
      <c r="Q8" s="17">
        <f t="shared" si="7"/>
        <v>11955</v>
      </c>
      <c r="R8" s="17">
        <f t="shared" si="8"/>
        <v>22673</v>
      </c>
      <c r="S8" s="236">
        <f>SUM(O93:O113)</f>
        <v>10728</v>
      </c>
      <c r="T8" s="236">
        <f>SUM(P93:P113)</f>
        <v>11966</v>
      </c>
      <c r="U8" s="236">
        <f t="shared" ref="U8:U10" si="9">S8+T8</f>
        <v>22694</v>
      </c>
    </row>
    <row r="9" spans="1:21" x14ac:dyDescent="0.15">
      <c r="A9" s="2" t="s">
        <v>72</v>
      </c>
      <c r="G9" s="1" t="s">
        <v>108</v>
      </c>
      <c r="H9" s="1">
        <f>管理者入力シート!B10</f>
        <v>2035</v>
      </c>
      <c r="I9" s="17">
        <f>SUM(H117:H137)</f>
        <v>10374</v>
      </c>
      <c r="J9" s="17">
        <f>SUM(I117:I137)</f>
        <v>11484</v>
      </c>
      <c r="K9" s="17">
        <f t="shared" si="4"/>
        <v>21858</v>
      </c>
      <c r="N9" s="1" t="s">
        <v>108</v>
      </c>
      <c r="O9" s="1">
        <f t="shared" si="5"/>
        <v>2035</v>
      </c>
      <c r="P9" s="17">
        <f t="shared" si="6"/>
        <v>10374</v>
      </c>
      <c r="Q9" s="17">
        <f t="shared" si="7"/>
        <v>11484</v>
      </c>
      <c r="R9" s="17">
        <f t="shared" si="8"/>
        <v>21858</v>
      </c>
      <c r="S9" s="236">
        <f>SUM(O117:O137)</f>
        <v>10389</v>
      </c>
      <c r="T9" s="236">
        <f>SUM(P117:P137)</f>
        <v>11501</v>
      </c>
      <c r="U9" s="236">
        <f t="shared" si="9"/>
        <v>21890</v>
      </c>
    </row>
    <row r="10" spans="1:21" x14ac:dyDescent="0.15">
      <c r="A10" s="1" t="s">
        <v>58</v>
      </c>
      <c r="B10" s="1">
        <f>B4</f>
        <v>2010</v>
      </c>
      <c r="C10" s="17">
        <f>ROUND(VLOOKUP(B10&amp;"_3",管理者用人口入力シート!A:AA,26,FALSE),0)</f>
        <v>1564</v>
      </c>
      <c r="D10" s="12"/>
      <c r="E10" s="12"/>
      <c r="G10" s="1" t="s">
        <v>109</v>
      </c>
      <c r="H10" s="1">
        <f>管理者入力シート!B11</f>
        <v>2040</v>
      </c>
      <c r="I10" s="17">
        <f>SUM(H141:H161)</f>
        <v>9942</v>
      </c>
      <c r="J10" s="17">
        <f>SUM(I141:I161)</f>
        <v>10936</v>
      </c>
      <c r="K10" s="17">
        <f t="shared" si="4"/>
        <v>20878</v>
      </c>
      <c r="N10" s="1" t="s">
        <v>109</v>
      </c>
      <c r="O10" s="1">
        <f t="shared" si="5"/>
        <v>2040</v>
      </c>
      <c r="P10" s="17">
        <f t="shared" si="6"/>
        <v>9942</v>
      </c>
      <c r="Q10" s="17">
        <f t="shared" si="7"/>
        <v>10936</v>
      </c>
      <c r="R10" s="17">
        <f t="shared" si="8"/>
        <v>20878</v>
      </c>
      <c r="S10" s="236">
        <f>SUM(O141:O161)</f>
        <v>9962</v>
      </c>
      <c r="T10" s="236">
        <f>SUM(P141:P161)</f>
        <v>10962</v>
      </c>
      <c r="U10" s="236">
        <f t="shared" si="9"/>
        <v>20924</v>
      </c>
    </row>
    <row r="11" spans="1:21" x14ac:dyDescent="0.15">
      <c r="A11" s="1" t="s">
        <v>61</v>
      </c>
      <c r="B11" s="1">
        <f t="shared" ref="B11:B12" si="10">B5</f>
        <v>2015</v>
      </c>
      <c r="C11" s="17">
        <f>ROUND(VLOOKUP(B11&amp;"_3",管理者用人口入力シート!A:AA,26,FALSE),0)</f>
        <v>1316</v>
      </c>
      <c r="D11" s="12"/>
      <c r="E11" s="12"/>
      <c r="I11" s="12"/>
      <c r="J11" s="12"/>
      <c r="K11" s="12"/>
      <c r="P11" s="12"/>
    </row>
    <row r="12" spans="1:21" x14ac:dyDescent="0.15">
      <c r="A12" s="1" t="s">
        <v>62</v>
      </c>
      <c r="B12" s="1">
        <f t="shared" si="10"/>
        <v>2020</v>
      </c>
      <c r="C12" s="17">
        <f>ROUND(VLOOKUP(B12&amp;"_3",管理者用人口入力シート!A:AA,26,FALSE),0)</f>
        <v>1281</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857</v>
      </c>
      <c r="D14" s="12"/>
      <c r="E14" s="12"/>
      <c r="G14" s="1" t="s">
        <v>58</v>
      </c>
      <c r="H14" s="1">
        <f>H4</f>
        <v>2010</v>
      </c>
      <c r="I14" s="17">
        <f>C10</f>
        <v>1564</v>
      </c>
      <c r="J14" s="12"/>
      <c r="K14" s="12"/>
      <c r="N14" s="1" t="s">
        <v>58</v>
      </c>
      <c r="O14" s="1">
        <f>O4</f>
        <v>2010</v>
      </c>
      <c r="P14" s="17">
        <f>I14</f>
        <v>1564</v>
      </c>
      <c r="Q14" s="17"/>
    </row>
    <row r="15" spans="1:21" x14ac:dyDescent="0.15">
      <c r="A15" s="1" t="s">
        <v>61</v>
      </c>
      <c r="B15" s="1">
        <f t="shared" ref="B15:B16" si="11">B5</f>
        <v>2015</v>
      </c>
      <c r="C15" s="17">
        <f>ROUND(VLOOKUP(B15&amp;"_3",管理者用人口入力シート!A:AA,27,FALSE),0)</f>
        <v>760</v>
      </c>
      <c r="D15" s="12"/>
      <c r="E15" s="12"/>
      <c r="G15" s="1" t="s">
        <v>57</v>
      </c>
      <c r="H15" s="1">
        <f t="shared" ref="H15:H20" si="12">H5</f>
        <v>2015</v>
      </c>
      <c r="I15" s="17">
        <f>C11</f>
        <v>1316</v>
      </c>
      <c r="J15" s="12"/>
      <c r="K15" s="12"/>
      <c r="N15" s="1" t="s">
        <v>57</v>
      </c>
      <c r="O15" s="1">
        <f t="shared" ref="O15:O20" si="13">O5</f>
        <v>2015</v>
      </c>
      <c r="P15" s="17">
        <f t="shared" ref="P15:P20" si="14">I15</f>
        <v>1316</v>
      </c>
      <c r="Q15" s="17"/>
    </row>
    <row r="16" spans="1:21" x14ac:dyDescent="0.15">
      <c r="A16" s="1" t="s">
        <v>62</v>
      </c>
      <c r="B16" s="1">
        <f t="shared" si="11"/>
        <v>2020</v>
      </c>
      <c r="C16" s="17">
        <f>ROUND(VLOOKUP(B16&amp;"_3",管理者用人口入力シート!A:AA,27,FALSE),0)</f>
        <v>643</v>
      </c>
      <c r="D16" s="12"/>
      <c r="E16" s="12"/>
      <c r="G16" s="1" t="s">
        <v>62</v>
      </c>
      <c r="H16" s="1">
        <f t="shared" si="12"/>
        <v>2020</v>
      </c>
      <c r="I16" s="17">
        <f>C12</f>
        <v>1281</v>
      </c>
      <c r="J16" s="12"/>
      <c r="K16" s="12"/>
      <c r="N16" s="1" t="s">
        <v>62</v>
      </c>
      <c r="O16" s="1">
        <f t="shared" si="13"/>
        <v>2020</v>
      </c>
      <c r="P16" s="17">
        <f t="shared" si="14"/>
        <v>1281</v>
      </c>
      <c r="Q16" s="17"/>
    </row>
    <row r="17" spans="1:17" x14ac:dyDescent="0.15">
      <c r="G17" s="1" t="s">
        <v>106</v>
      </c>
      <c r="H17" s="1">
        <f t="shared" si="12"/>
        <v>2025</v>
      </c>
      <c r="I17" s="17">
        <f>ROUND(VLOOKUP(H17&amp;"_3",管理者用人口入力シート!BH:CM,26,FALSE),0)</f>
        <v>1264</v>
      </c>
      <c r="J17" s="12"/>
      <c r="K17" s="12"/>
      <c r="N17" s="1" t="s">
        <v>106</v>
      </c>
      <c r="O17" s="1">
        <f t="shared" si="13"/>
        <v>2025</v>
      </c>
      <c r="P17" s="17">
        <f t="shared" si="14"/>
        <v>1264</v>
      </c>
      <c r="Q17" s="17">
        <f>ROUND(VLOOKUP(H17&amp;"_3",管理者用人口入力シート!CO:DT,26,FALSE),0)</f>
        <v>1265</v>
      </c>
    </row>
    <row r="18" spans="1:17" x14ac:dyDescent="0.15">
      <c r="A18" s="69" t="s">
        <v>110</v>
      </c>
      <c r="G18" s="1" t="s">
        <v>107</v>
      </c>
      <c r="H18" s="1">
        <f t="shared" si="12"/>
        <v>2030</v>
      </c>
      <c r="I18" s="17">
        <f>ROUND(VLOOKUP(H18&amp;"_3",管理者用人口入力シート!BH:CM,26,FALSE),0)</f>
        <v>1150</v>
      </c>
      <c r="J18" s="12"/>
      <c r="K18" s="12"/>
      <c r="N18" s="1" t="s">
        <v>107</v>
      </c>
      <c r="O18" s="1">
        <f t="shared" si="13"/>
        <v>2030</v>
      </c>
      <c r="P18" s="17">
        <f t="shared" si="14"/>
        <v>1150</v>
      </c>
      <c r="Q18" s="17">
        <f>ROUND(VLOOKUP(H18&amp;"_3",管理者用人口入力シート!CO:DT,26,FALSE),0)</f>
        <v>1152</v>
      </c>
    </row>
    <row r="19" spans="1:17" x14ac:dyDescent="0.15">
      <c r="A19" s="2" t="s">
        <v>84</v>
      </c>
      <c r="G19" s="1" t="s">
        <v>108</v>
      </c>
      <c r="H19" s="1">
        <f t="shared" si="12"/>
        <v>2035</v>
      </c>
      <c r="I19" s="17">
        <f>ROUND(VLOOKUP(H19&amp;"_3",管理者用人口入力シート!BH:CM,26,FALSE),0)</f>
        <v>1028</v>
      </c>
      <c r="J19" s="12"/>
      <c r="K19" s="12"/>
      <c r="N19" s="1" t="s">
        <v>108</v>
      </c>
      <c r="O19" s="1">
        <f t="shared" si="13"/>
        <v>2035</v>
      </c>
      <c r="P19" s="17">
        <f t="shared" si="14"/>
        <v>1028</v>
      </c>
      <c r="Q19" s="17">
        <f>ROUND(VLOOKUP(H19&amp;"_3",管理者用人口入力シート!CO:DT,26,FALSE),0)</f>
        <v>1032</v>
      </c>
    </row>
    <row r="20" spans="1:17" x14ac:dyDescent="0.15">
      <c r="A20" s="1" t="s">
        <v>58</v>
      </c>
      <c r="B20" s="1">
        <f>B4</f>
        <v>2010</v>
      </c>
      <c r="C20" s="17">
        <f>SUM(B54:C61)</f>
        <v>4909</v>
      </c>
      <c r="D20" s="12"/>
      <c r="E20" s="12"/>
      <c r="G20" s="1" t="s">
        <v>109</v>
      </c>
      <c r="H20" s="1">
        <f t="shared" si="12"/>
        <v>2040</v>
      </c>
      <c r="I20" s="17">
        <f>ROUND(VLOOKUP(H20&amp;"_3",管理者用人口入力シート!BH:CM,26,FALSE),0)</f>
        <v>929</v>
      </c>
      <c r="J20" s="12"/>
      <c r="K20" s="12"/>
      <c r="N20" s="1" t="s">
        <v>109</v>
      </c>
      <c r="O20" s="1">
        <f t="shared" si="13"/>
        <v>2040</v>
      </c>
      <c r="P20" s="17">
        <f t="shared" si="14"/>
        <v>929</v>
      </c>
      <c r="Q20" s="17">
        <f>ROUND(VLOOKUP(H20&amp;"_3",管理者用人口入力シート!CO:DT,26,FALSE),0)</f>
        <v>936</v>
      </c>
    </row>
    <row r="21" spans="1:17" x14ac:dyDescent="0.15">
      <c r="A21" s="1" t="s">
        <v>61</v>
      </c>
      <c r="B21" s="1">
        <f t="shared" ref="B21:B22" si="15">B5</f>
        <v>2015</v>
      </c>
      <c r="C21" s="17">
        <f>SUM(B78:C85)</f>
        <v>5662</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6221</v>
      </c>
      <c r="D22" s="12"/>
      <c r="E22" s="12"/>
      <c r="G22" s="1" t="s">
        <v>58</v>
      </c>
      <c r="H22" s="1">
        <f>H4</f>
        <v>2010</v>
      </c>
      <c r="I22" s="17">
        <f>C14</f>
        <v>857</v>
      </c>
      <c r="J22" s="12"/>
      <c r="K22" s="12"/>
      <c r="N22" s="1" t="s">
        <v>58</v>
      </c>
      <c r="O22" s="1">
        <f>O4</f>
        <v>2010</v>
      </c>
      <c r="P22" s="17">
        <f>I22</f>
        <v>857</v>
      </c>
      <c r="Q22" s="17"/>
    </row>
    <row r="23" spans="1:17" x14ac:dyDescent="0.15">
      <c r="A23" s="2" t="s">
        <v>86</v>
      </c>
      <c r="G23" s="1" t="s">
        <v>57</v>
      </c>
      <c r="H23" s="1">
        <f t="shared" ref="H23:H28" si="16">H5</f>
        <v>2015</v>
      </c>
      <c r="I23" s="17">
        <f t="shared" ref="I23:I24" si="17">C15</f>
        <v>760</v>
      </c>
      <c r="J23" s="12"/>
      <c r="K23" s="12"/>
      <c r="N23" s="1" t="s">
        <v>57</v>
      </c>
      <c r="O23" s="1">
        <f t="shared" ref="O23:O28" si="18">O5</f>
        <v>2015</v>
      </c>
      <c r="P23" s="17">
        <f t="shared" ref="P23:P28" si="19">I23</f>
        <v>760</v>
      </c>
      <c r="Q23" s="17"/>
    </row>
    <row r="24" spans="1:17" x14ac:dyDescent="0.15">
      <c r="A24" s="1" t="s">
        <v>58</v>
      </c>
      <c r="B24" s="1">
        <f>B4</f>
        <v>2010</v>
      </c>
      <c r="C24" s="17">
        <f>SUM(B56:C61)</f>
        <v>2545</v>
      </c>
      <c r="D24" s="12"/>
      <c r="E24" s="12"/>
      <c r="G24" s="1" t="s">
        <v>62</v>
      </c>
      <c r="H24" s="1">
        <f t="shared" si="16"/>
        <v>2020</v>
      </c>
      <c r="I24" s="17">
        <f t="shared" si="17"/>
        <v>643</v>
      </c>
      <c r="J24" s="12"/>
      <c r="K24" s="12"/>
      <c r="N24" s="1" t="s">
        <v>62</v>
      </c>
      <c r="O24" s="1">
        <f t="shared" si="18"/>
        <v>2020</v>
      </c>
      <c r="P24" s="17">
        <f t="shared" si="19"/>
        <v>643</v>
      </c>
      <c r="Q24" s="17"/>
    </row>
    <row r="25" spans="1:17" x14ac:dyDescent="0.15">
      <c r="A25" s="1" t="s">
        <v>61</v>
      </c>
      <c r="B25" s="1">
        <f t="shared" ref="B25:B26" si="20">B5</f>
        <v>2015</v>
      </c>
      <c r="C25" s="17">
        <f>SUM(B80:C85)</f>
        <v>2833</v>
      </c>
      <c r="D25" s="12"/>
      <c r="E25" s="12"/>
      <c r="G25" s="1" t="s">
        <v>106</v>
      </c>
      <c r="H25" s="1">
        <f t="shared" si="16"/>
        <v>2025</v>
      </c>
      <c r="I25" s="17">
        <f>ROUND(VLOOKUP(H25&amp;"_3",管理者用人口入力シート!BH:CM,27,FALSE),0)</f>
        <v>649</v>
      </c>
      <c r="J25" s="12"/>
      <c r="K25" s="12"/>
      <c r="N25" s="1" t="s">
        <v>106</v>
      </c>
      <c r="O25" s="1">
        <f t="shared" si="18"/>
        <v>2025</v>
      </c>
      <c r="P25" s="17">
        <f t="shared" si="19"/>
        <v>649</v>
      </c>
      <c r="Q25" s="17">
        <f>ROUND(VLOOKUP(H17&amp;"_3",管理者用人口入力シート!CO:DT,27,FALSE),0)</f>
        <v>650</v>
      </c>
    </row>
    <row r="26" spans="1:17" x14ac:dyDescent="0.15">
      <c r="A26" s="1" t="s">
        <v>62</v>
      </c>
      <c r="B26" s="1">
        <f t="shared" si="20"/>
        <v>2020</v>
      </c>
      <c r="C26" s="17">
        <f>SUM(B104:C109)</f>
        <v>3087</v>
      </c>
      <c r="D26" s="12"/>
      <c r="E26" s="12"/>
      <c r="G26" s="1" t="s">
        <v>107</v>
      </c>
      <c r="H26" s="1">
        <f t="shared" si="16"/>
        <v>2030</v>
      </c>
      <c r="I26" s="17">
        <f>ROUND(VLOOKUP(H26&amp;"_3",管理者用人口入力シート!BH:CM,27,FALSE),0)</f>
        <v>624</v>
      </c>
      <c r="J26" s="12"/>
      <c r="K26" s="12"/>
      <c r="N26" s="1" t="s">
        <v>107</v>
      </c>
      <c r="O26" s="1">
        <f t="shared" si="18"/>
        <v>2030</v>
      </c>
      <c r="P26" s="17">
        <f t="shared" si="19"/>
        <v>624</v>
      </c>
      <c r="Q26" s="17">
        <f>ROUND(VLOOKUP(H18&amp;"_3",管理者用人口入力シート!CO:DT,27,FALSE),0)</f>
        <v>625</v>
      </c>
    </row>
    <row r="27" spans="1:17" x14ac:dyDescent="0.15">
      <c r="G27" s="1" t="s">
        <v>108</v>
      </c>
      <c r="H27" s="1">
        <f t="shared" si="16"/>
        <v>2035</v>
      </c>
      <c r="I27" s="17">
        <f>ROUND(VLOOKUP(H27&amp;"_3",管理者用人口入力シート!BH:CM,27,FALSE),0)</f>
        <v>566</v>
      </c>
      <c r="J27" s="12"/>
      <c r="K27" s="12"/>
      <c r="N27" s="1" t="s">
        <v>108</v>
      </c>
      <c r="O27" s="1">
        <f t="shared" si="18"/>
        <v>2035</v>
      </c>
      <c r="P27" s="17">
        <f t="shared" si="19"/>
        <v>566</v>
      </c>
      <c r="Q27" s="17">
        <f>ROUND(VLOOKUP(H19&amp;"_3",管理者用人口入力シート!CO:DT,27,FALSE),0)</f>
        <v>568</v>
      </c>
    </row>
    <row r="28" spans="1:17" x14ac:dyDescent="0.15">
      <c r="A28" s="69" t="s">
        <v>85</v>
      </c>
      <c r="G28" s="1" t="s">
        <v>109</v>
      </c>
      <c r="H28" s="1">
        <f t="shared" si="16"/>
        <v>2040</v>
      </c>
      <c r="I28" s="17">
        <f>ROUND(VLOOKUP(H28&amp;"_3",管理者用人口入力シート!BH:CM,27,FALSE),0)</f>
        <v>504</v>
      </c>
      <c r="J28" s="12"/>
      <c r="K28" s="12"/>
      <c r="N28" s="1" t="s">
        <v>109</v>
      </c>
      <c r="O28" s="1">
        <f t="shared" si="18"/>
        <v>2040</v>
      </c>
      <c r="P28" s="17">
        <f t="shared" si="19"/>
        <v>504</v>
      </c>
      <c r="Q28" s="17">
        <f>ROUND(VLOOKUP(H20&amp;"_3",管理者用人口入力シート!CO:DT,27,FALSE),0)</f>
        <v>507</v>
      </c>
    </row>
    <row r="29" spans="1:17" x14ac:dyDescent="0.15">
      <c r="A29" s="2" t="s">
        <v>84</v>
      </c>
    </row>
    <row r="30" spans="1:17" x14ac:dyDescent="0.15">
      <c r="A30" s="1" t="s">
        <v>58</v>
      </c>
      <c r="B30" s="1">
        <f>B4</f>
        <v>2010</v>
      </c>
      <c r="C30" s="38">
        <f>ROUND((SUM(B54:C61)/SUM(B41:C61)),2)</f>
        <v>0.21</v>
      </c>
      <c r="D30" s="205"/>
      <c r="E30" s="205"/>
      <c r="G30" s="69" t="s">
        <v>110</v>
      </c>
      <c r="N30" s="69" t="s">
        <v>110</v>
      </c>
    </row>
    <row r="31" spans="1:17" x14ac:dyDescent="0.15">
      <c r="A31" s="1" t="s">
        <v>61</v>
      </c>
      <c r="B31" s="1">
        <f t="shared" ref="B31:B32" si="21">B5</f>
        <v>2015</v>
      </c>
      <c r="C31" s="38">
        <f>ROUND((SUM(B78:C85)/SUM(B65:C85)),2)</f>
        <v>0.24</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0.26</v>
      </c>
      <c r="D32" s="205"/>
      <c r="E32" s="205"/>
      <c r="G32" s="1" t="s">
        <v>58</v>
      </c>
      <c r="H32" s="1">
        <f>H4</f>
        <v>2010</v>
      </c>
      <c r="I32" s="17">
        <f>C20</f>
        <v>4909</v>
      </c>
      <c r="J32" s="12"/>
      <c r="K32" s="12"/>
      <c r="N32" s="1" t="s">
        <v>58</v>
      </c>
      <c r="O32" s="1">
        <f>O4</f>
        <v>2010</v>
      </c>
      <c r="P32" s="17">
        <f>I32</f>
        <v>4909</v>
      </c>
      <c r="Q32" s="17"/>
    </row>
    <row r="33" spans="1:17" x14ac:dyDescent="0.15">
      <c r="A33" s="2" t="s">
        <v>86</v>
      </c>
      <c r="G33" s="1" t="s">
        <v>57</v>
      </c>
      <c r="H33" s="1">
        <f t="shared" ref="H33:H38" si="22">H5</f>
        <v>2015</v>
      </c>
      <c r="I33" s="17">
        <f>C21</f>
        <v>5662</v>
      </c>
      <c r="J33" s="12"/>
      <c r="K33" s="12"/>
      <c r="N33" s="1" t="s">
        <v>57</v>
      </c>
      <c r="O33" s="1">
        <f t="shared" ref="O33:O38" si="23">O5</f>
        <v>2015</v>
      </c>
      <c r="P33" s="17">
        <f t="shared" ref="P33:P38" si="24">I33</f>
        <v>5662</v>
      </c>
      <c r="Q33" s="17"/>
    </row>
    <row r="34" spans="1:17" x14ac:dyDescent="0.15">
      <c r="A34" s="1" t="s">
        <v>58</v>
      </c>
      <c r="B34" s="1">
        <f>B4</f>
        <v>2010</v>
      </c>
      <c r="C34" s="38">
        <f>ROUND((SUM(B56:C61)/SUM(B41:C61)),2)</f>
        <v>0.11</v>
      </c>
      <c r="D34" s="205"/>
      <c r="E34" s="205"/>
      <c r="G34" s="1" t="s">
        <v>62</v>
      </c>
      <c r="H34" s="1">
        <f t="shared" si="22"/>
        <v>2020</v>
      </c>
      <c r="I34" s="17">
        <f>C22</f>
        <v>6221</v>
      </c>
      <c r="J34" s="12"/>
      <c r="K34" s="12"/>
      <c r="N34" s="1" t="s">
        <v>62</v>
      </c>
      <c r="O34" s="1">
        <f t="shared" si="23"/>
        <v>2020</v>
      </c>
      <c r="P34" s="17">
        <f t="shared" si="24"/>
        <v>6221</v>
      </c>
      <c r="Q34" s="17"/>
    </row>
    <row r="35" spans="1:17" x14ac:dyDescent="0.15">
      <c r="A35" s="1" t="s">
        <v>61</v>
      </c>
      <c r="B35" s="1">
        <f t="shared" ref="B35:B36" si="25">B5</f>
        <v>2015</v>
      </c>
      <c r="C35" s="38">
        <f>ROUND((SUM(B80:C85)/SUM(B65:C85)),2)</f>
        <v>0.12</v>
      </c>
      <c r="D35" s="205"/>
      <c r="E35" s="205"/>
      <c r="G35" s="1" t="s">
        <v>106</v>
      </c>
      <c r="H35" s="1">
        <f t="shared" si="22"/>
        <v>2025</v>
      </c>
      <c r="I35" s="17">
        <f>SUM(H82:I89)</f>
        <v>6737</v>
      </c>
      <c r="J35" s="12"/>
      <c r="K35" s="12"/>
      <c r="N35" s="1" t="s">
        <v>106</v>
      </c>
      <c r="O35" s="1">
        <f t="shared" si="23"/>
        <v>2025</v>
      </c>
      <c r="P35" s="17">
        <f t="shared" si="24"/>
        <v>6737</v>
      </c>
      <c r="Q35" s="17">
        <f>SUM(O82:P89)</f>
        <v>6737</v>
      </c>
    </row>
    <row r="36" spans="1:17" x14ac:dyDescent="0.15">
      <c r="A36" s="1" t="s">
        <v>62</v>
      </c>
      <c r="B36" s="1">
        <f t="shared" si="25"/>
        <v>2020</v>
      </c>
      <c r="C36" s="38">
        <f>ROUND((SUM(B104:C109)/SUM(B89:C109)),2)</f>
        <v>0.13</v>
      </c>
      <c r="D36" s="205"/>
      <c r="E36" s="205"/>
      <c r="G36" s="1" t="s">
        <v>107</v>
      </c>
      <c r="H36" s="1">
        <f t="shared" si="22"/>
        <v>2030</v>
      </c>
      <c r="I36" s="17">
        <f>SUM(H106:I113)</f>
        <v>7199</v>
      </c>
      <c r="J36" s="12"/>
      <c r="K36" s="12"/>
      <c r="N36" s="1" t="s">
        <v>107</v>
      </c>
      <c r="O36" s="1">
        <f t="shared" si="23"/>
        <v>2030</v>
      </c>
      <c r="P36" s="17">
        <f t="shared" si="24"/>
        <v>7199</v>
      </c>
      <c r="Q36" s="17">
        <f>SUM(O106:P113)</f>
        <v>7199</v>
      </c>
    </row>
    <row r="37" spans="1:17" x14ac:dyDescent="0.15">
      <c r="G37" s="1" t="s">
        <v>108</v>
      </c>
      <c r="H37" s="1">
        <f t="shared" si="22"/>
        <v>2035</v>
      </c>
      <c r="I37" s="17">
        <f>SUM(H130:I137)</f>
        <v>7514</v>
      </c>
      <c r="J37" s="12"/>
      <c r="K37" s="12"/>
      <c r="N37" s="1" t="s">
        <v>108</v>
      </c>
      <c r="O37" s="1">
        <f t="shared" si="23"/>
        <v>2035</v>
      </c>
      <c r="P37" s="17">
        <f t="shared" si="24"/>
        <v>7514</v>
      </c>
      <c r="Q37" s="17">
        <f>SUM(O130:P137)</f>
        <v>7514</v>
      </c>
    </row>
    <row r="38" spans="1:17" x14ac:dyDescent="0.15">
      <c r="A38" s="69" t="s">
        <v>113</v>
      </c>
      <c r="G38" s="1" t="s">
        <v>109</v>
      </c>
      <c r="H38" s="1">
        <f t="shared" si="22"/>
        <v>2040</v>
      </c>
      <c r="I38" s="17">
        <f>SUM(H154:I161)</f>
        <v>7801</v>
      </c>
      <c r="J38" s="12"/>
      <c r="K38" s="12"/>
      <c r="N38" s="1" t="s">
        <v>109</v>
      </c>
      <c r="O38" s="1">
        <f t="shared" si="23"/>
        <v>2040</v>
      </c>
      <c r="P38" s="17">
        <f t="shared" si="24"/>
        <v>7801</v>
      </c>
      <c r="Q38" s="17">
        <f>SUM(O154:P161)</f>
        <v>7801</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2545</v>
      </c>
      <c r="J40" s="12"/>
      <c r="K40" s="12"/>
      <c r="N40" s="1" t="s">
        <v>58</v>
      </c>
      <c r="O40" s="1">
        <f>O4</f>
        <v>2010</v>
      </c>
      <c r="P40" s="17">
        <f>I40</f>
        <v>2545</v>
      </c>
      <c r="Q40" s="17"/>
    </row>
    <row r="41" spans="1:17" x14ac:dyDescent="0.15">
      <c r="A41" s="2" t="s">
        <v>0</v>
      </c>
      <c r="B41" s="17">
        <f>ROUND(VLOOKUP(B$39&amp;"_1",管理者用人口入力シート!A:X,D41,FALSE),0)</f>
        <v>522</v>
      </c>
      <c r="C41" s="17">
        <f>ROUND(VLOOKUP(B$39&amp;"_2",管理者用人口入力シート!A:X,D41,FALSE),0)</f>
        <v>498</v>
      </c>
      <c r="D41" s="2">
        <v>4</v>
      </c>
      <c r="G41" s="1" t="s">
        <v>57</v>
      </c>
      <c r="H41" s="1">
        <f t="shared" ref="H41:H46" si="26">H5</f>
        <v>2015</v>
      </c>
      <c r="I41" s="17">
        <f>C25</f>
        <v>2833</v>
      </c>
      <c r="J41" s="12"/>
      <c r="K41" s="12"/>
      <c r="N41" s="1" t="s">
        <v>57</v>
      </c>
      <c r="O41" s="1">
        <f t="shared" ref="O41:O46" si="27">O5</f>
        <v>2015</v>
      </c>
      <c r="P41" s="17">
        <f t="shared" ref="P41:P46" si="28">I41</f>
        <v>2833</v>
      </c>
      <c r="Q41" s="17"/>
    </row>
    <row r="42" spans="1:17" x14ac:dyDescent="0.15">
      <c r="A42" s="2" t="s">
        <v>1</v>
      </c>
      <c r="B42" s="17">
        <f>ROUND(VLOOKUP(B$39&amp;"_1",管理者用人口入力シート!A:X,D42,FALSE),0)</f>
        <v>591</v>
      </c>
      <c r="C42" s="17">
        <f>ROUND(VLOOKUP(B$39&amp;"_2",管理者用人口入力シート!A:X,D42,FALSE),0)</f>
        <v>558</v>
      </c>
      <c r="D42" s="2">
        <v>5</v>
      </c>
      <c r="G42" s="1" t="s">
        <v>62</v>
      </c>
      <c r="H42" s="1">
        <f t="shared" si="26"/>
        <v>2020</v>
      </c>
      <c r="I42" s="17">
        <f>C26</f>
        <v>3087</v>
      </c>
      <c r="J42" s="12"/>
      <c r="K42" s="12"/>
      <c r="N42" s="1" t="s">
        <v>62</v>
      </c>
      <c r="O42" s="1">
        <f t="shared" si="27"/>
        <v>2020</v>
      </c>
      <c r="P42" s="17">
        <f t="shared" si="28"/>
        <v>3087</v>
      </c>
      <c r="Q42" s="17"/>
    </row>
    <row r="43" spans="1:17" x14ac:dyDescent="0.15">
      <c r="A43" s="2" t="s">
        <v>2</v>
      </c>
      <c r="B43" s="17">
        <f>ROUND(VLOOKUP(B$39&amp;"_1",管理者用人口入力シート!A:X,D43,FALSE),0)</f>
        <v>747</v>
      </c>
      <c r="C43" s="17">
        <f>ROUND(VLOOKUP(B$39&amp;"_2",管理者用人口入力シート!A:X,D43,FALSE),0)</f>
        <v>710</v>
      </c>
      <c r="D43" s="2">
        <v>6</v>
      </c>
      <c r="G43" s="1" t="s">
        <v>106</v>
      </c>
      <c r="H43" s="1">
        <f t="shared" si="26"/>
        <v>2025</v>
      </c>
      <c r="I43" s="17">
        <f>SUM(H84:I89)</f>
        <v>3545</v>
      </c>
      <c r="J43" s="12"/>
      <c r="K43" s="12"/>
      <c r="N43" s="1" t="s">
        <v>106</v>
      </c>
      <c r="O43" s="1">
        <f t="shared" si="27"/>
        <v>2025</v>
      </c>
      <c r="P43" s="17">
        <f t="shared" si="28"/>
        <v>3545</v>
      </c>
      <c r="Q43" s="17">
        <f>SUM(O84:P89)</f>
        <v>3545</v>
      </c>
    </row>
    <row r="44" spans="1:17" x14ac:dyDescent="0.15">
      <c r="A44" s="2" t="s">
        <v>3</v>
      </c>
      <c r="B44" s="17">
        <f>ROUND(VLOOKUP(B$39&amp;"_1",管理者用人口入力シート!A:X,D44,FALSE),0)</f>
        <v>680</v>
      </c>
      <c r="C44" s="17">
        <f>ROUND(VLOOKUP(B$39&amp;"_2",管理者用人口入力シート!A:X,D44,FALSE),0)</f>
        <v>691</v>
      </c>
      <c r="D44" s="2">
        <v>7</v>
      </c>
      <c r="G44" s="1" t="s">
        <v>107</v>
      </c>
      <c r="H44" s="1">
        <f t="shared" si="26"/>
        <v>2030</v>
      </c>
      <c r="I44" s="17">
        <f>SUM(H108:I113)</f>
        <v>3814</v>
      </c>
      <c r="J44" s="12"/>
      <c r="K44" s="12"/>
      <c r="N44" s="1" t="s">
        <v>107</v>
      </c>
      <c r="O44" s="1">
        <f t="shared" si="27"/>
        <v>2030</v>
      </c>
      <c r="P44" s="17">
        <f t="shared" si="28"/>
        <v>3814</v>
      </c>
      <c r="Q44" s="17">
        <f>SUM(O108:P113)</f>
        <v>3814</v>
      </c>
    </row>
    <row r="45" spans="1:17" x14ac:dyDescent="0.15">
      <c r="A45" s="2" t="s">
        <v>4</v>
      </c>
      <c r="B45" s="17">
        <f>ROUND(VLOOKUP(B$39&amp;"_1",管理者用人口入力シート!A:X,D45,FALSE),0)</f>
        <v>475</v>
      </c>
      <c r="C45" s="17">
        <f>ROUND(VLOOKUP(B$39&amp;"_2",管理者用人口入力シート!A:X,D45,FALSE),0)</f>
        <v>587</v>
      </c>
      <c r="D45" s="2">
        <v>8</v>
      </c>
      <c r="G45" s="1" t="s">
        <v>108</v>
      </c>
      <c r="H45" s="1">
        <f t="shared" si="26"/>
        <v>2035</v>
      </c>
      <c r="I45" s="17">
        <f>SUM(H132:I137)</f>
        <v>4103</v>
      </c>
      <c r="J45" s="12"/>
      <c r="K45" s="12"/>
      <c r="N45" s="1" t="s">
        <v>108</v>
      </c>
      <c r="O45" s="1">
        <f t="shared" si="27"/>
        <v>2035</v>
      </c>
      <c r="P45" s="17">
        <f t="shared" si="28"/>
        <v>4103</v>
      </c>
      <c r="Q45" s="17">
        <f>SUM(O132:P137)</f>
        <v>4103</v>
      </c>
    </row>
    <row r="46" spans="1:17" x14ac:dyDescent="0.15">
      <c r="A46" s="2" t="s">
        <v>5</v>
      </c>
      <c r="B46" s="17">
        <f>ROUND(VLOOKUP(B$39&amp;"_1",管理者用人口入力シート!A:X,D46,FALSE),0)</f>
        <v>541</v>
      </c>
      <c r="C46" s="17">
        <f>ROUND(VLOOKUP(B$39&amp;"_2",管理者用人口入力シート!A:X,D46,FALSE),0)</f>
        <v>658</v>
      </c>
      <c r="D46" s="2">
        <v>9</v>
      </c>
      <c r="G46" s="1" t="s">
        <v>109</v>
      </c>
      <c r="H46" s="1">
        <f t="shared" si="26"/>
        <v>2040</v>
      </c>
      <c r="I46" s="17">
        <f>SUM(H156:I161)</f>
        <v>4335</v>
      </c>
      <c r="J46" s="12"/>
      <c r="K46" s="12"/>
      <c r="N46" s="1" t="s">
        <v>109</v>
      </c>
      <c r="O46" s="1">
        <f t="shared" si="27"/>
        <v>2040</v>
      </c>
      <c r="P46" s="17">
        <f t="shared" si="28"/>
        <v>4335</v>
      </c>
      <c r="Q46" s="17">
        <f>SUM(O156:P161)</f>
        <v>4335</v>
      </c>
    </row>
    <row r="47" spans="1:17" x14ac:dyDescent="0.15">
      <c r="A47" s="2" t="s">
        <v>6</v>
      </c>
      <c r="B47" s="17">
        <f>ROUND(VLOOKUP(B$39&amp;"_1",管理者用人口入力シート!A:X,D47,FALSE),0)</f>
        <v>718</v>
      </c>
      <c r="C47" s="17">
        <f>ROUND(VLOOKUP(B$39&amp;"_2",管理者用人口入力シート!A:X,D47,FALSE),0)</f>
        <v>757</v>
      </c>
      <c r="D47" s="2">
        <v>10</v>
      </c>
    </row>
    <row r="48" spans="1:17" x14ac:dyDescent="0.15">
      <c r="A48" s="2" t="s">
        <v>7</v>
      </c>
      <c r="B48" s="17">
        <f>ROUND(VLOOKUP(B$39&amp;"_1",管理者用人口入力シート!A:X,D48,FALSE),0)</f>
        <v>823</v>
      </c>
      <c r="C48" s="17">
        <f>ROUND(VLOOKUP(B$39&amp;"_2",管理者用人口入力シート!A:X,D48,FALSE),0)</f>
        <v>917</v>
      </c>
      <c r="D48" s="2">
        <v>11</v>
      </c>
      <c r="G48" s="69" t="s">
        <v>85</v>
      </c>
      <c r="N48" s="69" t="s">
        <v>85</v>
      </c>
    </row>
    <row r="49" spans="1:17" x14ac:dyDescent="0.15">
      <c r="A49" s="2" t="s">
        <v>8</v>
      </c>
      <c r="B49" s="17">
        <f>ROUND(VLOOKUP(B$39&amp;"_1",管理者用人口入力シート!A:X,D49,FALSE),0)</f>
        <v>756</v>
      </c>
      <c r="C49" s="17">
        <f>ROUND(VLOOKUP(B$39&amp;"_2",管理者用人口入力シート!A:X,D49,FALSE),0)</f>
        <v>961</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856</v>
      </c>
      <c r="C50" s="17">
        <f>ROUND(VLOOKUP(B$39&amp;"_2",管理者用人口入力シート!A:X,D50,FALSE),0)</f>
        <v>934</v>
      </c>
      <c r="D50" s="2">
        <v>13</v>
      </c>
      <c r="G50" s="1" t="s">
        <v>58</v>
      </c>
      <c r="H50" s="1">
        <f>H4</f>
        <v>2010</v>
      </c>
      <c r="I50" s="38">
        <f>C30</f>
        <v>0.21</v>
      </c>
      <c r="J50" s="205"/>
      <c r="K50" s="205"/>
      <c r="N50" s="1" t="s">
        <v>58</v>
      </c>
      <c r="O50" s="1">
        <f>O4</f>
        <v>2010</v>
      </c>
      <c r="P50" s="38">
        <f t="shared" ref="P50:P56" si="29">I50</f>
        <v>0.21</v>
      </c>
      <c r="Q50" s="1"/>
    </row>
    <row r="51" spans="1:17" x14ac:dyDescent="0.15">
      <c r="A51" s="2" t="s">
        <v>10</v>
      </c>
      <c r="B51" s="17">
        <f>ROUND(VLOOKUP(B$39&amp;"_1",管理者用人口入力シート!A:X,D51,FALSE),0)</f>
        <v>814</v>
      </c>
      <c r="C51" s="17">
        <f>ROUND(VLOOKUP(B$39&amp;"_2",管理者用人口入力シート!A:X,D51,FALSE),0)</f>
        <v>892</v>
      </c>
      <c r="D51" s="2">
        <v>14</v>
      </c>
      <c r="G51" s="1" t="s">
        <v>57</v>
      </c>
      <c r="H51" s="1">
        <f t="shared" ref="H51:H56" si="30">H5</f>
        <v>2015</v>
      </c>
      <c r="I51" s="38">
        <f t="shared" ref="I51:I52" si="31">C31</f>
        <v>0.24</v>
      </c>
      <c r="J51" s="205"/>
      <c r="K51" s="205"/>
      <c r="N51" s="1" t="s">
        <v>57</v>
      </c>
      <c r="O51" s="1">
        <f t="shared" ref="O51:O56" si="32">O5</f>
        <v>2015</v>
      </c>
      <c r="P51" s="38">
        <f t="shared" si="29"/>
        <v>0.24</v>
      </c>
      <c r="Q51" s="1"/>
    </row>
    <row r="52" spans="1:17" x14ac:dyDescent="0.15">
      <c r="A52" s="2" t="s">
        <v>11</v>
      </c>
      <c r="B52" s="17">
        <f>ROUND(VLOOKUP(B$39&amp;"_1",管理者用人口入力シート!A:X,D52,FALSE),0)</f>
        <v>756</v>
      </c>
      <c r="C52" s="17">
        <f>ROUND(VLOOKUP(B$39&amp;"_2",管理者用人口入力シート!A:X,D52,FALSE),0)</f>
        <v>843</v>
      </c>
      <c r="D52" s="2">
        <v>15</v>
      </c>
      <c r="G52" s="1" t="s">
        <v>62</v>
      </c>
      <c r="H52" s="1">
        <f t="shared" si="30"/>
        <v>2020</v>
      </c>
      <c r="I52" s="38">
        <f t="shared" si="31"/>
        <v>0.26</v>
      </c>
      <c r="J52" s="205"/>
      <c r="K52" s="205"/>
      <c r="N52" s="1" t="s">
        <v>62</v>
      </c>
      <c r="O52" s="1">
        <f t="shared" si="32"/>
        <v>2020</v>
      </c>
      <c r="P52" s="38">
        <f t="shared" si="29"/>
        <v>0.26</v>
      </c>
      <c r="Q52" s="1"/>
    </row>
    <row r="53" spans="1:17" x14ac:dyDescent="0.15">
      <c r="A53" s="2" t="s">
        <v>12</v>
      </c>
      <c r="B53" s="17">
        <f>ROUND(VLOOKUP(B$39&amp;"_1",管理者用人口入力シート!A:X,D53,FALSE),0)</f>
        <v>785</v>
      </c>
      <c r="C53" s="17">
        <f>ROUND(VLOOKUP(B$39&amp;"_2",管理者用人口入力シート!A:X,D53,FALSE),0)</f>
        <v>890</v>
      </c>
      <c r="D53" s="2">
        <v>16</v>
      </c>
      <c r="G53" s="1" t="s">
        <v>106</v>
      </c>
      <c r="H53" s="1">
        <f t="shared" si="30"/>
        <v>2025</v>
      </c>
      <c r="I53" s="38">
        <f>ROUND((SUM(H82:I89)/SUM(H69:I89)),2)</f>
        <v>0.28999999999999998</v>
      </c>
      <c r="J53" s="205"/>
      <c r="K53" s="205"/>
      <c r="L53" s="70"/>
      <c r="M53" s="70"/>
      <c r="N53" s="1" t="s">
        <v>106</v>
      </c>
      <c r="O53" s="1">
        <f t="shared" si="32"/>
        <v>2025</v>
      </c>
      <c r="P53" s="38">
        <f t="shared" si="29"/>
        <v>0.28999999999999998</v>
      </c>
      <c r="Q53" s="38">
        <f>ROUND((SUM(O82:P89)/SUM(O69:P89)),2)</f>
        <v>0.28999999999999998</v>
      </c>
    </row>
    <row r="54" spans="1:17" x14ac:dyDescent="0.15">
      <c r="A54" s="2" t="s">
        <v>13</v>
      </c>
      <c r="B54" s="17">
        <f>ROUND(VLOOKUP(B$39&amp;"_1",管理者用人口入力シート!A:X,D54,FALSE),0)</f>
        <v>567</v>
      </c>
      <c r="C54" s="17">
        <f>ROUND(VLOOKUP(B$39&amp;"_2",管理者用人口入力シート!A:X,D54,FALSE),0)</f>
        <v>663</v>
      </c>
      <c r="D54" s="2">
        <v>17</v>
      </c>
      <c r="G54" s="1" t="s">
        <v>107</v>
      </c>
      <c r="H54" s="1">
        <f t="shared" si="30"/>
        <v>2030</v>
      </c>
      <c r="I54" s="38">
        <f>ROUND((SUM(H106:I113)/SUM(H93:I113)),2)</f>
        <v>0.32</v>
      </c>
      <c r="J54" s="205"/>
      <c r="K54" s="205"/>
      <c r="N54" s="1" t="s">
        <v>107</v>
      </c>
      <c r="O54" s="1">
        <f t="shared" si="32"/>
        <v>2030</v>
      </c>
      <c r="P54" s="38">
        <f t="shared" si="29"/>
        <v>0.32</v>
      </c>
      <c r="Q54" s="38">
        <f>ROUND((SUM(O106:P113)/SUM(O93:P113)),2)</f>
        <v>0.32</v>
      </c>
    </row>
    <row r="55" spans="1:17" x14ac:dyDescent="0.15">
      <c r="A55" s="2" t="s">
        <v>14</v>
      </c>
      <c r="B55" s="17">
        <f>ROUND(VLOOKUP(B$39&amp;"_1",管理者用人口入力シート!A:X,D55,FALSE),0)</f>
        <v>498</v>
      </c>
      <c r="C55" s="17">
        <f>ROUND(VLOOKUP(B$39&amp;"_2",管理者用人口入力シート!A:X,D55,FALSE),0)</f>
        <v>636</v>
      </c>
      <c r="D55" s="2">
        <v>18</v>
      </c>
      <c r="G55" s="1" t="s">
        <v>108</v>
      </c>
      <c r="H55" s="1">
        <f t="shared" si="30"/>
        <v>2035</v>
      </c>
      <c r="I55" s="38">
        <f>ROUND((SUM(H130:I137)/SUM(H117:I137)),2)</f>
        <v>0.34</v>
      </c>
      <c r="J55" s="205"/>
      <c r="K55" s="205"/>
      <c r="N55" s="1" t="s">
        <v>108</v>
      </c>
      <c r="O55" s="1">
        <f t="shared" si="32"/>
        <v>2035</v>
      </c>
      <c r="P55" s="38">
        <f t="shared" si="29"/>
        <v>0.34</v>
      </c>
      <c r="Q55" s="38">
        <f>ROUND((SUM(O130:P137)/SUM(O117:P137)),2)</f>
        <v>0.34</v>
      </c>
    </row>
    <row r="56" spans="1:17" x14ac:dyDescent="0.15">
      <c r="A56" s="2" t="s">
        <v>15</v>
      </c>
      <c r="B56" s="17">
        <f>ROUND(VLOOKUP(B$39&amp;"_1",管理者用人口入力シート!A:X,D56,FALSE),0)</f>
        <v>399</v>
      </c>
      <c r="C56" s="17">
        <f>ROUND(VLOOKUP(B$39&amp;"_2",管理者用人口入力シート!A:X,D56,FALSE),0)</f>
        <v>647</v>
      </c>
      <c r="D56" s="2">
        <v>19</v>
      </c>
      <c r="G56" s="1" t="s">
        <v>109</v>
      </c>
      <c r="H56" s="1">
        <f t="shared" si="30"/>
        <v>2040</v>
      </c>
      <c r="I56" s="38">
        <f>ROUND((SUM(H154:I161)/SUM(H141:I161)),2)</f>
        <v>0.37</v>
      </c>
      <c r="J56" s="205"/>
      <c r="K56" s="205"/>
      <c r="N56" s="1" t="s">
        <v>109</v>
      </c>
      <c r="O56" s="1">
        <f t="shared" si="32"/>
        <v>2040</v>
      </c>
      <c r="P56" s="38">
        <f t="shared" si="29"/>
        <v>0.37</v>
      </c>
      <c r="Q56" s="38">
        <f>ROUND((SUM(O154:P161)/SUM(O141:P161)),2)</f>
        <v>0.37</v>
      </c>
    </row>
    <row r="57" spans="1:17" x14ac:dyDescent="0.15">
      <c r="A57" s="2" t="s">
        <v>16</v>
      </c>
      <c r="B57" s="17">
        <f>ROUND(VLOOKUP(B$39&amp;"_1",管理者用人口入力シート!A:X,D57,FALSE),0)</f>
        <v>314</v>
      </c>
      <c r="C57" s="17">
        <f>ROUND(VLOOKUP(B$39&amp;"_2",管理者用人口入力シート!A:X,D57,FALSE),0)</f>
        <v>480</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132</v>
      </c>
      <c r="C58" s="17">
        <f>ROUND(VLOOKUP(B$39&amp;"_2",管理者用人口入力シート!A:X,D58,FALSE),0)</f>
        <v>310</v>
      </c>
      <c r="D58" s="2">
        <v>21</v>
      </c>
      <c r="G58" s="1" t="s">
        <v>58</v>
      </c>
      <c r="H58" s="1">
        <f>H4</f>
        <v>2010</v>
      </c>
      <c r="I58" s="38">
        <f>C34</f>
        <v>0.11</v>
      </c>
      <c r="J58" s="205"/>
      <c r="K58" s="205"/>
      <c r="N58" s="1" t="s">
        <v>58</v>
      </c>
      <c r="O58" s="1">
        <f>O4</f>
        <v>2010</v>
      </c>
      <c r="P58" s="38">
        <f t="shared" ref="P58:P64" si="33">I58</f>
        <v>0.11</v>
      </c>
      <c r="Q58" s="1"/>
    </row>
    <row r="59" spans="1:17" x14ac:dyDescent="0.15">
      <c r="A59" s="2" t="s">
        <v>18</v>
      </c>
      <c r="B59" s="17">
        <f>ROUND(VLOOKUP(B$39&amp;"_1",管理者用人口入力シート!A:X,D59,FALSE),0)</f>
        <v>33</v>
      </c>
      <c r="C59" s="17">
        <f>ROUND(VLOOKUP(B$39&amp;"_2",管理者用人口入力シート!A:X,D59,FALSE),0)</f>
        <v>158</v>
      </c>
      <c r="D59" s="2">
        <v>22</v>
      </c>
      <c r="G59" s="1" t="s">
        <v>57</v>
      </c>
      <c r="H59" s="1">
        <f t="shared" ref="H59:H64" si="34">H5</f>
        <v>2015</v>
      </c>
      <c r="I59" s="38">
        <f t="shared" ref="I59:I60" si="35">C35</f>
        <v>0.12</v>
      </c>
      <c r="J59" s="205"/>
      <c r="K59" s="205"/>
      <c r="N59" s="1" t="s">
        <v>57</v>
      </c>
      <c r="O59" s="1">
        <f t="shared" ref="O59:O64" si="36">O5</f>
        <v>2015</v>
      </c>
      <c r="P59" s="38">
        <f t="shared" si="33"/>
        <v>0.12</v>
      </c>
      <c r="Q59" s="1"/>
    </row>
    <row r="60" spans="1:17" x14ac:dyDescent="0.15">
      <c r="A60" s="2" t="s">
        <v>19</v>
      </c>
      <c r="B60" s="17">
        <f>ROUND(VLOOKUP(B$39&amp;"_1",管理者用人口入力シート!A:X,D60,FALSE),0)</f>
        <v>10</v>
      </c>
      <c r="C60" s="17">
        <f>ROUND(VLOOKUP(B$39&amp;"_2",管理者用人口入力シート!A:X,D60,FALSE),0)</f>
        <v>52</v>
      </c>
      <c r="D60" s="2">
        <v>23</v>
      </c>
      <c r="G60" s="1" t="s">
        <v>62</v>
      </c>
      <c r="H60" s="1">
        <f t="shared" si="34"/>
        <v>2020</v>
      </c>
      <c r="I60" s="38">
        <f t="shared" si="35"/>
        <v>0.13</v>
      </c>
      <c r="J60" s="205"/>
      <c r="K60" s="205"/>
      <c r="N60" s="1" t="s">
        <v>62</v>
      </c>
      <c r="O60" s="1">
        <f t="shared" si="36"/>
        <v>2020</v>
      </c>
      <c r="P60" s="38">
        <f t="shared" si="33"/>
        <v>0.13</v>
      </c>
      <c r="Q60" s="1"/>
    </row>
    <row r="61" spans="1:17" x14ac:dyDescent="0.15">
      <c r="A61" s="2" t="s">
        <v>20</v>
      </c>
      <c r="B61" s="17">
        <f>ROUND(VLOOKUP(B$39&amp;"_1",管理者用人口入力シート!A:X,D61,FALSE),0)</f>
        <v>2</v>
      </c>
      <c r="C61" s="17">
        <f>ROUND(VLOOKUP(B$39&amp;"_2",管理者用人口入力シート!A:X,D61,FALSE),0)</f>
        <v>8</v>
      </c>
      <c r="D61" s="2">
        <v>24</v>
      </c>
      <c r="G61" s="1" t="s">
        <v>106</v>
      </c>
      <c r="H61" s="1">
        <f t="shared" si="34"/>
        <v>2025</v>
      </c>
      <c r="I61" s="38">
        <f>ROUND((SUM(H84:I89)/SUM(H69:I89)),2)</f>
        <v>0.15</v>
      </c>
      <c r="J61" s="205"/>
      <c r="K61" s="205"/>
      <c r="N61" s="1" t="s">
        <v>106</v>
      </c>
      <c r="O61" s="1">
        <f t="shared" si="36"/>
        <v>2025</v>
      </c>
      <c r="P61" s="38">
        <f t="shared" si="33"/>
        <v>0.15</v>
      </c>
      <c r="Q61" s="38">
        <f>ROUND((SUM(O84:P89)/SUM(O69:P89)),2)</f>
        <v>0.15</v>
      </c>
    </row>
    <row r="62" spans="1:17" x14ac:dyDescent="0.15">
      <c r="G62" s="1" t="s">
        <v>107</v>
      </c>
      <c r="H62" s="1">
        <f t="shared" si="34"/>
        <v>2030</v>
      </c>
      <c r="I62" s="38">
        <f>ROUND((SUM(H108:I113)/SUM(H93:I113)),2)</f>
        <v>0.17</v>
      </c>
      <c r="J62" s="205"/>
      <c r="K62" s="205"/>
      <c r="N62" s="1" t="s">
        <v>107</v>
      </c>
      <c r="O62" s="1">
        <f t="shared" si="36"/>
        <v>2030</v>
      </c>
      <c r="P62" s="38">
        <f t="shared" si="33"/>
        <v>0.17</v>
      </c>
      <c r="Q62" s="38">
        <f>ROUND((SUM(O108:P113)/SUM(O93:P113)),2)</f>
        <v>0.17</v>
      </c>
    </row>
    <row r="63" spans="1:17" x14ac:dyDescent="0.15">
      <c r="A63" s="2" t="s">
        <v>384</v>
      </c>
      <c r="B63" s="316">
        <f>管理者入力シート!B6</f>
        <v>2015</v>
      </c>
      <c r="C63" s="317"/>
      <c r="D63" s="2" t="s">
        <v>114</v>
      </c>
      <c r="G63" s="1" t="s">
        <v>108</v>
      </c>
      <c r="H63" s="1">
        <f t="shared" si="34"/>
        <v>2035</v>
      </c>
      <c r="I63" s="38">
        <f>ROUND((SUM(H132:I137)/SUM(H117:I137)),2)</f>
        <v>0.19</v>
      </c>
      <c r="J63" s="205"/>
      <c r="K63" s="205"/>
      <c r="N63" s="1" t="s">
        <v>108</v>
      </c>
      <c r="O63" s="1">
        <f t="shared" si="36"/>
        <v>2035</v>
      </c>
      <c r="P63" s="38">
        <f t="shared" si="33"/>
        <v>0.19</v>
      </c>
      <c r="Q63" s="38">
        <f>ROUND((SUM(O132:P137)/SUM(O117:P137)),2)</f>
        <v>0.19</v>
      </c>
    </row>
    <row r="64" spans="1:17" x14ac:dyDescent="0.15">
      <c r="A64" s="2" t="s">
        <v>115</v>
      </c>
      <c r="B64" s="18" t="s">
        <v>21</v>
      </c>
      <c r="C64" s="18" t="s">
        <v>22</v>
      </c>
      <c r="G64" s="1" t="s">
        <v>109</v>
      </c>
      <c r="H64" s="1">
        <f t="shared" si="34"/>
        <v>2040</v>
      </c>
      <c r="I64" s="38">
        <f>ROUND((SUM(H156:I161)/SUM(H141:I161)),2)</f>
        <v>0.21</v>
      </c>
      <c r="J64" s="205"/>
      <c r="K64" s="205"/>
      <c r="N64" s="1" t="s">
        <v>109</v>
      </c>
      <c r="O64" s="1">
        <f t="shared" si="36"/>
        <v>2040</v>
      </c>
      <c r="P64" s="38">
        <f t="shared" si="33"/>
        <v>0.21</v>
      </c>
      <c r="Q64" s="38">
        <f>ROUND((SUM(O156:P161)/SUM(O141:P161)),2)</f>
        <v>0.21</v>
      </c>
    </row>
    <row r="65" spans="1:21" x14ac:dyDescent="0.15">
      <c r="A65" s="2" t="s">
        <v>0</v>
      </c>
      <c r="B65" s="17">
        <f>ROUND(VLOOKUP(B$63&amp;"_1",管理者用人口入力シート!A:X,D65,FALSE),0)</f>
        <v>499</v>
      </c>
      <c r="C65" s="17">
        <f>ROUND(VLOOKUP(B$63&amp;"_2",管理者用人口入力シート!A:X,D65,FALSE),0)</f>
        <v>522</v>
      </c>
      <c r="D65" s="2">
        <v>4</v>
      </c>
    </row>
    <row r="66" spans="1:21" x14ac:dyDescent="0.15">
      <c r="A66" s="2" t="s">
        <v>1</v>
      </c>
      <c r="B66" s="17">
        <f>ROUND(VLOOKUP(B$63&amp;"_1",管理者用人口入力シート!A:X,D66,FALSE),0)</f>
        <v>506</v>
      </c>
      <c r="C66" s="17">
        <f>ROUND(VLOOKUP(B$63&amp;"_2",管理者用人口入力シート!A:X,D66,FALSE),0)</f>
        <v>501</v>
      </c>
      <c r="D66" s="2">
        <v>5</v>
      </c>
      <c r="G66" s="69" t="s">
        <v>113</v>
      </c>
      <c r="N66" s="69" t="s">
        <v>113</v>
      </c>
    </row>
    <row r="67" spans="1:21" x14ac:dyDescent="0.15">
      <c r="A67" s="2" t="s">
        <v>2</v>
      </c>
      <c r="B67" s="17">
        <f>ROUND(VLOOKUP(B$63&amp;"_1",管理者用人口入力シート!A:X,D67,FALSE),0)</f>
        <v>597</v>
      </c>
      <c r="C67" s="17">
        <f>ROUND(VLOOKUP(B$63&amp;"_2",管理者用人口入力シート!A:X,D67,FALSE),0)</f>
        <v>588</v>
      </c>
      <c r="D67" s="2">
        <v>6</v>
      </c>
      <c r="G67" s="2" t="s">
        <v>106</v>
      </c>
      <c r="H67" s="316">
        <f>管理者入力シート!B8</f>
        <v>2025</v>
      </c>
      <c r="I67" s="317"/>
      <c r="J67" s="2" t="s">
        <v>114</v>
      </c>
      <c r="K67" s="209"/>
      <c r="O67" s="316">
        <f>管理者入力シート!B8</f>
        <v>2025</v>
      </c>
      <c r="P67" s="317"/>
      <c r="Q67" s="2" t="s">
        <v>114</v>
      </c>
    </row>
    <row r="68" spans="1:21" x14ac:dyDescent="0.15">
      <c r="A68" s="2" t="s">
        <v>3</v>
      </c>
      <c r="B68" s="17">
        <f>ROUND(VLOOKUP(B$63&amp;"_1",管理者用人口入力シート!A:X,D68,FALSE),0)</f>
        <v>694</v>
      </c>
      <c r="C68" s="17">
        <f>ROUND(VLOOKUP(B$63&amp;"_2",管理者用人口入力シート!A:X,D68,FALSE),0)</f>
        <v>735</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439</v>
      </c>
      <c r="C69" s="17">
        <f>ROUND(VLOOKUP(B$63&amp;"_2",管理者用人口入力シート!A:X,D69,FALSE),0)</f>
        <v>586</v>
      </c>
      <c r="D69" s="2">
        <v>8</v>
      </c>
      <c r="G69" s="2" t="s">
        <v>0</v>
      </c>
      <c r="H69" s="17">
        <f>ROUND(VLOOKUP(H$67&amp;"_1",管理者用人口入力シート!BH:CE,J69,FALSE),0)</f>
        <v>437</v>
      </c>
      <c r="I69" s="17">
        <f>ROUND(VLOOKUP(H$67&amp;"_2",管理者用人口入力シート!BH:CE,J69,FALSE),0)</f>
        <v>435</v>
      </c>
      <c r="J69" s="2">
        <v>4</v>
      </c>
      <c r="K69" s="12"/>
      <c r="N69" s="2" t="s">
        <v>0</v>
      </c>
      <c r="O69" s="17">
        <f>ROUND(VLOOKUP(O$67&amp;"_1",管理者用人口入力シート!CO:DL,Q69,FALSE),0)</f>
        <v>438</v>
      </c>
      <c r="P69" s="17">
        <f>ROUND(VLOOKUP(O$67&amp;"_2",管理者用人口入力シート!CO:DL,Q69,FALSE),0)</f>
        <v>436</v>
      </c>
      <c r="Q69" s="2">
        <v>4</v>
      </c>
      <c r="U69" s="85"/>
    </row>
    <row r="70" spans="1:21" x14ac:dyDescent="0.15">
      <c r="A70" s="2" t="s">
        <v>5</v>
      </c>
      <c r="B70" s="17">
        <f>ROUND(VLOOKUP(B$63&amp;"_1",管理者用人口入力シート!A:X,D70,FALSE),0)</f>
        <v>504</v>
      </c>
      <c r="C70" s="17">
        <f>ROUND(VLOOKUP(B$63&amp;"_2",管理者用人口入力シート!A:X,D70,FALSE),0)</f>
        <v>580</v>
      </c>
      <c r="D70" s="2">
        <v>9</v>
      </c>
      <c r="G70" s="2" t="s">
        <v>1</v>
      </c>
      <c r="H70" s="17">
        <f>ROUND(VLOOKUP(H$67&amp;"_1",管理者用人口入力シート!BH:CE,J70,FALSE),0)</f>
        <v>489</v>
      </c>
      <c r="I70" s="17">
        <f>ROUND(VLOOKUP(H$67&amp;"_2",管理者用人口入力シート!BH:CE,J70,FALSE),0)</f>
        <v>497</v>
      </c>
      <c r="J70" s="2">
        <v>5</v>
      </c>
      <c r="K70" s="12"/>
      <c r="N70" s="2" t="s">
        <v>1</v>
      </c>
      <c r="O70" s="17">
        <f>ROUND(VLOOKUP(O$67&amp;"_1",管理者用人口入力シート!CO:DL,Q70,FALSE),0)</f>
        <v>489</v>
      </c>
      <c r="P70" s="17">
        <f>ROUND(VLOOKUP(O$67&amp;"_2",管理者用人口入力シート!CO:DL,Q70,FALSE),0)</f>
        <v>497</v>
      </c>
      <c r="Q70" s="2">
        <v>5</v>
      </c>
      <c r="U70" s="85"/>
    </row>
    <row r="71" spans="1:21" x14ac:dyDescent="0.15">
      <c r="A71" s="2" t="s">
        <v>6</v>
      </c>
      <c r="B71" s="17">
        <f>ROUND(VLOOKUP(B$63&amp;"_1",管理者用人口入力シート!A:X,D71,FALSE),0)</f>
        <v>604</v>
      </c>
      <c r="C71" s="17">
        <f>ROUND(VLOOKUP(B$63&amp;"_2",管理者用人口入力シート!A:X,D71,FALSE),0)</f>
        <v>666</v>
      </c>
      <c r="D71" s="2">
        <v>10</v>
      </c>
      <c r="G71" s="2" t="s">
        <v>2</v>
      </c>
      <c r="H71" s="17">
        <f>ROUND(VLOOKUP(H$67&amp;"_1",管理者用人口入力シート!BH:CE,J71,FALSE),0)</f>
        <v>558</v>
      </c>
      <c r="I71" s="17">
        <f>ROUND(VLOOKUP(H$67&amp;"_2",管理者用人口入力シート!BH:CE,J71,FALSE),0)</f>
        <v>562</v>
      </c>
      <c r="J71" s="2">
        <v>6</v>
      </c>
      <c r="K71" s="12"/>
      <c r="N71" s="2" t="s">
        <v>2</v>
      </c>
      <c r="O71" s="17">
        <f>ROUND(VLOOKUP(O$67&amp;"_1",管理者用人口入力シート!CO:DL,Q71,FALSE),0)</f>
        <v>559</v>
      </c>
      <c r="P71" s="17">
        <f>ROUND(VLOOKUP(O$67&amp;"_2",管理者用人口入力シート!CO:DL,Q71,FALSE),0)</f>
        <v>563</v>
      </c>
      <c r="Q71" s="2">
        <v>6</v>
      </c>
      <c r="U71" s="85"/>
    </row>
    <row r="72" spans="1:21" x14ac:dyDescent="0.15">
      <c r="A72" s="2" t="s">
        <v>7</v>
      </c>
      <c r="B72" s="17">
        <f>ROUND(VLOOKUP(B$63&amp;"_1",管理者用人口入力シート!A:X,D72,FALSE),0)</f>
        <v>716</v>
      </c>
      <c r="C72" s="17">
        <f>ROUND(VLOOKUP(B$63&amp;"_2",管理者用人口入力シート!A:X,D72,FALSE),0)</f>
        <v>795</v>
      </c>
      <c r="D72" s="2">
        <v>11</v>
      </c>
      <c r="G72" s="2" t="s">
        <v>3</v>
      </c>
      <c r="H72" s="17">
        <f>ROUND(VLOOKUP(H$67&amp;"_1",管理者用人口入力シート!BH:CE,J72,FALSE),0)</f>
        <v>518</v>
      </c>
      <c r="I72" s="17">
        <f>ROUND(VLOOKUP(H$67&amp;"_2",管理者用人口入力シート!BH:CE,J72,FALSE),0)</f>
        <v>489</v>
      </c>
      <c r="J72" s="2">
        <v>7</v>
      </c>
      <c r="K72" s="12"/>
      <c r="N72" s="2" t="s">
        <v>3</v>
      </c>
      <c r="O72" s="17">
        <f>ROUND(VLOOKUP(O$67&amp;"_1",管理者用人口入力シート!CO:DL,Q72,FALSE),0)</f>
        <v>518</v>
      </c>
      <c r="P72" s="17">
        <f>ROUND(VLOOKUP(O$67&amp;"_2",管理者用人口入力シート!CO:DL,Q72,FALSE),0)</f>
        <v>489</v>
      </c>
      <c r="Q72" s="2">
        <v>7</v>
      </c>
      <c r="U72" s="85"/>
    </row>
    <row r="73" spans="1:21" x14ac:dyDescent="0.15">
      <c r="A73" s="2" t="s">
        <v>8</v>
      </c>
      <c r="B73" s="17">
        <f>ROUND(VLOOKUP(B$63&amp;"_1",管理者用人口入力シート!A:X,D73,FALSE),0)</f>
        <v>873</v>
      </c>
      <c r="C73" s="17">
        <f>ROUND(VLOOKUP(B$63&amp;"_2",管理者用人口入力シート!A:X,D73,FALSE),0)</f>
        <v>934</v>
      </c>
      <c r="D73" s="2">
        <v>12</v>
      </c>
      <c r="G73" s="2" t="s">
        <v>4</v>
      </c>
      <c r="H73" s="17">
        <f>ROUND(VLOOKUP(H$67&amp;"_1",管理者用人口入力シート!BH:CE,J73,FALSE),0)</f>
        <v>354</v>
      </c>
      <c r="I73" s="17">
        <f>ROUND(VLOOKUP(H$67&amp;"_2",管理者用人口入力シート!BH:CE,J73,FALSE),0)</f>
        <v>428</v>
      </c>
      <c r="J73" s="2">
        <v>8</v>
      </c>
      <c r="K73" s="12"/>
      <c r="N73" s="2" t="s">
        <v>4</v>
      </c>
      <c r="O73" s="17">
        <f>ROUND(VLOOKUP(O$67&amp;"_1",管理者用人口入力シート!CO:DL,Q73,FALSE),0)</f>
        <v>354</v>
      </c>
      <c r="P73" s="17">
        <f>ROUND(VLOOKUP(O$67&amp;"_2",管理者用人口入力シート!CO:DL,Q73,FALSE),0)</f>
        <v>428</v>
      </c>
      <c r="Q73" s="2">
        <v>8</v>
      </c>
      <c r="U73" s="85"/>
    </row>
    <row r="74" spans="1:21" x14ac:dyDescent="0.15">
      <c r="A74" s="2" t="s">
        <v>9</v>
      </c>
      <c r="B74" s="17">
        <f>ROUND(VLOOKUP(B$63&amp;"_1",管理者用人口入力シート!A:X,D74,FALSE),0)</f>
        <v>771</v>
      </c>
      <c r="C74" s="17">
        <f>ROUND(VLOOKUP(B$63&amp;"_2",管理者用人口入力シート!A:X,D74,FALSE),0)</f>
        <v>943</v>
      </c>
      <c r="D74" s="2">
        <v>13</v>
      </c>
      <c r="G74" s="2" t="s">
        <v>5</v>
      </c>
      <c r="H74" s="17">
        <f>ROUND(VLOOKUP(H$67&amp;"_1",管理者用人口入力シート!BH:CE,J74,FALSE),0)</f>
        <v>479</v>
      </c>
      <c r="I74" s="17">
        <f>ROUND(VLOOKUP(H$67&amp;"_2",管理者用人口入力シート!BH:CE,J74,FALSE),0)</f>
        <v>499</v>
      </c>
      <c r="J74" s="2">
        <v>9</v>
      </c>
      <c r="K74" s="12"/>
      <c r="N74" s="2" t="s">
        <v>5</v>
      </c>
      <c r="O74" s="17">
        <f>ROUND(VLOOKUP(O$67&amp;"_1",管理者用人口入力シート!CO:DL,Q74,FALSE),0)</f>
        <v>481</v>
      </c>
      <c r="P74" s="17">
        <f>ROUND(VLOOKUP(O$67&amp;"_2",管理者用人口入力シート!CO:DL,Q74,FALSE),0)</f>
        <v>501</v>
      </c>
      <c r="Q74" s="2">
        <v>9</v>
      </c>
      <c r="U74" s="85"/>
    </row>
    <row r="75" spans="1:21" x14ac:dyDescent="0.15">
      <c r="A75" s="2" t="s">
        <v>10</v>
      </c>
      <c r="B75" s="17">
        <f>ROUND(VLOOKUP(B$63&amp;"_1",管理者用人口入力シート!A:X,D75,FALSE),0)</f>
        <v>863</v>
      </c>
      <c r="C75" s="17">
        <f>ROUND(VLOOKUP(B$63&amp;"_2",管理者用人口入力シート!A:X,D75,FALSE),0)</f>
        <v>924</v>
      </c>
      <c r="D75" s="2">
        <v>14</v>
      </c>
      <c r="G75" s="2" t="s">
        <v>6</v>
      </c>
      <c r="H75" s="17">
        <f>ROUND(VLOOKUP(H$67&amp;"_1",管理者用人口入力シート!BH:CE,J75,FALSE),0)</f>
        <v>525</v>
      </c>
      <c r="I75" s="17">
        <f>ROUND(VLOOKUP(H$67&amp;"_2",管理者用人口入力シート!BH:CE,J75,FALSE),0)</f>
        <v>571</v>
      </c>
      <c r="J75" s="2">
        <v>10</v>
      </c>
      <c r="K75" s="12"/>
      <c r="N75" s="2" t="s">
        <v>6</v>
      </c>
      <c r="O75" s="17">
        <f>ROUND(VLOOKUP(O$67&amp;"_1",管理者用人口入力シート!CO:DL,Q75,FALSE),0)</f>
        <v>525</v>
      </c>
      <c r="P75" s="17">
        <f>ROUND(VLOOKUP(O$67&amp;"_2",管理者用人口入力シート!CO:DL,Q75,FALSE),0)</f>
        <v>571</v>
      </c>
      <c r="Q75" s="2">
        <v>10</v>
      </c>
      <c r="U75" s="85"/>
    </row>
    <row r="76" spans="1:21" x14ac:dyDescent="0.15">
      <c r="A76" s="2" t="s">
        <v>11</v>
      </c>
      <c r="B76" s="17">
        <f>ROUND(VLOOKUP(B$63&amp;"_1",管理者用人口入力シート!A:X,D76,FALSE),0)</f>
        <v>810</v>
      </c>
      <c r="C76" s="17">
        <f>ROUND(VLOOKUP(B$63&amp;"_2",管理者用人口入力シート!A:X,D76,FALSE),0)</f>
        <v>875</v>
      </c>
      <c r="D76" s="2">
        <v>15</v>
      </c>
      <c r="G76" s="2" t="s">
        <v>7</v>
      </c>
      <c r="H76" s="17">
        <f>ROUND(VLOOKUP(H$67&amp;"_1",管理者用人口入力シート!BH:CE,J76,FALSE),0)</f>
        <v>630</v>
      </c>
      <c r="I76" s="17">
        <f>ROUND(VLOOKUP(H$67&amp;"_2",管理者用人口入力シート!BH:CE,J76,FALSE),0)</f>
        <v>668</v>
      </c>
      <c r="J76" s="2">
        <v>11</v>
      </c>
      <c r="K76" s="12"/>
      <c r="N76" s="2" t="s">
        <v>7</v>
      </c>
      <c r="O76" s="17">
        <f>ROUND(VLOOKUP(O$67&amp;"_1",管理者用人口入力シート!CO:DL,Q76,FALSE),0)</f>
        <v>630</v>
      </c>
      <c r="P76" s="17">
        <f>ROUND(VLOOKUP(O$67&amp;"_2",管理者用人口入力シート!CO:DL,Q76,FALSE),0)</f>
        <v>668</v>
      </c>
      <c r="Q76" s="2">
        <v>11</v>
      </c>
      <c r="U76" s="85"/>
    </row>
    <row r="77" spans="1:21" x14ac:dyDescent="0.15">
      <c r="A77" s="2" t="s">
        <v>12</v>
      </c>
      <c r="B77" s="17">
        <f>ROUND(VLOOKUP(B$63&amp;"_1",管理者用人口入力シート!A:X,D77,FALSE),0)</f>
        <v>774</v>
      </c>
      <c r="C77" s="17">
        <f>ROUND(VLOOKUP(B$63&amp;"_2",管理者用人口入力シート!A:X,D77,FALSE),0)</f>
        <v>807</v>
      </c>
      <c r="D77" s="2">
        <v>16</v>
      </c>
      <c r="G77" s="2" t="s">
        <v>8</v>
      </c>
      <c r="H77" s="17">
        <f>ROUND(VLOOKUP(H$67&amp;"_1",管理者用人口入力シート!BH:CE,J77,FALSE),0)</f>
        <v>715</v>
      </c>
      <c r="I77" s="17">
        <f>ROUND(VLOOKUP(H$67&amp;"_2",管理者用人口入力シート!BH:CE,J77,FALSE),0)</f>
        <v>723</v>
      </c>
      <c r="J77" s="2">
        <v>12</v>
      </c>
      <c r="K77" s="12"/>
      <c r="N77" s="2" t="s">
        <v>8</v>
      </c>
      <c r="O77" s="17">
        <f>ROUND(VLOOKUP(O$67&amp;"_1",管理者用人口入力シート!CO:DL,Q77,FALSE),0)</f>
        <v>715</v>
      </c>
      <c r="P77" s="17">
        <f>ROUND(VLOOKUP(O$67&amp;"_2",管理者用人口入力シート!CO:DL,Q77,FALSE),0)</f>
        <v>724</v>
      </c>
      <c r="Q77" s="2">
        <v>12</v>
      </c>
      <c r="U77" s="85"/>
    </row>
    <row r="78" spans="1:21" x14ac:dyDescent="0.15">
      <c r="A78" s="2" t="s">
        <v>13</v>
      </c>
      <c r="B78" s="17">
        <f>ROUND(VLOOKUP(B$63&amp;"_1",管理者用人口入力シート!A:X,D78,FALSE),0)</f>
        <v>756</v>
      </c>
      <c r="C78" s="17">
        <f>ROUND(VLOOKUP(B$63&amp;"_2",管理者用人口入力シート!A:X,D78,FALSE),0)</f>
        <v>882</v>
      </c>
      <c r="D78" s="2">
        <v>17</v>
      </c>
      <c r="G78" s="2" t="s">
        <v>9</v>
      </c>
      <c r="H78" s="17">
        <f>ROUND(VLOOKUP(H$67&amp;"_1",管理者用人口入力シート!BH:CE,J78,FALSE),0)</f>
        <v>782</v>
      </c>
      <c r="I78" s="17">
        <f>ROUND(VLOOKUP(H$67&amp;"_2",管理者用人口入力シート!BH:CE,J78,FALSE),0)</f>
        <v>810</v>
      </c>
      <c r="J78" s="2">
        <v>13</v>
      </c>
      <c r="K78" s="12"/>
      <c r="N78" s="2" t="s">
        <v>9</v>
      </c>
      <c r="O78" s="17">
        <f>ROUND(VLOOKUP(O$67&amp;"_1",管理者用人口入力シート!CO:DL,Q78,FALSE),0)</f>
        <v>782</v>
      </c>
      <c r="P78" s="17">
        <f>ROUND(VLOOKUP(O$67&amp;"_2",管理者用人口入力シート!CO:DL,Q78,FALSE),0)</f>
        <v>810</v>
      </c>
      <c r="Q78" s="2">
        <v>13</v>
      </c>
      <c r="U78" s="85"/>
    </row>
    <row r="79" spans="1:21" x14ac:dyDescent="0.15">
      <c r="A79" s="2" t="s">
        <v>14</v>
      </c>
      <c r="B79" s="17">
        <f>ROUND(VLOOKUP(B$63&amp;"_1",管理者用人口入力シート!A:X,D79,FALSE),0)</f>
        <v>529</v>
      </c>
      <c r="C79" s="17">
        <f>ROUND(VLOOKUP(B$63&amp;"_2",管理者用人口入力シート!A:X,D79,FALSE),0)</f>
        <v>662</v>
      </c>
      <c r="D79" s="2">
        <v>18</v>
      </c>
      <c r="G79" s="2" t="s">
        <v>10</v>
      </c>
      <c r="H79" s="17">
        <f>ROUND(VLOOKUP(H$67&amp;"_1",管理者用人口入力シート!BH:CE,J79,FALSE),0)</f>
        <v>909</v>
      </c>
      <c r="I79" s="17">
        <f>ROUND(VLOOKUP(H$67&amp;"_2",管理者用人口入力シート!BH:CE,J79,FALSE),0)</f>
        <v>933</v>
      </c>
      <c r="J79" s="2">
        <v>14</v>
      </c>
      <c r="K79" s="12"/>
      <c r="N79" s="2" t="s">
        <v>10</v>
      </c>
      <c r="O79" s="17">
        <f>ROUND(VLOOKUP(O$67&amp;"_1",管理者用人口入力シート!CO:DL,Q79,FALSE),0)</f>
        <v>909</v>
      </c>
      <c r="P79" s="17">
        <f>ROUND(VLOOKUP(O$67&amp;"_2",管理者用人口入力シート!CO:DL,Q79,FALSE),0)</f>
        <v>933</v>
      </c>
      <c r="Q79" s="2">
        <v>14</v>
      </c>
      <c r="U79" s="85"/>
    </row>
    <row r="80" spans="1:21" x14ac:dyDescent="0.15">
      <c r="A80" s="2" t="s">
        <v>15</v>
      </c>
      <c r="B80" s="17">
        <f>ROUND(VLOOKUP(B$63&amp;"_1",管理者用人口入力シート!A:X,D80,FALSE),0)</f>
        <v>439</v>
      </c>
      <c r="C80" s="17">
        <f>ROUND(VLOOKUP(B$63&amp;"_2",管理者用人口入力シート!A:X,D80,FALSE),0)</f>
        <v>590</v>
      </c>
      <c r="D80" s="2">
        <v>19</v>
      </c>
      <c r="G80" s="2" t="s">
        <v>11</v>
      </c>
      <c r="H80" s="17">
        <f>ROUND(VLOOKUP(H$67&amp;"_1",管理者用人口入力シート!BH:CE,J80,FALSE),0)</f>
        <v>783</v>
      </c>
      <c r="I80" s="17">
        <f>ROUND(VLOOKUP(H$67&amp;"_2",管理者用人口入力シート!BH:CE,J80,FALSE),0)</f>
        <v>963</v>
      </c>
      <c r="J80" s="2">
        <v>15</v>
      </c>
      <c r="K80" s="12"/>
      <c r="N80" s="2" t="s">
        <v>11</v>
      </c>
      <c r="O80" s="17">
        <f>ROUND(VLOOKUP(O$67&amp;"_1",管理者用人口入力シート!CO:DL,Q80,FALSE),0)</f>
        <v>783</v>
      </c>
      <c r="P80" s="17">
        <f>ROUND(VLOOKUP(O$67&amp;"_2",管理者用人口入力シート!CO:DL,Q80,FALSE),0)</f>
        <v>963</v>
      </c>
      <c r="Q80" s="2">
        <v>15</v>
      </c>
      <c r="U80" s="85"/>
    </row>
    <row r="81" spans="1:21" x14ac:dyDescent="0.15">
      <c r="A81" s="2" t="s">
        <v>16</v>
      </c>
      <c r="B81" s="17">
        <f>ROUND(VLOOKUP(B$63&amp;"_1",管理者用人口入力シート!A:X,D81,FALSE),0)</f>
        <v>321</v>
      </c>
      <c r="C81" s="17">
        <f>ROUND(VLOOKUP(B$63&amp;"_2",管理者用人口入力シート!A:X,D81,FALSE),0)</f>
        <v>586</v>
      </c>
      <c r="D81" s="2">
        <v>20</v>
      </c>
      <c r="G81" s="2" t="s">
        <v>12</v>
      </c>
      <c r="H81" s="17">
        <f>ROUND(VLOOKUP(H$67&amp;"_1",管理者用人口入力シート!BH:CE,J81,FALSE),0)</f>
        <v>881</v>
      </c>
      <c r="I81" s="17">
        <f>ROUND(VLOOKUP(H$67&amp;"_2",管理者用人口入力シート!BH:CE,J81,FALSE),0)</f>
        <v>906</v>
      </c>
      <c r="J81" s="2">
        <v>16</v>
      </c>
      <c r="K81" s="12"/>
      <c r="N81" s="2" t="s">
        <v>12</v>
      </c>
      <c r="O81" s="17">
        <f>ROUND(VLOOKUP(O$67&amp;"_1",管理者用人口入力シート!CO:DL,Q81,FALSE),0)</f>
        <v>881</v>
      </c>
      <c r="P81" s="17">
        <f>ROUND(VLOOKUP(O$67&amp;"_2",管理者用人口入力シート!CO:DL,Q81,FALSE),0)</f>
        <v>906</v>
      </c>
      <c r="Q81" s="2">
        <v>16</v>
      </c>
      <c r="U81" s="85"/>
    </row>
    <row r="82" spans="1:21" x14ac:dyDescent="0.15">
      <c r="A82" s="2" t="s">
        <v>17</v>
      </c>
      <c r="B82" s="17">
        <f>ROUND(VLOOKUP(B$63&amp;"_1",管理者用人口入力シート!A:X,D82,FALSE),0)</f>
        <v>203</v>
      </c>
      <c r="C82" s="17">
        <f>ROUND(VLOOKUP(B$63&amp;"_2",管理者用人口入力シート!A:X,D82,FALSE),0)</f>
        <v>352</v>
      </c>
      <c r="D82" s="2">
        <v>21</v>
      </c>
      <c r="G82" s="2" t="s">
        <v>13</v>
      </c>
      <c r="H82" s="17">
        <f>ROUND(VLOOKUP(H$67&amp;"_1",管理者用人口入力シート!BH:CE,J82,FALSE),0)</f>
        <v>820</v>
      </c>
      <c r="I82" s="17">
        <f>ROUND(VLOOKUP(H$67&amp;"_2",管理者用人口入力シート!BH:CE,J82,FALSE),0)</f>
        <v>873</v>
      </c>
      <c r="J82" s="2">
        <v>17</v>
      </c>
      <c r="K82" s="12"/>
      <c r="N82" s="2" t="s">
        <v>13</v>
      </c>
      <c r="O82" s="17">
        <f>ROUND(VLOOKUP(O$67&amp;"_1",管理者用人口入力シート!CO:DL,Q82,FALSE),0)</f>
        <v>820</v>
      </c>
      <c r="P82" s="17">
        <f>ROUND(VLOOKUP(O$67&amp;"_2",管理者用人口入力シート!CO:DL,Q82,FALSE),0)</f>
        <v>873</v>
      </c>
      <c r="Q82" s="2">
        <v>17</v>
      </c>
      <c r="U82" s="85"/>
    </row>
    <row r="83" spans="1:21" x14ac:dyDescent="0.15">
      <c r="A83" s="2" t="s">
        <v>18</v>
      </c>
      <c r="B83" s="17">
        <f>ROUND(VLOOKUP(B$63&amp;"_1",管理者用人口入力シート!A:X,D83,FALSE),0)</f>
        <v>64</v>
      </c>
      <c r="C83" s="17">
        <f>ROUND(VLOOKUP(B$63&amp;"_2",管理者用人口入力シート!A:X,D83,FALSE),0)</f>
        <v>183</v>
      </c>
      <c r="D83" s="2">
        <v>22</v>
      </c>
      <c r="G83" s="2" t="s">
        <v>14</v>
      </c>
      <c r="H83" s="17">
        <f>ROUND(VLOOKUP(H$67&amp;"_1",管理者用人口入力シート!BH:CE,J83,FALSE),0)</f>
        <v>707</v>
      </c>
      <c r="I83" s="17">
        <f>ROUND(VLOOKUP(H$67&amp;"_2",管理者用人口入力シート!BH:CE,J83,FALSE),0)</f>
        <v>792</v>
      </c>
      <c r="J83" s="2">
        <v>18</v>
      </c>
      <c r="K83" s="12"/>
      <c r="N83" s="2" t="s">
        <v>14</v>
      </c>
      <c r="O83" s="17">
        <f>ROUND(VLOOKUP(O$67&amp;"_1",管理者用人口入力シート!CO:DL,Q83,FALSE),0)</f>
        <v>707</v>
      </c>
      <c r="P83" s="17">
        <f>ROUND(VLOOKUP(O$67&amp;"_2",管理者用人口入力シート!CO:DL,Q83,FALSE),0)</f>
        <v>792</v>
      </c>
      <c r="Q83" s="2">
        <v>18</v>
      </c>
      <c r="U83" s="85"/>
    </row>
    <row r="84" spans="1:21" x14ac:dyDescent="0.15">
      <c r="A84" s="2" t="s">
        <v>19</v>
      </c>
      <c r="B84" s="17">
        <f>ROUND(VLOOKUP(B$63&amp;"_1",管理者用人口入力シート!A:X,D84,FALSE),0)</f>
        <v>8</v>
      </c>
      <c r="C84" s="17">
        <f>ROUND(VLOOKUP(B$63&amp;"_2",管理者用人口入力シート!A:X,D84,FALSE),0)</f>
        <v>69</v>
      </c>
      <c r="D84" s="2">
        <v>23</v>
      </c>
      <c r="G84" s="2" t="s">
        <v>15</v>
      </c>
      <c r="H84" s="17">
        <f>ROUND(VLOOKUP(H$67&amp;"_1",管理者用人口入力シート!BH:CE,J84,FALSE),0)</f>
        <v>605</v>
      </c>
      <c r="I84" s="17">
        <f>ROUND(VLOOKUP(H$67&amp;"_2",管理者用人口入力シート!BH:CE,J84,FALSE),0)</f>
        <v>829</v>
      </c>
      <c r="J84" s="2">
        <v>19</v>
      </c>
      <c r="K84" s="12"/>
      <c r="N84" s="2" t="s">
        <v>15</v>
      </c>
      <c r="O84" s="17">
        <f>ROUND(VLOOKUP(O$67&amp;"_1",管理者用人口入力シート!CO:DL,Q84,FALSE),0)</f>
        <v>605</v>
      </c>
      <c r="P84" s="17">
        <f>ROUND(VLOOKUP(O$67&amp;"_2",管理者用人口入力シート!CO:DL,Q84,FALSE),0)</f>
        <v>829</v>
      </c>
      <c r="Q84" s="2">
        <v>19</v>
      </c>
      <c r="U84" s="85"/>
    </row>
    <row r="85" spans="1:21" x14ac:dyDescent="0.15">
      <c r="A85" s="2" t="s">
        <v>20</v>
      </c>
      <c r="B85" s="17">
        <f>ROUND(VLOOKUP(B$63&amp;"_1",管理者用人口入力シート!A:X,D85,FALSE),0)</f>
        <v>2</v>
      </c>
      <c r="C85" s="17">
        <f>ROUND(VLOOKUP(B$63&amp;"_2",管理者用人口入力シート!A:X,D85,FALSE),0)</f>
        <v>16</v>
      </c>
      <c r="D85" s="2">
        <v>24</v>
      </c>
      <c r="G85" s="2" t="s">
        <v>16</v>
      </c>
      <c r="H85" s="17">
        <f>ROUND(VLOOKUP(H$67&amp;"_1",管理者用人口入力シート!BH:CE,J85,FALSE),0)</f>
        <v>376</v>
      </c>
      <c r="I85" s="17">
        <f>ROUND(VLOOKUP(H$67&amp;"_2",管理者用人口入力シート!BH:CE,J85,FALSE),0)</f>
        <v>564</v>
      </c>
      <c r="J85" s="2">
        <v>20</v>
      </c>
      <c r="K85" s="12"/>
      <c r="N85" s="2" t="s">
        <v>16</v>
      </c>
      <c r="O85" s="17">
        <f>ROUND(VLOOKUP(O$67&amp;"_1",管理者用人口入力シート!CO:DL,Q85,FALSE),0)</f>
        <v>376</v>
      </c>
      <c r="P85" s="17">
        <f>ROUND(VLOOKUP(O$67&amp;"_2",管理者用人口入力シート!CO:DL,Q85,FALSE),0)</f>
        <v>564</v>
      </c>
      <c r="Q85" s="2">
        <v>20</v>
      </c>
      <c r="U85" s="85"/>
    </row>
    <row r="86" spans="1:21" x14ac:dyDescent="0.15">
      <c r="G86" s="2" t="s">
        <v>17</v>
      </c>
      <c r="H86" s="17">
        <f>ROUND(VLOOKUP(H$67&amp;"_1",管理者用人口入力シート!BH:CE,J86,FALSE),0)</f>
        <v>250</v>
      </c>
      <c r="I86" s="17">
        <f>ROUND(VLOOKUP(H$67&amp;"_2",管理者用人口入力シート!BH:CE,J86,FALSE),0)</f>
        <v>398</v>
      </c>
      <c r="J86" s="2">
        <v>21</v>
      </c>
      <c r="K86" s="12"/>
      <c r="N86" s="2" t="s">
        <v>17</v>
      </c>
      <c r="O86" s="17">
        <f>ROUND(VLOOKUP(O$67&amp;"_1",管理者用人口入力シート!CO:DL,Q86,FALSE),0)</f>
        <v>250</v>
      </c>
      <c r="P86" s="17">
        <f>ROUND(VLOOKUP(O$67&amp;"_2",管理者用人口入力シート!CO:DL,Q86,FALSE),0)</f>
        <v>398</v>
      </c>
      <c r="Q86" s="2">
        <v>21</v>
      </c>
      <c r="U86" s="85"/>
    </row>
    <row r="87" spans="1:21" x14ac:dyDescent="0.15">
      <c r="A87" s="2" t="s">
        <v>62</v>
      </c>
      <c r="B87" s="316">
        <f>管理者入力シート!B5</f>
        <v>2020</v>
      </c>
      <c r="C87" s="317"/>
      <c r="D87" s="2" t="s">
        <v>114</v>
      </c>
      <c r="G87" s="2" t="s">
        <v>18</v>
      </c>
      <c r="H87" s="17">
        <f>ROUND(VLOOKUP(H$67&amp;"_1",管理者用人口入力シート!BH:CE,J87,FALSE),0)</f>
        <v>111</v>
      </c>
      <c r="I87" s="17">
        <f>ROUND(VLOOKUP(H$67&amp;"_2",管理者用人口入力シート!BH:CE,J87,FALSE),0)</f>
        <v>277</v>
      </c>
      <c r="J87" s="2">
        <v>22</v>
      </c>
      <c r="K87" s="12"/>
      <c r="N87" s="2" t="s">
        <v>18</v>
      </c>
      <c r="O87" s="17">
        <f>ROUND(VLOOKUP(O$67&amp;"_1",管理者用人口入力シート!CO:DL,Q87,FALSE),0)</f>
        <v>111</v>
      </c>
      <c r="P87" s="17">
        <f>ROUND(VLOOKUP(O$67&amp;"_2",管理者用人口入力シート!CO:DL,Q87,FALSE),0)</f>
        <v>277</v>
      </c>
      <c r="Q87" s="2">
        <v>22</v>
      </c>
      <c r="U87" s="85"/>
    </row>
    <row r="88" spans="1:21" x14ac:dyDescent="0.15">
      <c r="A88" s="2" t="s">
        <v>115</v>
      </c>
      <c r="B88" s="18" t="s">
        <v>21</v>
      </c>
      <c r="C88" s="18" t="s">
        <v>22</v>
      </c>
      <c r="G88" s="2" t="s">
        <v>19</v>
      </c>
      <c r="H88" s="17">
        <f>ROUND(VLOOKUP(H$67&amp;"_1",管理者用人口入力シート!BH:CE,J88,FALSE),0)</f>
        <v>23</v>
      </c>
      <c r="I88" s="17">
        <f>ROUND(VLOOKUP(H$67&amp;"_2",管理者用人口入力シート!BH:CE,J88,FALSE),0)</f>
        <v>89</v>
      </c>
      <c r="J88" s="2">
        <v>23</v>
      </c>
      <c r="K88" s="12"/>
      <c r="N88" s="2" t="s">
        <v>19</v>
      </c>
      <c r="O88" s="17">
        <f>ROUND(VLOOKUP(O$67&amp;"_1",管理者用人口入力シート!CO:DL,Q88,FALSE),0)</f>
        <v>23</v>
      </c>
      <c r="P88" s="17">
        <f>ROUND(VLOOKUP(O$67&amp;"_2",管理者用人口入力シート!CO:DL,Q88,FALSE),0)</f>
        <v>89</v>
      </c>
      <c r="Q88" s="2">
        <v>23</v>
      </c>
      <c r="U88" s="85"/>
    </row>
    <row r="89" spans="1:21" x14ac:dyDescent="0.15">
      <c r="A89" s="2" t="s">
        <v>0</v>
      </c>
      <c r="B89" s="17">
        <f>ROUND(VLOOKUP(B$87&amp;"_1",管理者用人口入力シート!A:X,D89,FALSE),0)</f>
        <v>484</v>
      </c>
      <c r="C89" s="17">
        <f>ROUND(VLOOKUP(B$87&amp;"_2",管理者用人口入力シート!A:X,D89,FALSE),0)</f>
        <v>482</v>
      </c>
      <c r="D89" s="2">
        <v>4</v>
      </c>
      <c r="G89" s="2" t="s">
        <v>20</v>
      </c>
      <c r="H89" s="17">
        <f>ROUND(VLOOKUP(H$67&amp;"_1",管理者用人口入力シート!BH:CE,J89,FALSE),0)</f>
        <v>3</v>
      </c>
      <c r="I89" s="17">
        <f>ROUND(VLOOKUP(H$67&amp;"_2",管理者用人口入力シート!BH:CE,J89,FALSE),0)</f>
        <v>20</v>
      </c>
      <c r="J89" s="2">
        <v>24</v>
      </c>
      <c r="K89" s="12"/>
      <c r="N89" s="2" t="s">
        <v>20</v>
      </c>
      <c r="O89" s="17">
        <f>ROUND(VLOOKUP(O$67&amp;"_1",管理者用人口入力シート!CO:DL,Q89,FALSE),0)</f>
        <v>3</v>
      </c>
      <c r="P89" s="17">
        <f>ROUND(VLOOKUP(O$67&amp;"_2",管理者用人口入力シート!CO:DL,Q89,FALSE),0)</f>
        <v>20</v>
      </c>
      <c r="Q89" s="2">
        <v>24</v>
      </c>
      <c r="U89" s="85"/>
    </row>
    <row r="90" spans="1:21" x14ac:dyDescent="0.15">
      <c r="A90" s="2" t="s">
        <v>1</v>
      </c>
      <c r="B90" s="17">
        <f>ROUND(VLOOKUP(B$87&amp;"_1",管理者用人口入力シート!A:X,D90,FALSE),0)</f>
        <v>526</v>
      </c>
      <c r="C90" s="17">
        <f>ROUND(VLOOKUP(B$87&amp;"_2",管理者用人口入力シート!A:X,D90,FALSE),0)</f>
        <v>550</v>
      </c>
      <c r="D90" s="2">
        <v>5</v>
      </c>
    </row>
    <row r="91" spans="1:21" x14ac:dyDescent="0.15">
      <c r="A91" s="2" t="s">
        <v>2</v>
      </c>
      <c r="B91" s="17">
        <f>ROUND(VLOOKUP(B$87&amp;"_1",管理者用人口入力シート!A:X,D91,FALSE),0)</f>
        <v>564</v>
      </c>
      <c r="C91" s="17">
        <f>ROUND(VLOOKUP(B$87&amp;"_2",管理者用人口入力シート!A:X,D91,FALSE),0)</f>
        <v>496</v>
      </c>
      <c r="D91" s="2">
        <v>6</v>
      </c>
      <c r="G91" s="2" t="s">
        <v>107</v>
      </c>
      <c r="H91" s="316">
        <f>管理者入力シート!B9</f>
        <v>2030</v>
      </c>
      <c r="I91" s="317"/>
      <c r="J91" s="2" t="s">
        <v>114</v>
      </c>
      <c r="K91" s="209"/>
      <c r="O91" s="316">
        <f>管理者入力シート!B9</f>
        <v>2030</v>
      </c>
      <c r="P91" s="317"/>
      <c r="Q91" s="2" t="s">
        <v>114</v>
      </c>
    </row>
    <row r="92" spans="1:21" x14ac:dyDescent="0.15">
      <c r="A92" s="2" t="s">
        <v>3</v>
      </c>
      <c r="B92" s="17">
        <f>ROUND(VLOOKUP(B$87&amp;"_1",管理者用人口入力シート!A:X,D92,FALSE),0)</f>
        <v>543</v>
      </c>
      <c r="C92" s="17">
        <f>ROUND(VLOOKUP(B$87&amp;"_2",管理者用人口入力シート!A:X,D92,FALSE),0)</f>
        <v>552</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456</v>
      </c>
      <c r="C93" s="17">
        <f>ROUND(VLOOKUP(B$87&amp;"_2",管理者用人口入力シート!A:X,D93,FALSE),0)</f>
        <v>521</v>
      </c>
      <c r="D93" s="2">
        <v>8</v>
      </c>
      <c r="G93" s="2" t="s">
        <v>0</v>
      </c>
      <c r="H93" s="17">
        <f>ROUND(VLOOKUP(H$91&amp;"_1",管理者用人口入力シート!BH:CE,J93,FALSE),0)</f>
        <v>386</v>
      </c>
      <c r="I93" s="17">
        <f>ROUND(VLOOKUP(H$91&amp;"_2",管理者用人口入力シート!BH:CE,J93,FALSE),0)</f>
        <v>385</v>
      </c>
      <c r="J93" s="2">
        <v>4</v>
      </c>
      <c r="K93" s="12"/>
      <c r="N93" s="2" t="s">
        <v>0</v>
      </c>
      <c r="O93" s="17">
        <f>ROUND(VLOOKUP(O$91&amp;"_1",管理者用人口入力シート!CO:DL,Q93,FALSE),0)</f>
        <v>388</v>
      </c>
      <c r="P93" s="17">
        <f>ROUND(VLOOKUP(O$91&amp;"_2",管理者用人口入力シート!CO:DL,Q93,FALSE),0)</f>
        <v>387</v>
      </c>
      <c r="Q93" s="2">
        <v>4</v>
      </c>
      <c r="T93" s="85"/>
    </row>
    <row r="94" spans="1:21" x14ac:dyDescent="0.15">
      <c r="A94" s="2" t="s">
        <v>5</v>
      </c>
      <c r="B94" s="17">
        <f>ROUND(VLOOKUP(B$87&amp;"_1",管理者用人口入力シート!A:X,D94,FALSE),0)</f>
        <v>456</v>
      </c>
      <c r="C94" s="17">
        <f>ROUND(VLOOKUP(B$87&amp;"_2",管理者用人口入力シート!A:X,D94,FALSE),0)</f>
        <v>544</v>
      </c>
      <c r="D94" s="2">
        <v>9</v>
      </c>
      <c r="G94" s="2" t="s">
        <v>1</v>
      </c>
      <c r="H94" s="17">
        <f>ROUND(VLOOKUP(H$91&amp;"_1",管理者用人口入力シート!BH:CE,J94,FALSE),0)</f>
        <v>441</v>
      </c>
      <c r="I94" s="17">
        <f>ROUND(VLOOKUP(H$91&amp;"_2",管理者用人口入力シート!BH:CE,J94,FALSE),0)</f>
        <v>448</v>
      </c>
      <c r="J94" s="2">
        <v>5</v>
      </c>
      <c r="K94" s="12"/>
      <c r="N94" s="2" t="s">
        <v>1</v>
      </c>
      <c r="O94" s="17">
        <f>ROUND(VLOOKUP(O$91&amp;"_1",管理者用人口入力シート!CO:DL,Q94,FALSE),0)</f>
        <v>442</v>
      </c>
      <c r="P94" s="17">
        <f>ROUND(VLOOKUP(O$91&amp;"_2",管理者用人口入力シート!CO:DL,Q94,FALSE),0)</f>
        <v>449</v>
      </c>
      <c r="Q94" s="2">
        <v>5</v>
      </c>
      <c r="T94" s="85"/>
    </row>
    <row r="95" spans="1:21" x14ac:dyDescent="0.15">
      <c r="A95" s="2" t="s">
        <v>6</v>
      </c>
      <c r="B95" s="17">
        <f>ROUND(VLOOKUP(B$87&amp;"_1",管理者用人口入力シート!A:X,D95,FALSE),0)</f>
        <v>599</v>
      </c>
      <c r="C95" s="17">
        <f>ROUND(VLOOKUP(B$87&amp;"_2",管理者用人口入力シート!A:X,D95,FALSE),0)</f>
        <v>633</v>
      </c>
      <c r="D95" s="2">
        <v>10</v>
      </c>
      <c r="G95" s="2" t="s">
        <v>2</v>
      </c>
      <c r="H95" s="17">
        <f>ROUND(VLOOKUP(H$91&amp;"_1",管理者用人口入力シート!BH:CE,J95,FALSE),0)</f>
        <v>519</v>
      </c>
      <c r="I95" s="17">
        <f>ROUND(VLOOKUP(H$91&amp;"_2",管理者用人口入力シート!BH:CE,J95,FALSE),0)</f>
        <v>508</v>
      </c>
      <c r="J95" s="2">
        <v>6</v>
      </c>
      <c r="K95" s="12"/>
      <c r="N95" s="2" t="s">
        <v>2</v>
      </c>
      <c r="O95" s="17">
        <f>ROUND(VLOOKUP(O$91&amp;"_1",管理者用人口入力シート!CO:DL,Q95,FALSE),0)</f>
        <v>520</v>
      </c>
      <c r="P95" s="17">
        <f>ROUND(VLOOKUP(O$91&amp;"_2",管理者用人口入力シート!CO:DL,Q95,FALSE),0)</f>
        <v>509</v>
      </c>
      <c r="Q95" s="2">
        <v>6</v>
      </c>
      <c r="T95" s="85"/>
    </row>
    <row r="96" spans="1:21" x14ac:dyDescent="0.15">
      <c r="A96" s="2" t="s">
        <v>7</v>
      </c>
      <c r="B96" s="17">
        <f>ROUND(VLOOKUP(B$87&amp;"_1",管理者用人口入力シート!A:X,D96,FALSE),0)</f>
        <v>672</v>
      </c>
      <c r="C96" s="17">
        <f>ROUND(VLOOKUP(B$87&amp;"_2",管理者用人口入力シート!A:X,D96,FALSE),0)</f>
        <v>705</v>
      </c>
      <c r="D96" s="2">
        <v>11</v>
      </c>
      <c r="G96" s="2" t="s">
        <v>3</v>
      </c>
      <c r="H96" s="17">
        <f>ROUND(VLOOKUP(H$91&amp;"_1",管理者用人口入力シート!BH:CE,J96,FALSE),0)</f>
        <v>513</v>
      </c>
      <c r="I96" s="17">
        <f>ROUND(VLOOKUP(H$91&amp;"_2",管理者用人口入力シート!BH:CE,J96,FALSE),0)</f>
        <v>554</v>
      </c>
      <c r="J96" s="2">
        <v>7</v>
      </c>
      <c r="K96" s="12"/>
      <c r="N96" s="2" t="s">
        <v>3</v>
      </c>
      <c r="O96" s="17">
        <f>ROUND(VLOOKUP(O$91&amp;"_1",管理者用人口入力シート!CO:DL,Q96,FALSE),0)</f>
        <v>514</v>
      </c>
      <c r="P96" s="17">
        <f>ROUND(VLOOKUP(O$91&amp;"_2",管理者用人口入力シート!CO:DL,Q96,FALSE),0)</f>
        <v>555</v>
      </c>
      <c r="Q96" s="2">
        <v>7</v>
      </c>
      <c r="T96" s="85"/>
    </row>
    <row r="97" spans="1:20" x14ac:dyDescent="0.15">
      <c r="A97" s="2" t="s">
        <v>8</v>
      </c>
      <c r="B97" s="17">
        <f>ROUND(VLOOKUP(B$87&amp;"_1",管理者用人口入力シート!A:X,D97,FALSE),0)</f>
        <v>765</v>
      </c>
      <c r="C97" s="17">
        <f>ROUND(VLOOKUP(B$87&amp;"_2",管理者用人口入力シート!A:X,D97,FALSE),0)</f>
        <v>822</v>
      </c>
      <c r="D97" s="2">
        <v>12</v>
      </c>
      <c r="G97" s="2" t="s">
        <v>4</v>
      </c>
      <c r="H97" s="17">
        <f>ROUND(VLOOKUP(H$91&amp;"_1",管理者用人口入力シート!BH:CE,J97,FALSE),0)</f>
        <v>338</v>
      </c>
      <c r="I97" s="17">
        <f>ROUND(VLOOKUP(H$91&amp;"_2",管理者用人口入力シート!BH:CE,J97,FALSE),0)</f>
        <v>379</v>
      </c>
      <c r="J97" s="2">
        <v>8</v>
      </c>
      <c r="K97" s="12"/>
      <c r="N97" s="2" t="s">
        <v>4</v>
      </c>
      <c r="O97" s="17">
        <f>ROUND(VLOOKUP(O$91&amp;"_1",管理者用人口入力シート!CO:DL,Q97,FALSE),0)</f>
        <v>338</v>
      </c>
      <c r="P97" s="17">
        <f>ROUND(VLOOKUP(O$91&amp;"_2",管理者用人口入力シート!CO:DL,Q97,FALSE),0)</f>
        <v>379</v>
      </c>
      <c r="Q97" s="2">
        <v>8</v>
      </c>
      <c r="T97" s="85"/>
    </row>
    <row r="98" spans="1:20" x14ac:dyDescent="0.15">
      <c r="A98" s="2" t="s">
        <v>9</v>
      </c>
      <c r="B98" s="17">
        <f>ROUND(VLOOKUP(B$87&amp;"_1",管理者用人口入力シート!A:X,D98,FALSE),0)</f>
        <v>895</v>
      </c>
      <c r="C98" s="17">
        <f>ROUND(VLOOKUP(B$87&amp;"_2",管理者用人口入力シート!A:X,D98,FALSE),0)</f>
        <v>923</v>
      </c>
      <c r="D98" s="2">
        <v>13</v>
      </c>
      <c r="G98" s="2" t="s">
        <v>5</v>
      </c>
      <c r="H98" s="17">
        <f>ROUND(VLOOKUP(H$91&amp;"_1",管理者用人口入力シート!BH:CE,J98,FALSE),0)</f>
        <v>371</v>
      </c>
      <c r="I98" s="17">
        <f>ROUND(VLOOKUP(H$91&amp;"_2",管理者用人口入力シート!BH:CE,J98,FALSE),0)</f>
        <v>410</v>
      </c>
      <c r="J98" s="2">
        <v>9</v>
      </c>
      <c r="K98" s="12"/>
      <c r="N98" s="2" t="s">
        <v>5</v>
      </c>
      <c r="O98" s="17">
        <f>ROUND(VLOOKUP(O$91&amp;"_1",管理者用人口入力シート!CO:DL,Q98,FALSE),0)</f>
        <v>373</v>
      </c>
      <c r="P98" s="17">
        <f>ROUND(VLOOKUP(O$91&amp;"_2",管理者用人口入力シート!CO:DL,Q98,FALSE),0)</f>
        <v>412</v>
      </c>
      <c r="Q98" s="2">
        <v>9</v>
      </c>
      <c r="T98" s="85"/>
    </row>
    <row r="99" spans="1:20" x14ac:dyDescent="0.15">
      <c r="A99" s="2" t="s">
        <v>10</v>
      </c>
      <c r="B99" s="17">
        <f>ROUND(VLOOKUP(B$87&amp;"_1",管理者用人口入力シート!A:X,D99,FALSE),0)</f>
        <v>789</v>
      </c>
      <c r="C99" s="17">
        <f>ROUND(VLOOKUP(B$87&amp;"_2",管理者用人口入力シート!A:X,D99,FALSE),0)</f>
        <v>974</v>
      </c>
      <c r="D99" s="2">
        <v>14</v>
      </c>
      <c r="G99" s="2" t="s">
        <v>6</v>
      </c>
      <c r="H99" s="17">
        <f>ROUND(VLOOKUP(H$91&amp;"_1",管理者用人口入力シート!BH:CE,J99,FALSE),0)</f>
        <v>551</v>
      </c>
      <c r="I99" s="17">
        <f>ROUND(VLOOKUP(H$91&amp;"_2",管理者用人口入力シート!BH:CE,J99,FALSE),0)</f>
        <v>524</v>
      </c>
      <c r="J99" s="2">
        <v>10</v>
      </c>
      <c r="K99" s="12"/>
      <c r="N99" s="2" t="s">
        <v>6</v>
      </c>
      <c r="O99" s="17">
        <f>ROUND(VLOOKUP(O$91&amp;"_1",管理者用人口入力シート!CO:DL,Q99,FALSE),0)</f>
        <v>554</v>
      </c>
      <c r="P99" s="17">
        <f>ROUND(VLOOKUP(O$91&amp;"_2",管理者用人口入力シート!CO:DL,Q99,FALSE),0)</f>
        <v>526</v>
      </c>
      <c r="Q99" s="2">
        <v>10</v>
      </c>
      <c r="T99" s="85"/>
    </row>
    <row r="100" spans="1:20" x14ac:dyDescent="0.15">
      <c r="A100" s="2" t="s">
        <v>11</v>
      </c>
      <c r="B100" s="17">
        <f>ROUND(VLOOKUP(B$87&amp;"_1",管理者用人口入力シート!A:X,D100,FALSE),0)</f>
        <v>854</v>
      </c>
      <c r="C100" s="17">
        <f>ROUND(VLOOKUP(B$87&amp;"_2",管理者用人口入力シート!A:X,D100,FALSE),0)</f>
        <v>921</v>
      </c>
      <c r="D100" s="2">
        <v>15</v>
      </c>
      <c r="G100" s="2" t="s">
        <v>7</v>
      </c>
      <c r="H100" s="17">
        <f>ROUND(VLOOKUP(H$91&amp;"_1",管理者用人口入力シート!BH:CE,J100,FALSE),0)</f>
        <v>553</v>
      </c>
      <c r="I100" s="17">
        <f>ROUND(VLOOKUP(H$91&amp;"_2",管理者用人口入力シート!BH:CE,J100,FALSE),0)</f>
        <v>603</v>
      </c>
      <c r="J100" s="2">
        <v>11</v>
      </c>
      <c r="K100" s="12"/>
      <c r="N100" s="2" t="s">
        <v>7</v>
      </c>
      <c r="O100" s="17">
        <f>ROUND(VLOOKUP(O$91&amp;"_1",管理者用人口入力シート!CO:DL,Q100,FALSE),0)</f>
        <v>553</v>
      </c>
      <c r="P100" s="17">
        <f>ROUND(VLOOKUP(O$91&amp;"_2",管理者用人口入力シート!CO:DL,Q100,FALSE),0)</f>
        <v>603</v>
      </c>
      <c r="Q100" s="2">
        <v>11</v>
      </c>
      <c r="T100" s="85"/>
    </row>
    <row r="101" spans="1:20" x14ac:dyDescent="0.15">
      <c r="A101" s="2" t="s">
        <v>12</v>
      </c>
      <c r="B101" s="17">
        <f>ROUND(VLOOKUP(B$87&amp;"_1",管理者用人口入力シート!A:X,D101,FALSE),0)</f>
        <v>842</v>
      </c>
      <c r="C101" s="17">
        <f>ROUND(VLOOKUP(B$87&amp;"_2",管理者用人口入力シート!A:X,D101,FALSE),0)</f>
        <v>885</v>
      </c>
      <c r="D101" s="2">
        <v>16</v>
      </c>
      <c r="G101" s="2" t="s">
        <v>8</v>
      </c>
      <c r="H101" s="17">
        <f>ROUND(VLOOKUP(H$91&amp;"_1",管理者用人口入力シート!BH:CE,J101,FALSE),0)</f>
        <v>671</v>
      </c>
      <c r="I101" s="17">
        <f>ROUND(VLOOKUP(H$91&amp;"_2",管理者用人口入力シート!BH:CE,J101,FALSE),0)</f>
        <v>685</v>
      </c>
      <c r="J101" s="2">
        <v>12</v>
      </c>
      <c r="K101" s="12"/>
      <c r="N101" s="2" t="s">
        <v>8</v>
      </c>
      <c r="O101" s="17">
        <f>ROUND(VLOOKUP(O$91&amp;"_1",管理者用人口入力シート!CO:DL,Q101,FALSE),0)</f>
        <v>671</v>
      </c>
      <c r="P101" s="17">
        <f>ROUND(VLOOKUP(O$91&amp;"_2",管理者用人口入力シート!CO:DL,Q101,FALSE),0)</f>
        <v>686</v>
      </c>
      <c r="Q101" s="2">
        <v>12</v>
      </c>
      <c r="T101" s="85"/>
    </row>
    <row r="102" spans="1:20" x14ac:dyDescent="0.15">
      <c r="A102" s="2" t="s">
        <v>13</v>
      </c>
      <c r="B102" s="17">
        <f>ROUND(VLOOKUP(B$87&amp;"_1",管理者用人口入力シート!A:X,D102,FALSE),0)</f>
        <v>763</v>
      </c>
      <c r="C102" s="17">
        <f>ROUND(VLOOKUP(B$87&amp;"_2",管理者用人口入力シート!A:X,D102,FALSE),0)</f>
        <v>792</v>
      </c>
      <c r="D102" s="2">
        <v>17</v>
      </c>
      <c r="G102" s="2" t="s">
        <v>9</v>
      </c>
      <c r="H102" s="17">
        <f>ROUND(VLOOKUP(H$91&amp;"_1",管理者用人口入力シート!BH:CE,J102,FALSE),0)</f>
        <v>731</v>
      </c>
      <c r="I102" s="17">
        <f>ROUND(VLOOKUP(H$91&amp;"_2",管理者用人口入力シート!BH:CE,J102,FALSE),0)</f>
        <v>712</v>
      </c>
      <c r="J102" s="2">
        <v>13</v>
      </c>
      <c r="K102" s="12"/>
      <c r="N102" s="2" t="s">
        <v>9</v>
      </c>
      <c r="O102" s="17">
        <f>ROUND(VLOOKUP(O$91&amp;"_1",管理者用人口入力シート!CO:DL,Q102,FALSE),0)</f>
        <v>731</v>
      </c>
      <c r="P102" s="17">
        <f>ROUND(VLOOKUP(O$91&amp;"_2",管理者用人口入力シート!CO:DL,Q102,FALSE),0)</f>
        <v>713</v>
      </c>
      <c r="Q102" s="2">
        <v>13</v>
      </c>
      <c r="T102" s="85"/>
    </row>
    <row r="103" spans="1:20" x14ac:dyDescent="0.15">
      <c r="A103" s="2" t="s">
        <v>14</v>
      </c>
      <c r="B103" s="17">
        <f>ROUND(VLOOKUP(B$87&amp;"_1",管理者用人口入力シート!A:X,D103,FALSE),0)</f>
        <v>695</v>
      </c>
      <c r="C103" s="17">
        <f>ROUND(VLOOKUP(B$87&amp;"_2",管理者用人口入力シート!A:X,D103,FALSE),0)</f>
        <v>884</v>
      </c>
      <c r="D103" s="2">
        <v>18</v>
      </c>
      <c r="G103" s="2" t="s">
        <v>10</v>
      </c>
      <c r="H103" s="17">
        <f>ROUND(VLOOKUP(H$91&amp;"_1",管理者用人口入力シート!BH:CE,J103,FALSE),0)</f>
        <v>794</v>
      </c>
      <c r="I103" s="17">
        <f>ROUND(VLOOKUP(H$91&amp;"_2",管理者用人口入力シート!BH:CE,J103,FALSE),0)</f>
        <v>819</v>
      </c>
      <c r="J103" s="2">
        <v>14</v>
      </c>
      <c r="K103" s="12"/>
      <c r="N103" s="2" t="s">
        <v>10</v>
      </c>
      <c r="O103" s="17">
        <f>ROUND(VLOOKUP(O$91&amp;"_1",管理者用人口入力シート!CO:DL,Q103,FALSE),0)</f>
        <v>794</v>
      </c>
      <c r="P103" s="17">
        <f>ROUND(VLOOKUP(O$91&amp;"_2",管理者用人口入力シート!CO:DL,Q103,FALSE),0)</f>
        <v>819</v>
      </c>
      <c r="Q103" s="2">
        <v>14</v>
      </c>
      <c r="T103" s="85"/>
    </row>
    <row r="104" spans="1:20" x14ac:dyDescent="0.15">
      <c r="A104" s="2" t="s">
        <v>15</v>
      </c>
      <c r="B104" s="17">
        <f>ROUND(VLOOKUP(B$87&amp;"_1",管理者用人口入力シート!A:X,D104,FALSE),0)</f>
        <v>454</v>
      </c>
      <c r="C104" s="17">
        <f>ROUND(VLOOKUP(B$87&amp;"_2",管理者用人口入力シート!A:X,D104,FALSE),0)</f>
        <v>628</v>
      </c>
      <c r="D104" s="2">
        <v>19</v>
      </c>
      <c r="G104" s="2" t="s">
        <v>11</v>
      </c>
      <c r="H104" s="17">
        <f>ROUND(VLOOKUP(H$91&amp;"_1",管理者用人口入力シート!BH:CE,J104,FALSE),0)</f>
        <v>902</v>
      </c>
      <c r="I104" s="17">
        <f>ROUND(VLOOKUP(H$91&amp;"_2",管理者用人口入力シート!BH:CE,J104,FALSE),0)</f>
        <v>922</v>
      </c>
      <c r="J104" s="2">
        <v>15</v>
      </c>
      <c r="K104" s="12"/>
      <c r="N104" s="2" t="s">
        <v>11</v>
      </c>
      <c r="O104" s="17">
        <f>ROUND(VLOOKUP(O$91&amp;"_1",管理者用人口入力シート!CO:DL,Q104,FALSE),0)</f>
        <v>902</v>
      </c>
      <c r="P104" s="17">
        <f>ROUND(VLOOKUP(O$91&amp;"_2",管理者用人口入力シート!CO:DL,Q104,FALSE),0)</f>
        <v>922</v>
      </c>
      <c r="Q104" s="2">
        <v>15</v>
      </c>
      <c r="T104" s="85"/>
    </row>
    <row r="105" spans="1:20" x14ac:dyDescent="0.15">
      <c r="A105" s="2" t="s">
        <v>16</v>
      </c>
      <c r="B105" s="17">
        <f>ROUND(VLOOKUP(B$87&amp;"_1",管理者用人口入力シート!A:X,D105,FALSE),0)</f>
        <v>375</v>
      </c>
      <c r="C105" s="17">
        <f>ROUND(VLOOKUP(B$87&amp;"_2",管理者用人口入力シート!A:X,D105,FALSE),0)</f>
        <v>525</v>
      </c>
      <c r="D105" s="2">
        <v>20</v>
      </c>
      <c r="G105" s="2" t="s">
        <v>12</v>
      </c>
      <c r="H105" s="17">
        <f>ROUND(VLOOKUP(H$91&amp;"_1",管理者用人口入力シート!BH:CE,J105,FALSE),0)</f>
        <v>808</v>
      </c>
      <c r="I105" s="17">
        <f>ROUND(VLOOKUP(H$91&amp;"_2",管理者用人口入力シート!BH:CE,J105,FALSE),0)</f>
        <v>947</v>
      </c>
      <c r="J105" s="2">
        <v>16</v>
      </c>
      <c r="K105" s="12"/>
      <c r="N105" s="2" t="s">
        <v>12</v>
      </c>
      <c r="O105" s="17">
        <f>ROUND(VLOOKUP(O$91&amp;"_1",管理者用人口入力シート!CO:DL,Q105,FALSE),0)</f>
        <v>808</v>
      </c>
      <c r="P105" s="17">
        <f>ROUND(VLOOKUP(O$91&amp;"_2",管理者用人口入力シート!CO:DL,Q105,FALSE),0)</f>
        <v>947</v>
      </c>
      <c r="Q105" s="2">
        <v>16</v>
      </c>
      <c r="T105" s="85"/>
    </row>
    <row r="106" spans="1:20" x14ac:dyDescent="0.15">
      <c r="A106" s="2" t="s">
        <v>17</v>
      </c>
      <c r="B106" s="17">
        <f>ROUND(VLOOKUP(B$87&amp;"_1",管理者用人口入力シート!A:X,D106,FALSE),0)</f>
        <v>221</v>
      </c>
      <c r="C106" s="17">
        <f>ROUND(VLOOKUP(B$87&amp;"_2",管理者用人口入力シート!A:X,D106,FALSE),0)</f>
        <v>459</v>
      </c>
      <c r="D106" s="2">
        <v>21</v>
      </c>
      <c r="G106" s="2" t="s">
        <v>13</v>
      </c>
      <c r="H106" s="17">
        <f>ROUND(VLOOKUP(H$91&amp;"_1",管理者用人口入力シート!BH:CE,J106,FALSE),0)</f>
        <v>858</v>
      </c>
      <c r="I106" s="17">
        <f>ROUND(VLOOKUP(H$91&amp;"_2",管理者用人口入力シート!BH:CE,J106,FALSE),0)</f>
        <v>894</v>
      </c>
      <c r="J106" s="2">
        <v>17</v>
      </c>
      <c r="K106" s="12"/>
      <c r="N106" s="2" t="s">
        <v>13</v>
      </c>
      <c r="O106" s="17">
        <f>ROUND(VLOOKUP(O$91&amp;"_1",管理者用人口入力シート!CO:DL,Q106,FALSE),0)</f>
        <v>858</v>
      </c>
      <c r="P106" s="17">
        <f>ROUND(VLOOKUP(O$91&amp;"_2",管理者用人口入力シート!CO:DL,Q106,FALSE),0)</f>
        <v>894</v>
      </c>
      <c r="Q106" s="2">
        <v>17</v>
      </c>
      <c r="T106" s="85"/>
    </row>
    <row r="107" spans="1:20" x14ac:dyDescent="0.15">
      <c r="A107" s="2" t="s">
        <v>18</v>
      </c>
      <c r="B107" s="17">
        <f>ROUND(VLOOKUP(B$87&amp;"_1",管理者用人口入力シート!A:X,D107,FALSE),0)</f>
        <v>105</v>
      </c>
      <c r="C107" s="17">
        <f>ROUND(VLOOKUP(B$87&amp;"_2",管理者用人口入力シート!A:X,D107,FALSE),0)</f>
        <v>217</v>
      </c>
      <c r="D107" s="2">
        <v>22</v>
      </c>
      <c r="G107" s="2" t="s">
        <v>14</v>
      </c>
      <c r="H107" s="17">
        <f>ROUND(VLOOKUP(H$91&amp;"_1",管理者用人口入力シート!BH:CE,J107,FALSE),0)</f>
        <v>760</v>
      </c>
      <c r="I107" s="17">
        <f>ROUND(VLOOKUP(H$91&amp;"_2",管理者用人口入力シート!BH:CE,J107,FALSE),0)</f>
        <v>873</v>
      </c>
      <c r="J107" s="2">
        <v>18</v>
      </c>
      <c r="K107" s="12"/>
      <c r="N107" s="2" t="s">
        <v>14</v>
      </c>
      <c r="O107" s="17">
        <f>ROUND(VLOOKUP(O$91&amp;"_1",管理者用人口入力シート!CO:DL,Q107,FALSE),0)</f>
        <v>760</v>
      </c>
      <c r="P107" s="17">
        <f>ROUND(VLOOKUP(O$91&amp;"_2",管理者用人口入力シート!CO:DL,Q107,FALSE),0)</f>
        <v>873</v>
      </c>
      <c r="Q107" s="2">
        <v>18</v>
      </c>
      <c r="T107" s="85"/>
    </row>
    <row r="108" spans="1:20" x14ac:dyDescent="0.15">
      <c r="A108" s="2" t="s">
        <v>19</v>
      </c>
      <c r="B108" s="17">
        <f>ROUND(VLOOKUP(B$87&amp;"_1",管理者用人口入力シート!A:X,D108,FALSE),0)</f>
        <v>12</v>
      </c>
      <c r="C108" s="17">
        <f>ROUND(VLOOKUP(B$87&amp;"_2",管理者用人口入力シート!A:X,D108,FALSE),0)</f>
        <v>70</v>
      </c>
      <c r="D108" s="2">
        <v>23</v>
      </c>
      <c r="G108" s="2" t="s">
        <v>15</v>
      </c>
      <c r="H108" s="17">
        <f>ROUND(VLOOKUP(H$91&amp;"_1",管理者用人口入力シート!BH:CE,J108,FALSE),0)</f>
        <v>615</v>
      </c>
      <c r="I108" s="17">
        <f>ROUND(VLOOKUP(H$91&amp;"_2",管理者用人口入力シート!BH:CE,J108,FALSE),0)</f>
        <v>743</v>
      </c>
      <c r="J108" s="2">
        <v>19</v>
      </c>
      <c r="K108" s="12"/>
      <c r="N108" s="2" t="s">
        <v>15</v>
      </c>
      <c r="O108" s="17">
        <f>ROUND(VLOOKUP(O$91&amp;"_1",管理者用人口入力シート!CO:DL,Q108,FALSE),0)</f>
        <v>615</v>
      </c>
      <c r="P108" s="17">
        <f>ROUND(VLOOKUP(O$91&amp;"_2",管理者用人口入力シート!CO:DL,Q108,FALSE),0)</f>
        <v>743</v>
      </c>
      <c r="Q108" s="2">
        <v>19</v>
      </c>
      <c r="T108" s="85"/>
    </row>
    <row r="109" spans="1:20" x14ac:dyDescent="0.15">
      <c r="A109" s="2" t="s">
        <v>20</v>
      </c>
      <c r="B109" s="17">
        <f>ROUND(VLOOKUP(B$87&amp;"_1",管理者用人口入力シート!A:X,D109,FALSE),0)</f>
        <v>3</v>
      </c>
      <c r="C109" s="17">
        <f>ROUND(VLOOKUP(B$87&amp;"_2",管理者用人口入力シート!A:X,D109,FALSE),0)</f>
        <v>18</v>
      </c>
      <c r="D109" s="2">
        <v>24</v>
      </c>
      <c r="G109" s="2" t="s">
        <v>16</v>
      </c>
      <c r="H109" s="17">
        <f>ROUND(VLOOKUP(H$91&amp;"_1",管理者用人口入力シート!BH:CE,J109,FALSE),0)</f>
        <v>501</v>
      </c>
      <c r="I109" s="17">
        <f>ROUND(VLOOKUP(H$91&amp;"_2",管理者用人口入力シート!BH:CE,J109,FALSE),0)</f>
        <v>744</v>
      </c>
      <c r="J109" s="2">
        <v>20</v>
      </c>
      <c r="K109" s="12"/>
      <c r="N109" s="2" t="s">
        <v>16</v>
      </c>
      <c r="O109" s="17">
        <f>ROUND(VLOOKUP(O$91&amp;"_1",管理者用人口入力シート!CO:DL,Q109,FALSE),0)</f>
        <v>501</v>
      </c>
      <c r="P109" s="17">
        <f>ROUND(VLOOKUP(O$91&amp;"_2",管理者用人口入力シート!CO:DL,Q109,FALSE),0)</f>
        <v>744</v>
      </c>
      <c r="Q109" s="2">
        <v>20</v>
      </c>
      <c r="T109" s="85"/>
    </row>
    <row r="110" spans="1:20" x14ac:dyDescent="0.15">
      <c r="G110" s="2" t="s">
        <v>17</v>
      </c>
      <c r="H110" s="17">
        <f>ROUND(VLOOKUP(H$91&amp;"_1",管理者用人口入力シート!BH:CE,J110,FALSE),0)</f>
        <v>251</v>
      </c>
      <c r="I110" s="17">
        <f>ROUND(VLOOKUP(H$91&amp;"_2",管理者用人口入力シート!BH:CE,J110,FALSE),0)</f>
        <v>427</v>
      </c>
      <c r="J110" s="2">
        <v>21</v>
      </c>
      <c r="K110" s="12"/>
      <c r="N110" s="2" t="s">
        <v>17</v>
      </c>
      <c r="O110" s="17">
        <f>ROUND(VLOOKUP(O$91&amp;"_1",管理者用人口入力シート!CO:DL,Q110,FALSE),0)</f>
        <v>251</v>
      </c>
      <c r="P110" s="17">
        <f>ROUND(VLOOKUP(O$91&amp;"_2",管理者用人口入力シート!CO:DL,Q110,FALSE),0)</f>
        <v>427</v>
      </c>
      <c r="Q110" s="2">
        <v>21</v>
      </c>
      <c r="T110" s="85"/>
    </row>
    <row r="111" spans="1:20" x14ac:dyDescent="0.15">
      <c r="G111" s="2" t="s">
        <v>18</v>
      </c>
      <c r="H111" s="17">
        <f>ROUND(VLOOKUP(H$91&amp;"_1",管理者用人口入力シート!BH:CE,J111,FALSE),0)</f>
        <v>125</v>
      </c>
      <c r="I111" s="17">
        <f>ROUND(VLOOKUP(H$91&amp;"_2",管理者用人口入力シート!BH:CE,J111,FALSE),0)</f>
        <v>240</v>
      </c>
      <c r="J111" s="2">
        <v>22</v>
      </c>
      <c r="K111" s="12"/>
      <c r="N111" s="2" t="s">
        <v>18</v>
      </c>
      <c r="O111" s="17">
        <f>ROUND(VLOOKUP(O$91&amp;"_1",管理者用人口入力シート!CO:DL,Q111,FALSE),0)</f>
        <v>125</v>
      </c>
      <c r="P111" s="17">
        <f>ROUND(VLOOKUP(O$91&amp;"_2",管理者用人口入力シート!CO:DL,Q111,FALSE),0)</f>
        <v>240</v>
      </c>
      <c r="Q111" s="2">
        <v>22</v>
      </c>
      <c r="T111" s="85"/>
    </row>
    <row r="112" spans="1:20" x14ac:dyDescent="0.15">
      <c r="G112" s="2" t="s">
        <v>19</v>
      </c>
      <c r="H112" s="17">
        <f>ROUND(VLOOKUP(H$91&amp;"_1",管理者用人口入力シート!BH:CE,J112,FALSE),0)</f>
        <v>24</v>
      </c>
      <c r="I112" s="17">
        <f>ROUND(VLOOKUP(H$91&amp;"_2",管理者用人口入力シート!BH:CE,J112,FALSE),0)</f>
        <v>113</v>
      </c>
      <c r="J112" s="2">
        <v>23</v>
      </c>
      <c r="K112" s="12"/>
      <c r="N112" s="2" t="s">
        <v>19</v>
      </c>
      <c r="O112" s="17">
        <f>ROUND(VLOOKUP(O$91&amp;"_1",管理者用人口入力シート!CO:DL,Q112,FALSE),0)</f>
        <v>24</v>
      </c>
      <c r="P112" s="17">
        <f>ROUND(VLOOKUP(O$91&amp;"_2",管理者用人口入力シート!CO:DL,Q112,FALSE),0)</f>
        <v>113</v>
      </c>
      <c r="Q112" s="2">
        <v>23</v>
      </c>
      <c r="T112" s="85"/>
    </row>
    <row r="113" spans="7:20" x14ac:dyDescent="0.15">
      <c r="G113" s="2" t="s">
        <v>20</v>
      </c>
      <c r="H113" s="17">
        <f>ROUND(VLOOKUP(H$91&amp;"_1",管理者用人口入力シート!BH:CE,J113,FALSE),0)</f>
        <v>6</v>
      </c>
      <c r="I113" s="17">
        <f>ROUND(VLOOKUP(H$91&amp;"_2",管理者用人口入力シート!BH:CE,J113,FALSE),0)</f>
        <v>25</v>
      </c>
      <c r="J113" s="2">
        <v>24</v>
      </c>
      <c r="K113" s="12"/>
      <c r="N113" s="2" t="s">
        <v>20</v>
      </c>
      <c r="O113" s="17">
        <f>ROUND(VLOOKUP(O$91&amp;"_1",管理者用人口入力シート!CO:DL,Q113,FALSE),0)</f>
        <v>6</v>
      </c>
      <c r="P113" s="17">
        <f>ROUND(VLOOKUP(O$91&amp;"_2",管理者用人口入力シート!CO:DL,Q113,FALSE),0)</f>
        <v>25</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358</v>
      </c>
      <c r="I117" s="17">
        <f>ROUND(VLOOKUP(H$115&amp;"_2",管理者用人口入力シート!BH:CE,J117,FALSE),0)</f>
        <v>357</v>
      </c>
      <c r="J117" s="2">
        <v>4</v>
      </c>
      <c r="N117" s="2" t="s">
        <v>0</v>
      </c>
      <c r="O117" s="17">
        <f>ROUND(VLOOKUP(O$115&amp;"_1",管理者用人口入力シート!CO:DL,Q117,FALSE),0)</f>
        <v>360</v>
      </c>
      <c r="P117" s="17">
        <f>ROUND(VLOOKUP(O$115&amp;"_2",管理者用人口入力シート!CO:DL,Q117,FALSE),0)</f>
        <v>359</v>
      </c>
      <c r="Q117" s="2">
        <v>4</v>
      </c>
      <c r="T117" s="85"/>
    </row>
    <row r="118" spans="7:20" x14ac:dyDescent="0.15">
      <c r="G118" s="2" t="s">
        <v>1</v>
      </c>
      <c r="H118" s="17">
        <f>ROUND(VLOOKUP(H$115&amp;"_1",管理者用人口入力シート!BH:CE,J118,FALSE),0)</f>
        <v>390</v>
      </c>
      <c r="I118" s="17">
        <f>ROUND(VLOOKUP(H$115&amp;"_2",管理者用人口入力シート!BH:CE,J118,FALSE),0)</f>
        <v>396</v>
      </c>
      <c r="J118" s="2">
        <v>5</v>
      </c>
      <c r="N118" s="2" t="s">
        <v>1</v>
      </c>
      <c r="O118" s="17">
        <f>ROUND(VLOOKUP(O$115&amp;"_1",管理者用人口入力シート!CO:DL,Q118,FALSE),0)</f>
        <v>392</v>
      </c>
      <c r="P118" s="17">
        <f>ROUND(VLOOKUP(O$115&amp;"_2",管理者用人口入力シート!CO:DL,Q118,FALSE),0)</f>
        <v>398</v>
      </c>
      <c r="Q118" s="2">
        <v>5</v>
      </c>
      <c r="T118" s="85"/>
    </row>
    <row r="119" spans="7:20" x14ac:dyDescent="0.15">
      <c r="G119" s="2" t="s">
        <v>2</v>
      </c>
      <c r="H119" s="17">
        <f>ROUND(VLOOKUP(H$115&amp;"_1",管理者用人口入力シート!BH:CE,J119,FALSE),0)</f>
        <v>468</v>
      </c>
      <c r="I119" s="17">
        <f>ROUND(VLOOKUP(H$115&amp;"_2",管理者用人口入力シート!BH:CE,J119,FALSE),0)</f>
        <v>458</v>
      </c>
      <c r="J119" s="2">
        <v>6</v>
      </c>
      <c r="N119" s="2" t="s">
        <v>2</v>
      </c>
      <c r="O119" s="17">
        <f>ROUND(VLOOKUP(O$115&amp;"_1",管理者用人口入力シート!CO:DL,Q119,FALSE),0)</f>
        <v>470</v>
      </c>
      <c r="P119" s="17">
        <f>ROUND(VLOOKUP(O$115&amp;"_2",管理者用人口入力シート!CO:DL,Q119,FALSE),0)</f>
        <v>460</v>
      </c>
      <c r="Q119" s="2">
        <v>6</v>
      </c>
      <c r="T119" s="85"/>
    </row>
    <row r="120" spans="7:20" x14ac:dyDescent="0.15">
      <c r="G120" s="2" t="s">
        <v>3</v>
      </c>
      <c r="H120" s="17">
        <f>ROUND(VLOOKUP(H$115&amp;"_1",管理者用人口入力シート!BH:CE,J120,FALSE),0)</f>
        <v>477</v>
      </c>
      <c r="I120" s="17">
        <f>ROUND(VLOOKUP(H$115&amp;"_2",管理者用人口入力シート!BH:CE,J120,FALSE),0)</f>
        <v>501</v>
      </c>
      <c r="J120" s="2">
        <v>7</v>
      </c>
      <c r="N120" s="2" t="s">
        <v>3</v>
      </c>
      <c r="O120" s="17">
        <f>ROUND(VLOOKUP(O$115&amp;"_1",管理者用人口入力シート!CO:DL,Q120,FALSE),0)</f>
        <v>478</v>
      </c>
      <c r="P120" s="17">
        <f>ROUND(VLOOKUP(O$115&amp;"_2",管理者用人口入力シート!CO:DL,Q120,FALSE),0)</f>
        <v>502</v>
      </c>
      <c r="Q120" s="2">
        <v>7</v>
      </c>
      <c r="T120" s="85"/>
    </row>
    <row r="121" spans="7:20" x14ac:dyDescent="0.15">
      <c r="G121" s="2" t="s">
        <v>4</v>
      </c>
      <c r="H121" s="17">
        <f>ROUND(VLOOKUP(H$115&amp;"_1",管理者用人口入力シート!BH:CE,J121,FALSE),0)</f>
        <v>334</v>
      </c>
      <c r="I121" s="17">
        <f>ROUND(VLOOKUP(H$115&amp;"_2",管理者用人口入力シート!BH:CE,J121,FALSE),0)</f>
        <v>429</v>
      </c>
      <c r="J121" s="2">
        <v>8</v>
      </c>
      <c r="N121" s="2" t="s">
        <v>4</v>
      </c>
      <c r="O121" s="17">
        <f>ROUND(VLOOKUP(O$115&amp;"_1",管理者用人口入力シート!CO:DL,Q121,FALSE),0)</f>
        <v>335</v>
      </c>
      <c r="P121" s="17">
        <f>ROUND(VLOOKUP(O$115&amp;"_2",管理者用人口入力シート!CO:DL,Q121,FALSE),0)</f>
        <v>430</v>
      </c>
      <c r="Q121" s="2">
        <v>8</v>
      </c>
      <c r="T121" s="85"/>
    </row>
    <row r="122" spans="7:20" x14ac:dyDescent="0.15">
      <c r="G122" s="2" t="s">
        <v>5</v>
      </c>
      <c r="H122" s="17">
        <f>ROUND(VLOOKUP(H$115&amp;"_1",管理者用人口入力シート!BH:CE,J122,FALSE),0)</f>
        <v>355</v>
      </c>
      <c r="I122" s="17">
        <f>ROUND(VLOOKUP(H$115&amp;"_2",管理者用人口入力シート!BH:CE,J122,FALSE),0)</f>
        <v>363</v>
      </c>
      <c r="J122" s="2">
        <v>9</v>
      </c>
      <c r="N122" s="2" t="s">
        <v>5</v>
      </c>
      <c r="O122" s="17">
        <f>ROUND(VLOOKUP(O$115&amp;"_1",管理者用人口入力シート!CO:DL,Q122,FALSE),0)</f>
        <v>357</v>
      </c>
      <c r="P122" s="17">
        <f>ROUND(VLOOKUP(O$115&amp;"_2",管理者用人口入力シート!CO:DL,Q122,FALSE),0)</f>
        <v>365</v>
      </c>
      <c r="Q122" s="2">
        <v>9</v>
      </c>
      <c r="T122" s="85"/>
    </row>
    <row r="123" spans="7:20" x14ac:dyDescent="0.15">
      <c r="G123" s="2" t="s">
        <v>6</v>
      </c>
      <c r="H123" s="17">
        <f>ROUND(VLOOKUP(H$115&amp;"_1",管理者用人口入力シート!BH:CE,J123,FALSE),0)</f>
        <v>428</v>
      </c>
      <c r="I123" s="17">
        <f>ROUND(VLOOKUP(H$115&amp;"_2",管理者用人口入力シート!BH:CE,J123,FALSE),0)</f>
        <v>431</v>
      </c>
      <c r="J123" s="2">
        <v>10</v>
      </c>
      <c r="N123" s="2" t="s">
        <v>6</v>
      </c>
      <c r="O123" s="17">
        <f>ROUND(VLOOKUP(O$115&amp;"_1",管理者用人口入力シート!CO:DL,Q123,FALSE),0)</f>
        <v>430</v>
      </c>
      <c r="P123" s="17">
        <f>ROUND(VLOOKUP(O$115&amp;"_2",管理者用人口入力シート!CO:DL,Q123,FALSE),0)</f>
        <v>433</v>
      </c>
      <c r="Q123" s="2">
        <v>10</v>
      </c>
      <c r="T123" s="85"/>
    </row>
    <row r="124" spans="7:20" x14ac:dyDescent="0.15">
      <c r="G124" s="2" t="s">
        <v>7</v>
      </c>
      <c r="H124" s="17">
        <f>ROUND(VLOOKUP(H$115&amp;"_1",管理者用人口入力シート!BH:CE,J124,FALSE),0)</f>
        <v>580</v>
      </c>
      <c r="I124" s="17">
        <f>ROUND(VLOOKUP(H$115&amp;"_2",管理者用人口入力シート!BH:CE,J124,FALSE),0)</f>
        <v>553</v>
      </c>
      <c r="J124" s="2">
        <v>11</v>
      </c>
      <c r="N124" s="2" t="s">
        <v>7</v>
      </c>
      <c r="O124" s="17">
        <f>ROUND(VLOOKUP(O$115&amp;"_1",管理者用人口入力シート!CO:DL,Q124,FALSE),0)</f>
        <v>583</v>
      </c>
      <c r="P124" s="17">
        <f>ROUND(VLOOKUP(O$115&amp;"_2",管理者用人口入力シート!CO:DL,Q124,FALSE),0)</f>
        <v>555</v>
      </c>
      <c r="Q124" s="2">
        <v>11</v>
      </c>
      <c r="T124" s="85"/>
    </row>
    <row r="125" spans="7:20" x14ac:dyDescent="0.15">
      <c r="G125" s="2" t="s">
        <v>8</v>
      </c>
      <c r="H125" s="17">
        <f>ROUND(VLOOKUP(H$115&amp;"_1",管理者用人口入力シート!BH:CE,J125,FALSE),0)</f>
        <v>589</v>
      </c>
      <c r="I125" s="17">
        <f>ROUND(VLOOKUP(H$115&amp;"_2",管理者用人口入力シート!BH:CE,J125,FALSE),0)</f>
        <v>618</v>
      </c>
      <c r="J125" s="2">
        <v>12</v>
      </c>
      <c r="N125" s="2" t="s">
        <v>8</v>
      </c>
      <c r="O125" s="17">
        <f>ROUND(VLOOKUP(O$115&amp;"_1",管理者用人口入力シート!CO:DL,Q125,FALSE),0)</f>
        <v>589</v>
      </c>
      <c r="P125" s="17">
        <f>ROUND(VLOOKUP(O$115&amp;"_2",管理者用人口入力シート!CO:DL,Q125,FALSE),0)</f>
        <v>619</v>
      </c>
      <c r="Q125" s="2">
        <v>12</v>
      </c>
      <c r="T125" s="85"/>
    </row>
    <row r="126" spans="7:20" x14ac:dyDescent="0.15">
      <c r="G126" s="2" t="s">
        <v>9</v>
      </c>
      <c r="H126" s="17">
        <f>ROUND(VLOOKUP(H$115&amp;"_1",管理者用人口入力シート!BH:CE,J126,FALSE),0)</f>
        <v>686</v>
      </c>
      <c r="I126" s="17">
        <f>ROUND(VLOOKUP(H$115&amp;"_2",管理者用人口入力シート!BH:CE,J126,FALSE),0)</f>
        <v>675</v>
      </c>
      <c r="J126" s="2">
        <v>13</v>
      </c>
      <c r="N126" s="2" t="s">
        <v>9</v>
      </c>
      <c r="O126" s="17">
        <f>ROUND(VLOOKUP(O$115&amp;"_1",管理者用人口入力シート!CO:DL,Q126,FALSE),0)</f>
        <v>686</v>
      </c>
      <c r="P126" s="17">
        <f>ROUND(VLOOKUP(O$115&amp;"_2",管理者用人口入力シート!CO:DL,Q126,FALSE),0)</f>
        <v>676</v>
      </c>
      <c r="Q126" s="2">
        <v>13</v>
      </c>
      <c r="T126" s="85"/>
    </row>
    <row r="127" spans="7:20" x14ac:dyDescent="0.15">
      <c r="G127" s="2" t="s">
        <v>10</v>
      </c>
      <c r="H127" s="17">
        <f>ROUND(VLOOKUP(H$115&amp;"_1",管理者用人口入力シート!BH:CE,J127,FALSE),0)</f>
        <v>742</v>
      </c>
      <c r="I127" s="17">
        <f>ROUND(VLOOKUP(H$115&amp;"_2",管理者用人口入力シート!BH:CE,J127,FALSE),0)</f>
        <v>721</v>
      </c>
      <c r="J127" s="2">
        <v>14</v>
      </c>
      <c r="N127" s="2" t="s">
        <v>10</v>
      </c>
      <c r="O127" s="17">
        <f>ROUND(VLOOKUP(O$115&amp;"_1",管理者用人口入力シート!CO:DL,Q127,FALSE),0)</f>
        <v>742</v>
      </c>
      <c r="P127" s="17">
        <f>ROUND(VLOOKUP(O$115&amp;"_2",管理者用人口入力シート!CO:DL,Q127,FALSE),0)</f>
        <v>722</v>
      </c>
      <c r="Q127" s="2">
        <v>14</v>
      </c>
      <c r="T127" s="85"/>
    </row>
    <row r="128" spans="7:20" x14ac:dyDescent="0.15">
      <c r="G128" s="2" t="s">
        <v>11</v>
      </c>
      <c r="H128" s="17">
        <f>ROUND(VLOOKUP(H$115&amp;"_1",管理者用人口入力シート!BH:CE,J128,FALSE),0)</f>
        <v>788</v>
      </c>
      <c r="I128" s="17">
        <f>ROUND(VLOOKUP(H$115&amp;"_2",管理者用人口入力シート!BH:CE,J128,FALSE),0)</f>
        <v>809</v>
      </c>
      <c r="J128" s="2">
        <v>15</v>
      </c>
      <c r="N128" s="2" t="s">
        <v>11</v>
      </c>
      <c r="O128" s="17">
        <f>ROUND(VLOOKUP(O$115&amp;"_1",管理者用人口入力シート!CO:DL,Q128,FALSE),0)</f>
        <v>788</v>
      </c>
      <c r="P128" s="17">
        <f>ROUND(VLOOKUP(O$115&amp;"_2",管理者用人口入力シート!CO:DL,Q128,FALSE),0)</f>
        <v>809</v>
      </c>
      <c r="Q128" s="2">
        <v>15</v>
      </c>
      <c r="T128" s="85"/>
    </row>
    <row r="129" spans="7:20" x14ac:dyDescent="0.15">
      <c r="G129" s="2" t="s">
        <v>12</v>
      </c>
      <c r="H129" s="17">
        <f>ROUND(VLOOKUP(H$115&amp;"_1",管理者用人口入力シート!BH:CE,J129,FALSE),0)</f>
        <v>931</v>
      </c>
      <c r="I129" s="17">
        <f>ROUND(VLOOKUP(H$115&amp;"_2",管理者用人口入力シート!BH:CE,J129,FALSE),0)</f>
        <v>907</v>
      </c>
      <c r="J129" s="2">
        <v>16</v>
      </c>
      <c r="N129" s="2" t="s">
        <v>12</v>
      </c>
      <c r="O129" s="17">
        <f>ROUND(VLOOKUP(O$115&amp;"_1",管理者用人口入力シート!CO:DL,Q129,FALSE),0)</f>
        <v>931</v>
      </c>
      <c r="P129" s="17">
        <f>ROUND(VLOOKUP(O$115&amp;"_2",管理者用人口入力シート!CO:DL,Q129,FALSE),0)</f>
        <v>907</v>
      </c>
      <c r="Q129" s="2">
        <v>16</v>
      </c>
      <c r="T129" s="85"/>
    </row>
    <row r="130" spans="7:20" x14ac:dyDescent="0.15">
      <c r="G130" s="2" t="s">
        <v>13</v>
      </c>
      <c r="H130" s="17">
        <f>ROUND(VLOOKUP(H$115&amp;"_1",管理者用人口入力シート!BH:CE,J130,FALSE),0)</f>
        <v>787</v>
      </c>
      <c r="I130" s="17">
        <f>ROUND(VLOOKUP(H$115&amp;"_2",管理者用人口入力シート!BH:CE,J130,FALSE),0)</f>
        <v>934</v>
      </c>
      <c r="J130" s="2">
        <v>17</v>
      </c>
      <c r="N130" s="2" t="s">
        <v>13</v>
      </c>
      <c r="O130" s="17">
        <f>ROUND(VLOOKUP(O$115&amp;"_1",管理者用人口入力シート!CO:DL,Q130,FALSE),0)</f>
        <v>787</v>
      </c>
      <c r="P130" s="17">
        <f>ROUND(VLOOKUP(O$115&amp;"_2",管理者用人口入力シート!CO:DL,Q130,FALSE),0)</f>
        <v>934</v>
      </c>
      <c r="Q130" s="2">
        <v>17</v>
      </c>
      <c r="T130" s="85"/>
    </row>
    <row r="131" spans="7:20" x14ac:dyDescent="0.15">
      <c r="G131" s="2" t="s">
        <v>14</v>
      </c>
      <c r="H131" s="17">
        <f>ROUND(VLOOKUP(H$115&amp;"_1",管理者用人口入力シート!BH:CE,J131,FALSE),0)</f>
        <v>796</v>
      </c>
      <c r="I131" s="17">
        <f>ROUND(VLOOKUP(H$115&amp;"_2",管理者用人口入力シート!BH:CE,J131,FALSE),0)</f>
        <v>894</v>
      </c>
      <c r="J131" s="2">
        <v>18</v>
      </c>
      <c r="N131" s="2" t="s">
        <v>14</v>
      </c>
      <c r="O131" s="17">
        <f>ROUND(VLOOKUP(O$115&amp;"_1",管理者用人口入力シート!CO:DL,Q131,FALSE),0)</f>
        <v>796</v>
      </c>
      <c r="P131" s="17">
        <f>ROUND(VLOOKUP(O$115&amp;"_2",管理者用人口入力シート!CO:DL,Q131,FALSE),0)</f>
        <v>894</v>
      </c>
      <c r="Q131" s="2">
        <v>18</v>
      </c>
      <c r="T131" s="85"/>
    </row>
    <row r="132" spans="7:20" x14ac:dyDescent="0.15">
      <c r="G132" s="2" t="s">
        <v>15</v>
      </c>
      <c r="H132" s="17">
        <f>ROUND(VLOOKUP(H$115&amp;"_1",管理者用人口入力シート!BH:CE,J132,FALSE),0)</f>
        <v>661</v>
      </c>
      <c r="I132" s="17">
        <f>ROUND(VLOOKUP(H$115&amp;"_2",管理者用人口入力シート!BH:CE,J132,FALSE),0)</f>
        <v>819</v>
      </c>
      <c r="J132" s="2">
        <v>19</v>
      </c>
      <c r="N132" s="2" t="s">
        <v>15</v>
      </c>
      <c r="O132" s="17">
        <f>ROUND(VLOOKUP(O$115&amp;"_1",管理者用人口入力シート!CO:DL,Q132,FALSE),0)</f>
        <v>661</v>
      </c>
      <c r="P132" s="17">
        <f>ROUND(VLOOKUP(O$115&amp;"_2",管理者用人口入力シート!CO:DL,Q132,FALSE),0)</f>
        <v>819</v>
      </c>
      <c r="Q132" s="2">
        <v>19</v>
      </c>
      <c r="T132" s="85"/>
    </row>
    <row r="133" spans="7:20" x14ac:dyDescent="0.15">
      <c r="G133" s="2" t="s">
        <v>16</v>
      </c>
      <c r="H133" s="17">
        <f>ROUND(VLOOKUP(H$115&amp;"_1",管理者用人口入力シート!BH:CE,J133,FALSE),0)</f>
        <v>510</v>
      </c>
      <c r="I133" s="17">
        <f>ROUND(VLOOKUP(H$115&amp;"_2",管理者用人口入力シート!BH:CE,J133,FALSE),0)</f>
        <v>667</v>
      </c>
      <c r="J133" s="2">
        <v>20</v>
      </c>
      <c r="N133" s="2" t="s">
        <v>16</v>
      </c>
      <c r="O133" s="17">
        <f>ROUND(VLOOKUP(O$115&amp;"_1",管理者用人口入力シート!CO:DL,Q133,FALSE),0)</f>
        <v>510</v>
      </c>
      <c r="P133" s="17">
        <f>ROUND(VLOOKUP(O$115&amp;"_2",管理者用人口入力シート!CO:DL,Q133,FALSE),0)</f>
        <v>667</v>
      </c>
      <c r="Q133" s="2">
        <v>20</v>
      </c>
      <c r="T133" s="85"/>
    </row>
    <row r="134" spans="7:20" x14ac:dyDescent="0.15">
      <c r="G134" s="2" t="s">
        <v>17</v>
      </c>
      <c r="H134" s="17">
        <f>ROUND(VLOOKUP(H$115&amp;"_1",管理者用人口入力シート!BH:CE,J134,FALSE),0)</f>
        <v>334</v>
      </c>
      <c r="I134" s="17">
        <f>ROUND(VLOOKUP(H$115&amp;"_2",管理者用人口入力シート!BH:CE,J134,FALSE),0)</f>
        <v>564</v>
      </c>
      <c r="J134" s="2">
        <v>21</v>
      </c>
      <c r="N134" s="2" t="s">
        <v>17</v>
      </c>
      <c r="O134" s="17">
        <f>ROUND(VLOOKUP(O$115&amp;"_1",管理者用人口入力シート!CO:DL,Q134,FALSE),0)</f>
        <v>334</v>
      </c>
      <c r="P134" s="17">
        <f>ROUND(VLOOKUP(O$115&amp;"_2",管理者用人口入力シート!CO:DL,Q134,FALSE),0)</f>
        <v>564</v>
      </c>
      <c r="Q134" s="2">
        <v>21</v>
      </c>
      <c r="T134" s="85"/>
    </row>
    <row r="135" spans="7:20" x14ac:dyDescent="0.15">
      <c r="G135" s="2" t="s">
        <v>18</v>
      </c>
      <c r="H135" s="17">
        <f>ROUND(VLOOKUP(H$115&amp;"_1",管理者用人口入力シート!BH:CE,J135,FALSE),0)</f>
        <v>126</v>
      </c>
      <c r="I135" s="17">
        <f>ROUND(VLOOKUP(H$115&amp;"_2",管理者用人口入力シート!BH:CE,J135,FALSE),0)</f>
        <v>258</v>
      </c>
      <c r="J135" s="2">
        <v>22</v>
      </c>
      <c r="N135" s="2" t="s">
        <v>18</v>
      </c>
      <c r="O135" s="17">
        <f>ROUND(VLOOKUP(O$115&amp;"_1",管理者用人口入力シート!CO:DL,Q135,FALSE),0)</f>
        <v>126</v>
      </c>
      <c r="P135" s="17">
        <f>ROUND(VLOOKUP(O$115&amp;"_2",管理者用人口入力シート!CO:DL,Q135,FALSE),0)</f>
        <v>258</v>
      </c>
      <c r="Q135" s="2">
        <v>22</v>
      </c>
      <c r="T135" s="85"/>
    </row>
    <row r="136" spans="7:20" x14ac:dyDescent="0.15">
      <c r="G136" s="2" t="s">
        <v>19</v>
      </c>
      <c r="H136" s="17">
        <f>ROUND(VLOOKUP(H$115&amp;"_1",管理者用人口入力シート!BH:CE,J136,FALSE),0)</f>
        <v>27</v>
      </c>
      <c r="I136" s="17">
        <f>ROUND(VLOOKUP(H$115&amp;"_2",管理者用人口入力シート!BH:CE,J136,FALSE),0)</f>
        <v>98</v>
      </c>
      <c r="J136" s="2">
        <v>23</v>
      </c>
      <c r="N136" s="2" t="s">
        <v>19</v>
      </c>
      <c r="O136" s="17">
        <f>ROUND(VLOOKUP(O$115&amp;"_1",管理者用人口入力シート!CO:DL,Q136,FALSE),0)</f>
        <v>27</v>
      </c>
      <c r="P136" s="17">
        <f>ROUND(VLOOKUP(O$115&amp;"_2",管理者用人口入力シート!CO:DL,Q136,FALSE),0)</f>
        <v>98</v>
      </c>
      <c r="Q136" s="2">
        <v>23</v>
      </c>
      <c r="T136" s="85"/>
    </row>
    <row r="137" spans="7:20" x14ac:dyDescent="0.15">
      <c r="G137" s="2" t="s">
        <v>20</v>
      </c>
      <c r="H137" s="17">
        <f>ROUND(VLOOKUP(H$115&amp;"_1",管理者用人口入力シート!BH:CE,J137,FALSE),0)</f>
        <v>7</v>
      </c>
      <c r="I137" s="17">
        <f>ROUND(VLOOKUP(H$115&amp;"_2",管理者用人口入力シート!BH:CE,J137,FALSE),0)</f>
        <v>32</v>
      </c>
      <c r="J137" s="2">
        <v>24</v>
      </c>
      <c r="N137" s="2" t="s">
        <v>20</v>
      </c>
      <c r="O137" s="17">
        <f>ROUND(VLOOKUP(O$115&amp;"_1",管理者用人口入力シート!CO:DL,Q137,FALSE),0)</f>
        <v>7</v>
      </c>
      <c r="P137" s="17">
        <f>ROUND(VLOOKUP(O$115&amp;"_2",管理者用人口入力シート!CO:DL,Q137,FALSE),0)</f>
        <v>32</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330</v>
      </c>
      <c r="I141" s="17">
        <f>ROUND(VLOOKUP(H$139&amp;"_2",管理者用人口入力シート!BH:CE,J141,FALSE),0)</f>
        <v>328</v>
      </c>
      <c r="J141" s="2">
        <v>4</v>
      </c>
      <c r="N141" s="2" t="s">
        <v>0</v>
      </c>
      <c r="O141" s="17">
        <f>ROUND(VLOOKUP(O$139&amp;"_1",管理者用人口入力シート!CO:DL,Q141,FALSE),0)</f>
        <v>332</v>
      </c>
      <c r="P141" s="17">
        <f>ROUND(VLOOKUP(O$139&amp;"_2",管理者用人口入力シート!CO:DL,Q141,FALSE),0)</f>
        <v>331</v>
      </c>
      <c r="Q141" s="2">
        <v>4</v>
      </c>
    </row>
    <row r="142" spans="7:20" x14ac:dyDescent="0.15">
      <c r="G142" s="2" t="s">
        <v>1</v>
      </c>
      <c r="H142" s="17">
        <f>ROUND(VLOOKUP(H$139&amp;"_1",管理者用人口入力シート!BH:CE,J142,FALSE),0)</f>
        <v>362</v>
      </c>
      <c r="I142" s="17">
        <f>ROUND(VLOOKUP(H$139&amp;"_2",管理者用人口入力シート!BH:CE,J142,FALSE),0)</f>
        <v>367</v>
      </c>
      <c r="J142" s="2">
        <v>5</v>
      </c>
      <c r="N142" s="2" t="s">
        <v>1</v>
      </c>
      <c r="O142" s="17">
        <f>ROUND(VLOOKUP(O$139&amp;"_1",管理者用人口入力シート!CO:DL,Q142,FALSE),0)</f>
        <v>364</v>
      </c>
      <c r="P142" s="17">
        <f>ROUND(VLOOKUP(O$139&amp;"_2",管理者用人口入力シート!CO:DL,Q142,FALSE),0)</f>
        <v>370</v>
      </c>
      <c r="Q142" s="2">
        <v>5</v>
      </c>
    </row>
    <row r="143" spans="7:20" x14ac:dyDescent="0.15">
      <c r="G143" s="2" t="s">
        <v>2</v>
      </c>
      <c r="H143" s="17">
        <f>ROUND(VLOOKUP(H$139&amp;"_1",管理者用人口入力シート!BH:CE,J143,FALSE),0)</f>
        <v>414</v>
      </c>
      <c r="I143" s="17">
        <f>ROUND(VLOOKUP(H$139&amp;"_2",管理者用人口入力シート!BH:CE,J143,FALSE),0)</f>
        <v>405</v>
      </c>
      <c r="J143" s="2">
        <v>6</v>
      </c>
      <c r="N143" s="2" t="s">
        <v>2</v>
      </c>
      <c r="O143" s="17">
        <f>ROUND(VLOOKUP(O$139&amp;"_1",管理者用人口入力シート!CO:DL,Q143,FALSE),0)</f>
        <v>417</v>
      </c>
      <c r="P143" s="17">
        <f>ROUND(VLOOKUP(O$139&amp;"_2",管理者用人口入力シート!CO:DL,Q143,FALSE),0)</f>
        <v>408</v>
      </c>
      <c r="Q143" s="2">
        <v>6</v>
      </c>
    </row>
    <row r="144" spans="7:20" x14ac:dyDescent="0.15">
      <c r="G144" s="2" t="s">
        <v>3</v>
      </c>
      <c r="H144" s="17">
        <f>ROUND(VLOOKUP(H$139&amp;"_1",管理者用人口入力シート!BH:CE,J144,FALSE),0)</f>
        <v>430</v>
      </c>
      <c r="I144" s="17">
        <f>ROUND(VLOOKUP(H$139&amp;"_2",管理者用人口入力シート!BH:CE,J144,FALSE),0)</f>
        <v>452</v>
      </c>
      <c r="J144" s="2">
        <v>7</v>
      </c>
      <c r="N144" s="2" t="s">
        <v>3</v>
      </c>
      <c r="O144" s="17">
        <f>ROUND(VLOOKUP(O$139&amp;"_1",管理者用人口入力シート!CO:DL,Q144,FALSE),0)</f>
        <v>432</v>
      </c>
      <c r="P144" s="17">
        <f>ROUND(VLOOKUP(O$139&amp;"_2",管理者用人口入力シート!CO:DL,Q144,FALSE),0)</f>
        <v>454</v>
      </c>
      <c r="Q144" s="2">
        <v>7</v>
      </c>
    </row>
    <row r="145" spans="7:17" x14ac:dyDescent="0.15">
      <c r="G145" s="2" t="s">
        <v>4</v>
      </c>
      <c r="H145" s="17">
        <f>ROUND(VLOOKUP(H$139&amp;"_1",管理者用人口入力シート!BH:CE,J145,FALSE),0)</f>
        <v>311</v>
      </c>
      <c r="I145" s="17">
        <f>ROUND(VLOOKUP(H$139&amp;"_2",管理者用人口入力シート!BH:CE,J145,FALSE),0)</f>
        <v>388</v>
      </c>
      <c r="J145" s="2">
        <v>8</v>
      </c>
      <c r="N145" s="2" t="s">
        <v>4</v>
      </c>
      <c r="O145" s="17">
        <f>ROUND(VLOOKUP(O$139&amp;"_1",管理者用人口入力シート!CO:DL,Q145,FALSE),0)</f>
        <v>312</v>
      </c>
      <c r="P145" s="17">
        <f>ROUND(VLOOKUP(O$139&amp;"_2",管理者用人口入力シート!CO:DL,Q145,FALSE),0)</f>
        <v>389</v>
      </c>
      <c r="Q145" s="2">
        <v>8</v>
      </c>
    </row>
    <row r="146" spans="7:17" x14ac:dyDescent="0.15">
      <c r="G146" s="2" t="s">
        <v>5</v>
      </c>
      <c r="H146" s="17">
        <f>ROUND(VLOOKUP(H$139&amp;"_1",管理者用人口入力シート!BH:CE,J146,FALSE),0)</f>
        <v>351</v>
      </c>
      <c r="I146" s="17">
        <f>ROUND(VLOOKUP(H$139&amp;"_2",管理者用人口入力シート!BH:CE,J146,FALSE),0)</f>
        <v>411</v>
      </c>
      <c r="J146" s="2">
        <v>9</v>
      </c>
      <c r="N146" s="2" t="s">
        <v>5</v>
      </c>
      <c r="O146" s="17">
        <f>ROUND(VLOOKUP(O$139&amp;"_1",管理者用人口入力シート!CO:DL,Q146,FALSE),0)</f>
        <v>353</v>
      </c>
      <c r="P146" s="17">
        <f>ROUND(VLOOKUP(O$139&amp;"_2",管理者用人口入力シート!CO:DL,Q146,FALSE),0)</f>
        <v>414</v>
      </c>
      <c r="Q146" s="2">
        <v>9</v>
      </c>
    </row>
    <row r="147" spans="7:17" x14ac:dyDescent="0.15">
      <c r="G147" s="2" t="s">
        <v>6</v>
      </c>
      <c r="H147" s="17">
        <f>ROUND(VLOOKUP(H$139&amp;"_1",管理者用人口入力シート!BH:CE,J147,FALSE),0)</f>
        <v>408</v>
      </c>
      <c r="I147" s="17">
        <f>ROUND(VLOOKUP(H$139&amp;"_2",管理者用人口入力シート!BH:CE,J147,FALSE),0)</f>
        <v>381</v>
      </c>
      <c r="J147" s="2">
        <v>10</v>
      </c>
      <c r="N147" s="2" t="s">
        <v>6</v>
      </c>
      <c r="O147" s="17">
        <f>ROUND(VLOOKUP(O$139&amp;"_1",管理者用人口入力シート!CO:DL,Q147,FALSE),0)</f>
        <v>411</v>
      </c>
      <c r="P147" s="17">
        <f>ROUND(VLOOKUP(O$139&amp;"_2",管理者用人口入力シート!CO:DL,Q147,FALSE),0)</f>
        <v>384</v>
      </c>
      <c r="Q147" s="2">
        <v>10</v>
      </c>
    </row>
    <row r="148" spans="7:17" x14ac:dyDescent="0.15">
      <c r="G148" s="2" t="s">
        <v>7</v>
      </c>
      <c r="H148" s="17">
        <f>ROUND(VLOOKUP(H$139&amp;"_1",管理者用人口入力シート!BH:CE,J148,FALSE),0)</f>
        <v>450</v>
      </c>
      <c r="I148" s="17">
        <f>ROUND(VLOOKUP(H$139&amp;"_2",管理者用人口入力シート!BH:CE,J148,FALSE),0)</f>
        <v>455</v>
      </c>
      <c r="J148" s="2">
        <v>11</v>
      </c>
      <c r="N148" s="2" t="s">
        <v>7</v>
      </c>
      <c r="O148" s="17">
        <f>ROUND(VLOOKUP(O$139&amp;"_1",管理者用人口入力シート!CO:DL,Q148,FALSE),0)</f>
        <v>453</v>
      </c>
      <c r="P148" s="17">
        <f>ROUND(VLOOKUP(O$139&amp;"_2",管理者用人口入力シート!CO:DL,Q148,FALSE),0)</f>
        <v>457</v>
      </c>
      <c r="Q148" s="2">
        <v>11</v>
      </c>
    </row>
    <row r="149" spans="7:17" x14ac:dyDescent="0.15">
      <c r="G149" s="2" t="s">
        <v>8</v>
      </c>
      <c r="H149" s="17">
        <f>ROUND(VLOOKUP(H$139&amp;"_1",管理者用人口入力シート!BH:CE,J149,FALSE),0)</f>
        <v>618</v>
      </c>
      <c r="I149" s="17">
        <f>ROUND(VLOOKUP(H$139&amp;"_2",管理者用人口入力シート!BH:CE,J149,FALSE),0)</f>
        <v>567</v>
      </c>
      <c r="J149" s="2">
        <v>12</v>
      </c>
      <c r="N149" s="2" t="s">
        <v>8</v>
      </c>
      <c r="O149" s="17">
        <f>ROUND(VLOOKUP(O$139&amp;"_1",管理者用人口入力シート!CO:DL,Q149,FALSE),0)</f>
        <v>620</v>
      </c>
      <c r="P149" s="17">
        <f>ROUND(VLOOKUP(O$139&amp;"_2",管理者用人口入力シート!CO:DL,Q149,FALSE),0)</f>
        <v>570</v>
      </c>
      <c r="Q149" s="2">
        <v>12</v>
      </c>
    </row>
    <row r="150" spans="7:17" x14ac:dyDescent="0.15">
      <c r="G150" s="2" t="s">
        <v>9</v>
      </c>
      <c r="H150" s="17">
        <f>ROUND(VLOOKUP(H$139&amp;"_1",管理者用人口入力シート!BH:CE,J150,FALSE),0)</f>
        <v>602</v>
      </c>
      <c r="I150" s="17">
        <f>ROUND(VLOOKUP(H$139&amp;"_2",管理者用人口入力シート!BH:CE,J150,FALSE),0)</f>
        <v>609</v>
      </c>
      <c r="J150" s="2">
        <v>13</v>
      </c>
      <c r="N150" s="2" t="s">
        <v>9</v>
      </c>
      <c r="O150" s="17">
        <f>ROUND(VLOOKUP(O$139&amp;"_1",管理者用人口入力シート!CO:DL,Q150,FALSE),0)</f>
        <v>602</v>
      </c>
      <c r="P150" s="17">
        <f>ROUND(VLOOKUP(O$139&amp;"_2",管理者用人口入力シート!CO:DL,Q150,FALSE),0)</f>
        <v>610</v>
      </c>
      <c r="Q150" s="2">
        <v>13</v>
      </c>
    </row>
    <row r="151" spans="7:17" x14ac:dyDescent="0.15">
      <c r="G151" s="2" t="s">
        <v>10</v>
      </c>
      <c r="H151" s="17">
        <f>ROUND(VLOOKUP(H$139&amp;"_1",管理者用人口入力シート!BH:CE,J151,FALSE),0)</f>
        <v>697</v>
      </c>
      <c r="I151" s="17">
        <f>ROUND(VLOOKUP(H$139&amp;"_2",管理者用人口入力シート!BH:CE,J151,FALSE),0)</f>
        <v>683</v>
      </c>
      <c r="J151" s="2">
        <v>14</v>
      </c>
      <c r="N151" s="2" t="s">
        <v>10</v>
      </c>
      <c r="O151" s="17">
        <f>ROUND(VLOOKUP(O$139&amp;"_1",管理者用人口入力シート!CO:DL,Q151,FALSE),0)</f>
        <v>697</v>
      </c>
      <c r="P151" s="17">
        <f>ROUND(VLOOKUP(O$139&amp;"_2",管理者用人口入力シート!CO:DL,Q151,FALSE),0)</f>
        <v>684</v>
      </c>
      <c r="Q151" s="2">
        <v>14</v>
      </c>
    </row>
    <row r="152" spans="7:17" x14ac:dyDescent="0.15">
      <c r="G152" s="2" t="s">
        <v>11</v>
      </c>
      <c r="H152" s="17">
        <f>ROUND(VLOOKUP(H$139&amp;"_1",管理者用人口入力シート!BH:CE,J152,FALSE),0)</f>
        <v>737</v>
      </c>
      <c r="I152" s="17">
        <f>ROUND(VLOOKUP(H$139&amp;"_2",管理者用人口入力シート!BH:CE,J152,FALSE),0)</f>
        <v>712</v>
      </c>
      <c r="J152" s="2">
        <v>15</v>
      </c>
      <c r="N152" s="2" t="s">
        <v>11</v>
      </c>
      <c r="O152" s="17">
        <f>ROUND(VLOOKUP(O$139&amp;"_1",管理者用人口入力シート!CO:DL,Q152,FALSE),0)</f>
        <v>737</v>
      </c>
      <c r="P152" s="17">
        <f>ROUND(VLOOKUP(O$139&amp;"_2",管理者用人口入力シート!CO:DL,Q152,FALSE),0)</f>
        <v>713</v>
      </c>
      <c r="Q152" s="2">
        <v>15</v>
      </c>
    </row>
    <row r="153" spans="7:17" x14ac:dyDescent="0.15">
      <c r="G153" s="2" t="s">
        <v>12</v>
      </c>
      <c r="H153" s="17">
        <f>ROUND(VLOOKUP(H$139&amp;"_1",管理者用人口入力シート!BH:CE,J153,FALSE),0)</f>
        <v>813</v>
      </c>
      <c r="I153" s="17">
        <f>ROUND(VLOOKUP(H$139&amp;"_2",管理者用人口入力シート!BH:CE,J153,FALSE),0)</f>
        <v>796</v>
      </c>
      <c r="J153" s="2">
        <v>16</v>
      </c>
      <c r="N153" s="2" t="s">
        <v>12</v>
      </c>
      <c r="O153" s="17">
        <f>ROUND(VLOOKUP(O$139&amp;"_1",管理者用人口入力シート!CO:DL,Q153,FALSE),0)</f>
        <v>813</v>
      </c>
      <c r="P153" s="17">
        <f>ROUND(VLOOKUP(O$139&amp;"_2",管理者用人口入力シート!CO:DL,Q153,FALSE),0)</f>
        <v>796</v>
      </c>
      <c r="Q153" s="2">
        <v>16</v>
      </c>
    </row>
    <row r="154" spans="7:17" x14ac:dyDescent="0.15">
      <c r="G154" s="2" t="s">
        <v>13</v>
      </c>
      <c r="H154" s="17">
        <f>ROUND(VLOOKUP(H$139&amp;"_1",管理者用人口入力シート!BH:CE,J154,FALSE),0)</f>
        <v>907</v>
      </c>
      <c r="I154" s="17">
        <f>ROUND(VLOOKUP(H$139&amp;"_2",管理者用人口入力シート!BH:CE,J154,FALSE),0)</f>
        <v>895</v>
      </c>
      <c r="J154" s="2">
        <v>17</v>
      </c>
      <c r="N154" s="2" t="s">
        <v>13</v>
      </c>
      <c r="O154" s="17">
        <f>ROUND(VLOOKUP(O$139&amp;"_1",管理者用人口入力シート!CO:DL,Q154,FALSE),0)</f>
        <v>907</v>
      </c>
      <c r="P154" s="17">
        <f>ROUND(VLOOKUP(O$139&amp;"_2",管理者用人口入力シート!CO:DL,Q154,FALSE),0)</f>
        <v>895</v>
      </c>
      <c r="Q154" s="2">
        <v>17</v>
      </c>
    </row>
    <row r="155" spans="7:17" x14ac:dyDescent="0.15">
      <c r="G155" s="2" t="s">
        <v>14</v>
      </c>
      <c r="H155" s="17">
        <f>ROUND(VLOOKUP(H$139&amp;"_1",管理者用人口入力シート!BH:CE,J155,FALSE),0)</f>
        <v>729</v>
      </c>
      <c r="I155" s="17">
        <f>ROUND(VLOOKUP(H$139&amp;"_2",管理者用人口入力シート!BH:CE,J155,FALSE),0)</f>
        <v>935</v>
      </c>
      <c r="J155" s="2">
        <v>18</v>
      </c>
      <c r="N155" s="2" t="s">
        <v>14</v>
      </c>
      <c r="O155" s="17">
        <f>ROUND(VLOOKUP(O$139&amp;"_1",管理者用人口入力シート!CO:DL,Q155,FALSE),0)</f>
        <v>729</v>
      </c>
      <c r="P155" s="17">
        <f>ROUND(VLOOKUP(O$139&amp;"_2",管理者用人口入力シート!CO:DL,Q155,FALSE),0)</f>
        <v>935</v>
      </c>
      <c r="Q155" s="2">
        <v>18</v>
      </c>
    </row>
    <row r="156" spans="7:17" x14ac:dyDescent="0.15">
      <c r="G156" s="2" t="s">
        <v>15</v>
      </c>
      <c r="H156" s="17">
        <f>ROUND(VLOOKUP(H$139&amp;"_1",管理者用人口入力シート!BH:CE,J156,FALSE),0)</f>
        <v>692</v>
      </c>
      <c r="I156" s="17">
        <f>ROUND(VLOOKUP(H$139&amp;"_2",管理者用人口入力シート!BH:CE,J156,FALSE),0)</f>
        <v>839</v>
      </c>
      <c r="J156" s="2">
        <v>19</v>
      </c>
      <c r="N156" s="2" t="s">
        <v>15</v>
      </c>
      <c r="O156" s="17">
        <f>ROUND(VLOOKUP(O$139&amp;"_1",管理者用人口入力シート!CO:DL,Q156,FALSE),0)</f>
        <v>692</v>
      </c>
      <c r="P156" s="17">
        <f>ROUND(VLOOKUP(O$139&amp;"_2",管理者用人口入力シート!CO:DL,Q156,FALSE),0)</f>
        <v>839</v>
      </c>
      <c r="Q156" s="2">
        <v>19</v>
      </c>
    </row>
    <row r="157" spans="7:17" x14ac:dyDescent="0.15">
      <c r="G157" s="2" t="s">
        <v>16</v>
      </c>
      <c r="H157" s="17">
        <f>ROUND(VLOOKUP(H$139&amp;"_1",管理者用人口入力シート!BH:CE,J157,FALSE),0)</f>
        <v>548</v>
      </c>
      <c r="I157" s="17">
        <f>ROUND(VLOOKUP(H$139&amp;"_2",管理者用人口入力シート!BH:CE,J157,FALSE),0)</f>
        <v>735</v>
      </c>
      <c r="J157" s="2">
        <v>20</v>
      </c>
      <c r="N157" s="2" t="s">
        <v>16</v>
      </c>
      <c r="O157" s="17">
        <f>ROUND(VLOOKUP(O$139&amp;"_1",管理者用人口入力シート!CO:DL,Q157,FALSE),0)</f>
        <v>548</v>
      </c>
      <c r="P157" s="17">
        <f>ROUND(VLOOKUP(O$139&amp;"_2",管理者用人口入力シート!CO:DL,Q157,FALSE),0)</f>
        <v>735</v>
      </c>
      <c r="Q157" s="2">
        <v>20</v>
      </c>
    </row>
    <row r="158" spans="7:17" x14ac:dyDescent="0.15">
      <c r="G158" s="2" t="s">
        <v>17</v>
      </c>
      <c r="H158" s="17">
        <f>ROUND(VLOOKUP(H$139&amp;"_1",管理者用人口入力シート!BH:CE,J158,FALSE),0)</f>
        <v>340</v>
      </c>
      <c r="I158" s="17">
        <f>ROUND(VLOOKUP(H$139&amp;"_2",管理者用人口入力シート!BH:CE,J158,FALSE),0)</f>
        <v>505</v>
      </c>
      <c r="J158" s="2">
        <v>21</v>
      </c>
      <c r="N158" s="2" t="s">
        <v>17</v>
      </c>
      <c r="O158" s="17">
        <f>ROUND(VLOOKUP(O$139&amp;"_1",管理者用人口入力シート!CO:DL,Q158,FALSE),0)</f>
        <v>340</v>
      </c>
      <c r="P158" s="17">
        <f>ROUND(VLOOKUP(O$139&amp;"_2",管理者用人口入力シート!CO:DL,Q158,FALSE),0)</f>
        <v>505</v>
      </c>
      <c r="Q158" s="2">
        <v>21</v>
      </c>
    </row>
    <row r="159" spans="7:17" x14ac:dyDescent="0.15">
      <c r="G159" s="2" t="s">
        <v>18</v>
      </c>
      <c r="H159" s="17">
        <f>ROUND(VLOOKUP(H$139&amp;"_1",管理者用人口入力シート!BH:CE,J159,FALSE),0)</f>
        <v>168</v>
      </c>
      <c r="I159" s="17">
        <f>ROUND(VLOOKUP(H$139&amp;"_2",管理者用人口入力シート!BH:CE,J159,FALSE),0)</f>
        <v>340</v>
      </c>
      <c r="J159" s="2">
        <v>22</v>
      </c>
      <c r="N159" s="2" t="s">
        <v>18</v>
      </c>
      <c r="O159" s="17">
        <f>ROUND(VLOOKUP(O$139&amp;"_1",管理者用人口入力シート!CO:DL,Q159,FALSE),0)</f>
        <v>168</v>
      </c>
      <c r="P159" s="17">
        <f>ROUND(VLOOKUP(O$139&amp;"_2",管理者用人口入力シート!CO:DL,Q159,FALSE),0)</f>
        <v>340</v>
      </c>
      <c r="Q159" s="2">
        <v>22</v>
      </c>
    </row>
    <row r="160" spans="7:17" x14ac:dyDescent="0.15">
      <c r="G160" s="2" t="s">
        <v>19</v>
      </c>
      <c r="H160" s="17">
        <f>ROUND(VLOOKUP(H$139&amp;"_1",管理者用人口入力シート!BH:CE,J160,FALSE),0)</f>
        <v>27</v>
      </c>
      <c r="I160" s="17">
        <f>ROUND(VLOOKUP(H$139&amp;"_2",管理者用人口入力シート!BH:CE,J160,FALSE),0)</f>
        <v>105</v>
      </c>
      <c r="J160" s="2">
        <v>23</v>
      </c>
      <c r="N160" s="2" t="s">
        <v>19</v>
      </c>
      <c r="O160" s="17">
        <f>ROUND(VLOOKUP(O$139&amp;"_1",管理者用人口入力シート!CO:DL,Q160,FALSE),0)</f>
        <v>27</v>
      </c>
      <c r="P160" s="17">
        <f>ROUND(VLOOKUP(O$139&amp;"_2",管理者用人口入力シート!CO:DL,Q160,FALSE),0)</f>
        <v>105</v>
      </c>
      <c r="Q160" s="2">
        <v>23</v>
      </c>
    </row>
    <row r="161" spans="7:17" x14ac:dyDescent="0.15">
      <c r="G161" s="2" t="s">
        <v>20</v>
      </c>
      <c r="H161" s="17">
        <f>ROUND(VLOOKUP(H$139&amp;"_1",管理者用人口入力シート!BH:CE,J161,FALSE),0)</f>
        <v>8</v>
      </c>
      <c r="I161" s="17">
        <f>ROUND(VLOOKUP(H$139&amp;"_2",管理者用人口入力シート!BH:CE,J161,FALSE),0)</f>
        <v>28</v>
      </c>
      <c r="J161" s="2">
        <v>24</v>
      </c>
      <c r="N161" s="2" t="s">
        <v>20</v>
      </c>
      <c r="O161" s="17">
        <f>ROUND(VLOOKUP(O$139&amp;"_1",管理者用人口入力シート!CO:DL,Q161,FALSE),0)</f>
        <v>8</v>
      </c>
      <c r="P161" s="17">
        <f>ROUND(VLOOKUP(O$139&amp;"_2",管理者用人口入力シート!CO:DL,Q161,FALSE),0)</f>
        <v>28</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314</v>
      </c>
      <c r="I165" s="17">
        <f>ROUND(VLOOKUP(H$163&amp;"_2",管理者用人口入力シート!BH:CE,J165,FALSE),0)</f>
        <v>313</v>
      </c>
      <c r="J165" s="2">
        <v>4</v>
      </c>
      <c r="N165" s="2" t="s">
        <v>0</v>
      </c>
      <c r="O165" s="17">
        <f>ROUND(VLOOKUP(O$163&amp;"_1",管理者用人口入力シート!CO:DL,Q165,FALSE),0)</f>
        <v>317</v>
      </c>
      <c r="P165" s="17">
        <f>ROUND(VLOOKUP(O$163&amp;"_2",管理者用人口入力シート!CO:DL,Q165,FALSE),0)</f>
        <v>315</v>
      </c>
      <c r="Q165" s="2">
        <v>4</v>
      </c>
    </row>
    <row r="166" spans="7:17" x14ac:dyDescent="0.15">
      <c r="G166" s="2" t="s">
        <v>1</v>
      </c>
      <c r="H166" s="17">
        <f>ROUND(VLOOKUP(H$163&amp;"_1",管理者用人口入力シート!BH:CE,J166,FALSE),0)</f>
        <v>333</v>
      </c>
      <c r="I166" s="17">
        <f>ROUND(VLOOKUP(H$163&amp;"_2",管理者用人口入力シート!BH:CE,J166,FALSE),0)</f>
        <v>338</v>
      </c>
      <c r="J166" s="2">
        <v>5</v>
      </c>
      <c r="N166" s="2" t="s">
        <v>1</v>
      </c>
      <c r="O166" s="17">
        <f>ROUND(VLOOKUP(O$163&amp;"_1",管理者用人口入力シート!CO:DL,Q166,FALSE),0)</f>
        <v>336</v>
      </c>
      <c r="P166" s="17">
        <f>ROUND(VLOOKUP(O$163&amp;"_2",管理者用人口入力シート!CO:DL,Q166,FALSE),0)</f>
        <v>341</v>
      </c>
      <c r="Q166" s="2">
        <v>5</v>
      </c>
    </row>
    <row r="167" spans="7:17" x14ac:dyDescent="0.15">
      <c r="G167" s="2" t="s">
        <v>2</v>
      </c>
      <c r="H167" s="17">
        <f>ROUND(VLOOKUP(H$163&amp;"_1",管理者用人口入力シート!BH:CE,J167,FALSE),0)</f>
        <v>384</v>
      </c>
      <c r="I167" s="17">
        <f>ROUND(VLOOKUP(H$163&amp;"_2",管理者用人口入力シート!BH:CE,J167,FALSE),0)</f>
        <v>376</v>
      </c>
      <c r="J167" s="2">
        <v>6</v>
      </c>
      <c r="N167" s="2" t="s">
        <v>2</v>
      </c>
      <c r="O167" s="17">
        <f>ROUND(VLOOKUP(O$163&amp;"_1",管理者用人口入力シート!CO:DL,Q167,FALSE),0)</f>
        <v>387</v>
      </c>
      <c r="P167" s="17">
        <f>ROUND(VLOOKUP(O$163&amp;"_2",管理者用人口入力シート!CO:DL,Q167,FALSE),0)</f>
        <v>379</v>
      </c>
      <c r="Q167" s="2">
        <v>6</v>
      </c>
    </row>
    <row r="168" spans="7:17" x14ac:dyDescent="0.15">
      <c r="G168" s="2" t="s">
        <v>3</v>
      </c>
      <c r="H168" s="17">
        <f>ROUND(VLOOKUP(H$163&amp;"_1",管理者用人口入力シート!BH:CE,J168,FALSE),0)</f>
        <v>381</v>
      </c>
      <c r="I168" s="17">
        <f>ROUND(VLOOKUP(H$163&amp;"_2",管理者用人口入力シート!BH:CE,J168,FALSE),0)</f>
        <v>399</v>
      </c>
      <c r="J168" s="2">
        <v>7</v>
      </c>
      <c r="N168" s="2" t="s">
        <v>3</v>
      </c>
      <c r="O168" s="17">
        <f>ROUND(VLOOKUP(O$163&amp;"_1",管理者用人口入力シート!CO:DL,Q168,FALSE),0)</f>
        <v>383</v>
      </c>
      <c r="P168" s="17">
        <f>ROUND(VLOOKUP(O$163&amp;"_2",管理者用人口入力シート!CO:DL,Q168,FALSE),0)</f>
        <v>402</v>
      </c>
      <c r="Q168" s="2">
        <v>7</v>
      </c>
    </row>
    <row r="169" spans="7:17" x14ac:dyDescent="0.15">
      <c r="G169" s="2" t="s">
        <v>4</v>
      </c>
      <c r="H169" s="17">
        <f>ROUND(VLOOKUP(H$163&amp;"_1",管理者用人口入力シート!BH:CE,J169,FALSE),0)</f>
        <v>280</v>
      </c>
      <c r="I169" s="17">
        <f>ROUND(VLOOKUP(H$163&amp;"_2",管理者用人口入力シート!BH:CE,J169,FALSE),0)</f>
        <v>350</v>
      </c>
      <c r="J169" s="2">
        <v>8</v>
      </c>
      <c r="N169" s="2" t="s">
        <v>4</v>
      </c>
      <c r="O169" s="17">
        <f>ROUND(VLOOKUP(O$163&amp;"_1",管理者用人口入力シート!CO:DL,Q169,FALSE),0)</f>
        <v>282</v>
      </c>
      <c r="P169" s="17">
        <f>ROUND(VLOOKUP(O$163&amp;"_2",管理者用人口入力シート!CO:DL,Q169,FALSE),0)</f>
        <v>352</v>
      </c>
      <c r="Q169" s="2">
        <v>8</v>
      </c>
    </row>
    <row r="170" spans="7:17" x14ac:dyDescent="0.15">
      <c r="G170" s="2" t="s">
        <v>5</v>
      </c>
      <c r="H170" s="17">
        <f>ROUND(VLOOKUP(H$163&amp;"_1",管理者用人口入力シート!BH:CE,J170,FALSE),0)</f>
        <v>326</v>
      </c>
      <c r="I170" s="17">
        <f>ROUND(VLOOKUP(H$163&amp;"_2",管理者用人口入力シート!BH:CE,J170,FALSE),0)</f>
        <v>372</v>
      </c>
      <c r="J170" s="2">
        <v>9</v>
      </c>
      <c r="N170" s="2" t="s">
        <v>5</v>
      </c>
      <c r="O170" s="17">
        <f>ROUND(VLOOKUP(O$163&amp;"_1",管理者用人口入力シート!CO:DL,Q170,FALSE),0)</f>
        <v>329</v>
      </c>
      <c r="P170" s="17">
        <f>ROUND(VLOOKUP(O$163&amp;"_2",管理者用人口入力シート!CO:DL,Q170,FALSE),0)</f>
        <v>375</v>
      </c>
      <c r="Q170" s="2">
        <v>9</v>
      </c>
    </row>
    <row r="171" spans="7:17" x14ac:dyDescent="0.15">
      <c r="G171" s="2" t="s">
        <v>6</v>
      </c>
      <c r="H171" s="17">
        <f>ROUND(VLOOKUP(H$163&amp;"_1",管理者用人口入力シート!BH:CE,J171,FALSE),0)</f>
        <v>404</v>
      </c>
      <c r="I171" s="17">
        <f>ROUND(VLOOKUP(H$163&amp;"_2",管理者用人口入力シート!BH:CE,J171,FALSE),0)</f>
        <v>432</v>
      </c>
      <c r="J171" s="2">
        <v>10</v>
      </c>
      <c r="N171" s="2" t="s">
        <v>6</v>
      </c>
      <c r="O171" s="17">
        <f>ROUND(VLOOKUP(O$163&amp;"_1",管理者用人口入力シート!CO:DL,Q171,FALSE),0)</f>
        <v>407</v>
      </c>
      <c r="P171" s="17">
        <f>ROUND(VLOOKUP(O$163&amp;"_2",管理者用人口入力シート!CO:DL,Q171,FALSE),0)</f>
        <v>435</v>
      </c>
      <c r="Q171" s="2">
        <v>10</v>
      </c>
    </row>
    <row r="172" spans="7:17" x14ac:dyDescent="0.15">
      <c r="G172" s="2" t="s">
        <v>7</v>
      </c>
      <c r="H172" s="17">
        <f>ROUND(VLOOKUP(H$163&amp;"_1",管理者用人口入力シート!BH:CE,J172,FALSE),0)</f>
        <v>430</v>
      </c>
      <c r="I172" s="17">
        <f>ROUND(VLOOKUP(H$163&amp;"_2",管理者用人口入力シート!BH:CE,J172,FALSE),0)</f>
        <v>403</v>
      </c>
      <c r="J172" s="2">
        <v>11</v>
      </c>
      <c r="N172" s="2" t="s">
        <v>7</v>
      </c>
      <c r="O172" s="17">
        <f>ROUND(VLOOKUP(O$163&amp;"_1",管理者用人口入力シート!CO:DL,Q172,FALSE),0)</f>
        <v>432</v>
      </c>
      <c r="P172" s="17">
        <f>ROUND(VLOOKUP(O$163&amp;"_2",管理者用人口入力シート!CO:DL,Q172,FALSE),0)</f>
        <v>405</v>
      </c>
      <c r="Q172" s="2">
        <v>11</v>
      </c>
    </row>
    <row r="173" spans="7:17" x14ac:dyDescent="0.15">
      <c r="G173" s="2" t="s">
        <v>8</v>
      </c>
      <c r="H173" s="17">
        <f>ROUND(VLOOKUP(H$163&amp;"_1",管理者用人口入力シート!BH:CE,J173,FALSE),0)</f>
        <v>479</v>
      </c>
      <c r="I173" s="17">
        <f>ROUND(VLOOKUP(H$163&amp;"_2",管理者用人口入力シート!BH:CE,J173,FALSE),0)</f>
        <v>466</v>
      </c>
      <c r="J173" s="2">
        <v>12</v>
      </c>
      <c r="N173" s="2" t="s">
        <v>8</v>
      </c>
      <c r="O173" s="17">
        <f>ROUND(VLOOKUP(O$163&amp;"_1",管理者用人口入力シート!CO:DL,Q173,FALSE),0)</f>
        <v>482</v>
      </c>
      <c r="P173" s="17">
        <f>ROUND(VLOOKUP(O$163&amp;"_2",管理者用人口入力シート!CO:DL,Q173,FALSE),0)</f>
        <v>470</v>
      </c>
      <c r="Q173" s="2">
        <v>12</v>
      </c>
    </row>
    <row r="174" spans="7:17" x14ac:dyDescent="0.15">
      <c r="G174" s="2" t="s">
        <v>9</v>
      </c>
      <c r="H174" s="17">
        <f>ROUND(VLOOKUP(H$163&amp;"_1",管理者用人口入力シート!BH:CE,J174,FALSE),0)</f>
        <v>632</v>
      </c>
      <c r="I174" s="17">
        <f>ROUND(VLOOKUP(H$163&amp;"_2",管理者用人口入力シート!BH:CE,J174,FALSE),0)</f>
        <v>559</v>
      </c>
      <c r="J174" s="2">
        <v>13</v>
      </c>
      <c r="N174" s="2" t="s">
        <v>9</v>
      </c>
      <c r="O174" s="17">
        <f>ROUND(VLOOKUP(O$163&amp;"_1",管理者用人口入力シート!CO:DL,Q174,FALSE),0)</f>
        <v>634</v>
      </c>
      <c r="P174" s="17">
        <f>ROUND(VLOOKUP(O$163&amp;"_2",管理者用人口入力シート!CO:DL,Q174,FALSE),0)</f>
        <v>562</v>
      </c>
      <c r="Q174" s="2">
        <v>13</v>
      </c>
    </row>
    <row r="175" spans="7:17" x14ac:dyDescent="0.15">
      <c r="G175" s="2" t="s">
        <v>10</v>
      </c>
      <c r="H175" s="17">
        <f>ROUND(VLOOKUP(H$163&amp;"_1",管理者用人口入力シート!BH:CE,J175,FALSE),0)</f>
        <v>611</v>
      </c>
      <c r="I175" s="17">
        <f>ROUND(VLOOKUP(H$163&amp;"_2",管理者用人口入力シート!BH:CE,J175,FALSE),0)</f>
        <v>616</v>
      </c>
      <c r="J175" s="2">
        <v>14</v>
      </c>
      <c r="N175" s="2" t="s">
        <v>10</v>
      </c>
      <c r="O175" s="17">
        <f>ROUND(VLOOKUP(O$163&amp;"_1",管理者用人口入力シート!CO:DL,Q175,FALSE),0)</f>
        <v>611</v>
      </c>
      <c r="P175" s="17">
        <f>ROUND(VLOOKUP(O$163&amp;"_2",管理者用人口入力シート!CO:DL,Q175,FALSE),0)</f>
        <v>617</v>
      </c>
      <c r="Q175" s="2">
        <v>14</v>
      </c>
    </row>
    <row r="176" spans="7:17" x14ac:dyDescent="0.15">
      <c r="G176" s="2" t="s">
        <v>11</v>
      </c>
      <c r="H176" s="17">
        <f>ROUND(VLOOKUP(H$163&amp;"_1",管理者用人口入力シート!BH:CE,J176,FALSE),0)</f>
        <v>692</v>
      </c>
      <c r="I176" s="17">
        <f>ROUND(VLOOKUP(H$163&amp;"_2",管理者用人口入力シート!BH:CE,J176,FALSE),0)</f>
        <v>675</v>
      </c>
      <c r="J176" s="2">
        <v>15</v>
      </c>
      <c r="N176" s="2" t="s">
        <v>11</v>
      </c>
      <c r="O176" s="17">
        <f>ROUND(VLOOKUP(O$163&amp;"_1",管理者用人口入力シート!CO:DL,Q176,FALSE),0)</f>
        <v>692</v>
      </c>
      <c r="P176" s="17">
        <f>ROUND(VLOOKUP(O$163&amp;"_2",管理者用人口入力シート!CO:DL,Q176,FALSE),0)</f>
        <v>676</v>
      </c>
      <c r="Q176" s="2">
        <v>15</v>
      </c>
    </row>
    <row r="177" spans="7:17" x14ac:dyDescent="0.15">
      <c r="G177" s="2" t="s">
        <v>12</v>
      </c>
      <c r="H177" s="17">
        <f>ROUND(VLOOKUP(H$163&amp;"_1",管理者用人口入力シート!BH:CE,J177,FALSE),0)</f>
        <v>760</v>
      </c>
      <c r="I177" s="17">
        <f>ROUND(VLOOKUP(H$163&amp;"_2",管理者用人口入力シート!BH:CE,J177,FALSE),0)</f>
        <v>700</v>
      </c>
      <c r="J177" s="2">
        <v>16</v>
      </c>
      <c r="N177" s="2" t="s">
        <v>12</v>
      </c>
      <c r="O177" s="17">
        <f>ROUND(VLOOKUP(O$163&amp;"_1",管理者用人口入力シート!CO:DL,Q177,FALSE),0)</f>
        <v>760</v>
      </c>
      <c r="P177" s="17">
        <f>ROUND(VLOOKUP(O$163&amp;"_2",管理者用人口入力シート!CO:DL,Q177,FALSE),0)</f>
        <v>701</v>
      </c>
      <c r="Q177" s="2">
        <v>16</v>
      </c>
    </row>
    <row r="178" spans="7:17" x14ac:dyDescent="0.15">
      <c r="G178" s="2" t="s">
        <v>13</v>
      </c>
      <c r="H178" s="17">
        <f>ROUND(VLOOKUP(H$163&amp;"_1",管理者用人口入力シート!BH:CE,J178,FALSE),0)</f>
        <v>792</v>
      </c>
      <c r="I178" s="17">
        <f>ROUND(VLOOKUP(H$163&amp;"_2",管理者用人口入力シート!BH:CE,J178,FALSE),0)</f>
        <v>785</v>
      </c>
      <c r="J178" s="2">
        <v>17</v>
      </c>
      <c r="N178" s="2" t="s">
        <v>13</v>
      </c>
      <c r="O178" s="17">
        <f>ROUND(VLOOKUP(O$163&amp;"_1",管理者用人口入力シート!CO:DL,Q178,FALSE),0)</f>
        <v>792</v>
      </c>
      <c r="P178" s="17">
        <f>ROUND(VLOOKUP(O$163&amp;"_2",管理者用人口入力シート!CO:DL,Q178,FALSE),0)</f>
        <v>785</v>
      </c>
      <c r="Q178" s="2">
        <v>17</v>
      </c>
    </row>
    <row r="179" spans="7:17" x14ac:dyDescent="0.15">
      <c r="G179" s="2" t="s">
        <v>14</v>
      </c>
      <c r="H179" s="17">
        <f>ROUND(VLOOKUP(H$163&amp;"_1",管理者用人口入力シート!BH:CE,J179,FALSE),0)</f>
        <v>841</v>
      </c>
      <c r="I179" s="17">
        <f>ROUND(VLOOKUP(H$163&amp;"_2",管理者用人口入力シート!BH:CE,J179,FALSE),0)</f>
        <v>895</v>
      </c>
      <c r="J179" s="2">
        <v>18</v>
      </c>
      <c r="N179" s="2" t="s">
        <v>14</v>
      </c>
      <c r="O179" s="17">
        <f>ROUND(VLOOKUP(O$163&amp;"_1",管理者用人口入力シート!CO:DL,Q179,FALSE),0)</f>
        <v>841</v>
      </c>
      <c r="P179" s="17">
        <f>ROUND(VLOOKUP(O$163&amp;"_2",管理者用人口入力シート!CO:DL,Q179,FALSE),0)</f>
        <v>895</v>
      </c>
      <c r="Q179" s="2">
        <v>18</v>
      </c>
    </row>
    <row r="180" spans="7:17" x14ac:dyDescent="0.15">
      <c r="G180" s="2" t="s">
        <v>15</v>
      </c>
      <c r="H180" s="17">
        <f>ROUND(VLOOKUP(H$163&amp;"_1",管理者用人口入力シート!BH:CE,J180,FALSE),0)</f>
        <v>634</v>
      </c>
      <c r="I180" s="17">
        <f>ROUND(VLOOKUP(H$163&amp;"_2",管理者用人口入力シート!BH:CE,J180,FALSE),0)</f>
        <v>877</v>
      </c>
      <c r="J180" s="2">
        <v>19</v>
      </c>
      <c r="N180" s="2" t="s">
        <v>15</v>
      </c>
      <c r="O180" s="17">
        <f>ROUND(VLOOKUP(O$163&amp;"_1",管理者用人口入力シート!CO:DL,Q180,FALSE),0)</f>
        <v>634</v>
      </c>
      <c r="P180" s="17">
        <f>ROUND(VLOOKUP(O$163&amp;"_2",管理者用人口入力シート!CO:DL,Q180,FALSE),0)</f>
        <v>877</v>
      </c>
      <c r="Q180" s="2">
        <v>19</v>
      </c>
    </row>
    <row r="181" spans="7:17" x14ac:dyDescent="0.15">
      <c r="G181" s="2" t="s">
        <v>16</v>
      </c>
      <c r="H181" s="17">
        <f>ROUND(VLOOKUP(H$163&amp;"_1",管理者用人口入力シート!BH:CE,J181,FALSE),0)</f>
        <v>573</v>
      </c>
      <c r="I181" s="17">
        <f>ROUND(VLOOKUP(H$163&amp;"_2",管理者用人口入力シート!BH:CE,J181,FALSE),0)</f>
        <v>753</v>
      </c>
      <c r="J181" s="2">
        <v>20</v>
      </c>
      <c r="N181" s="2" t="s">
        <v>16</v>
      </c>
      <c r="O181" s="17">
        <f>ROUND(VLOOKUP(O$163&amp;"_1",管理者用人口入力シート!CO:DL,Q181,FALSE),0)</f>
        <v>573</v>
      </c>
      <c r="P181" s="17">
        <f>ROUND(VLOOKUP(O$163&amp;"_2",管理者用人口入力シート!CO:DL,Q181,FALSE),0)</f>
        <v>753</v>
      </c>
      <c r="Q181" s="2">
        <v>20</v>
      </c>
    </row>
    <row r="182" spans="7:17" x14ac:dyDescent="0.15">
      <c r="G182" s="2" t="s">
        <v>17</v>
      </c>
      <c r="H182" s="17">
        <f>ROUND(VLOOKUP(H$163&amp;"_1",管理者用人口入力シート!BH:CE,J182,FALSE),0)</f>
        <v>366</v>
      </c>
      <c r="I182" s="17">
        <f>ROUND(VLOOKUP(H$163&amp;"_2",管理者用人口入力シート!BH:CE,J182,FALSE),0)</f>
        <v>557</v>
      </c>
      <c r="J182" s="2">
        <v>21</v>
      </c>
      <c r="N182" s="2" t="s">
        <v>17</v>
      </c>
      <c r="O182" s="17">
        <f>ROUND(VLOOKUP(O$163&amp;"_1",管理者用人口入力シート!CO:DL,Q182,FALSE),0)</f>
        <v>366</v>
      </c>
      <c r="P182" s="17">
        <f>ROUND(VLOOKUP(O$163&amp;"_2",管理者用人口入力シート!CO:DL,Q182,FALSE),0)</f>
        <v>557</v>
      </c>
      <c r="Q182" s="2">
        <v>21</v>
      </c>
    </row>
    <row r="183" spans="7:17" x14ac:dyDescent="0.15">
      <c r="G183" s="2" t="s">
        <v>18</v>
      </c>
      <c r="H183" s="17">
        <f>ROUND(VLOOKUP(H$163&amp;"_1",管理者用人口入力シート!BH:CE,J183,FALSE),0)</f>
        <v>171</v>
      </c>
      <c r="I183" s="17">
        <f>ROUND(VLOOKUP(H$163&amp;"_2",管理者用人口入力シート!BH:CE,J183,FALSE),0)</f>
        <v>305</v>
      </c>
      <c r="J183" s="2">
        <v>22</v>
      </c>
      <c r="N183" s="2" t="s">
        <v>18</v>
      </c>
      <c r="O183" s="17">
        <f>ROUND(VLOOKUP(O$163&amp;"_1",管理者用人口入力シート!CO:DL,Q183,FALSE),0)</f>
        <v>171</v>
      </c>
      <c r="P183" s="17">
        <f>ROUND(VLOOKUP(O$163&amp;"_2",管理者用人口入力シート!CO:DL,Q183,FALSE),0)</f>
        <v>305</v>
      </c>
      <c r="Q183" s="2">
        <v>22</v>
      </c>
    </row>
    <row r="184" spans="7:17" x14ac:dyDescent="0.15">
      <c r="G184" s="2" t="s">
        <v>19</v>
      </c>
      <c r="H184" s="17">
        <f>ROUND(VLOOKUP(H$163&amp;"_1",管理者用人口入力シート!BH:CE,J184,FALSE),0)</f>
        <v>36</v>
      </c>
      <c r="I184" s="17">
        <f>ROUND(VLOOKUP(H$163&amp;"_2",管理者用人口入力シート!BH:CE,J184,FALSE),0)</f>
        <v>139</v>
      </c>
      <c r="J184" s="2">
        <v>23</v>
      </c>
      <c r="N184" s="2" t="s">
        <v>19</v>
      </c>
      <c r="O184" s="17">
        <f>ROUND(VLOOKUP(O$163&amp;"_1",管理者用人口入力シート!CO:DL,Q184,FALSE),0)</f>
        <v>36</v>
      </c>
      <c r="P184" s="17">
        <f>ROUND(VLOOKUP(O$163&amp;"_2",管理者用人口入力シート!CO:DL,Q184,FALSE),0)</f>
        <v>139</v>
      </c>
      <c r="Q184" s="2">
        <v>23</v>
      </c>
    </row>
    <row r="185" spans="7:17" x14ac:dyDescent="0.15">
      <c r="G185" s="2" t="s">
        <v>20</v>
      </c>
      <c r="H185" s="17">
        <f>ROUND(VLOOKUP(H$163&amp;"_1",管理者用人口入力シート!BH:CE,J185,FALSE),0)</f>
        <v>8</v>
      </c>
      <c r="I185" s="17">
        <f>ROUND(VLOOKUP(H$163&amp;"_2",管理者用人口入力シート!BH:CE,J185,FALSE),0)</f>
        <v>30</v>
      </c>
      <c r="J185" s="2">
        <v>24</v>
      </c>
      <c r="N185" s="2" t="s">
        <v>20</v>
      </c>
      <c r="O185" s="17">
        <f>ROUND(VLOOKUP(O$163&amp;"_1",管理者用人口入力シート!CO:DL,Q185,FALSE),0)</f>
        <v>8</v>
      </c>
      <c r="P185" s="17">
        <f>ROUND(VLOOKUP(O$163&amp;"_2",管理者用人口入力シート!CO:DL,Q185,FALSE),0)</f>
        <v>30</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301</v>
      </c>
      <c r="I189" s="17">
        <f>ROUND(VLOOKUP(H$187&amp;"_2",管理者用人口入力シート!BH:CE,J189,FALSE),0)</f>
        <v>299</v>
      </c>
      <c r="J189" s="2">
        <v>4</v>
      </c>
      <c r="N189" s="2" t="s">
        <v>0</v>
      </c>
      <c r="O189" s="17">
        <f>ROUND(VLOOKUP(O$187&amp;"_1",管理者用人口入力シート!CO:DL,Q189,FALSE),0)</f>
        <v>304</v>
      </c>
      <c r="P189" s="17">
        <f>ROUND(VLOOKUP(O$187&amp;"_2",管理者用人口入力シート!CO:DL,Q189,FALSE),0)</f>
        <v>303</v>
      </c>
      <c r="Q189" s="2">
        <v>4</v>
      </c>
    </row>
    <row r="190" spans="7:17" x14ac:dyDescent="0.15">
      <c r="G190" s="2" t="s">
        <v>1</v>
      </c>
      <c r="H190" s="17">
        <f>ROUND(VLOOKUP(H$187&amp;"_1",管理者用人口入力シート!BH:CE,J190,FALSE),0)</f>
        <v>317</v>
      </c>
      <c r="I190" s="17">
        <f>ROUND(VLOOKUP(H$187&amp;"_2",管理者用人口入力シート!BH:CE,J190,FALSE),0)</f>
        <v>322</v>
      </c>
      <c r="J190" s="2">
        <v>5</v>
      </c>
      <c r="N190" s="2" t="s">
        <v>1</v>
      </c>
      <c r="O190" s="17">
        <f>ROUND(VLOOKUP(O$187&amp;"_1",管理者用人口入力シート!CO:DL,Q190,FALSE),0)</f>
        <v>320</v>
      </c>
      <c r="P190" s="17">
        <f>ROUND(VLOOKUP(O$187&amp;"_2",管理者用人口入力シート!CO:DL,Q190,FALSE),0)</f>
        <v>325</v>
      </c>
      <c r="Q190" s="2">
        <v>5</v>
      </c>
    </row>
    <row r="191" spans="7:17" x14ac:dyDescent="0.15">
      <c r="G191" s="2" t="s">
        <v>2</v>
      </c>
      <c r="H191" s="17">
        <f>ROUND(VLOOKUP(H$187&amp;"_1",管理者用人口入力シート!BH:CE,J191,FALSE),0)</f>
        <v>353</v>
      </c>
      <c r="I191" s="17">
        <f>ROUND(VLOOKUP(H$187&amp;"_2",管理者用人口入力シート!BH:CE,J191,FALSE),0)</f>
        <v>346</v>
      </c>
      <c r="J191" s="2">
        <v>6</v>
      </c>
      <c r="N191" s="2" t="s">
        <v>2</v>
      </c>
      <c r="O191" s="17">
        <f>ROUND(VLOOKUP(O$187&amp;"_1",管理者用人口入力シート!CO:DL,Q191,FALSE),0)</f>
        <v>357</v>
      </c>
      <c r="P191" s="17">
        <f>ROUND(VLOOKUP(O$187&amp;"_2",管理者用人口入力シート!CO:DL,Q191,FALSE),0)</f>
        <v>350</v>
      </c>
      <c r="Q191" s="2">
        <v>6</v>
      </c>
    </row>
    <row r="192" spans="7:17" x14ac:dyDescent="0.15">
      <c r="G192" s="2" t="s">
        <v>3</v>
      </c>
      <c r="H192" s="17">
        <f>ROUND(VLOOKUP(H$187&amp;"_1",管理者用人口入力シート!BH:CE,J192,FALSE),0)</f>
        <v>353</v>
      </c>
      <c r="I192" s="17">
        <f>ROUND(VLOOKUP(H$187&amp;"_2",管理者用人口入力シート!BH:CE,J192,FALSE),0)</f>
        <v>370</v>
      </c>
      <c r="J192" s="2">
        <v>7</v>
      </c>
      <c r="N192" s="2" t="s">
        <v>3</v>
      </c>
      <c r="O192" s="17">
        <f>ROUND(VLOOKUP(O$187&amp;"_1",管理者用人口入力シート!CO:DL,Q192,FALSE),0)</f>
        <v>356</v>
      </c>
      <c r="P192" s="17">
        <f>ROUND(VLOOKUP(O$187&amp;"_2",管理者用人口入力シート!CO:DL,Q192,FALSE),0)</f>
        <v>374</v>
      </c>
      <c r="Q192" s="2">
        <v>7</v>
      </c>
    </row>
    <row r="193" spans="7:17" x14ac:dyDescent="0.15">
      <c r="G193" s="2" t="s">
        <v>4</v>
      </c>
      <c r="H193" s="17">
        <f>ROUND(VLOOKUP(H$187&amp;"_1",管理者用人口入力シート!BH:CE,J193,FALSE),0)</f>
        <v>248</v>
      </c>
      <c r="I193" s="17">
        <f>ROUND(VLOOKUP(H$187&amp;"_2",管理者用人口入力シート!BH:CE,J193,FALSE),0)</f>
        <v>310</v>
      </c>
      <c r="J193" s="2">
        <v>8</v>
      </c>
      <c r="N193" s="2" t="s">
        <v>4</v>
      </c>
      <c r="O193" s="17">
        <f>ROUND(VLOOKUP(O$187&amp;"_1",管理者用人口入力シート!CO:DL,Q193,FALSE),0)</f>
        <v>250</v>
      </c>
      <c r="P193" s="17">
        <f>ROUND(VLOOKUP(O$187&amp;"_2",管理者用人口入力シート!CO:DL,Q193,FALSE),0)</f>
        <v>312</v>
      </c>
      <c r="Q193" s="2">
        <v>8</v>
      </c>
    </row>
    <row r="194" spans="7:17" x14ac:dyDescent="0.15">
      <c r="G194" s="2" t="s">
        <v>5</v>
      </c>
      <c r="H194" s="17">
        <f>ROUND(VLOOKUP(H$187&amp;"_1",管理者用人口入力シート!BH:CE,J194,FALSE),0)</f>
        <v>294</v>
      </c>
      <c r="I194" s="17">
        <f>ROUND(VLOOKUP(H$187&amp;"_2",管理者用人口入力シート!BH:CE,J194,FALSE),0)</f>
        <v>335</v>
      </c>
      <c r="J194" s="2">
        <v>9</v>
      </c>
      <c r="N194" s="2" t="s">
        <v>5</v>
      </c>
      <c r="O194" s="17">
        <f>ROUND(VLOOKUP(O$187&amp;"_1",管理者用人口入力シート!CO:DL,Q194,FALSE),0)</f>
        <v>298</v>
      </c>
      <c r="P194" s="17">
        <f>ROUND(VLOOKUP(O$187&amp;"_2",管理者用人口入力シート!CO:DL,Q194,FALSE),0)</f>
        <v>339</v>
      </c>
      <c r="Q194" s="2">
        <v>9</v>
      </c>
    </row>
    <row r="195" spans="7:17" x14ac:dyDescent="0.15">
      <c r="G195" s="2" t="s">
        <v>6</v>
      </c>
      <c r="H195" s="17">
        <f>ROUND(VLOOKUP(H$187&amp;"_1",管理者用人口入力シート!BH:CE,J195,FALSE),0)</f>
        <v>376</v>
      </c>
      <c r="I195" s="17">
        <f>ROUND(VLOOKUP(H$187&amp;"_2",管理者用人口入力シート!BH:CE,J195,FALSE),0)</f>
        <v>391</v>
      </c>
      <c r="J195" s="2">
        <v>10</v>
      </c>
      <c r="N195" s="2" t="s">
        <v>6</v>
      </c>
      <c r="O195" s="17">
        <f>ROUND(VLOOKUP(O$187&amp;"_1",管理者用人口入力シート!CO:DL,Q195,FALSE),0)</f>
        <v>379</v>
      </c>
      <c r="P195" s="17">
        <f>ROUND(VLOOKUP(O$187&amp;"_2",管理者用人口入力シート!CO:DL,Q195,FALSE),0)</f>
        <v>393</v>
      </c>
      <c r="Q195" s="2">
        <v>10</v>
      </c>
    </row>
    <row r="196" spans="7:17" x14ac:dyDescent="0.15">
      <c r="G196" s="2" t="s">
        <v>7</v>
      </c>
      <c r="H196" s="17">
        <f>ROUND(VLOOKUP(H$187&amp;"_1",管理者用人口入力シート!BH:CE,J196,FALSE),0)</f>
        <v>425</v>
      </c>
      <c r="I196" s="17">
        <f>ROUND(VLOOKUP(H$187&amp;"_2",管理者用人口入力シート!BH:CE,J196,FALSE),0)</f>
        <v>456</v>
      </c>
      <c r="J196" s="2">
        <v>11</v>
      </c>
      <c r="N196" s="2" t="s">
        <v>7</v>
      </c>
      <c r="O196" s="17">
        <f>ROUND(VLOOKUP(O$187&amp;"_1",管理者用人口入力シート!CO:DL,Q196,FALSE),0)</f>
        <v>428</v>
      </c>
      <c r="P196" s="17">
        <f>ROUND(VLOOKUP(O$187&amp;"_2",管理者用人口入力シート!CO:DL,Q196,FALSE),0)</f>
        <v>459</v>
      </c>
      <c r="Q196" s="2">
        <v>11</v>
      </c>
    </row>
    <row r="197" spans="7:17" x14ac:dyDescent="0.15">
      <c r="G197" s="2" t="s">
        <v>8</v>
      </c>
      <c r="H197" s="17">
        <f>ROUND(VLOOKUP(H$187&amp;"_1",管理者用人口入力シート!BH:CE,J197,FALSE),0)</f>
        <v>458</v>
      </c>
      <c r="I197" s="17">
        <f>ROUND(VLOOKUP(H$187&amp;"_2",管理者用人口入力シート!BH:CE,J197,FALSE),0)</f>
        <v>413</v>
      </c>
      <c r="J197" s="2">
        <v>12</v>
      </c>
      <c r="N197" s="2" t="s">
        <v>8</v>
      </c>
      <c r="O197" s="17">
        <f>ROUND(VLOOKUP(O$187&amp;"_1",管理者用人口入力シート!CO:DL,Q197,FALSE),0)</f>
        <v>460</v>
      </c>
      <c r="P197" s="17">
        <f>ROUND(VLOOKUP(O$187&amp;"_2",管理者用人口入力シート!CO:DL,Q197,FALSE),0)</f>
        <v>416</v>
      </c>
      <c r="Q197" s="2">
        <v>12</v>
      </c>
    </row>
    <row r="198" spans="7:17" x14ac:dyDescent="0.15">
      <c r="G198" s="2" t="s">
        <v>9</v>
      </c>
      <c r="H198" s="17">
        <f>ROUND(VLOOKUP(H$187&amp;"_1",管理者用人口入力シート!BH:CE,J198,FALSE),0)</f>
        <v>490</v>
      </c>
      <c r="I198" s="17">
        <f>ROUND(VLOOKUP(H$187&amp;"_2",管理者用人口入力シート!BH:CE,J198,FALSE),0)</f>
        <v>459</v>
      </c>
      <c r="J198" s="2">
        <v>13</v>
      </c>
      <c r="N198" s="2" t="s">
        <v>9</v>
      </c>
      <c r="O198" s="17">
        <f>ROUND(VLOOKUP(O$187&amp;"_1",管理者用人口入力シート!CO:DL,Q198,FALSE),0)</f>
        <v>493</v>
      </c>
      <c r="P198" s="17">
        <f>ROUND(VLOOKUP(O$187&amp;"_2",管理者用人口入力シート!CO:DL,Q198,FALSE),0)</f>
        <v>463</v>
      </c>
      <c r="Q198" s="2">
        <v>13</v>
      </c>
    </row>
    <row r="199" spans="7:17" x14ac:dyDescent="0.15">
      <c r="G199" s="2" t="s">
        <v>10</v>
      </c>
      <c r="H199" s="17">
        <f>ROUND(VLOOKUP(H$187&amp;"_1",管理者用人口入力シート!BH:CE,J199,FALSE),0)</f>
        <v>642</v>
      </c>
      <c r="I199" s="17">
        <f>ROUND(VLOOKUP(H$187&amp;"_2",管理者用人口入力シート!BH:CE,J199,FALSE),0)</f>
        <v>565</v>
      </c>
      <c r="J199" s="2">
        <v>14</v>
      </c>
      <c r="N199" s="2" t="s">
        <v>10</v>
      </c>
      <c r="O199" s="17">
        <f>ROUND(VLOOKUP(O$187&amp;"_1",管理者用人口入力シート!CO:DL,Q199,FALSE),0)</f>
        <v>644</v>
      </c>
      <c r="P199" s="17">
        <f>ROUND(VLOOKUP(O$187&amp;"_2",管理者用人口入力シート!CO:DL,Q199,FALSE),0)</f>
        <v>568</v>
      </c>
      <c r="Q199" s="2">
        <v>14</v>
      </c>
    </row>
    <row r="200" spans="7:17" x14ac:dyDescent="0.15">
      <c r="G200" s="2" t="s">
        <v>11</v>
      </c>
      <c r="H200" s="17">
        <f>ROUND(VLOOKUP(H$187&amp;"_1",管理者用人口入力シート!BH:CE,J200,FALSE),0)</f>
        <v>607</v>
      </c>
      <c r="I200" s="17">
        <f>ROUND(VLOOKUP(H$187&amp;"_2",管理者用人口入力シート!BH:CE,J200,FALSE),0)</f>
        <v>609</v>
      </c>
      <c r="J200" s="2">
        <v>15</v>
      </c>
      <c r="N200" s="2" t="s">
        <v>11</v>
      </c>
      <c r="O200" s="17">
        <f>ROUND(VLOOKUP(O$187&amp;"_1",管理者用人口入力シート!CO:DL,Q200,FALSE),0)</f>
        <v>607</v>
      </c>
      <c r="P200" s="17">
        <f>ROUND(VLOOKUP(O$187&amp;"_2",管理者用人口入力シート!CO:DL,Q200,FALSE),0)</f>
        <v>610</v>
      </c>
      <c r="Q200" s="2">
        <v>15</v>
      </c>
    </row>
    <row r="201" spans="7:17" x14ac:dyDescent="0.15">
      <c r="G201" s="2" t="s">
        <v>12</v>
      </c>
      <c r="H201" s="17">
        <f>ROUND(VLOOKUP(H$187&amp;"_1",管理者用人口入力シート!BH:CE,J201,FALSE),0)</f>
        <v>713</v>
      </c>
      <c r="I201" s="17">
        <f>ROUND(VLOOKUP(H$187&amp;"_2",管理者用人口入力シート!BH:CE,J201,FALSE),0)</f>
        <v>664</v>
      </c>
      <c r="J201" s="2">
        <v>16</v>
      </c>
      <c r="N201" s="2" t="s">
        <v>12</v>
      </c>
      <c r="O201" s="17">
        <f>ROUND(VLOOKUP(O$187&amp;"_1",管理者用人口入力シート!CO:DL,Q201,FALSE),0)</f>
        <v>713</v>
      </c>
      <c r="P201" s="17">
        <f>ROUND(VLOOKUP(O$187&amp;"_2",管理者用人口入力シート!CO:DL,Q201,FALSE),0)</f>
        <v>665</v>
      </c>
      <c r="Q201" s="2">
        <v>16</v>
      </c>
    </row>
    <row r="202" spans="7:17" x14ac:dyDescent="0.15">
      <c r="G202" s="2" t="s">
        <v>13</v>
      </c>
      <c r="H202" s="17">
        <f>ROUND(VLOOKUP(H$187&amp;"_1",管理者用人口入力シート!BH:CE,J202,FALSE),0)</f>
        <v>741</v>
      </c>
      <c r="I202" s="17">
        <f>ROUND(VLOOKUP(H$187&amp;"_2",管理者用人口入力シート!BH:CE,J202,FALSE),0)</f>
        <v>691</v>
      </c>
      <c r="J202" s="2">
        <v>17</v>
      </c>
      <c r="N202" s="2" t="s">
        <v>13</v>
      </c>
      <c r="O202" s="17">
        <f>ROUND(VLOOKUP(O$187&amp;"_1",管理者用人口入力シート!CO:DL,Q202,FALSE),0)</f>
        <v>741</v>
      </c>
      <c r="P202" s="17">
        <f>ROUND(VLOOKUP(O$187&amp;"_2",管理者用人口入力シート!CO:DL,Q202,FALSE),0)</f>
        <v>692</v>
      </c>
      <c r="Q202" s="2">
        <v>17</v>
      </c>
    </row>
    <row r="203" spans="7:17" x14ac:dyDescent="0.15">
      <c r="G203" s="2" t="s">
        <v>14</v>
      </c>
      <c r="H203" s="17">
        <f>ROUND(VLOOKUP(H$187&amp;"_1",管理者用人口入力シート!BH:CE,J203,FALSE),0)</f>
        <v>734</v>
      </c>
      <c r="I203" s="17">
        <f>ROUND(VLOOKUP(H$187&amp;"_2",管理者用人口入力シート!BH:CE,J203,FALSE),0)</f>
        <v>786</v>
      </c>
      <c r="J203" s="2">
        <v>18</v>
      </c>
      <c r="N203" s="2" t="s">
        <v>14</v>
      </c>
      <c r="O203" s="17">
        <f>ROUND(VLOOKUP(O$187&amp;"_1",管理者用人口入力シート!CO:DL,Q203,FALSE),0)</f>
        <v>734</v>
      </c>
      <c r="P203" s="17">
        <f>ROUND(VLOOKUP(O$187&amp;"_2",管理者用人口入力シート!CO:DL,Q203,FALSE),0)</f>
        <v>786</v>
      </c>
      <c r="Q203" s="2">
        <v>18</v>
      </c>
    </row>
    <row r="204" spans="7:17" x14ac:dyDescent="0.15">
      <c r="G204" s="2" t="s">
        <v>15</v>
      </c>
      <c r="H204" s="17">
        <f>ROUND(VLOOKUP(H$187&amp;"_1",管理者用人口入力シート!BH:CE,J204,FALSE),0)</f>
        <v>731</v>
      </c>
      <c r="I204" s="17">
        <f>ROUND(VLOOKUP(H$187&amp;"_2",管理者用人口入力シート!BH:CE,J204,FALSE),0)</f>
        <v>840</v>
      </c>
      <c r="J204" s="2">
        <v>19</v>
      </c>
      <c r="N204" s="2" t="s">
        <v>15</v>
      </c>
      <c r="O204" s="17">
        <f>ROUND(VLOOKUP(O$187&amp;"_1",管理者用人口入力シート!CO:DL,Q204,FALSE),0)</f>
        <v>731</v>
      </c>
      <c r="P204" s="17">
        <f>ROUND(VLOOKUP(O$187&amp;"_2",管理者用人口入力シート!CO:DL,Q204,FALSE),0)</f>
        <v>840</v>
      </c>
      <c r="Q204" s="2">
        <v>19</v>
      </c>
    </row>
    <row r="205" spans="7:17" x14ac:dyDescent="0.15">
      <c r="G205" s="2" t="s">
        <v>16</v>
      </c>
      <c r="H205" s="17">
        <f>ROUND(VLOOKUP(H$187&amp;"_1",管理者用人口入力シート!BH:CE,J205,FALSE),0)</f>
        <v>526</v>
      </c>
      <c r="I205" s="17">
        <f>ROUND(VLOOKUP(H$187&amp;"_2",管理者用人口入力シート!BH:CE,J205,FALSE),0)</f>
        <v>787</v>
      </c>
      <c r="J205" s="2">
        <v>20</v>
      </c>
      <c r="N205" s="2" t="s">
        <v>16</v>
      </c>
      <c r="O205" s="17">
        <f>ROUND(VLOOKUP(O$187&amp;"_1",管理者用人口入力シート!CO:DL,Q205,FALSE),0)</f>
        <v>526</v>
      </c>
      <c r="P205" s="17">
        <f>ROUND(VLOOKUP(O$187&amp;"_2",管理者用人口入力シート!CO:DL,Q205,FALSE),0)</f>
        <v>787</v>
      </c>
      <c r="Q205" s="2">
        <v>20</v>
      </c>
    </row>
    <row r="206" spans="7:17" x14ac:dyDescent="0.15">
      <c r="G206" s="2" t="s">
        <v>17</v>
      </c>
      <c r="H206" s="17">
        <f>ROUND(VLOOKUP(H$187&amp;"_1",管理者用人口入力シート!BH:CE,J206,FALSE),0)</f>
        <v>383</v>
      </c>
      <c r="I206" s="17">
        <f>ROUND(VLOOKUP(H$187&amp;"_2",管理者用人口入力シート!BH:CE,J206,FALSE),0)</f>
        <v>570</v>
      </c>
      <c r="J206" s="2">
        <v>21</v>
      </c>
      <c r="N206" s="2" t="s">
        <v>17</v>
      </c>
      <c r="O206" s="17">
        <f>ROUND(VLOOKUP(O$187&amp;"_1",管理者用人口入力シート!CO:DL,Q206,FALSE),0)</f>
        <v>383</v>
      </c>
      <c r="P206" s="17">
        <f>ROUND(VLOOKUP(O$187&amp;"_2",管理者用人口入力シート!CO:DL,Q206,FALSE),0)</f>
        <v>570</v>
      </c>
      <c r="Q206" s="2">
        <v>21</v>
      </c>
    </row>
    <row r="207" spans="7:17" x14ac:dyDescent="0.15">
      <c r="G207" s="2" t="s">
        <v>18</v>
      </c>
      <c r="H207" s="17">
        <f>ROUND(VLOOKUP(H$187&amp;"_1",管理者用人口入力シート!BH:CE,J207,FALSE),0)</f>
        <v>183</v>
      </c>
      <c r="I207" s="17">
        <f>ROUND(VLOOKUP(H$187&amp;"_2",管理者用人口入力シート!BH:CE,J207,FALSE),0)</f>
        <v>336</v>
      </c>
      <c r="J207" s="2">
        <v>22</v>
      </c>
      <c r="N207" s="2" t="s">
        <v>18</v>
      </c>
      <c r="O207" s="17">
        <f>ROUND(VLOOKUP(O$187&amp;"_1",管理者用人口入力シート!CO:DL,Q207,FALSE),0)</f>
        <v>183</v>
      </c>
      <c r="P207" s="17">
        <f>ROUND(VLOOKUP(O$187&amp;"_2",管理者用人口入力シート!CO:DL,Q207,FALSE),0)</f>
        <v>336</v>
      </c>
      <c r="Q207" s="2">
        <v>22</v>
      </c>
    </row>
    <row r="208" spans="7:17" x14ac:dyDescent="0.15">
      <c r="G208" s="2" t="s">
        <v>19</v>
      </c>
      <c r="H208" s="17">
        <f>ROUND(VLOOKUP(H$187&amp;"_1",管理者用人口入力シート!BH:CE,J208,FALSE),0)</f>
        <v>37</v>
      </c>
      <c r="I208" s="17">
        <f>ROUND(VLOOKUP(H$187&amp;"_2",管理者用人口入力シート!BH:CE,J208,FALSE),0)</f>
        <v>125</v>
      </c>
      <c r="J208" s="2">
        <v>23</v>
      </c>
      <c r="N208" s="2" t="s">
        <v>19</v>
      </c>
      <c r="O208" s="17">
        <f>ROUND(VLOOKUP(O$187&amp;"_1",管理者用人口入力シート!CO:DL,Q208,FALSE),0)</f>
        <v>37</v>
      </c>
      <c r="P208" s="17">
        <f>ROUND(VLOOKUP(O$187&amp;"_2",管理者用人口入力シート!CO:DL,Q208,FALSE),0)</f>
        <v>125</v>
      </c>
      <c r="Q208" s="2">
        <v>23</v>
      </c>
    </row>
    <row r="209" spans="7:17" x14ac:dyDescent="0.15">
      <c r="G209" s="2" t="s">
        <v>20</v>
      </c>
      <c r="H209" s="17">
        <f>ROUND(VLOOKUP(H$187&amp;"_1",管理者用人口入力シート!BH:CE,J209,FALSE),0)</f>
        <v>10</v>
      </c>
      <c r="I209" s="17">
        <f>ROUND(VLOOKUP(H$187&amp;"_2",管理者用人口入力シート!BH:CE,J209,FALSE),0)</f>
        <v>40</v>
      </c>
      <c r="J209" s="2">
        <v>24</v>
      </c>
      <c r="N209" s="2" t="s">
        <v>20</v>
      </c>
      <c r="O209" s="17">
        <f>ROUND(VLOOKUP(O$187&amp;"_1",管理者用人口入力シート!CO:DL,Q209,FALSE),0)</f>
        <v>10</v>
      </c>
      <c r="P209" s="17">
        <f>ROUND(VLOOKUP(O$187&amp;"_2",管理者用人口入力シート!CO:DL,Q209,FALSE),0)</f>
        <v>40</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771</v>
      </c>
      <c r="P214" s="17">
        <f>O93+P93</f>
        <v>775</v>
      </c>
      <c r="Q214" s="2">
        <v>4</v>
      </c>
    </row>
    <row r="215" spans="7:17" x14ac:dyDescent="0.15">
      <c r="N215" s="2" t="s">
        <v>1</v>
      </c>
      <c r="O215" s="17">
        <f t="shared" ref="O215:O233" si="37">H94+I94</f>
        <v>889</v>
      </c>
      <c r="P215" s="17">
        <f t="shared" ref="P215:P233" si="38">O94+P94</f>
        <v>891</v>
      </c>
      <c r="Q215" s="2">
        <v>5</v>
      </c>
    </row>
    <row r="216" spans="7:17" x14ac:dyDescent="0.15">
      <c r="N216" s="2" t="s">
        <v>2</v>
      </c>
      <c r="O216" s="17">
        <f t="shared" si="37"/>
        <v>1027</v>
      </c>
      <c r="P216" s="17">
        <f t="shared" si="38"/>
        <v>1029</v>
      </c>
      <c r="Q216" s="2">
        <v>6</v>
      </c>
    </row>
    <row r="217" spans="7:17" x14ac:dyDescent="0.15">
      <c r="N217" s="2" t="s">
        <v>3</v>
      </c>
      <c r="O217" s="17">
        <f t="shared" si="37"/>
        <v>1067</v>
      </c>
      <c r="P217" s="17">
        <f t="shared" si="38"/>
        <v>1069</v>
      </c>
      <c r="Q217" s="2">
        <v>7</v>
      </c>
    </row>
    <row r="218" spans="7:17" x14ac:dyDescent="0.15">
      <c r="N218" s="2" t="s">
        <v>4</v>
      </c>
      <c r="O218" s="17">
        <f t="shared" si="37"/>
        <v>717</v>
      </c>
      <c r="P218" s="17">
        <f t="shared" si="38"/>
        <v>717</v>
      </c>
      <c r="Q218" s="2">
        <v>8</v>
      </c>
    </row>
    <row r="219" spans="7:17" x14ac:dyDescent="0.15">
      <c r="N219" s="2" t="s">
        <v>5</v>
      </c>
      <c r="O219" s="17">
        <f t="shared" si="37"/>
        <v>781</v>
      </c>
      <c r="P219" s="17">
        <f t="shared" si="38"/>
        <v>785</v>
      </c>
      <c r="Q219" s="2">
        <v>9</v>
      </c>
    </row>
    <row r="220" spans="7:17" x14ac:dyDescent="0.15">
      <c r="N220" s="2" t="s">
        <v>6</v>
      </c>
      <c r="O220" s="17">
        <f t="shared" si="37"/>
        <v>1075</v>
      </c>
      <c r="P220" s="17">
        <f t="shared" si="38"/>
        <v>1080</v>
      </c>
      <c r="Q220" s="2">
        <v>10</v>
      </c>
    </row>
    <row r="221" spans="7:17" x14ac:dyDescent="0.15">
      <c r="N221" s="2" t="s">
        <v>7</v>
      </c>
      <c r="O221" s="17">
        <f t="shared" si="37"/>
        <v>1156</v>
      </c>
      <c r="P221" s="17">
        <f t="shared" si="38"/>
        <v>1156</v>
      </c>
      <c r="Q221" s="2">
        <v>11</v>
      </c>
    </row>
    <row r="222" spans="7:17" x14ac:dyDescent="0.15">
      <c r="N222" s="2" t="s">
        <v>8</v>
      </c>
      <c r="O222" s="17">
        <f t="shared" si="37"/>
        <v>1356</v>
      </c>
      <c r="P222" s="17">
        <f t="shared" si="38"/>
        <v>1357</v>
      </c>
      <c r="Q222" s="2">
        <v>12</v>
      </c>
    </row>
    <row r="223" spans="7:17" x14ac:dyDescent="0.15">
      <c r="N223" s="2" t="s">
        <v>9</v>
      </c>
      <c r="O223" s="17">
        <f t="shared" si="37"/>
        <v>1443</v>
      </c>
      <c r="P223" s="17">
        <f t="shared" si="38"/>
        <v>1444</v>
      </c>
      <c r="Q223" s="2">
        <v>13</v>
      </c>
    </row>
    <row r="224" spans="7:17" x14ac:dyDescent="0.15">
      <c r="N224" s="2" t="s">
        <v>10</v>
      </c>
      <c r="O224" s="17">
        <f t="shared" si="37"/>
        <v>1613</v>
      </c>
      <c r="P224" s="17">
        <f t="shared" si="38"/>
        <v>1613</v>
      </c>
      <c r="Q224" s="2">
        <v>14</v>
      </c>
    </row>
    <row r="225" spans="14:17" x14ac:dyDescent="0.15">
      <c r="N225" s="2" t="s">
        <v>11</v>
      </c>
      <c r="O225" s="17">
        <f t="shared" si="37"/>
        <v>1824</v>
      </c>
      <c r="P225" s="17">
        <f t="shared" si="38"/>
        <v>1824</v>
      </c>
      <c r="Q225" s="2">
        <v>15</v>
      </c>
    </row>
    <row r="226" spans="14:17" x14ac:dyDescent="0.15">
      <c r="N226" s="2" t="s">
        <v>12</v>
      </c>
      <c r="O226" s="17">
        <f t="shared" si="37"/>
        <v>1755</v>
      </c>
      <c r="P226" s="17">
        <f t="shared" si="38"/>
        <v>1755</v>
      </c>
      <c r="Q226" s="2">
        <v>16</v>
      </c>
    </row>
    <row r="227" spans="14:17" x14ac:dyDescent="0.15">
      <c r="N227" s="2" t="s">
        <v>13</v>
      </c>
      <c r="O227" s="17">
        <f t="shared" si="37"/>
        <v>1752</v>
      </c>
      <c r="P227" s="17">
        <f t="shared" si="38"/>
        <v>1752</v>
      </c>
      <c r="Q227" s="2">
        <v>17</v>
      </c>
    </row>
    <row r="228" spans="14:17" x14ac:dyDescent="0.15">
      <c r="N228" s="2" t="s">
        <v>14</v>
      </c>
      <c r="O228" s="17">
        <f t="shared" si="37"/>
        <v>1633</v>
      </c>
      <c r="P228" s="17">
        <f t="shared" si="38"/>
        <v>1633</v>
      </c>
      <c r="Q228" s="2">
        <v>18</v>
      </c>
    </row>
    <row r="229" spans="14:17" x14ac:dyDescent="0.15">
      <c r="N229" s="2" t="s">
        <v>15</v>
      </c>
      <c r="O229" s="17">
        <f t="shared" si="37"/>
        <v>1358</v>
      </c>
      <c r="P229" s="17">
        <f t="shared" si="38"/>
        <v>1358</v>
      </c>
      <c r="Q229" s="2">
        <v>19</v>
      </c>
    </row>
    <row r="230" spans="14:17" x14ac:dyDescent="0.15">
      <c r="N230" s="2" t="s">
        <v>16</v>
      </c>
      <c r="O230" s="17">
        <f t="shared" si="37"/>
        <v>1245</v>
      </c>
      <c r="P230" s="17">
        <f t="shared" si="38"/>
        <v>1245</v>
      </c>
      <c r="Q230" s="2">
        <v>20</v>
      </c>
    </row>
    <row r="231" spans="14:17" x14ac:dyDescent="0.15">
      <c r="N231" s="2" t="s">
        <v>17</v>
      </c>
      <c r="O231" s="17">
        <f t="shared" si="37"/>
        <v>678</v>
      </c>
      <c r="P231" s="17">
        <f t="shared" si="38"/>
        <v>678</v>
      </c>
      <c r="Q231" s="2">
        <v>21</v>
      </c>
    </row>
    <row r="232" spans="14:17" x14ac:dyDescent="0.15">
      <c r="N232" s="2" t="s">
        <v>18</v>
      </c>
      <c r="O232" s="17">
        <f t="shared" si="37"/>
        <v>365</v>
      </c>
      <c r="P232" s="17">
        <f t="shared" si="38"/>
        <v>365</v>
      </c>
      <c r="Q232" s="2">
        <v>22</v>
      </c>
    </row>
    <row r="233" spans="14:17" x14ac:dyDescent="0.15">
      <c r="N233" s="2" t="s">
        <v>19</v>
      </c>
      <c r="O233" s="17">
        <f t="shared" si="37"/>
        <v>137</v>
      </c>
      <c r="P233" s="17">
        <f t="shared" si="38"/>
        <v>137</v>
      </c>
      <c r="Q233" s="2">
        <v>23</v>
      </c>
    </row>
    <row r="234" spans="14:17" x14ac:dyDescent="0.15">
      <c r="N234" s="2" t="s">
        <v>20</v>
      </c>
      <c r="O234" s="17">
        <f>H113+I113</f>
        <v>31</v>
      </c>
      <c r="P234" s="17">
        <f>O113+P113</f>
        <v>31</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658</v>
      </c>
      <c r="P238" s="17">
        <f>O141+P141</f>
        <v>663</v>
      </c>
      <c r="Q238" s="2">
        <v>4</v>
      </c>
    </row>
    <row r="239" spans="14:17" x14ac:dyDescent="0.15">
      <c r="N239" s="2" t="s">
        <v>1</v>
      </c>
      <c r="O239" s="17">
        <f t="shared" ref="O239:O257" si="39">H142+I142</f>
        <v>729</v>
      </c>
      <c r="P239" s="17">
        <f t="shared" ref="P239:P257" si="40">O142+P142</f>
        <v>734</v>
      </c>
      <c r="Q239" s="2">
        <v>5</v>
      </c>
    </row>
    <row r="240" spans="14:17" x14ac:dyDescent="0.15">
      <c r="N240" s="2" t="s">
        <v>2</v>
      </c>
      <c r="O240" s="17">
        <f t="shared" si="39"/>
        <v>819</v>
      </c>
      <c r="P240" s="17">
        <f t="shared" si="40"/>
        <v>825</v>
      </c>
      <c r="Q240" s="2">
        <v>6</v>
      </c>
    </row>
    <row r="241" spans="14:17" x14ac:dyDescent="0.15">
      <c r="N241" s="2" t="s">
        <v>3</v>
      </c>
      <c r="O241" s="17">
        <f t="shared" si="39"/>
        <v>882</v>
      </c>
      <c r="P241" s="17">
        <f t="shared" si="40"/>
        <v>886</v>
      </c>
      <c r="Q241" s="2">
        <v>7</v>
      </c>
    </row>
    <row r="242" spans="14:17" x14ac:dyDescent="0.15">
      <c r="N242" s="2" t="s">
        <v>4</v>
      </c>
      <c r="O242" s="17">
        <f t="shared" si="39"/>
        <v>699</v>
      </c>
      <c r="P242" s="17">
        <f t="shared" si="40"/>
        <v>701</v>
      </c>
      <c r="Q242" s="2">
        <v>8</v>
      </c>
    </row>
    <row r="243" spans="14:17" x14ac:dyDescent="0.15">
      <c r="N243" s="2" t="s">
        <v>5</v>
      </c>
      <c r="O243" s="17">
        <f t="shared" si="39"/>
        <v>762</v>
      </c>
      <c r="P243" s="17">
        <f t="shared" si="40"/>
        <v>767</v>
      </c>
      <c r="Q243" s="2">
        <v>9</v>
      </c>
    </row>
    <row r="244" spans="14:17" x14ac:dyDescent="0.15">
      <c r="N244" s="2" t="s">
        <v>6</v>
      </c>
      <c r="O244" s="17">
        <f t="shared" si="39"/>
        <v>789</v>
      </c>
      <c r="P244" s="17">
        <f t="shared" si="40"/>
        <v>795</v>
      </c>
      <c r="Q244" s="2">
        <v>10</v>
      </c>
    </row>
    <row r="245" spans="14:17" x14ac:dyDescent="0.15">
      <c r="N245" s="2" t="s">
        <v>7</v>
      </c>
      <c r="O245" s="17">
        <f t="shared" si="39"/>
        <v>905</v>
      </c>
      <c r="P245" s="17">
        <f t="shared" si="40"/>
        <v>910</v>
      </c>
      <c r="Q245" s="2">
        <v>11</v>
      </c>
    </row>
    <row r="246" spans="14:17" x14ac:dyDescent="0.15">
      <c r="N246" s="2" t="s">
        <v>8</v>
      </c>
      <c r="O246" s="17">
        <f t="shared" si="39"/>
        <v>1185</v>
      </c>
      <c r="P246" s="17">
        <f t="shared" si="40"/>
        <v>1190</v>
      </c>
      <c r="Q246" s="2">
        <v>12</v>
      </c>
    </row>
    <row r="247" spans="14:17" x14ac:dyDescent="0.15">
      <c r="N247" s="2" t="s">
        <v>9</v>
      </c>
      <c r="O247" s="17">
        <f t="shared" si="39"/>
        <v>1211</v>
      </c>
      <c r="P247" s="17">
        <f t="shared" si="40"/>
        <v>1212</v>
      </c>
      <c r="Q247" s="2">
        <v>13</v>
      </c>
    </row>
    <row r="248" spans="14:17" x14ac:dyDescent="0.15">
      <c r="N248" s="2" t="s">
        <v>10</v>
      </c>
      <c r="O248" s="17">
        <f t="shared" si="39"/>
        <v>1380</v>
      </c>
      <c r="P248" s="17">
        <f t="shared" si="40"/>
        <v>1381</v>
      </c>
      <c r="Q248" s="2">
        <v>14</v>
      </c>
    </row>
    <row r="249" spans="14:17" x14ac:dyDescent="0.15">
      <c r="N249" s="2" t="s">
        <v>11</v>
      </c>
      <c r="O249" s="17">
        <f t="shared" si="39"/>
        <v>1449</v>
      </c>
      <c r="P249" s="17">
        <f t="shared" si="40"/>
        <v>1450</v>
      </c>
      <c r="Q249" s="2">
        <v>15</v>
      </c>
    </row>
    <row r="250" spans="14:17" x14ac:dyDescent="0.15">
      <c r="N250" s="2" t="s">
        <v>12</v>
      </c>
      <c r="O250" s="17">
        <f t="shared" si="39"/>
        <v>1609</v>
      </c>
      <c r="P250" s="17">
        <f t="shared" si="40"/>
        <v>1609</v>
      </c>
      <c r="Q250" s="2">
        <v>16</v>
      </c>
    </row>
    <row r="251" spans="14:17" x14ac:dyDescent="0.15">
      <c r="N251" s="2" t="s">
        <v>13</v>
      </c>
      <c r="O251" s="17">
        <f t="shared" si="39"/>
        <v>1802</v>
      </c>
      <c r="P251" s="17">
        <f t="shared" si="40"/>
        <v>1802</v>
      </c>
      <c r="Q251" s="2">
        <v>17</v>
      </c>
    </row>
    <row r="252" spans="14:17" x14ac:dyDescent="0.15">
      <c r="N252" s="2" t="s">
        <v>14</v>
      </c>
      <c r="O252" s="17">
        <f t="shared" si="39"/>
        <v>1664</v>
      </c>
      <c r="P252" s="17">
        <f t="shared" si="40"/>
        <v>1664</v>
      </c>
      <c r="Q252" s="2">
        <v>18</v>
      </c>
    </row>
    <row r="253" spans="14:17" x14ac:dyDescent="0.15">
      <c r="N253" s="2" t="s">
        <v>15</v>
      </c>
      <c r="O253" s="17">
        <f t="shared" si="39"/>
        <v>1531</v>
      </c>
      <c r="P253" s="17">
        <f t="shared" si="40"/>
        <v>1531</v>
      </c>
      <c r="Q253" s="2">
        <v>19</v>
      </c>
    </row>
    <row r="254" spans="14:17" x14ac:dyDescent="0.15">
      <c r="N254" s="2" t="s">
        <v>16</v>
      </c>
      <c r="O254" s="17">
        <f t="shared" si="39"/>
        <v>1283</v>
      </c>
      <c r="P254" s="17">
        <f t="shared" si="40"/>
        <v>1283</v>
      </c>
      <c r="Q254" s="2">
        <v>20</v>
      </c>
    </row>
    <row r="255" spans="14:17" x14ac:dyDescent="0.15">
      <c r="N255" s="2" t="s">
        <v>17</v>
      </c>
      <c r="O255" s="17">
        <f t="shared" si="39"/>
        <v>845</v>
      </c>
      <c r="P255" s="17">
        <f t="shared" si="40"/>
        <v>845</v>
      </c>
      <c r="Q255" s="2">
        <v>21</v>
      </c>
    </row>
    <row r="256" spans="14:17" x14ac:dyDescent="0.15">
      <c r="N256" s="2" t="s">
        <v>18</v>
      </c>
      <c r="O256" s="17">
        <f t="shared" si="39"/>
        <v>508</v>
      </c>
      <c r="P256" s="17">
        <f t="shared" si="40"/>
        <v>508</v>
      </c>
      <c r="Q256" s="2">
        <v>22</v>
      </c>
    </row>
    <row r="257" spans="14:17" x14ac:dyDescent="0.15">
      <c r="N257" s="2" t="s">
        <v>19</v>
      </c>
      <c r="O257" s="17">
        <f t="shared" si="39"/>
        <v>132</v>
      </c>
      <c r="P257" s="17">
        <f t="shared" si="40"/>
        <v>132</v>
      </c>
      <c r="Q257" s="2">
        <v>23</v>
      </c>
    </row>
    <row r="258" spans="14:17" x14ac:dyDescent="0.15">
      <c r="N258" s="2" t="s">
        <v>20</v>
      </c>
      <c r="O258" s="17">
        <f>H161+I161</f>
        <v>36</v>
      </c>
      <c r="P258" s="17">
        <f>O161+P161</f>
        <v>36</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2019-03-13T11:22:26Z</cp:lastPrinted>
  <dcterms:created xsi:type="dcterms:W3CDTF">2018-08-17T00:57:13Z</dcterms:created>
  <dcterms:modified xsi:type="dcterms:W3CDTF">2023-03-06T05:56:32Z</dcterms:modified>
</cp:coreProperties>
</file>