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9nOliP6JMqVjVXRcl/Jr+c6lFFER1Suel329eqhn95Upd0Z25gD0NLOoszDPAx/3UnfHtztyIcbFzVU1Fr2ghw==" workbookSaltValue="ATcKmFFe4t83/EpIsppVi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AP8" i="17"/>
  <c r="BO4" i="17" s="1"/>
  <c r="ED4" i="17" s="1"/>
  <c r="AV8" i="17"/>
  <c r="BU4" i="17" s="1"/>
  <c r="EJ4" i="17" s="1"/>
  <c r="O14" i="18"/>
  <c r="AT8" i="17"/>
  <c r="BS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S5" i="17"/>
  <c r="BV6" i="17"/>
  <c r="BU7" i="17"/>
  <c r="BX6" i="17"/>
  <c r="BP6" i="17"/>
  <c r="BT6" i="17"/>
  <c r="O42" i="18"/>
  <c r="O60" i="18"/>
  <c r="O52" i="18"/>
  <c r="O24" i="18"/>
  <c r="O34" i="18"/>
  <c r="O16" i="18"/>
  <c r="O75" i="18" l="1"/>
  <c r="CV4" i="17"/>
  <c r="BQ5" i="17"/>
  <c r="ER4" i="17"/>
  <c r="ER21" i="17" s="1"/>
  <c r="ER22" i="17" s="1"/>
  <c r="EQ4" i="17"/>
  <c r="DB4" i="17"/>
  <c r="CC5" i="17"/>
  <c r="CJ5" i="17" s="1"/>
  <c r="BO5" i="17"/>
  <c r="BU5" i="17"/>
  <c r="DG4" i="17"/>
  <c r="DH7" i="17" s="1"/>
  <c r="P85" i="18" s="1"/>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7"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CD10" i="17"/>
  <c r="CE13" i="17" s="1"/>
  <c r="I113" i="18" s="1"/>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Q5" i="17"/>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ER5" i="17" l="1"/>
  <c r="CE10" i="17"/>
  <c r="I137" i="18" s="1"/>
  <c r="P88" i="18"/>
  <c r="CM5" i="17"/>
  <c r="BS10" i="17"/>
  <c r="BT13" i="17" s="1"/>
  <c r="I150" i="18" s="1"/>
  <c r="DD10" i="17"/>
  <c r="DE13" i="17" s="1"/>
  <c r="DF16" i="17" s="1"/>
  <c r="DK5" i="17"/>
  <c r="ET7" i="17"/>
  <c r="ET24" i="17" s="1"/>
  <c r="EV4" i="17"/>
  <c r="CY5" i="17"/>
  <c r="P76" i="18"/>
  <c r="BV8" i="17"/>
  <c r="CC10" i="17"/>
  <c r="CD13" i="17" s="1"/>
  <c r="I160" i="18" s="1"/>
  <c r="CI5" i="17"/>
  <c r="BX8" i="17"/>
  <c r="EM5" i="17"/>
  <c r="ES5" i="17"/>
  <c r="P86" i="18"/>
  <c r="DI5" i="17"/>
  <c r="DQ5" i="17" s="1"/>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X21" i="17"/>
  <c r="EY21" i="17"/>
  <c r="ES22" i="17"/>
  <c r="EY23" i="17"/>
  <c r="ES10" i="17"/>
  <c r="ER24" i="17"/>
  <c r="ER25" i="17" s="1"/>
  <c r="EL10" i="17"/>
  <c r="EK24" i="17"/>
  <c r="EK25" i="17" s="1"/>
  <c r="EW23" i="17"/>
  <c r="EO10" i="17"/>
  <c r="EO27" i="17" s="1"/>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R12" i="17"/>
  <c r="H148" i="18" s="1"/>
  <c r="DE9" i="17"/>
  <c r="O130" i="18" s="1"/>
  <c r="DD8" i="17"/>
  <c r="DP7" i="17"/>
  <c r="BU11" i="17"/>
  <c r="BV12" i="17"/>
  <c r="H152" i="18" s="1"/>
  <c r="O249" i="18" s="1"/>
  <c r="EO8" i="17" l="1"/>
  <c r="ET8" i="17"/>
  <c r="P129" i="18"/>
  <c r="O247" i="18"/>
  <c r="BU16" i="17"/>
  <c r="BS11" i="17"/>
  <c r="O256" i="18"/>
  <c r="CI8" i="17"/>
  <c r="I135" i="18"/>
  <c r="I125" i="18"/>
  <c r="BZ11" i="17"/>
  <c r="CJ11" i="17" s="1"/>
  <c r="DT5" i="17"/>
  <c r="DP5" i="17"/>
  <c r="O257" i="18"/>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C28"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X8" i="17"/>
  <c r="EY8" i="17"/>
  <c r="EP12" i="17"/>
  <c r="EO11"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BL8" i="17"/>
  <c r="CG6" i="17"/>
  <c r="DJ12" i="17"/>
  <c r="DI11" i="17"/>
  <c r="CW11" i="17"/>
  <c r="CI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E14" i="17" l="1"/>
  <c r="EC11" i="17"/>
  <c r="P224" i="18"/>
  <c r="CG7" i="17"/>
  <c r="P250" i="18"/>
  <c r="P226" i="18"/>
  <c r="DB16" i="17"/>
  <c r="DC19" i="17" s="1"/>
  <c r="P200" i="18" s="1"/>
  <c r="P249" i="18"/>
  <c r="P248" i="18"/>
  <c r="P150" i="18"/>
  <c r="P247" i="18" s="1"/>
  <c r="CJ16" i="17"/>
  <c r="CF7" i="17"/>
  <c r="CK7" i="17" s="1"/>
  <c r="CK5" i="17"/>
  <c r="CI16" i="17"/>
  <c r="I182" i="18"/>
  <c r="CR5" i="17"/>
  <c r="DM5" i="17" s="1"/>
  <c r="DR5" i="17" s="1"/>
  <c r="CS7" i="17"/>
  <c r="P70" i="18" s="1"/>
  <c r="I94" i="18"/>
  <c r="P69" i="18"/>
  <c r="I93" i="18"/>
  <c r="O214" i="18" s="1"/>
  <c r="CK4" i="17"/>
  <c r="DP13" i="17"/>
  <c r="BK8" i="17"/>
  <c r="CF8" i="17" s="1"/>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S4" i="17"/>
  <c r="DQ11" i="17"/>
  <c r="CG9" i="17"/>
  <c r="BN12" i="17"/>
  <c r="CH9" i="17"/>
  <c r="BM11" i="17"/>
  <c r="CH11" i="17" s="1"/>
  <c r="I27" i="18" s="1"/>
  <c r="P27" i="18" s="1"/>
  <c r="CV14" i="17"/>
  <c r="DT12" i="17"/>
  <c r="CL7" i="17"/>
  <c r="DN6" i="17"/>
  <c r="CS8" i="17"/>
  <c r="BL11" i="17"/>
  <c r="BM12" i="17"/>
  <c r="DP12" i="17"/>
  <c r="CI14" i="17"/>
  <c r="BM13" i="17"/>
  <c r="CG10" i="17"/>
  <c r="DJ19" i="17" l="1"/>
  <c r="P207" i="18" s="1"/>
  <c r="ED14" i="17"/>
  <c r="P175" i="18"/>
  <c r="DC20" i="17"/>
  <c r="DB17" i="17"/>
  <c r="DN7" i="17"/>
  <c r="EX30" i="17"/>
  <c r="H142" i="18"/>
  <c r="DS5" i="17"/>
  <c r="O215" i="18"/>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CT11" i="17"/>
  <c r="DO9" i="17"/>
  <c r="CL8" i="17"/>
  <c r="CK8" i="17"/>
  <c r="CH13" i="17"/>
  <c r="CG12" i="17"/>
  <c r="DM9" i="17"/>
  <c r="DN8" i="17"/>
  <c r="Q18" i="18" s="1"/>
  <c r="P18" i="18"/>
  <c r="DN9" i="17"/>
  <c r="O239" i="18" l="1"/>
  <c r="DW10" i="17"/>
  <c r="DW16" i="17" s="1"/>
  <c r="DO10" i="17"/>
  <c r="DN10" i="17"/>
  <c r="DM10" i="17"/>
  <c r="DR10" i="17" s="1"/>
  <c r="P144" i="18"/>
  <c r="P119" i="18"/>
  <c r="T9" i="18" s="1"/>
  <c r="CK12" i="17"/>
  <c r="DR7" i="17"/>
  <c r="H167" i="18"/>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DW8"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P241" i="18" l="1"/>
  <c r="Q55" i="18"/>
  <c r="Q63" i="18"/>
  <c r="CK13" i="17"/>
  <c r="DW9" i="17"/>
  <c r="DW17" i="17" s="1"/>
  <c r="DX1" i="17" s="1"/>
  <c r="P166" i="18"/>
  <c r="CT19" i="17"/>
  <c r="DO19"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EF9" i="17" s="1"/>
  <c r="EG12" i="17" s="1"/>
  <c r="EE4" i="17"/>
  <c r="EF4" i="17"/>
  <c r="EF21" i="17" s="1"/>
  <c r="EE3" i="17"/>
  <c r="EE13" i="17"/>
  <c r="EE7" i="17"/>
  <c r="DX18" i="17"/>
  <c r="C37" i="21"/>
  <c r="EG4" i="17"/>
  <c r="EE10" i="17"/>
  <c r="EE9" i="17"/>
  <c r="EF12" i="17" s="1"/>
  <c r="EG3" i="17"/>
  <c r="EF3" i="17"/>
  <c r="E75" i="19"/>
  <c r="CT20" i="17"/>
  <c r="DN20" i="17" s="1"/>
  <c r="BK18" i="17"/>
  <c r="H189" i="18" s="1"/>
  <c r="P191" i="18"/>
  <c r="P56" i="18"/>
  <c r="BN20" i="17"/>
  <c r="DN17" i="17"/>
  <c r="CL14" i="17"/>
  <c r="C12" i="19"/>
  <c r="G71" i="19"/>
  <c r="G70" i="19"/>
  <c r="Q10" i="18"/>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E117" i="21"/>
  <c r="G113" i="21"/>
  <c r="O192" i="18"/>
  <c r="CU20" i="17"/>
  <c r="DO18" i="17"/>
  <c r="DO17" i="17"/>
  <c r="G112" i="21"/>
  <c r="E116" i="21"/>
  <c r="DR16" i="17"/>
  <c r="BL18" i="17"/>
  <c r="BK17" i="17"/>
  <c r="CF17" i="17" s="1"/>
  <c r="CF15" i="17"/>
  <c r="CM20" i="17"/>
  <c r="CF16" i="17"/>
  <c r="BL19" i="17"/>
  <c r="BK20" i="17"/>
  <c r="DR14" i="17"/>
  <c r="DS14" i="17"/>
  <c r="EG7" i="17" l="1"/>
  <c r="EG24" i="17" s="1"/>
  <c r="DO20" i="17"/>
  <c r="CH20" i="17"/>
  <c r="D38" i="21"/>
  <c r="D39" i="21"/>
  <c r="C39" i="21"/>
  <c r="D37" i="21"/>
  <c r="C38" i="21"/>
  <c r="EF29" i="17"/>
  <c r="EE24" i="17"/>
  <c r="FB7" i="17"/>
  <c r="EE30" i="17"/>
  <c r="EG29" i="17"/>
  <c r="EF10" i="17"/>
  <c r="D46" i="21"/>
  <c r="D10" i="19"/>
  <c r="D47" i="21" s="1"/>
  <c r="EG6" i="17"/>
  <c r="EF5" i="17"/>
  <c r="EF20" i="17"/>
  <c r="EF22" i="17" s="1"/>
  <c r="EF6" i="17"/>
  <c r="EE20" i="17"/>
  <c r="EU3" i="17"/>
  <c r="EE5" i="17"/>
  <c r="FB3" i="17"/>
  <c r="EH6" i="17"/>
  <c r="EG20" i="17"/>
  <c r="EG5" i="17"/>
  <c r="EE26" i="17"/>
  <c r="EE11" i="17"/>
  <c r="EE21" i="17"/>
  <c r="EU4" i="17"/>
  <c r="FB4" i="17"/>
  <c r="EF26" i="17"/>
  <c r="EE23" i="17"/>
  <c r="EE8" i="17"/>
  <c r="EF13" i="17"/>
  <c r="EF30" i="17" s="1"/>
  <c r="EE27" i="17"/>
  <c r="EF7" i="17"/>
  <c r="EG21" i="17"/>
  <c r="EH7" i="17"/>
  <c r="EE29" i="17"/>
  <c r="EE14" i="17"/>
  <c r="FB12"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H10" i="17" l="1"/>
  <c r="D11" i="19"/>
  <c r="EU5" i="17"/>
  <c r="FA5" i="17" s="1"/>
  <c r="FA4" i="17"/>
  <c r="EZ4" i="17"/>
  <c r="EF23" i="17"/>
  <c r="EF8" i="17"/>
  <c r="EG9" i="17"/>
  <c r="EI13" i="17"/>
  <c r="EI30" i="17" s="1"/>
  <c r="EH27" i="17"/>
  <c r="DZ6" i="17"/>
  <c r="DZ7" i="17"/>
  <c r="EF24" i="17"/>
  <c r="FB24" i="17" s="1"/>
  <c r="EG10" i="17"/>
  <c r="EG23" i="17"/>
  <c r="EH9" i="17"/>
  <c r="EG8" i="17"/>
  <c r="EU20" i="17"/>
  <c r="EE22" i="17"/>
  <c r="FB20" i="17"/>
  <c r="EI10" i="17"/>
  <c r="EH24" i="17"/>
  <c r="EE28" i="17"/>
  <c r="EF14" i="17"/>
  <c r="EF31" i="17"/>
  <c r="EG22" i="17"/>
  <c r="EF27" i="17"/>
  <c r="EF28" i="17" s="1"/>
  <c r="EG13" i="17"/>
  <c r="FB13" i="17" s="1"/>
  <c r="FB6" i="17"/>
  <c r="EI9" i="17"/>
  <c r="EH23" i="17"/>
  <c r="EH8" i="17"/>
  <c r="EU21" i="17"/>
  <c r="FB21" i="17"/>
  <c r="EE25" i="17"/>
  <c r="FB29" i="17"/>
  <c r="EF11" i="17"/>
  <c r="FB5" i="17"/>
  <c r="EZ3" i="17"/>
  <c r="FA3" i="17"/>
  <c r="EE31" i="17"/>
  <c r="CK18" i="17"/>
  <c r="DS20" i="17"/>
  <c r="DS18" i="17"/>
  <c r="CK19" i="17"/>
  <c r="CL19" i="17"/>
  <c r="CF20" i="17"/>
  <c r="FB8" i="17" l="1"/>
  <c r="FB23" i="17"/>
  <c r="EG25" i="17"/>
  <c r="EF25" i="17"/>
  <c r="FB25" i="17" s="1"/>
  <c r="EZ5" i="17"/>
  <c r="EU22" i="17"/>
  <c r="FB22" i="17"/>
  <c r="EJ13" i="17"/>
  <c r="EJ30" i="17" s="1"/>
  <c r="EI27" i="17"/>
  <c r="EG30" i="17"/>
  <c r="EG14" i="17"/>
  <c r="FB14" i="17" s="1"/>
  <c r="FA20" i="17"/>
  <c r="EZ20" i="17"/>
  <c r="EH25" i="17"/>
  <c r="EA9" i="17"/>
  <c r="DZ8" i="17"/>
  <c r="EU8" i="17" s="1"/>
  <c r="DZ23" i="17"/>
  <c r="EU6" i="17"/>
  <c r="EH11" i="17"/>
  <c r="EH26" i="17"/>
  <c r="EH28" i="17" s="1"/>
  <c r="EI12" i="17"/>
  <c r="EG26" i="17"/>
  <c r="EH12" i="17"/>
  <c r="EG11" i="17"/>
  <c r="FB11" i="17" s="1"/>
  <c r="FB9" i="17"/>
  <c r="FA21" i="17"/>
  <c r="EZ21" i="17"/>
  <c r="EI26" i="17"/>
  <c r="EI11" i="17"/>
  <c r="EJ12" i="17"/>
  <c r="FB10" i="17"/>
  <c r="EH13" i="17"/>
  <c r="EH30" i="17" s="1"/>
  <c r="EG27" i="17"/>
  <c r="FB27" i="17" s="1"/>
  <c r="DZ13" i="17"/>
  <c r="DZ12" i="17"/>
  <c r="EU7" i="17"/>
  <c r="EA10" i="17"/>
  <c r="DZ24" i="17"/>
  <c r="EU24" i="17" s="1"/>
  <c r="CK20" i="17"/>
  <c r="CL20" i="17"/>
  <c r="EH29" i="17" l="1"/>
  <c r="EH14" i="17"/>
  <c r="EG28" i="17"/>
  <c r="FB28" i="17" s="1"/>
  <c r="FB26" i="17"/>
  <c r="FB30" i="17"/>
  <c r="EG31" i="17"/>
  <c r="FB31" i="17" s="1"/>
  <c r="EA27" i="17"/>
  <c r="EV27" i="17" s="1"/>
  <c r="EB13" i="17"/>
  <c r="EV10" i="17"/>
  <c r="EI29" i="17"/>
  <c r="EI31" i="17" s="1"/>
  <c r="EI14" i="17"/>
  <c r="EH31" i="17"/>
  <c r="DZ9" i="17"/>
  <c r="EU9" i="17" s="1"/>
  <c r="DZ10" i="17"/>
  <c r="EA11" i="17"/>
  <c r="EV11" i="17" s="1"/>
  <c r="EA26" i="17"/>
  <c r="EB12" i="17"/>
  <c r="EV9" i="17"/>
  <c r="DZ14" i="17"/>
  <c r="DZ29" i="17"/>
  <c r="EJ14" i="17"/>
  <c r="EJ29" i="17"/>
  <c r="EJ31" i="17" s="1"/>
  <c r="FA6" i="17"/>
  <c r="EZ6" i="17"/>
  <c r="H36" i="21"/>
  <c r="FA22" i="17"/>
  <c r="EZ22" i="17"/>
  <c r="FA7" i="17"/>
  <c r="EZ7" i="17"/>
  <c r="DZ25" i="17"/>
  <c r="EU25" i="17" s="1"/>
  <c r="EU23" i="17"/>
  <c r="EZ24" i="17"/>
  <c r="FA24" i="17"/>
  <c r="DZ30" i="17"/>
  <c r="EI28" i="17"/>
  <c r="FA8" i="17"/>
  <c r="EZ8" i="17"/>
  <c r="EW13" i="17" l="1"/>
  <c r="EB30" i="17"/>
  <c r="EW30" i="17" s="1"/>
  <c r="H37" i="21"/>
  <c r="EZ25" i="17"/>
  <c r="FA25" i="17"/>
  <c r="EA28" i="17"/>
  <c r="EV28" i="17" s="1"/>
  <c r="EV26" i="17"/>
  <c r="EZ23" i="17"/>
  <c r="FA23" i="17"/>
  <c r="EZ9" i="17"/>
  <c r="FA9" i="17"/>
  <c r="EW12" i="17"/>
  <c r="EB14" i="17"/>
  <c r="EW14" i="17" s="1"/>
  <c r="EB29" i="17"/>
  <c r="EA13" i="17"/>
  <c r="DZ27" i="17"/>
  <c r="EU27" i="17" s="1"/>
  <c r="EU10" i="17"/>
  <c r="DZ31" i="17"/>
  <c r="DZ26" i="17"/>
  <c r="EA12" i="17"/>
  <c r="DZ11" i="17"/>
  <c r="EU11" i="17" s="1"/>
  <c r="DZ28" i="17" l="1"/>
  <c r="EU28" i="17" s="1"/>
  <c r="EU26" i="17"/>
  <c r="EB31" i="17"/>
  <c r="EW31" i="17" s="1"/>
  <c r="EW29" i="17"/>
  <c r="EZ10" i="17"/>
  <c r="FA10" i="17"/>
  <c r="FA27" i="17"/>
  <c r="EZ27" i="17"/>
  <c r="EA29" i="17"/>
  <c r="EA14" i="17"/>
  <c r="EV12" i="17"/>
  <c r="EU12" i="17"/>
  <c r="EA30" i="17"/>
  <c r="EU13" i="17"/>
  <c r="FA11" i="17"/>
  <c r="EZ11" i="17"/>
  <c r="EV13" i="17"/>
  <c r="EV14" i="17" l="1"/>
  <c r="EU14" i="17"/>
  <c r="EA31" i="17"/>
  <c r="EV29" i="17"/>
  <c r="EU29" i="17"/>
  <c r="FA13" i="17"/>
  <c r="EZ13" i="17"/>
  <c r="EV30" i="17"/>
  <c r="EU30" i="17"/>
  <c r="FA26" i="17"/>
  <c r="EZ26" i="17"/>
  <c r="FA12" i="17"/>
  <c r="EZ12" i="17"/>
  <c r="EZ28" i="17"/>
  <c r="FA28" i="17"/>
  <c r="H38" i="21"/>
  <c r="EZ30" i="17" l="1"/>
  <c r="FA30" i="17"/>
  <c r="FA29" i="17"/>
  <c r="EZ29" i="17"/>
  <c r="EV31" i="17"/>
  <c r="EU31" i="17"/>
  <c r="EZ14" i="17"/>
  <c r="FA14" i="17"/>
  <c r="H39" i="21" l="1"/>
  <c r="FA31" i="17"/>
  <c r="EZ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<sst xmlns="http://schemas.openxmlformats.org/spreadsheetml/2006/main" count="1405" uniqueCount="476">
  <si>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</si>
  <si>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</si>
  <si>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</si>
  <si>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</si>
  <si>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</si>
  <si>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</si>
  <si>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</si>
  <si>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</si>
  <si>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</si>
  <si>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</si>
  <si>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</si>
  <si>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</si>
  <si>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</si>
  <si>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</si>
  <si>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</si>
  <si>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</si>
  <si>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</si>
  <si>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</si>
  <si>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</si>
  <si>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</si>
  <si>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</si>
  <si>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</si>
  <si>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</si>
  <si>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</si>
  <si>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</si>
  <si>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</si>
  <si>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</si>
  <si>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</si>
  <si>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</si>
  <si>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</si>
  <si>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</si>
  <si>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</si>
  <si>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</si>
  <si>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</si>
  <si>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</si>
  <si>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</si>
  <si>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</si>
  <si>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</si>
  <si>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</si>
  <si>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</si>
  <si>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</si>
  <si>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</si>
  <si>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</si>
  <si>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</si>
  <si>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</si>
  <si>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</si>
  <si>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</si>
  <si>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</si>
  <si>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</si>
  <si>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</si>
  <si>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</si>
  <si>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</si>
  <si>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</si>
  <si>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</si>
  <si>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</si>
  <si>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</si>
  <si>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</si>
  <si>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</si>
  <si>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</si>
  <si>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</si>
  <si>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</si>
  <si>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</si>
  <si>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</si>
  <si>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</si>
  <si>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</si>
  <si>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</si>
  <si>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</si>
  <si>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</si>
  <si>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</si>
  <si>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</si>
  <si>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</si>
  <si>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</si>
  <si>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</si>
  <si>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</si>
  <si>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</si>
  <si>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</si>
  <si>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</si>
  <si>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</si>
  <si>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</si>
  <si>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</si>
  <si>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</si>
  <si>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</si>
  <si>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</si>
  <si>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</si>
  <si>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</si>
  <si>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</si>
  <si>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</si>
  <si>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</si>
  <si>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</si>
  <si>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</si>
  <si>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</si>
  <si>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</si>
  <si>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</si>
  <si>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</si>
  <si>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</si>
  <si>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</si>
  <si>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</si>
  <si>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</si>
  <si>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</si>
  <si>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</si>
  <si>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</si>
  <si>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</si>
  <si>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</si>
  <si>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</si>
  <si>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</si>
  <si>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</si>
  <si>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</si>
  <si>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</si>
  <si>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</si>
  <si>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</si>
  <si>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</si>
  <si>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</si>
  <si>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</si>
  <si>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</si>
  <si>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</si>
  <si>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</si>
  <si>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</si>
  <si>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</si>
  <si>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</si>
  <si>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</si>
  <si>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</si>
  <si>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</si>
  <si>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</si>
  <si>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</si>
  <si>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</si>
  <si>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</si>
  <si>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</si>
  <si>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</si>
  <si>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</si>
  <si>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</si>
  <si>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</si>
  <si>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</si>
  <si>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</si>
  <si>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</si>
  <si>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</si>
  <si>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</si>
  <si>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</si>
  <si>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</si>
  <si>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</si>
  <si>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</si>
  <si>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</si>
  <si>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</si>
  <si>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</si>
  <si>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</si>
  <si>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</si>
  <si>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</si>
  <si>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</si>
  <si>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</si>
  <si>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</si>
  <si>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</si>
  <si>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</si>
  <si>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</si>
  <si>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</si>
  <si>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</si>
  <si>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</si>
  <si>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</si>
  <si>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</si>
  <si>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</si>
  <si>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</si>
  <si>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</si>
  <si>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</si>
  <si>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</si>
  <si>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</si>
  <si>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</si>
  <si>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</si>
  <si>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</si>
  <si>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</si>
  <si>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</si>
  <si>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</si>
  <si>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</si>
  <si>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</si>
  <si>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</si>
  <si>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</si>
  <si>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</si>
  <si>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</si>
  <si>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</si>
  <si>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</si>
  <si>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</si>
  <si>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</si>
  <si>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</si>
  <si>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</si>
  <si>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</si>
  <si>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</si>
  <si>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</si>
  <si>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</si>
  <si>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</si>
  <si>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</si>
  <si>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</si>
  <si>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</si>
  <si>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</si>
  <si>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</si>
  <si>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</si>
  <si>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</si>
  <si>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</si>
  <si>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</si>
  <si>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</si>
  <si>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</si>
  <si>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</si>
  <si>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</si>
  <si>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</si>
  <si>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</si>
  <si>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</si>
  <si>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</si>
  <si>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</si>
  <si>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</si>
  <si>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</si>
  <si>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</si>
  <si>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</si>
  <si>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</si>
  <si>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</si>
  <si>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</si>
  <si>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</si>
  <si>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</si>
  <si>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</si>
  <si>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</si>
  <si>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</si>
  <si>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</si>
  <si>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</si>
  <si>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</si>
  <si>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</si>
  <si>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</si>
  <si>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</si>
  <si>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</si>
  <si>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</si>
  <si>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</si>
  <si>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</si>
  <si>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</si>
  <si>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</si>
  <si>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</si>
  <si>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</si>
  <si>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</si>
  <si>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</si>
  <si>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</si>
  <si>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</si>
  <si>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</si>
  <si>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</si>
  <si>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</si>
  <si>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</si>
  <si>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</si>
  <si>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</si>
  <si>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</si>
  <si>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</si>
  <si>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</si>
  <si>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</si>
  <si>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</si>
  <si>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</si>
  <si>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</si>
  <si>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</si>
  <si>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</si>
  <si>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</si>
  <si>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</si>
  <si>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</si>
  <si>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</si>
  <si>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</si>
  <si>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</si>
  <si>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</si>
  <si>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</si>
  <si>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</si>
  <si>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</si>
  <si>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</si>
  <si>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</si>
  <si>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</si>
  <si>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</si>
  <si>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</si>
  <si>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</si>
  <si>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</si>
  <si>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</si>
  <si>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</si>
  <si>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</si>
  <si>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</si>
  <si>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</si>
  <si>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</si>
  <si>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</si>
  <si>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</si>
  <si>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</si>
  <si>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</si>
  <si>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</si>
  <si>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</si>
  <si>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</si>
  <si>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</si>
  <si>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</si>
  <si>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</si>
  <si>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</si>
  <si>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</si>
  <si>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</si>
  <si>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</si>
  <si>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</si>
  <si>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</si>
  <si>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</si>
  <si>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</si>
  <si>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</si>
  <si>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</si>
  <si>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</si>
  <si>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</si>
  <si>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</si>
  <si>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</si>
  <si>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</si>
  <si>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</si>
  <si>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</si>
  <si>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</si>
  <si>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</si>
  <si>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</si>
  <si>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</si>
  <si>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</si>
  <si>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</si>
  <si>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</si>
  <si>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</si>
  <si>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</si>
  <si>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</si>
  <si>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</si>
  <si>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</si>
  <si>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</si>
  <si>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</si>
  <si>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</si>
  <si>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</si>
  <si>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</si>
  <si>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</si>
  <si>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</si>
  <si>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</si>
  <si>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</si>
  <si>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</si>
  <si>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</si>
  <si>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</si>
  <si>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</si>
  <si>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</si>
  <si>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</si>
  <si>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</si>
  <si>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</si>
  <si>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</si>
  <si>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</si>
  <si>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</si>
  <si>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</si>
  <si>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</si>
  <si>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</si>
  <si>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</si>
  <si>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</si>
  <si>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</si>
  <si>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</si>
  <si>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</si>
  <si>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</si>
  <si>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</si>
  <si>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</si>
  <si>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</si>
  <si>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</si>
  <si>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</si>
  <si>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</si>
  <si>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</si>
  <si>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</si>
  <si>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</si>
  <si>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</si>
  <si>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</si>
  <si>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</si>
  <si>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</si>
  <si>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</si>
  <si>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</si>
  <si>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</si>
  <si>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</si>
  <si>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</si>
  <si>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</si>
  <si>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</si>
  <si>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</si>
  <si>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</si>
  <si>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</si>
  <si>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</si>
  <si>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</si>
  <si>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</si>
  <si>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</si>
  <si>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</si>
  <si>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</si>
  <si>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</si>
  <si>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</si>
  <si>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</si>
  <si>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</si>
  <si>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</si>
  <si>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</si>
  <si>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</si>
  <si>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</si>
  <si>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</si>
  <si>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</si>
  <si>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</si>
  <si>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</si>
  <si>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</si>
  <si>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</si>
  <si>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</si>
  <si>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</si>
  <si>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</si>
  <si>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</si>
  <si>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</si>
  <si>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</si>
  <si>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</si>
  <si>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</si>
  <si>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</si>
  <si>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</si>
  <si>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</si>
  <si>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</si>
  <si>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</si>
  <si>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</si>
  <si>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</si>
  <si>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</si>
  <si>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</si>
  <si>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</si>
  <si>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</si>
  <si>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</si>
  <si>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</si>
  <si>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</si>
  <si>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</si>
  <si>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</si>
  <si>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</si>
  <si>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</si>
  <si>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</si>
  <si>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</si>
  <si>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</si>
  <si>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</si>
  <si>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</si>
  <si>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</si>
  <si>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</si>
  <si>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</si>
  <si>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</si>
  <si>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</si>
  <si>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</si>
  <si>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</si>
  <si>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</si>
  <si>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</si>
  <si>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</si>
  <si>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</si>
  <si>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</si>
  <si>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</si>
  <si>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</si>
  <si>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</si>
  <si>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</si>
  <si>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</si>
  <si>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</si>
  <si>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</si>
  <si>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</si>
  <si>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</si>
  <si>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</si>
  <si>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</si>
  <si>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</si>
  <si>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</si>
  <si>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</si>
  <si>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</si>
  <si>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</si>
  <si>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</si>
  <si>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</si>
  <si>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</si>
  <si>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</si>
  <si>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</si>
  <si>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</si>
  <si>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</si>
  <si>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</si>
  <si>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</si>
  <si>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</si>
  <si>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</si>
  <si>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</si>
  <si>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</si>
  <si>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</si>
  <si>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</si>
  <si>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</si>
  <si>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</si>
  <si>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</si>
  <si>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</si>
  <si>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</si>
  <si>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</si>
  <si>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</si>
  <si>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</si>
  <si>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</si>
  <si>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</si>
  <si>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</si>
  <si>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</si>
  <si>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</si>
  <si>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</si>
  <si>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45201_12</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</si>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</sst>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1884</c:v>
                </c:pt>
                <c:pt idx="1">
                  <c:v>1899</c:v>
                </c:pt>
                <c:pt idx="2">
                  <c:v>1867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769152"/>
        <c:axId val="391769544"/>
      </c:barChart>
      <c:catAx>
        <c:axId val="391769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9544"/>
        <c:crosses val="autoZero"/>
        <c:auto val="1"/>
        <c:lblAlgn val="ctr"/>
        <c:lblOffset val="100"/>
        <c:noMultiLvlLbl val="0"/>
      </c:catAx>
      <c:valAx>
        <c:axId val="391769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9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970</c:v>
                </c:pt>
                <c:pt idx="1">
                  <c:v>977</c:v>
                </c:pt>
                <c:pt idx="2">
                  <c:v>955</c:v>
                </c:pt>
                <c:pt idx="3">
                  <c:v>950</c:v>
                </c:pt>
                <c:pt idx="4">
                  <c:v>861</c:v>
                </c:pt>
                <c:pt idx="5">
                  <c:v>745</c:v>
                </c:pt>
                <c:pt idx="6">
                  <c:v>666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1764840"/>
        <c:axId val="391767976"/>
      </c:barChart>
      <c:catAx>
        <c:axId val="391764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7976"/>
        <c:crosses val="autoZero"/>
        <c:auto val="1"/>
        <c:lblAlgn val="ctr"/>
        <c:lblOffset val="100"/>
        <c:noMultiLvlLbl val="0"/>
      </c:catAx>
      <c:valAx>
        <c:axId val="391767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4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0.21</c:v>
                </c:pt>
                <c:pt idx="1">
                  <c:v>0.26</c:v>
                </c:pt>
                <c:pt idx="2">
                  <c:v>0.28999999999999998</c:v>
                </c:pt>
                <c:pt idx="3">
                  <c:v>0.31</c:v>
                </c:pt>
                <c:pt idx="4">
                  <c:v>0.32</c:v>
                </c:pt>
                <c:pt idx="5">
                  <c:v>0.34</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976264"/>
        <c:axId val="452982536"/>
      </c:barChart>
      <c:catAx>
        <c:axId val="452976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2536"/>
        <c:crosses val="autoZero"/>
        <c:auto val="1"/>
        <c:lblAlgn val="ctr"/>
        <c:lblOffset val="100"/>
        <c:noMultiLvlLbl val="0"/>
      </c:catAx>
      <c:valAx>
        <c:axId val="452982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762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0.12</c:v>
                </c:pt>
                <c:pt idx="2">
                  <c:v>0.15</c:v>
                </c:pt>
                <c:pt idx="3">
                  <c:v>0.18</c:v>
                </c:pt>
                <c:pt idx="4">
                  <c:v>0.2</c:v>
                </c:pt>
                <c:pt idx="5">
                  <c:v>0.21</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979792"/>
        <c:axId val="452982928"/>
      </c:barChart>
      <c:catAx>
        <c:axId val="452979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2928"/>
        <c:crosses val="autoZero"/>
        <c:auto val="1"/>
        <c:lblAlgn val="ctr"/>
        <c:lblOffset val="100"/>
        <c:noMultiLvlLbl val="0"/>
      </c:catAx>
      <c:valAx>
        <c:axId val="452982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79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513068609623115"/>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4.1053611795015765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E97-4B22-AEB9-C0DC772D897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571</c:v>
                </c:pt>
                <c:pt idx="1">
                  <c:v>579</c:v>
                </c:pt>
                <c:pt idx="2">
                  <c:v>668</c:v>
                </c:pt>
                <c:pt idx="3">
                  <c:v>764</c:v>
                </c:pt>
                <c:pt idx="4">
                  <c:v>668</c:v>
                </c:pt>
                <c:pt idx="5">
                  <c:v>734</c:v>
                </c:pt>
                <c:pt idx="6">
                  <c:v>707</c:v>
                </c:pt>
                <c:pt idx="7">
                  <c:v>699</c:v>
                </c:pt>
                <c:pt idx="8">
                  <c:v>853</c:v>
                </c:pt>
                <c:pt idx="9">
                  <c:v>1056</c:v>
                </c:pt>
                <c:pt idx="10">
                  <c:v>1215</c:v>
                </c:pt>
                <c:pt idx="11">
                  <c:v>1339</c:v>
                </c:pt>
                <c:pt idx="12">
                  <c:v>994</c:v>
                </c:pt>
                <c:pt idx="13">
                  <c:v>979</c:v>
                </c:pt>
                <c:pt idx="14">
                  <c:v>939</c:v>
                </c:pt>
                <c:pt idx="15">
                  <c:v>974</c:v>
                </c:pt>
                <c:pt idx="16">
                  <c:v>881</c:v>
                </c:pt>
                <c:pt idx="17">
                  <c:v>460</c:v>
                </c:pt>
                <c:pt idx="18">
                  <c:v>200</c:v>
                </c:pt>
                <c:pt idx="19">
                  <c:v>54</c:v>
                </c:pt>
                <c:pt idx="20">
                  <c:v>1</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979008"/>
        <c:axId val="45298136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547</c:v>
                </c:pt>
                <c:pt idx="1">
                  <c:v>569</c:v>
                </c:pt>
                <c:pt idx="2">
                  <c:v>670</c:v>
                </c:pt>
                <c:pt idx="3">
                  <c:v>863</c:v>
                </c:pt>
                <c:pt idx="4">
                  <c:v>695</c:v>
                </c:pt>
                <c:pt idx="5">
                  <c:v>654</c:v>
                </c:pt>
                <c:pt idx="6">
                  <c:v>642</c:v>
                </c:pt>
                <c:pt idx="7">
                  <c:v>730</c:v>
                </c:pt>
                <c:pt idx="8">
                  <c:v>874</c:v>
                </c:pt>
                <c:pt idx="9">
                  <c:v>1036</c:v>
                </c:pt>
                <c:pt idx="10">
                  <c:v>1228</c:v>
                </c:pt>
                <c:pt idx="11">
                  <c:v>1409</c:v>
                </c:pt>
                <c:pt idx="12">
                  <c:v>1103</c:v>
                </c:pt>
                <c:pt idx="13">
                  <c:v>1091</c:v>
                </c:pt>
                <c:pt idx="14">
                  <c:v>1061</c:v>
                </c:pt>
                <c:pt idx="15">
                  <c:v>1150</c:v>
                </c:pt>
                <c:pt idx="16">
                  <c:v>1243</c:v>
                </c:pt>
                <c:pt idx="17">
                  <c:v>794</c:v>
                </c:pt>
                <c:pt idx="18">
                  <c:v>451</c:v>
                </c:pt>
                <c:pt idx="19">
                  <c:v>216</c:v>
                </c:pt>
                <c:pt idx="20">
                  <c:v>34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980184"/>
        <c:axId val="452981752"/>
      </c:barChart>
      <c:catAx>
        <c:axId val="452979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1360"/>
        <c:crosses val="autoZero"/>
        <c:auto val="1"/>
        <c:lblAlgn val="ctr"/>
        <c:lblOffset val="100"/>
        <c:noMultiLvlLbl val="0"/>
      </c:catAx>
      <c:valAx>
        <c:axId val="45298136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79008"/>
        <c:crosses val="autoZero"/>
        <c:crossBetween val="between"/>
        <c:majorUnit val="1000"/>
      </c:valAx>
      <c:valAx>
        <c:axId val="4529817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0184"/>
        <c:crosses val="max"/>
        <c:crossBetween val="between"/>
        <c:majorUnit val="1000"/>
      </c:valAx>
      <c:catAx>
        <c:axId val="452980184"/>
        <c:scaling>
          <c:orientation val="minMax"/>
        </c:scaling>
        <c:delete val="1"/>
        <c:axPos val="l"/>
        <c:numFmt formatCode="General" sourceLinked="1"/>
        <c:majorTickMark val="out"/>
        <c:minorTickMark val="none"/>
        <c:tickLblPos val="nextTo"/>
        <c:crossAx val="452981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4.2195606763598896E-2"/>
                  <c:y val="-1.66557732706021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50B-4219-9A26-11CEF2368F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538</c:v>
                </c:pt>
                <c:pt idx="1">
                  <c:v>510</c:v>
                </c:pt>
                <c:pt idx="2">
                  <c:v>527</c:v>
                </c:pt>
                <c:pt idx="3">
                  <c:v>569</c:v>
                </c:pt>
                <c:pt idx="4">
                  <c:v>553</c:v>
                </c:pt>
                <c:pt idx="5">
                  <c:v>701</c:v>
                </c:pt>
                <c:pt idx="6">
                  <c:v>712</c:v>
                </c:pt>
                <c:pt idx="7">
                  <c:v>698</c:v>
                </c:pt>
                <c:pt idx="8">
                  <c:v>696</c:v>
                </c:pt>
                <c:pt idx="9">
                  <c:v>707</c:v>
                </c:pt>
                <c:pt idx="10">
                  <c:v>860</c:v>
                </c:pt>
                <c:pt idx="11">
                  <c:v>1044</c:v>
                </c:pt>
                <c:pt idx="12">
                  <c:v>1204</c:v>
                </c:pt>
                <c:pt idx="13">
                  <c:v>1272</c:v>
                </c:pt>
                <c:pt idx="14">
                  <c:v>882</c:v>
                </c:pt>
                <c:pt idx="15">
                  <c:v>842</c:v>
                </c:pt>
                <c:pt idx="16">
                  <c:v>689</c:v>
                </c:pt>
                <c:pt idx="17">
                  <c:v>561</c:v>
                </c:pt>
                <c:pt idx="18">
                  <c:v>293</c:v>
                </c:pt>
                <c:pt idx="19">
                  <c:v>65</c:v>
                </c:pt>
                <c:pt idx="20">
                  <c:v>1</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976656"/>
        <c:axId val="4529809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516</c:v>
                </c:pt>
                <c:pt idx="1">
                  <c:v>501</c:v>
                </c:pt>
                <c:pt idx="2">
                  <c:v>528</c:v>
                </c:pt>
                <c:pt idx="3">
                  <c:v>651</c:v>
                </c:pt>
                <c:pt idx="4">
                  <c:v>602</c:v>
                </c:pt>
                <c:pt idx="5">
                  <c:v>692</c:v>
                </c:pt>
                <c:pt idx="6">
                  <c:v>674</c:v>
                </c:pt>
                <c:pt idx="7">
                  <c:v>596</c:v>
                </c:pt>
                <c:pt idx="8">
                  <c:v>597</c:v>
                </c:pt>
                <c:pt idx="9">
                  <c:v>722</c:v>
                </c:pt>
                <c:pt idx="10">
                  <c:v>891</c:v>
                </c:pt>
                <c:pt idx="11">
                  <c:v>1037</c:v>
                </c:pt>
                <c:pt idx="12">
                  <c:v>1195</c:v>
                </c:pt>
                <c:pt idx="13">
                  <c:v>1339</c:v>
                </c:pt>
                <c:pt idx="14">
                  <c:v>1033</c:v>
                </c:pt>
                <c:pt idx="15">
                  <c:v>997</c:v>
                </c:pt>
                <c:pt idx="16">
                  <c:v>948</c:v>
                </c:pt>
                <c:pt idx="17">
                  <c:v>887</c:v>
                </c:pt>
                <c:pt idx="18">
                  <c:v>665</c:v>
                </c:pt>
                <c:pt idx="19">
                  <c:v>235</c:v>
                </c:pt>
                <c:pt idx="20">
                  <c:v>40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982144"/>
        <c:axId val="452978616"/>
      </c:barChart>
      <c:catAx>
        <c:axId val="452976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0968"/>
        <c:crosses val="autoZero"/>
        <c:auto val="1"/>
        <c:lblAlgn val="ctr"/>
        <c:lblOffset val="100"/>
        <c:noMultiLvlLbl val="0"/>
      </c:catAx>
      <c:valAx>
        <c:axId val="45298096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76656"/>
        <c:crosses val="autoZero"/>
        <c:crossBetween val="between"/>
        <c:majorUnit val="1000"/>
      </c:valAx>
      <c:valAx>
        <c:axId val="45297861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2144"/>
        <c:crosses val="max"/>
        <c:crossBetween val="between"/>
        <c:majorUnit val="1000"/>
      </c:valAx>
      <c:catAx>
        <c:axId val="452982144"/>
        <c:scaling>
          <c:orientation val="minMax"/>
        </c:scaling>
        <c:delete val="1"/>
        <c:axPos val="l"/>
        <c:numFmt formatCode="General" sourceLinked="1"/>
        <c:majorTickMark val="out"/>
        <c:minorTickMark val="none"/>
        <c:tickLblPos val="nextTo"/>
        <c:crossAx val="452978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35214</c:v>
                </c:pt>
                <c:pt idx="1">
                  <c:v>35136</c:v>
                </c:pt>
                <c:pt idx="2">
                  <c:v>34660</c:v>
                </c:pt>
                <c:pt idx="3">
                  <c:v>33684</c:v>
                </c:pt>
                <c:pt idx="4">
                  <c:v>32395</c:v>
                </c:pt>
                <c:pt idx="5">
                  <c:v>30911</c:v>
                </c:pt>
                <c:pt idx="6">
                  <c:v>29270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36E-43B9-9C80-F0FAE94455E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36E-43B9-9C80-F0FAE94455E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36E-43B9-9C80-F0FAE94455E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36E-43B9-9C80-F0FAE94455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33693</c:v>
                </c:pt>
                <c:pt idx="4" formatCode="#,##0_);[Red]\(#,##0\)">
                  <c:v>32415</c:v>
                </c:pt>
                <c:pt idx="5" formatCode="#,##0_);[Red]\(#,##0\)">
                  <c:v>30941</c:v>
                </c:pt>
                <c:pt idx="6" formatCode="#,##0_);[Red]\(#,##0\)">
                  <c:v>29314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979400"/>
        <c:axId val="452977048"/>
      </c:barChart>
      <c:catAx>
        <c:axId val="452979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77048"/>
        <c:crosses val="autoZero"/>
        <c:auto val="1"/>
        <c:lblAlgn val="ctr"/>
        <c:lblOffset val="100"/>
        <c:noMultiLvlLbl val="0"/>
      </c:catAx>
      <c:valAx>
        <c:axId val="452977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794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1884</c:v>
                </c:pt>
                <c:pt idx="1">
                  <c:v>1899</c:v>
                </c:pt>
                <c:pt idx="2">
                  <c:v>1867</c:v>
                </c:pt>
                <c:pt idx="3">
                  <c:v>1722</c:v>
                </c:pt>
                <c:pt idx="4">
                  <c:v>1491</c:v>
                </c:pt>
                <c:pt idx="5">
                  <c:v>1322</c:v>
                </c:pt>
                <c:pt idx="6">
                  <c:v>1240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1723</c:v>
                </c:pt>
                <c:pt idx="4">
                  <c:v>1494</c:v>
                </c:pt>
                <c:pt idx="5">
                  <c:v>1326</c:v>
                </c:pt>
                <c:pt idx="6">
                  <c:v>1246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978224"/>
        <c:axId val="393275936"/>
      </c:barChart>
      <c:catAx>
        <c:axId val="452978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5936"/>
        <c:crosses val="autoZero"/>
        <c:auto val="1"/>
        <c:lblAlgn val="ctr"/>
        <c:lblOffset val="100"/>
        <c:noMultiLvlLbl val="0"/>
      </c:catAx>
      <c:valAx>
        <c:axId val="393275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78224"/>
        <c:crosses val="autoZero"/>
        <c:crossBetween val="between"/>
      </c:valAx>
      <c:spPr>
        <a:noFill/>
        <a:ln>
          <a:noFill/>
        </a:ln>
        <a:effectLst/>
      </c:spPr>
    </c:plotArea>
    <c:legend>
      <c:legendPos val="t"/>
      <c:layout>
        <c:manualLayout>
          <c:xMode val="edge"/>
          <c:yMode val="edge"/>
          <c:x val="5.9563960253876586E-2"/>
          <c:y val="0.1099759041877186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0.21</c:v>
                </c:pt>
                <c:pt idx="1">
                  <c:v>0.26</c:v>
                </c:pt>
                <c:pt idx="2">
                  <c:v>0.28999999999999998</c:v>
                </c:pt>
                <c:pt idx="3">
                  <c:v>0.31</c:v>
                </c:pt>
                <c:pt idx="4">
                  <c:v>0.32</c:v>
                </c:pt>
                <c:pt idx="5">
                  <c:v>0.34</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F8E-42B8-BAF6-31B4356E36D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F8E-42B8-BAF6-31B4356E36D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F8E-42B8-BAF6-31B4356E36D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F8E-42B8-BAF6-31B4356E36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0.31</c:v>
                </c:pt>
                <c:pt idx="4" formatCode="0%">
                  <c:v>0.32</c:v>
                </c:pt>
                <c:pt idx="5" formatCode="0%">
                  <c:v>0.34</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3277896"/>
        <c:axId val="393275152"/>
      </c:barChart>
      <c:catAx>
        <c:axId val="393277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5152"/>
        <c:crosses val="autoZero"/>
        <c:auto val="1"/>
        <c:lblAlgn val="ctr"/>
        <c:lblOffset val="100"/>
        <c:noMultiLvlLbl val="0"/>
      </c:catAx>
      <c:valAx>
        <c:axId val="393275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78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0.12</c:v>
                </c:pt>
                <c:pt idx="2">
                  <c:v>0.15</c:v>
                </c:pt>
                <c:pt idx="3">
                  <c:v>0.18</c:v>
                </c:pt>
                <c:pt idx="4">
                  <c:v>0.2</c:v>
                </c:pt>
                <c:pt idx="5">
                  <c:v>0.21</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4F4-4D4D-9B05-61A1CF6E029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4F4-4D4D-9B05-61A1CF6E029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4F4-4D4D-9B05-61A1CF6E029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4F4-4D4D-9B05-61A1CF6E02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c:v>
                </c:pt>
                <c:pt idx="5" formatCode="0%">
                  <c:v>0.21</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3274368"/>
        <c:axId val="393273584"/>
      </c:barChart>
      <c:catAx>
        <c:axId val="393274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3584"/>
        <c:crosses val="autoZero"/>
        <c:auto val="1"/>
        <c:lblAlgn val="ctr"/>
        <c:lblOffset val="100"/>
        <c:noMultiLvlLbl val="0"/>
      </c:catAx>
      <c:valAx>
        <c:axId val="393273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43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970</c:v>
                </c:pt>
                <c:pt idx="1">
                  <c:v>977</c:v>
                </c:pt>
                <c:pt idx="2">
                  <c:v>955</c:v>
                </c:pt>
                <c:pt idx="3">
                  <c:v>950</c:v>
                </c:pt>
                <c:pt idx="4">
                  <c:v>861</c:v>
                </c:pt>
                <c:pt idx="5">
                  <c:v>745</c:v>
                </c:pt>
                <c:pt idx="6">
                  <c:v>666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951</c:v>
                </c:pt>
                <c:pt idx="4">
                  <c:v>862</c:v>
                </c:pt>
                <c:pt idx="5">
                  <c:v>747</c:v>
                </c:pt>
                <c:pt idx="6">
                  <c:v>669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3274760"/>
        <c:axId val="393280640"/>
      </c:barChart>
      <c:catAx>
        <c:axId val="39327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80640"/>
        <c:crosses val="autoZero"/>
        <c:auto val="1"/>
        <c:lblAlgn val="ctr"/>
        <c:lblOffset val="100"/>
        <c:noMultiLvlLbl val="0"/>
      </c:catAx>
      <c:valAx>
        <c:axId val="393280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47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970</c:v>
                </c:pt>
                <c:pt idx="1">
                  <c:v>977</c:v>
                </c:pt>
                <c:pt idx="2">
                  <c:v>955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768760"/>
        <c:axId val="391765624"/>
      </c:barChart>
      <c:catAx>
        <c:axId val="391768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5624"/>
        <c:crosses val="autoZero"/>
        <c:auto val="1"/>
        <c:lblAlgn val="ctr"/>
        <c:lblOffset val="100"/>
        <c:noMultiLvlLbl val="0"/>
      </c:catAx>
      <c:valAx>
        <c:axId val="391765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8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077287050930381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E9-4BE9-84F4-DB9FDA4C3F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573</c:v>
                </c:pt>
                <c:pt idx="1">
                  <c:v>580</c:v>
                </c:pt>
                <c:pt idx="2">
                  <c:v>669</c:v>
                </c:pt>
                <c:pt idx="3">
                  <c:v>765</c:v>
                </c:pt>
                <c:pt idx="4">
                  <c:v>668</c:v>
                </c:pt>
                <c:pt idx="5">
                  <c:v>736</c:v>
                </c:pt>
                <c:pt idx="6">
                  <c:v>709</c:v>
                </c:pt>
                <c:pt idx="7">
                  <c:v>699</c:v>
                </c:pt>
                <c:pt idx="8">
                  <c:v>853</c:v>
                </c:pt>
                <c:pt idx="9">
                  <c:v>1056</c:v>
                </c:pt>
                <c:pt idx="10">
                  <c:v>1215</c:v>
                </c:pt>
                <c:pt idx="11">
                  <c:v>1339</c:v>
                </c:pt>
                <c:pt idx="12">
                  <c:v>994</c:v>
                </c:pt>
                <c:pt idx="13">
                  <c:v>979</c:v>
                </c:pt>
                <c:pt idx="14">
                  <c:v>939</c:v>
                </c:pt>
                <c:pt idx="15">
                  <c:v>974</c:v>
                </c:pt>
                <c:pt idx="16">
                  <c:v>881</c:v>
                </c:pt>
                <c:pt idx="17">
                  <c:v>460</c:v>
                </c:pt>
                <c:pt idx="18">
                  <c:v>200</c:v>
                </c:pt>
                <c:pt idx="19">
                  <c:v>54</c:v>
                </c:pt>
                <c:pt idx="20">
                  <c:v>1</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3276328"/>
        <c:axId val="39327868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549</c:v>
                </c:pt>
                <c:pt idx="1">
                  <c:v>570</c:v>
                </c:pt>
                <c:pt idx="2">
                  <c:v>671</c:v>
                </c:pt>
                <c:pt idx="3">
                  <c:v>864</c:v>
                </c:pt>
                <c:pt idx="4">
                  <c:v>695</c:v>
                </c:pt>
                <c:pt idx="5">
                  <c:v>656</c:v>
                </c:pt>
                <c:pt idx="6">
                  <c:v>644</c:v>
                </c:pt>
                <c:pt idx="7">
                  <c:v>730</c:v>
                </c:pt>
                <c:pt idx="8">
                  <c:v>875</c:v>
                </c:pt>
                <c:pt idx="9">
                  <c:v>1037</c:v>
                </c:pt>
                <c:pt idx="10">
                  <c:v>1228</c:v>
                </c:pt>
                <c:pt idx="11">
                  <c:v>1409</c:v>
                </c:pt>
                <c:pt idx="12">
                  <c:v>1103</c:v>
                </c:pt>
                <c:pt idx="13">
                  <c:v>1091</c:v>
                </c:pt>
                <c:pt idx="14">
                  <c:v>1061</c:v>
                </c:pt>
                <c:pt idx="15">
                  <c:v>1150</c:v>
                </c:pt>
                <c:pt idx="16">
                  <c:v>1243</c:v>
                </c:pt>
                <c:pt idx="17">
                  <c:v>794</c:v>
                </c:pt>
                <c:pt idx="18">
                  <c:v>451</c:v>
                </c:pt>
                <c:pt idx="19">
                  <c:v>216</c:v>
                </c:pt>
                <c:pt idx="20">
                  <c:v>34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3276720"/>
        <c:axId val="393275544"/>
      </c:barChart>
      <c:catAx>
        <c:axId val="393276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8680"/>
        <c:crosses val="autoZero"/>
        <c:auto val="1"/>
        <c:lblAlgn val="ctr"/>
        <c:lblOffset val="100"/>
        <c:noMultiLvlLbl val="0"/>
      </c:catAx>
      <c:valAx>
        <c:axId val="39327868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6328"/>
        <c:crosses val="autoZero"/>
        <c:crossBetween val="between"/>
        <c:majorUnit val="1000"/>
      </c:valAx>
      <c:valAx>
        <c:axId val="39327554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6720"/>
        <c:crosses val="max"/>
        <c:crossBetween val="between"/>
        <c:majorUnit val="1000"/>
      </c:valAx>
      <c:catAx>
        <c:axId val="393276720"/>
        <c:scaling>
          <c:orientation val="minMax"/>
        </c:scaling>
        <c:delete val="1"/>
        <c:axPos val="l"/>
        <c:numFmt formatCode="General" sourceLinked="1"/>
        <c:majorTickMark val="out"/>
        <c:minorTickMark val="none"/>
        <c:tickLblPos val="nextTo"/>
        <c:crossAx val="393275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85307113135292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68-4C6B-AC9E-35A0310AE9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540</c:v>
                </c:pt>
                <c:pt idx="1">
                  <c:v>512</c:v>
                </c:pt>
                <c:pt idx="2">
                  <c:v>530</c:v>
                </c:pt>
                <c:pt idx="3">
                  <c:v>571</c:v>
                </c:pt>
                <c:pt idx="4">
                  <c:v>554</c:v>
                </c:pt>
                <c:pt idx="5">
                  <c:v>704</c:v>
                </c:pt>
                <c:pt idx="6">
                  <c:v>714</c:v>
                </c:pt>
                <c:pt idx="7">
                  <c:v>700</c:v>
                </c:pt>
                <c:pt idx="8">
                  <c:v>698</c:v>
                </c:pt>
                <c:pt idx="9">
                  <c:v>707</c:v>
                </c:pt>
                <c:pt idx="10">
                  <c:v>860</c:v>
                </c:pt>
                <c:pt idx="11">
                  <c:v>1044</c:v>
                </c:pt>
                <c:pt idx="12">
                  <c:v>1204</c:v>
                </c:pt>
                <c:pt idx="13">
                  <c:v>1272</c:v>
                </c:pt>
                <c:pt idx="14">
                  <c:v>882</c:v>
                </c:pt>
                <c:pt idx="15">
                  <c:v>842</c:v>
                </c:pt>
                <c:pt idx="16">
                  <c:v>689</c:v>
                </c:pt>
                <c:pt idx="17">
                  <c:v>561</c:v>
                </c:pt>
                <c:pt idx="18">
                  <c:v>293</c:v>
                </c:pt>
                <c:pt idx="19">
                  <c:v>65</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3279464"/>
        <c:axId val="3932798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518</c:v>
                </c:pt>
                <c:pt idx="1">
                  <c:v>504</c:v>
                </c:pt>
                <c:pt idx="2">
                  <c:v>531</c:v>
                </c:pt>
                <c:pt idx="3">
                  <c:v>654</c:v>
                </c:pt>
                <c:pt idx="4">
                  <c:v>603</c:v>
                </c:pt>
                <c:pt idx="5">
                  <c:v>695</c:v>
                </c:pt>
                <c:pt idx="6">
                  <c:v>676</c:v>
                </c:pt>
                <c:pt idx="7">
                  <c:v>598</c:v>
                </c:pt>
                <c:pt idx="8">
                  <c:v>600</c:v>
                </c:pt>
                <c:pt idx="9">
                  <c:v>723</c:v>
                </c:pt>
                <c:pt idx="10">
                  <c:v>892</c:v>
                </c:pt>
                <c:pt idx="11">
                  <c:v>1038</c:v>
                </c:pt>
                <c:pt idx="12">
                  <c:v>1195</c:v>
                </c:pt>
                <c:pt idx="13">
                  <c:v>1339</c:v>
                </c:pt>
                <c:pt idx="14">
                  <c:v>1033</c:v>
                </c:pt>
                <c:pt idx="15">
                  <c:v>997</c:v>
                </c:pt>
                <c:pt idx="16">
                  <c:v>948</c:v>
                </c:pt>
                <c:pt idx="17">
                  <c:v>887</c:v>
                </c:pt>
                <c:pt idx="18">
                  <c:v>665</c:v>
                </c:pt>
                <c:pt idx="19">
                  <c:v>235</c:v>
                </c:pt>
                <c:pt idx="20">
                  <c:v>40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3273976"/>
        <c:axId val="393280248"/>
      </c:barChart>
      <c:catAx>
        <c:axId val="3932794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9856"/>
        <c:crosses val="autoZero"/>
        <c:auto val="1"/>
        <c:lblAlgn val="ctr"/>
        <c:lblOffset val="100"/>
        <c:noMultiLvlLbl val="0"/>
      </c:catAx>
      <c:valAx>
        <c:axId val="39327985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9464"/>
        <c:crosses val="autoZero"/>
        <c:crossBetween val="between"/>
        <c:majorUnit val="1000"/>
      </c:valAx>
      <c:valAx>
        <c:axId val="39328024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73976"/>
        <c:crosses val="max"/>
        <c:crossBetween val="between"/>
        <c:majorUnit val="1000"/>
      </c:valAx>
      <c:catAx>
        <c:axId val="393273976"/>
        <c:scaling>
          <c:orientation val="minMax"/>
        </c:scaling>
        <c:delete val="1"/>
        <c:axPos val="l"/>
        <c:numFmt formatCode="General" sourceLinked="1"/>
        <c:majorTickMark val="out"/>
        <c:minorTickMark val="none"/>
        <c:tickLblPos val="nextTo"/>
        <c:crossAx val="393280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1118</c:v>
                </c:pt>
                <c:pt idx="1">
                  <c:v>1148</c:v>
                </c:pt>
                <c:pt idx="2">
                  <c:v>1338</c:v>
                </c:pt>
                <c:pt idx="3">
                  <c:v>1627</c:v>
                </c:pt>
                <c:pt idx="4">
                  <c:v>1363</c:v>
                </c:pt>
                <c:pt idx="5">
                  <c:v>1388</c:v>
                </c:pt>
                <c:pt idx="6">
                  <c:v>1349</c:v>
                </c:pt>
                <c:pt idx="7">
                  <c:v>1429</c:v>
                </c:pt>
                <c:pt idx="8">
                  <c:v>1727</c:v>
                </c:pt>
                <c:pt idx="9">
                  <c:v>2092</c:v>
                </c:pt>
                <c:pt idx="10">
                  <c:v>2443</c:v>
                </c:pt>
                <c:pt idx="11">
                  <c:v>2748</c:v>
                </c:pt>
                <c:pt idx="12">
                  <c:v>2097</c:v>
                </c:pt>
                <c:pt idx="13">
                  <c:v>2070</c:v>
                </c:pt>
                <c:pt idx="14">
                  <c:v>2000</c:v>
                </c:pt>
                <c:pt idx="15">
                  <c:v>2124</c:v>
                </c:pt>
                <c:pt idx="16">
                  <c:v>2124</c:v>
                </c:pt>
                <c:pt idx="17">
                  <c:v>1254</c:v>
                </c:pt>
                <c:pt idx="18">
                  <c:v>651</c:v>
                </c:pt>
                <c:pt idx="19">
                  <c:v>270</c:v>
                </c:pt>
                <c:pt idx="20">
                  <c:v>35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608704"/>
        <c:axId val="45361105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1122</c:v>
                </c:pt>
                <c:pt idx="1">
                  <c:v>1150</c:v>
                </c:pt>
                <c:pt idx="2">
                  <c:v>1340</c:v>
                </c:pt>
                <c:pt idx="3">
                  <c:v>1629</c:v>
                </c:pt>
                <c:pt idx="4">
                  <c:v>1363</c:v>
                </c:pt>
                <c:pt idx="5">
                  <c:v>1392</c:v>
                </c:pt>
                <c:pt idx="6">
                  <c:v>1353</c:v>
                </c:pt>
                <c:pt idx="7">
                  <c:v>1429</c:v>
                </c:pt>
                <c:pt idx="8">
                  <c:v>1728</c:v>
                </c:pt>
                <c:pt idx="9">
                  <c:v>2093</c:v>
                </c:pt>
                <c:pt idx="10">
                  <c:v>2443</c:v>
                </c:pt>
                <c:pt idx="11">
                  <c:v>2748</c:v>
                </c:pt>
                <c:pt idx="12">
                  <c:v>2097</c:v>
                </c:pt>
                <c:pt idx="13">
                  <c:v>2070</c:v>
                </c:pt>
                <c:pt idx="14">
                  <c:v>2000</c:v>
                </c:pt>
                <c:pt idx="15">
                  <c:v>2124</c:v>
                </c:pt>
                <c:pt idx="16">
                  <c:v>2124</c:v>
                </c:pt>
                <c:pt idx="17">
                  <c:v>1254</c:v>
                </c:pt>
                <c:pt idx="18">
                  <c:v>651</c:v>
                </c:pt>
                <c:pt idx="19">
                  <c:v>270</c:v>
                </c:pt>
                <c:pt idx="20">
                  <c:v>35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612232"/>
        <c:axId val="453612624"/>
      </c:barChart>
      <c:catAx>
        <c:axId val="453608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1056"/>
        <c:crosses val="autoZero"/>
        <c:auto val="1"/>
        <c:lblAlgn val="ctr"/>
        <c:lblOffset val="100"/>
        <c:noMultiLvlLbl val="0"/>
      </c:catAx>
      <c:valAx>
        <c:axId val="453611056"/>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8704"/>
        <c:crosses val="autoZero"/>
        <c:crossBetween val="between"/>
        <c:majorUnit val="1500"/>
      </c:valAx>
      <c:valAx>
        <c:axId val="453612624"/>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2232"/>
        <c:crosses val="max"/>
        <c:crossBetween val="between"/>
        <c:majorUnit val="1500"/>
      </c:valAx>
      <c:catAx>
        <c:axId val="453612232"/>
        <c:scaling>
          <c:orientation val="minMax"/>
        </c:scaling>
        <c:delete val="1"/>
        <c:axPos val="l"/>
        <c:numFmt formatCode="General" sourceLinked="1"/>
        <c:majorTickMark val="out"/>
        <c:minorTickMark val="none"/>
        <c:tickLblPos val="nextTo"/>
        <c:crossAx val="4536126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1054</c:v>
                </c:pt>
                <c:pt idx="1">
                  <c:v>1011</c:v>
                </c:pt>
                <c:pt idx="2">
                  <c:v>1055</c:v>
                </c:pt>
                <c:pt idx="3">
                  <c:v>1220</c:v>
                </c:pt>
                <c:pt idx="4">
                  <c:v>1155</c:v>
                </c:pt>
                <c:pt idx="5">
                  <c:v>1393</c:v>
                </c:pt>
                <c:pt idx="6">
                  <c:v>1386</c:v>
                </c:pt>
                <c:pt idx="7">
                  <c:v>1294</c:v>
                </c:pt>
                <c:pt idx="8">
                  <c:v>1293</c:v>
                </c:pt>
                <c:pt idx="9">
                  <c:v>1429</c:v>
                </c:pt>
                <c:pt idx="10">
                  <c:v>1751</c:v>
                </c:pt>
                <c:pt idx="11">
                  <c:v>2081</c:v>
                </c:pt>
                <c:pt idx="12">
                  <c:v>2399</c:v>
                </c:pt>
                <c:pt idx="13">
                  <c:v>2611</c:v>
                </c:pt>
                <c:pt idx="14">
                  <c:v>1915</c:v>
                </c:pt>
                <c:pt idx="15">
                  <c:v>1839</c:v>
                </c:pt>
                <c:pt idx="16">
                  <c:v>1637</c:v>
                </c:pt>
                <c:pt idx="17">
                  <c:v>1448</c:v>
                </c:pt>
                <c:pt idx="18">
                  <c:v>958</c:v>
                </c:pt>
                <c:pt idx="19">
                  <c:v>300</c:v>
                </c:pt>
                <c:pt idx="20">
                  <c:v>41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613016"/>
        <c:axId val="45361340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1058</c:v>
                </c:pt>
                <c:pt idx="1">
                  <c:v>1016</c:v>
                </c:pt>
                <c:pt idx="2">
                  <c:v>1061</c:v>
                </c:pt>
                <c:pt idx="3">
                  <c:v>1225</c:v>
                </c:pt>
                <c:pt idx="4">
                  <c:v>1157</c:v>
                </c:pt>
                <c:pt idx="5">
                  <c:v>1399</c:v>
                </c:pt>
                <c:pt idx="6">
                  <c:v>1390</c:v>
                </c:pt>
                <c:pt idx="7">
                  <c:v>1298</c:v>
                </c:pt>
                <c:pt idx="8">
                  <c:v>1298</c:v>
                </c:pt>
                <c:pt idx="9">
                  <c:v>1430</c:v>
                </c:pt>
                <c:pt idx="10">
                  <c:v>1752</c:v>
                </c:pt>
                <c:pt idx="11">
                  <c:v>2082</c:v>
                </c:pt>
                <c:pt idx="12">
                  <c:v>2399</c:v>
                </c:pt>
                <c:pt idx="13">
                  <c:v>2611</c:v>
                </c:pt>
                <c:pt idx="14">
                  <c:v>1915</c:v>
                </c:pt>
                <c:pt idx="15">
                  <c:v>1839</c:v>
                </c:pt>
                <c:pt idx="16">
                  <c:v>1637</c:v>
                </c:pt>
                <c:pt idx="17">
                  <c:v>1448</c:v>
                </c:pt>
                <c:pt idx="18">
                  <c:v>958</c:v>
                </c:pt>
                <c:pt idx="19">
                  <c:v>300</c:v>
                </c:pt>
                <c:pt idx="20">
                  <c:v>41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608312"/>
        <c:axId val="453607920"/>
      </c:barChart>
      <c:catAx>
        <c:axId val="453613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3408"/>
        <c:crosses val="autoZero"/>
        <c:auto val="1"/>
        <c:lblAlgn val="ctr"/>
        <c:lblOffset val="100"/>
        <c:noMultiLvlLbl val="0"/>
      </c:catAx>
      <c:valAx>
        <c:axId val="453613408"/>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3016"/>
        <c:crosses val="autoZero"/>
        <c:crossBetween val="between"/>
        <c:majorUnit val="1500"/>
      </c:valAx>
      <c:valAx>
        <c:axId val="453607920"/>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8312"/>
        <c:crosses val="max"/>
        <c:crossBetween val="between"/>
        <c:majorUnit val="1500"/>
      </c:valAx>
      <c:catAx>
        <c:axId val="453608312"/>
        <c:scaling>
          <c:orientation val="minMax"/>
        </c:scaling>
        <c:delete val="1"/>
        <c:axPos val="l"/>
        <c:numFmt formatCode="General" sourceLinked="1"/>
        <c:majorTickMark val="out"/>
        <c:minorTickMark val="none"/>
        <c:tickLblPos val="nextTo"/>
        <c:crossAx val="4536079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赤江地域自治区</c:v>
                </c:pt>
              </c:strCache>
            </c:strRef>
          </c:cat>
          <c:val>
            <c:numRef>
              <c:f>管理者用地域特徴シート!$H$3:$H$5</c:f>
              <c:numCache>
                <c:formatCode>0.0%</c:formatCode>
                <c:ptCount val="3"/>
                <c:pt idx="0">
                  <c:v>0.46108733927332846</c:v>
                </c:pt>
                <c:pt idx="1">
                  <c:v>0.38017324874035541</c:v>
                </c:pt>
                <c:pt idx="2">
                  <c:v>0.37260678283246051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609488"/>
        <c:axId val="453614584"/>
      </c:barChart>
      <c:catAx>
        <c:axId val="453609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4584"/>
        <c:crosses val="autoZero"/>
        <c:auto val="1"/>
        <c:lblAlgn val="ctr"/>
        <c:lblOffset val="100"/>
        <c:noMultiLvlLbl val="0"/>
      </c:catAx>
      <c:valAx>
        <c:axId val="4536145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9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赤江地域自治区</c:v>
                </c:pt>
              </c:strCache>
            </c:strRef>
          </c:cat>
          <c:val>
            <c:numRef>
              <c:f>管理者用地域特徴シート!$J$3:$J$5</c:f>
              <c:numCache>
                <c:formatCode>0.0%</c:formatCode>
                <c:ptCount val="3"/>
                <c:pt idx="0">
                  <c:v>0.15075281438403673</c:v>
                </c:pt>
                <c:pt idx="1">
                  <c:v>0.12415252853924759</c:v>
                </c:pt>
                <c:pt idx="2">
                  <c:v>0.12904294718092335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607528"/>
        <c:axId val="453609880"/>
      </c:barChart>
      <c:catAx>
        <c:axId val="453607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9880"/>
        <c:crosses val="autoZero"/>
        <c:auto val="1"/>
        <c:lblAlgn val="ctr"/>
        <c:lblOffset val="100"/>
        <c:noMultiLvlLbl val="0"/>
      </c:catAx>
      <c:valAx>
        <c:axId val="453609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07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赤江地域自治区</c:v>
                </c:pt>
              </c:strCache>
            </c:strRef>
          </c:cat>
          <c:val>
            <c:numRef>
              <c:f>管理者用地域特徴シート!$P$3:$P$5</c:f>
              <c:numCache>
                <c:formatCode>0.0%</c:formatCode>
                <c:ptCount val="3"/>
                <c:pt idx="0">
                  <c:v>0.34758352842621743</c:v>
                </c:pt>
                <c:pt idx="1">
                  <c:v>0.36739016143459768</c:v>
                </c:pt>
                <c:pt idx="2">
                  <c:v>0.37439492345866493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3610664"/>
        <c:axId val="453611448"/>
      </c:barChart>
      <c:catAx>
        <c:axId val="453610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1448"/>
        <c:crosses val="autoZero"/>
        <c:auto val="1"/>
        <c:lblAlgn val="ctr"/>
        <c:lblOffset val="100"/>
        <c:noMultiLvlLbl val="0"/>
      </c:catAx>
      <c:valAx>
        <c:axId val="453611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0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赤江地域自治区</c:v>
                </c:pt>
              </c:strCache>
            </c:strRef>
          </c:cat>
          <c:val>
            <c:numRef>
              <c:f>管理者用地域特徴シート!$AO$3:$AO$5</c:f>
              <c:numCache>
                <c:formatCode>0.0%</c:formatCode>
                <c:ptCount val="3"/>
                <c:pt idx="0">
                  <c:v>0.5259093009439566</c:v>
                </c:pt>
                <c:pt idx="1">
                  <c:v>0.52382956571820971</c:v>
                </c:pt>
                <c:pt idx="2">
                  <c:v>0.5373860696819045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384272"/>
        <c:axId val="454387800"/>
      </c:barChart>
      <c:catAx>
        <c:axId val="454384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7800"/>
        <c:crosses val="autoZero"/>
        <c:auto val="1"/>
        <c:lblAlgn val="ctr"/>
        <c:lblOffset val="100"/>
        <c:noMultiLvlLbl val="0"/>
      </c:catAx>
      <c:valAx>
        <c:axId val="454387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4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赤江地域自治区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1.8343974064166015E-2</c:v>
                </c:pt>
                <c:pt idx="1">
                  <c:v>1.4235973117737431E-3</c:v>
                </c:pt>
                <c:pt idx="2">
                  <c:v>1.3247363873450106E-4</c:v>
                </c:pt>
                <c:pt idx="3">
                  <c:v>8.3441915581997567E-2</c:v>
                </c:pt>
                <c:pt idx="4">
                  <c:v>7.57103322188412E-2</c:v>
                </c:pt>
                <c:pt idx="5">
                  <c:v>4.0559341928961172E-3</c:v>
                </c:pt>
                <c:pt idx="6">
                  <c:v>2.6707608270836753E-2</c:v>
                </c:pt>
                <c:pt idx="7">
                  <c:v>4.9597866713065389E-2</c:v>
                </c:pt>
                <c:pt idx="8">
                  <c:v>0.16882941415675257</c:v>
                </c:pt>
                <c:pt idx="9">
                  <c:v>2.3037231683212686E-2</c:v>
                </c:pt>
                <c:pt idx="10">
                  <c:v>2.0768043931158525E-2</c:v>
                </c:pt>
                <c:pt idx="11">
                  <c:v>3.5958354506047986E-2</c:v>
                </c:pt>
                <c:pt idx="12">
                  <c:v>5.8229084488523236E-2</c:v>
                </c:pt>
                <c:pt idx="13">
                  <c:v>4.4283762488606278E-2</c:v>
                </c:pt>
                <c:pt idx="14">
                  <c:v>6.539979687375394E-2</c:v>
                </c:pt>
                <c:pt idx="15">
                  <c:v>0.17476502405945363</c:v>
                </c:pt>
                <c:pt idx="16">
                  <c:v>5.106496283158778E-3</c:v>
                </c:pt>
                <c:pt idx="17">
                  <c:v>7.1496220546859099E-2</c:v>
                </c:pt>
                <c:pt idx="18">
                  <c:v>4.6230004554193259E-2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385448"/>
        <c:axId val="454383880"/>
      </c:barChart>
      <c:catAx>
        <c:axId val="454385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3880"/>
        <c:crosses val="autoZero"/>
        <c:auto val="1"/>
        <c:lblAlgn val="ctr"/>
        <c:lblOffset val="100"/>
        <c:noMultiLvlLbl val="0"/>
      </c:catAx>
      <c:valAx>
        <c:axId val="4543838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5448"/>
        <c:crosses val="autoZero"/>
        <c:crossBetween val="between"/>
      </c:valAx>
      <c:spPr>
        <a:noFill/>
        <a:ln>
          <a:noFill/>
        </a:ln>
        <a:effectLst/>
      </c:spPr>
    </c:plotArea>
    <c:legend>
      <c:legendPos val="b"/>
      <c:layout>
        <c:manualLayout>
          <c:xMode val="edge"/>
          <c:yMode val="edge"/>
          <c:x val="0.59463783224280065"/>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赤江地域自治区</c:v>
                </c:pt>
              </c:strCache>
            </c:strRef>
          </c:cat>
          <c:val>
            <c:numRef>
              <c:f>管理者用地域特徴シート!$CK$3:$CK$5</c:f>
              <c:numCache>
                <c:formatCode>0.0%</c:formatCode>
                <c:ptCount val="3"/>
                <c:pt idx="0">
                  <c:v>0.82747216160708559</c:v>
                </c:pt>
                <c:pt idx="1">
                  <c:v>0.90316971603242813</c:v>
                </c:pt>
                <c:pt idx="2">
                  <c:v>0.93168578307408711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383096"/>
        <c:axId val="454385840"/>
      </c:barChart>
      <c:catAx>
        <c:axId val="454383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5840"/>
        <c:crosses val="autoZero"/>
        <c:auto val="1"/>
        <c:lblAlgn val="ctr"/>
        <c:lblOffset val="100"/>
        <c:noMultiLvlLbl val="0"/>
      </c:catAx>
      <c:valAx>
        <c:axId val="4543858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3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0.21</c:v>
                </c:pt>
                <c:pt idx="1">
                  <c:v>0.26</c:v>
                </c:pt>
                <c:pt idx="2">
                  <c:v>0.28999999999999998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766408"/>
        <c:axId val="391770328"/>
      </c:barChart>
      <c:catAx>
        <c:axId val="391766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70328"/>
        <c:crosses val="autoZero"/>
        <c:auto val="1"/>
        <c:lblAlgn val="ctr"/>
        <c:lblOffset val="100"/>
        <c:noMultiLvlLbl val="0"/>
      </c:catAx>
      <c:valAx>
        <c:axId val="391770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6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0.12</c:v>
                </c:pt>
                <c:pt idx="2">
                  <c:v>0.15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767584"/>
        <c:axId val="391771112"/>
      </c:barChart>
      <c:catAx>
        <c:axId val="391767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71112"/>
        <c:crosses val="autoZero"/>
        <c:auto val="1"/>
        <c:lblAlgn val="ctr"/>
        <c:lblOffset val="100"/>
        <c:noMultiLvlLbl val="0"/>
      </c:catAx>
      <c:valAx>
        <c:axId val="391771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67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493262872501210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54-4DCD-9D79-8156193074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866</c:v>
                </c:pt>
                <c:pt idx="1">
                  <c:v>811</c:v>
                </c:pt>
                <c:pt idx="2">
                  <c:v>838</c:v>
                </c:pt>
                <c:pt idx="3">
                  <c:v>814</c:v>
                </c:pt>
                <c:pt idx="4">
                  <c:v>779</c:v>
                </c:pt>
                <c:pt idx="5">
                  <c:v>1059</c:v>
                </c:pt>
                <c:pt idx="6">
                  <c:v>1230</c:v>
                </c:pt>
                <c:pt idx="7">
                  <c:v>1334</c:v>
                </c:pt>
                <c:pt idx="8">
                  <c:v>1017</c:v>
                </c:pt>
                <c:pt idx="9">
                  <c:v>1053</c:v>
                </c:pt>
                <c:pt idx="10">
                  <c:v>1071</c:v>
                </c:pt>
                <c:pt idx="11">
                  <c:v>1155</c:v>
                </c:pt>
                <c:pt idx="12">
                  <c:v>1382</c:v>
                </c:pt>
                <c:pt idx="13">
                  <c:v>945</c:v>
                </c:pt>
                <c:pt idx="14">
                  <c:v>819</c:v>
                </c:pt>
                <c:pt idx="15">
                  <c:v>618</c:v>
                </c:pt>
                <c:pt idx="16">
                  <c:v>416</c:v>
                </c:pt>
                <c:pt idx="17">
                  <c:v>205</c:v>
                </c:pt>
                <c:pt idx="18">
                  <c:v>71</c:v>
                </c:pt>
                <c:pt idx="19">
                  <c:v>15</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27872"/>
        <c:axId val="3922266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815</c:v>
                </c:pt>
                <c:pt idx="1">
                  <c:v>765</c:v>
                </c:pt>
                <c:pt idx="2">
                  <c:v>725</c:v>
                </c:pt>
                <c:pt idx="3">
                  <c:v>907</c:v>
                </c:pt>
                <c:pt idx="4">
                  <c:v>975</c:v>
                </c:pt>
                <c:pt idx="5">
                  <c:v>1185</c:v>
                </c:pt>
                <c:pt idx="6">
                  <c:v>1303</c:v>
                </c:pt>
                <c:pt idx="7">
                  <c:v>1399</c:v>
                </c:pt>
                <c:pt idx="8">
                  <c:v>1127</c:v>
                </c:pt>
                <c:pt idx="9">
                  <c:v>1116</c:v>
                </c:pt>
                <c:pt idx="10">
                  <c:v>1194</c:v>
                </c:pt>
                <c:pt idx="11">
                  <c:v>1339</c:v>
                </c:pt>
                <c:pt idx="12">
                  <c:v>1455</c:v>
                </c:pt>
                <c:pt idx="13">
                  <c:v>1127</c:v>
                </c:pt>
                <c:pt idx="14">
                  <c:v>919</c:v>
                </c:pt>
                <c:pt idx="15">
                  <c:v>929</c:v>
                </c:pt>
                <c:pt idx="16">
                  <c:v>717</c:v>
                </c:pt>
                <c:pt idx="17">
                  <c:v>444</c:v>
                </c:pt>
                <c:pt idx="18">
                  <c:v>210</c:v>
                </c:pt>
                <c:pt idx="19">
                  <c:v>53</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27088"/>
        <c:axId val="392223952"/>
      </c:barChart>
      <c:catAx>
        <c:axId val="392227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6696"/>
        <c:crosses val="autoZero"/>
        <c:auto val="1"/>
        <c:lblAlgn val="ctr"/>
        <c:lblOffset val="100"/>
        <c:noMultiLvlLbl val="0"/>
      </c:catAx>
      <c:valAx>
        <c:axId val="39222669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7872"/>
        <c:crosses val="autoZero"/>
        <c:crossBetween val="between"/>
        <c:majorUnit val="1000"/>
      </c:valAx>
      <c:valAx>
        <c:axId val="3922239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7088"/>
        <c:crosses val="max"/>
        <c:crossBetween val="between"/>
        <c:majorUnit val="1000"/>
      </c:valAx>
      <c:catAx>
        <c:axId val="392227088"/>
        <c:scaling>
          <c:orientation val="minMax"/>
        </c:scaling>
        <c:delete val="1"/>
        <c:axPos val="l"/>
        <c:numFmt formatCode="General" sourceLinked="1"/>
        <c:majorTickMark val="out"/>
        <c:minorTickMark val="none"/>
        <c:tickLblPos val="nextTo"/>
        <c:crossAx val="392223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16500</c:v>
                </c:pt>
                <c:pt idx="1">
                  <c:v>16475</c:v>
                </c:pt>
                <c:pt idx="2">
                  <c:v>16358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18714</c:v>
                </c:pt>
                <c:pt idx="1">
                  <c:v>18661</c:v>
                </c:pt>
                <c:pt idx="2">
                  <c:v>18302</c:v>
                </c:pt>
              </c:numCache>
            </c:numRef>
          </c:val>
          <c:extLst xmlns:c16r2="http://schemas.microsoft.com/office/drawing/2015/06/chart">
            <c:ext xmlns:c16="http://schemas.microsoft.com/office/drawing/2014/chart" uri="{C3380CC4-5D6E-409C-BE32-E72D297353CC}">
              <c16:uniqueId val="{00000000-B805-403A-AD2D-ED78E2B4F475}"/>
            </c:ext>
          </c:extLst>
        </c:ser>
        <c:dLbls>
          <c:showLegendKey val="0"/>
          <c:showVal val="0"/>
          <c:showCatName val="0"/>
          <c:showSerName val="0"/>
          <c:showPercent val="0"/>
          <c:showBubbleSize val="0"/>
        </c:dLbls>
        <c:gapWidth val="219"/>
        <c:overlap val="100"/>
        <c:axId val="392220424"/>
        <c:axId val="3922216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35214</c:v>
                </c:pt>
                <c:pt idx="1">
                  <c:v>35136</c:v>
                </c:pt>
                <c:pt idx="2">
                  <c:v>34660</c:v>
                </c:pt>
              </c:numCache>
            </c:numRef>
          </c:val>
          <c:smooth val="0"/>
          <c:extLst xmlns:c16r2="http://schemas.microsoft.com/office/drawing/2015/06/chart">
            <c:ext xmlns:c16="http://schemas.microsoft.com/office/drawing/2014/chart" uri="{C3380CC4-5D6E-409C-BE32-E72D297353CC}">
              <c16:uniqueId val="{00000001-B805-403A-AD2D-ED78E2B4F475}"/>
            </c:ext>
          </c:extLst>
        </c:ser>
        <c:dLbls>
          <c:showLegendKey val="0"/>
          <c:showVal val="0"/>
          <c:showCatName val="0"/>
          <c:showSerName val="0"/>
          <c:showPercent val="0"/>
          <c:showBubbleSize val="0"/>
        </c:dLbls>
        <c:marker val="1"/>
        <c:smooth val="0"/>
        <c:axId val="392220424"/>
        <c:axId val="392221600"/>
      </c:lineChart>
      <c:catAx>
        <c:axId val="392220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1600"/>
        <c:crosses val="autoZero"/>
        <c:auto val="1"/>
        <c:lblAlgn val="ctr"/>
        <c:lblOffset val="100"/>
        <c:noMultiLvlLbl val="0"/>
      </c:catAx>
      <c:valAx>
        <c:axId val="392221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042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3865447002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BA-4FD3-993C-CDFCAED0FF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724</c:v>
                </c:pt>
                <c:pt idx="1">
                  <c:v>777</c:v>
                </c:pt>
                <c:pt idx="2">
                  <c:v>807</c:v>
                </c:pt>
                <c:pt idx="3">
                  <c:v>801</c:v>
                </c:pt>
                <c:pt idx="4">
                  <c:v>663</c:v>
                </c:pt>
                <c:pt idx="5">
                  <c:v>735</c:v>
                </c:pt>
                <c:pt idx="6">
                  <c:v>867</c:v>
                </c:pt>
                <c:pt idx="7">
                  <c:v>1044</c:v>
                </c:pt>
                <c:pt idx="8">
                  <c:v>1205</c:v>
                </c:pt>
                <c:pt idx="9">
                  <c:v>1354</c:v>
                </c:pt>
                <c:pt idx="10">
                  <c:v>1002</c:v>
                </c:pt>
                <c:pt idx="11">
                  <c:v>1030</c:v>
                </c:pt>
                <c:pt idx="12">
                  <c:v>1058</c:v>
                </c:pt>
                <c:pt idx="13">
                  <c:v>1132</c:v>
                </c:pt>
                <c:pt idx="14">
                  <c:v>1199</c:v>
                </c:pt>
                <c:pt idx="15">
                  <c:v>798</c:v>
                </c:pt>
                <c:pt idx="16">
                  <c:v>600</c:v>
                </c:pt>
                <c:pt idx="17">
                  <c:v>384</c:v>
                </c:pt>
                <c:pt idx="18">
                  <c:v>146</c:v>
                </c:pt>
                <c:pt idx="19">
                  <c:v>29</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20816"/>
        <c:axId val="3922235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694</c:v>
                </c:pt>
                <c:pt idx="1">
                  <c:v>753</c:v>
                </c:pt>
                <c:pt idx="2">
                  <c:v>773</c:v>
                </c:pt>
                <c:pt idx="3">
                  <c:v>815</c:v>
                </c:pt>
                <c:pt idx="4">
                  <c:v>662</c:v>
                </c:pt>
                <c:pt idx="5">
                  <c:v>801</c:v>
                </c:pt>
                <c:pt idx="6">
                  <c:v>940</c:v>
                </c:pt>
                <c:pt idx="7">
                  <c:v>1046</c:v>
                </c:pt>
                <c:pt idx="8">
                  <c:v>1205</c:v>
                </c:pt>
                <c:pt idx="9">
                  <c:v>1408</c:v>
                </c:pt>
                <c:pt idx="10">
                  <c:v>1134</c:v>
                </c:pt>
                <c:pt idx="11">
                  <c:v>1148</c:v>
                </c:pt>
                <c:pt idx="12">
                  <c:v>1133</c:v>
                </c:pt>
                <c:pt idx="13">
                  <c:v>1258</c:v>
                </c:pt>
                <c:pt idx="14">
                  <c:v>1392</c:v>
                </c:pt>
                <c:pt idx="15">
                  <c:v>1029</c:v>
                </c:pt>
                <c:pt idx="16">
                  <c:v>843</c:v>
                </c:pt>
                <c:pt idx="17">
                  <c:v>730</c:v>
                </c:pt>
                <c:pt idx="18">
                  <c:v>384</c:v>
                </c:pt>
                <c:pt idx="19">
                  <c:v>139</c:v>
                </c:pt>
                <c:pt idx="20">
                  <c:v>15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22776"/>
        <c:axId val="392225520"/>
      </c:barChart>
      <c:catAx>
        <c:axId val="392220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3560"/>
        <c:crosses val="autoZero"/>
        <c:auto val="1"/>
        <c:lblAlgn val="ctr"/>
        <c:lblOffset val="100"/>
        <c:noMultiLvlLbl val="0"/>
      </c:catAx>
      <c:valAx>
        <c:axId val="39222356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0816"/>
        <c:crosses val="autoZero"/>
        <c:crossBetween val="between"/>
        <c:majorUnit val="1000"/>
      </c:valAx>
      <c:valAx>
        <c:axId val="39222552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2776"/>
        <c:crosses val="max"/>
        <c:crossBetween val="between"/>
        <c:majorUnit val="1000"/>
      </c:valAx>
      <c:catAx>
        <c:axId val="392222776"/>
        <c:scaling>
          <c:orientation val="minMax"/>
        </c:scaling>
        <c:delete val="1"/>
        <c:axPos val="l"/>
        <c:numFmt formatCode="General" sourceLinked="1"/>
        <c:majorTickMark val="out"/>
        <c:minorTickMark val="none"/>
        <c:tickLblPos val="nextTo"/>
        <c:crossAx val="392225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DFD-4B69-8CDB-0D834411B0F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DFD-4B69-8CDB-0D834411B0F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DFD-4B69-8CDB-0D834411B0F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DFD-4B69-8CDB-0D834411B0F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DFD-4B69-8CDB-0D834411B0F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16500</c:v>
                </c:pt>
                <c:pt idx="1">
                  <c:v>16475</c:v>
                </c:pt>
                <c:pt idx="2">
                  <c:v>16358</c:v>
                </c:pt>
                <c:pt idx="3">
                  <c:v>15927</c:v>
                </c:pt>
                <c:pt idx="4">
                  <c:v>15335</c:v>
                </c:pt>
                <c:pt idx="5">
                  <c:v>14664</c:v>
                </c:pt>
                <c:pt idx="6">
                  <c:v>13924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DFD-4B69-8CDB-0D834411B0F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DFD-4B69-8CDB-0D834411B0F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DFD-4B69-8CDB-0D834411B0F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18714</c:v>
                </c:pt>
                <c:pt idx="1">
                  <c:v>18661</c:v>
                </c:pt>
                <c:pt idx="2">
                  <c:v>18302</c:v>
                </c:pt>
                <c:pt idx="3">
                  <c:v>17757</c:v>
                </c:pt>
                <c:pt idx="4">
                  <c:v>17060</c:v>
                </c:pt>
                <c:pt idx="5">
                  <c:v>16247</c:v>
                </c:pt>
                <c:pt idx="6">
                  <c:v>15346</c:v>
                </c:pt>
              </c:numCache>
            </c:numRef>
          </c:val>
          <c:extLst xmlns:c16r2="http://schemas.microsoft.com/office/drawing/2015/06/chart">
            <c:ext xmlns:c16="http://schemas.microsoft.com/office/drawing/2014/chart" uri="{C3380CC4-5D6E-409C-BE32-E72D297353CC}">
              <c16:uniqueId val="{00000010-2DFD-4B69-8CDB-0D834411B0F0}"/>
            </c:ext>
          </c:extLst>
        </c:ser>
        <c:dLbls>
          <c:showLegendKey val="0"/>
          <c:showVal val="0"/>
          <c:showCatName val="0"/>
          <c:showSerName val="0"/>
          <c:showPercent val="0"/>
          <c:showBubbleSize val="0"/>
        </c:dLbls>
        <c:gapWidth val="219"/>
        <c:overlap val="100"/>
        <c:axId val="392226304"/>
        <c:axId val="39222473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35214</c:v>
                </c:pt>
                <c:pt idx="1">
                  <c:v>35136</c:v>
                </c:pt>
                <c:pt idx="2">
                  <c:v>34660</c:v>
                </c:pt>
                <c:pt idx="3">
                  <c:v>33684</c:v>
                </c:pt>
                <c:pt idx="4">
                  <c:v>32395</c:v>
                </c:pt>
                <c:pt idx="5">
                  <c:v>30911</c:v>
                </c:pt>
                <c:pt idx="6">
                  <c:v>29270</c:v>
                </c:pt>
              </c:numCache>
            </c:numRef>
          </c:val>
          <c:smooth val="0"/>
          <c:extLst xmlns:c16r2="http://schemas.microsoft.com/office/drawing/2015/06/chart">
            <c:ext xmlns:c16="http://schemas.microsoft.com/office/drawing/2014/chart" uri="{C3380CC4-5D6E-409C-BE32-E72D297353CC}">
              <c16:uniqueId val="{00000011-2DFD-4B69-8CDB-0D834411B0F0}"/>
            </c:ext>
          </c:extLst>
        </c:ser>
        <c:dLbls>
          <c:showLegendKey val="0"/>
          <c:showVal val="0"/>
          <c:showCatName val="0"/>
          <c:showSerName val="0"/>
          <c:showPercent val="0"/>
          <c:showBubbleSize val="0"/>
        </c:dLbls>
        <c:marker val="1"/>
        <c:smooth val="0"/>
        <c:axId val="392226304"/>
        <c:axId val="392224736"/>
      </c:lineChart>
      <c:catAx>
        <c:axId val="392226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4736"/>
        <c:crosses val="autoZero"/>
        <c:auto val="1"/>
        <c:lblAlgn val="ctr"/>
        <c:lblOffset val="100"/>
        <c:noMultiLvlLbl val="0"/>
      </c:catAx>
      <c:valAx>
        <c:axId val="392224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63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1884</c:v>
                </c:pt>
                <c:pt idx="1">
                  <c:v>1899</c:v>
                </c:pt>
                <c:pt idx="2">
                  <c:v>1867</c:v>
                </c:pt>
                <c:pt idx="3">
                  <c:v>1722</c:v>
                </c:pt>
                <c:pt idx="4">
                  <c:v>1491</c:v>
                </c:pt>
                <c:pt idx="5">
                  <c:v>1322</c:v>
                </c:pt>
                <c:pt idx="6">
                  <c:v>1240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223168"/>
        <c:axId val="392225912"/>
      </c:barChart>
      <c:catAx>
        <c:axId val="392223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5912"/>
        <c:crosses val="autoZero"/>
        <c:auto val="1"/>
        <c:lblAlgn val="ctr"/>
        <c:lblOffset val="100"/>
        <c:noMultiLvlLbl val="0"/>
      </c:catAx>
      <c:valAx>
        <c:axId val="392225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3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赤江地域自治区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45201_12</v>
      </c>
      <c r="B5" s="201" t="str">
        <f>VLOOKUP($A$5,$A$7:$CP$50,2,FALSE)</f>
        <v>宮崎市</v>
      </c>
      <c r="C5" s="201" t="str">
        <f>VLOOKUP($A$5,$A$7:$CP$50,3,FALSE)</f>
        <v>赤江地域自治区</v>
      </c>
      <c r="D5" s="188">
        <f>VLOOKUP($A$5,$A$7:$CP$70,4,FALSE)</f>
        <v>16235.99</v>
      </c>
      <c r="E5" s="189">
        <f>VLOOKUP($A$5,$A$7:$CP$70,5,FALSE)</f>
        <v>6049.64</v>
      </c>
      <c r="F5" s="189">
        <f>VLOOKUP($A$5,$A$7:$CP$70,6,FALSE)</f>
        <v>2038.2000000000003</v>
      </c>
      <c r="G5" s="190">
        <f>VLOOKUP($A$5,$A$7:$CP$70,7,FALSE)</f>
        <v>2095.14</v>
      </c>
      <c r="H5" s="178">
        <f>VLOOKUP($A$5,$A$7:$CP$70,8,FALSE)</f>
        <v>0.37260678283246051</v>
      </c>
      <c r="I5" s="179">
        <f>VLOOKUP($A$5,$A$7:$CP$70,9,FALSE)</f>
        <v>0.12553592358704338</v>
      </c>
      <c r="J5" s="180">
        <f>VLOOKUP($A$5,$A$7:$CP$70,10,FALSE)</f>
        <v>0.12904294718092335</v>
      </c>
      <c r="K5" s="188">
        <f>VLOOKUP($A$5,$A$7:$CP$70,11,FALSE)</f>
        <v>34662.97</v>
      </c>
      <c r="L5" s="189">
        <f>VLOOKUP($A$5,$A$7:$CP$70,12,FALSE)</f>
        <v>2306.63</v>
      </c>
      <c r="M5" s="189">
        <f>VLOOKUP($A$5,$A$7:$CP$70,13,FALSE)</f>
        <v>12977.64</v>
      </c>
      <c r="N5" s="190">
        <f>VLOOKUP($A$5,$A$7:$CP$70,14,FALSE)</f>
        <v>14857.17</v>
      </c>
      <c r="O5" s="178">
        <f>VLOOKUP($A$5,$A$7:$CP$70,15,FALSE)</f>
        <v>6.654449979329527E-2</v>
      </c>
      <c r="P5" s="179">
        <f>VLOOKUP($A$5,$A$7:$CP$70,16,FALSE)</f>
        <v>0.37439492345866493</v>
      </c>
      <c r="Q5" s="180">
        <f>VLOOKUP($A$5,$A$7:$CP$70,17,FALSE)</f>
        <v>0.42861791704519259</v>
      </c>
      <c r="R5" s="188">
        <f>VLOOKUP($A$5,$A$7:$CP$70,18,FALSE)</f>
        <v>34662.97</v>
      </c>
      <c r="S5" s="189">
        <f>VLOOKUP($A$5,$A$7:$CP$70,19,FALSE)</f>
        <v>5468.4000000000005</v>
      </c>
      <c r="T5" s="189">
        <f>VLOOKUP($A$5,$A$7:$CP$70,20,FALSE)</f>
        <v>1075.7199999999998</v>
      </c>
      <c r="U5" s="189">
        <f>VLOOKUP($A$5,$A$7:$CP$70,21,FALSE)</f>
        <v>1331.77</v>
      </c>
      <c r="V5" s="189">
        <f>VLOOKUP($A$5,$A$7:$CP$70,22,FALSE)</f>
        <v>41.230000000000004</v>
      </c>
      <c r="W5" s="190">
        <f>VLOOKUP($A$5,$A$7:$CP$70,23,FALSE)</f>
        <v>7917.1200000000008</v>
      </c>
      <c r="X5" s="188">
        <f>VLOOKUP($A$5,$A$7:$CP$70,24,FALSE)</f>
        <v>16360.83</v>
      </c>
      <c r="Y5" s="189">
        <f>VLOOKUP($A$5,$A$7:$CP$70,25,FALSE)</f>
        <v>2435.73</v>
      </c>
      <c r="Z5" s="189">
        <f>VLOOKUP($A$5,$A$7:$CP$70,26,FALSE)</f>
        <v>476</v>
      </c>
      <c r="AA5" s="189">
        <f>VLOOKUP($A$5,$A$7:$CP$70,27,FALSE)</f>
        <v>720.98</v>
      </c>
      <c r="AB5" s="189">
        <f>VLOOKUP($A$5,$A$7:$CP$70,28,FALSE)</f>
        <v>29.86</v>
      </c>
      <c r="AC5" s="191">
        <f>VLOOKUP($A$5,$A$7:$CP$70,29,FALSE)</f>
        <v>3662.57</v>
      </c>
      <c r="AD5" s="188">
        <f>VLOOKUP($A$5,$A$7:$CP$70,30,FALSE)</f>
        <v>18302.14</v>
      </c>
      <c r="AE5" s="189">
        <f>VLOOKUP($A$5,$A$7:$CP$70,31,FALSE)</f>
        <v>3032.67</v>
      </c>
      <c r="AF5" s="189">
        <f>VLOOKUP($A$5,$A$7:$CP$70,32,FALSE)</f>
        <v>599.72</v>
      </c>
      <c r="AG5" s="189">
        <f>VLOOKUP($A$5,$A$7:$CP$70,33,FALSE)</f>
        <v>610.79</v>
      </c>
      <c r="AH5" s="189">
        <f>VLOOKUP($A$5,$A$7:$CP$70,34,FALSE)</f>
        <v>11.37</v>
      </c>
      <c r="AI5" s="191">
        <f>VLOOKUP($A$5,$A$7:$CP$70,35,FALSE)</f>
        <v>4254.55</v>
      </c>
      <c r="AJ5" s="178">
        <f>VLOOKUP($A$5,$A$7:$CP$70,36,FALSE)</f>
        <v>0.22840281718502484</v>
      </c>
      <c r="AK5" s="179">
        <f>VLOOKUP($A$5,$A$7:$CP$70,37,FALSE)</f>
        <v>0.1358726405561618</v>
      </c>
      <c r="AL5" s="179">
        <f>VLOOKUP($A$5,$A$7:$CP$70,38,FALSE)</f>
        <v>0.16821394648559071</v>
      </c>
      <c r="AM5" s="179">
        <f>VLOOKUP($A$5,$A$7:$CP$70,39,FALSE)</f>
        <v>5.2077017905500988E-3</v>
      </c>
      <c r="AN5" s="182">
        <f>VLOOKUP($A$5,$A$7:$CP$70,40,FALSE)</f>
        <v>0.46261393031809545</v>
      </c>
      <c r="AO5" s="180">
        <f>VLOOKUP($A$5,$A$7:$CP$70,41,FALSE)</f>
        <v>0.5373860696819045</v>
      </c>
      <c r="AP5" s="192">
        <f>VLOOKUP($A$5,$A$7:$CP$70,42,FALSE)</f>
        <v>15172.83</v>
      </c>
      <c r="AQ5" s="189">
        <f>VLOOKUP($A$5,$A$7:$CP$70,43,FALSE)</f>
        <v>278.33000000000004</v>
      </c>
      <c r="AR5" s="189">
        <f>VLOOKUP($A$5,$A$7:$CP$70,44,FALSE)</f>
        <v>21.6</v>
      </c>
      <c r="AS5" s="189">
        <f>VLOOKUP($A$5,$A$7:$CP$70,45,FALSE)</f>
        <v>2.0099999999999998</v>
      </c>
      <c r="AT5" s="189">
        <f>VLOOKUP($A$5,$A$7:$CP$70,46,FALSE)</f>
        <v>1266.0500000000002</v>
      </c>
      <c r="AU5" s="189">
        <f>VLOOKUP($A$5,$A$7:$CP$70,47,FALSE)</f>
        <v>1148.7400000000002</v>
      </c>
      <c r="AV5" s="189">
        <f>VLOOKUP($A$5,$A$7:$CP$70,48,FALSE)</f>
        <v>61.54</v>
      </c>
      <c r="AW5" s="189">
        <f>VLOOKUP($A$5,$A$7:$CP$70,49,FALSE)</f>
        <v>405.23</v>
      </c>
      <c r="AX5" s="189">
        <f>VLOOKUP($A$5,$A$7:$CP$70,50,FALSE)</f>
        <v>752.54</v>
      </c>
      <c r="AY5" s="189">
        <f>VLOOKUP($A$5,$A$7:$CP$70,51,FALSE)</f>
        <v>2561.62</v>
      </c>
      <c r="AZ5" s="189">
        <f>VLOOKUP($A$5,$A$7:$CP$70,52,FALSE)</f>
        <v>349.53999999999996</v>
      </c>
      <c r="BA5" s="189">
        <f>VLOOKUP($A$5,$A$7:$CP$70,53,FALSE)</f>
        <v>315.11</v>
      </c>
      <c r="BB5" s="189">
        <f>VLOOKUP($A$5,$A$7:$CP$70,54,FALSE)</f>
        <v>545.59</v>
      </c>
      <c r="BC5" s="189">
        <f>VLOOKUP($A$5,$A$7:$CP$70,55,FALSE)</f>
        <v>883.5</v>
      </c>
      <c r="BD5" s="189">
        <f>VLOOKUP($A$5,$A$7:$CP$70,56,FALSE)</f>
        <v>671.91</v>
      </c>
      <c r="BE5" s="189">
        <f>VLOOKUP($A$5,$A$7:$CP$70,57,FALSE)</f>
        <v>992.3</v>
      </c>
      <c r="BF5" s="189">
        <f>VLOOKUP($A$5,$A$7:$CP$70,58,FALSE)</f>
        <v>2651.68</v>
      </c>
      <c r="BG5" s="189">
        <f>VLOOKUP($A$5,$A$7:$CP$70,59,FALSE)</f>
        <v>77.48</v>
      </c>
      <c r="BH5" s="189">
        <f>VLOOKUP($A$5,$A$7:$CP$70,60,FALSE)</f>
        <v>1084.8000000000002</v>
      </c>
      <c r="BI5" s="189">
        <f>VLOOKUP($A$5,$A$7:$CP$70,61,FALSE)</f>
        <v>701.44</v>
      </c>
      <c r="BJ5" s="178">
        <f>VLOOKUP($A$5,$A$7:$CP$70,62,FALSE)</f>
        <v>1.8343974064166015E-2</v>
      </c>
      <c r="BK5" s="179">
        <f>VLOOKUP($A$5,$A$7:$CP$70,63,FALSE)</f>
        <v>1.4235973117737431E-3</v>
      </c>
      <c r="BL5" s="179">
        <f>VLOOKUP($A$5,$A$7:$CP$70,64,FALSE)</f>
        <v>1.3247363873450106E-4</v>
      </c>
      <c r="BM5" s="179">
        <f>VLOOKUP($A$5,$A$7:$CP$70,65,FALSE)</f>
        <v>8.3441915581997567E-2</v>
      </c>
      <c r="BN5" s="179">
        <f>VLOOKUP($A$5,$A$7:$CP$70,66,FALSE)</f>
        <v>7.57103322188412E-2</v>
      </c>
      <c r="BO5" s="179">
        <f>VLOOKUP($A$5,$A$7:$CP$70,67,FALSE)</f>
        <v>4.0559341928961172E-3</v>
      </c>
      <c r="BP5" s="179">
        <f>VLOOKUP($A$5,$A$7:$CP$70,68,FALSE)</f>
        <v>2.6707608270836753E-2</v>
      </c>
      <c r="BQ5" s="179">
        <f>VLOOKUP($A$5,$A$7:$CP$70,69,FALSE)</f>
        <v>4.9597866713065389E-2</v>
      </c>
      <c r="BR5" s="179">
        <f>VLOOKUP($A$5,$A$7:$CP$70,70,FALSE)</f>
        <v>0.16882941415675257</v>
      </c>
      <c r="BS5" s="179">
        <f>VLOOKUP($A$5,$A$7:$CP$70,71,FALSE)</f>
        <v>2.3037231683212686E-2</v>
      </c>
      <c r="BT5" s="179">
        <f>VLOOKUP($A$5,$A$7:$CP$70,72,FALSE)</f>
        <v>2.0768043931158525E-2</v>
      </c>
      <c r="BU5" s="179">
        <f>VLOOKUP($A$5,$A$7:$CP$70,73,FALSE)</f>
        <v>3.5958354506047986E-2</v>
      </c>
      <c r="BV5" s="179">
        <f>VLOOKUP($A$5,$A$7:$CP$70,74,FALSE)</f>
        <v>5.8229084488523236E-2</v>
      </c>
      <c r="BW5" s="179">
        <f>VLOOKUP($A$5,$A$7:$CP$70,75,FALSE)</f>
        <v>4.4283762488606278E-2</v>
      </c>
      <c r="BX5" s="179">
        <f>VLOOKUP($A$5,$A$7:$CP$70,76,FALSE)</f>
        <v>6.539979687375394E-2</v>
      </c>
      <c r="BY5" s="179">
        <f>VLOOKUP($A$5,$A$7:$CP$70,77,FALSE)</f>
        <v>0.17476502405945363</v>
      </c>
      <c r="BZ5" s="179">
        <f>VLOOKUP($A$5,$A$7:$CP$70,78,FALSE)</f>
        <v>5.106496283158778E-3</v>
      </c>
      <c r="CA5" s="179">
        <f>VLOOKUP($A$5,$A$7:$CP$70,79,FALSE)</f>
        <v>7.1496220546859099E-2</v>
      </c>
      <c r="CB5" s="180">
        <f>VLOOKUP($A$5,$A$7:$CP$70,80,FALSE)</f>
        <v>4.6230004554193259E-2</v>
      </c>
      <c r="CC5" s="188">
        <f>VLOOKUP($A$5,$A$7:$CP$70,81,FALSE)</f>
        <v>15172.83</v>
      </c>
      <c r="CD5" s="190">
        <f>VLOOKUP($A$5,$A$7:$CP$70,82,FALSE)</f>
        <v>14136.310000000001</v>
      </c>
      <c r="CE5" s="189">
        <f>VLOOKUP($A$5,$A$7:$CP$70,83,FALSE)</f>
        <v>625.72</v>
      </c>
      <c r="CF5" s="191">
        <f>VLOOKUP($A$5,$A$7:$CP$70,84,FALSE)</f>
        <v>74.62</v>
      </c>
      <c r="CG5" s="188">
        <f>VLOOKUP($A$5,$A$7:$CP$70,85,FALSE)</f>
        <v>1429.0100000000002</v>
      </c>
      <c r="CH5" s="189">
        <f>VLOOKUP($A$5,$A$7:$CP$70,86,FALSE)</f>
        <v>1333.1</v>
      </c>
      <c r="CI5" s="189">
        <f>VLOOKUP($A$5,$A$7:$CP$70,87,FALSE)</f>
        <v>35.06</v>
      </c>
      <c r="CJ5" s="191">
        <f>VLOOKUP($A$5,$A$7:$CP$70,88,FALSE)</f>
        <v>15.23</v>
      </c>
      <c r="CK5" s="178">
        <f>VLOOKUP($A$5,$A$7:$CP$70,89,FALSE)</f>
        <v>0.93168578307408711</v>
      </c>
      <c r="CL5" s="179">
        <f>VLOOKUP($A$5,$A$7:$CP$70,90,FALSE)</f>
        <v>4.1239505089030855E-2</v>
      </c>
      <c r="CM5" s="180">
        <f>VLOOKUP($A$5,$A$7:$CP$70,91,FALSE)</f>
        <v>4.9180014539146619E-3</v>
      </c>
      <c r="CN5" s="178">
        <f>VLOOKUP($A$5,$A$7:$CP$70,92,FALSE)</f>
        <v>0.93288360473334664</v>
      </c>
      <c r="CO5" s="179">
        <f>VLOOKUP($A$5,$A$7:$CP$70,93,FALSE)</f>
        <v>2.4534467918349064E-2</v>
      </c>
      <c r="CP5" s="180">
        <f>VLOOKUP($A$5,$A$7:$CP$70,94,FALSE)</f>
        <v>1.0657728077480211E-2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赤江地域自治区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34660</v>
      </c>
      <c r="F6" s="257"/>
      <c r="G6" s="20" t="s">
        <v>54</v>
      </c>
    </row>
    <row r="7" spans="1:10" ht="22.5" customHeight="1" x14ac:dyDescent="0.15">
      <c r="A7" s="250">
        <f>管理者用グラフシート!B4</f>
        <v>2010</v>
      </c>
      <c r="B7" s="250"/>
      <c r="C7" s="82" t="s">
        <v>226</v>
      </c>
      <c r="D7" s="249">
        <f>E6-管理者用グラフシート!E4</f>
        <v>-554</v>
      </c>
      <c r="E7" s="249"/>
      <c r="F7" s="20" t="s">
        <v>356</v>
      </c>
    </row>
    <row r="8" spans="1:10" ht="22.5" customHeight="1" x14ac:dyDescent="0.15">
      <c r="A8" s="258" t="s">
        <v>380</v>
      </c>
      <c r="B8" s="258"/>
      <c r="C8" s="204">
        <f>管理者用グラフシート!C6-管理者用グラフシート!C4</f>
        <v>-142</v>
      </c>
      <c r="D8" s="207" t="s">
        <v>381</v>
      </c>
      <c r="F8" s="204">
        <f>管理者用グラフシート!D6-管理者用グラフシート!D4</f>
        <v>-412</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1867</v>
      </c>
      <c r="G36" s="254"/>
      <c r="H36" s="20" t="s">
        <v>54</v>
      </c>
    </row>
    <row r="37" spans="1:9" ht="22.5" customHeight="1" x14ac:dyDescent="0.15">
      <c r="A37" s="20" t="s">
        <v>66</v>
      </c>
      <c r="F37" s="254">
        <f>管理者用グラフシート!C16</f>
        <v>955</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-17</v>
      </c>
      <c r="E40" s="249"/>
      <c r="F40" s="20" t="s">
        <v>60</v>
      </c>
    </row>
    <row r="41" spans="1:9" ht="22.5" customHeight="1" x14ac:dyDescent="0.15">
      <c r="B41" s="20" t="s">
        <v>69</v>
      </c>
      <c r="D41" s="249">
        <f>F37-管理者用グラフシート!C14</f>
        <v>-15</v>
      </c>
      <c r="E41" s="249"/>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10081</v>
      </c>
      <c r="D70" s="254"/>
      <c r="E70" s="20" t="s">
        <v>76</v>
      </c>
      <c r="F70" s="37"/>
      <c r="G70" s="253">
        <f>管理者用グラフシート!C32</f>
        <v>0.28999999999999998</v>
      </c>
      <c r="H70" s="253"/>
      <c r="I70" s="20" t="s">
        <v>77</v>
      </c>
    </row>
    <row r="71" spans="1:9" ht="22.5" customHeight="1" x14ac:dyDescent="0.15">
      <c r="A71" s="20" t="s">
        <v>78</v>
      </c>
      <c r="C71" s="254">
        <f>管理者用グラフシート!C26</f>
        <v>5100</v>
      </c>
      <c r="D71" s="254"/>
      <c r="E71" s="20" t="s">
        <v>76</v>
      </c>
      <c r="F71" s="37"/>
      <c r="G71" s="253">
        <f>管理者用グラフシート!C36</f>
        <v>0.15</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-1137</v>
      </c>
      <c r="G135" s="208" t="s">
        <v>386</v>
      </c>
      <c r="H135" s="111"/>
    </row>
    <row r="136" spans="1:8" ht="22.5" customHeight="1" x14ac:dyDescent="0.15">
      <c r="A136" s="35" t="s">
        <v>387</v>
      </c>
      <c r="C136" s="206">
        <f>SUM(管理者用グラフシート!B95:C96)-SUM(管理者用グラフシート!B47:C48)</f>
        <v>-1369</v>
      </c>
      <c r="D136" s="20" t="s">
        <v>388</v>
      </c>
      <c r="E136" s="34"/>
      <c r="F136" s="206">
        <f>SUM(管理者用グラフシート!B97:C98)-SUM(管理者用グラフシート!B49:C50)</f>
        <v>859</v>
      </c>
      <c r="G136" s="20" t="s">
        <v>386</v>
      </c>
    </row>
    <row r="137" spans="1:8" ht="18.75" x14ac:dyDescent="0.15">
      <c r="A137" s="20" t="s">
        <v>389</v>
      </c>
      <c r="C137" s="206">
        <f>SUM(管理者用グラフシート!B99:C100)-SUM(管理者用グラフシート!B51:C52)</f>
        <v>-445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赤江地域自治区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32395</v>
      </c>
      <c r="E6" s="254"/>
      <c r="F6" s="20" t="s">
        <v>231</v>
      </c>
      <c r="H6" s="34"/>
      <c r="I6" s="34"/>
    </row>
    <row r="7" spans="1:9" ht="22.5" customHeight="1" x14ac:dyDescent="0.15">
      <c r="A7" s="250">
        <f>管理者入力シート!B5</f>
        <v>2020</v>
      </c>
      <c r="B7" s="250"/>
      <c r="C7" s="195" t="s">
        <v>362</v>
      </c>
      <c r="D7" s="249">
        <f>D6-現況シート!E6</f>
        <v>-2265</v>
      </c>
      <c r="E7" s="249"/>
      <c r="F7" s="20" t="s">
        <v>232</v>
      </c>
      <c r="I7" s="34"/>
    </row>
    <row r="8" spans="1:9" ht="22.5" customHeight="1" x14ac:dyDescent="0.15">
      <c r="A8" s="258" t="s">
        <v>397</v>
      </c>
      <c r="B8" s="258"/>
      <c r="C8" s="206">
        <f>管理者用グラフシート!I8-管理者用グラフシート!C6</f>
        <v>-1023</v>
      </c>
      <c r="D8" s="207" t="s">
        <v>398</v>
      </c>
      <c r="F8" s="259">
        <f>管理者用グラフシート!J8-管理者用グラフシート!D6</f>
        <v>-1242</v>
      </c>
      <c r="G8" s="259"/>
      <c r="H8" s="20" t="s">
        <v>399</v>
      </c>
    </row>
    <row r="10" spans="1:9" ht="22.5" customHeight="1" x14ac:dyDescent="0.15">
      <c r="A10" s="250">
        <f>管理者入力シート!B11</f>
        <v>2040</v>
      </c>
      <c r="B10" s="250"/>
      <c r="C10" s="20" t="s">
        <v>361</v>
      </c>
      <c r="D10" s="254">
        <f>管理者用グラフシート!K10</f>
        <v>29270</v>
      </c>
      <c r="E10" s="254"/>
      <c r="F10" s="20" t="s">
        <v>231</v>
      </c>
      <c r="H10" s="34"/>
    </row>
    <row r="11" spans="1:9" ht="22.5" customHeight="1" x14ac:dyDescent="0.15">
      <c r="A11" s="250">
        <f>管理者入力シート!B5</f>
        <v>2020</v>
      </c>
      <c r="B11" s="250"/>
      <c r="C11" s="195" t="s">
        <v>362</v>
      </c>
      <c r="D11" s="249">
        <f>D10-現況シート!E6</f>
        <v>-5390</v>
      </c>
      <c r="E11" s="249"/>
      <c r="F11" s="20" t="s">
        <v>232</v>
      </c>
      <c r="H11" s="34"/>
    </row>
    <row r="12" spans="1:9" ht="22.5" customHeight="1" x14ac:dyDescent="0.15">
      <c r="A12" s="258" t="s">
        <v>397</v>
      </c>
      <c r="B12" s="258"/>
      <c r="C12" s="206">
        <f>管理者用グラフシート!I10-管理者用グラフシート!C6</f>
        <v>-2434</v>
      </c>
      <c r="D12" s="207" t="s">
        <v>398</v>
      </c>
      <c r="F12" s="259">
        <f>管理者用グラフシート!J10-管理者用グラフシート!D6</f>
        <v>-2956</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1240</v>
      </c>
      <c r="G36" s="254"/>
      <c r="H36" s="82" t="s">
        <v>233</v>
      </c>
      <c r="I36" s="34"/>
    </row>
    <row r="37" spans="1:9" ht="22.5" customHeight="1" x14ac:dyDescent="0.15">
      <c r="A37" s="20" t="s">
        <v>234</v>
      </c>
      <c r="F37" s="254">
        <f>管理者用グラフシート!I28</f>
        <v>666</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-627</v>
      </c>
      <c r="G40" s="249"/>
      <c r="H40" s="35" t="s">
        <v>60</v>
      </c>
    </row>
    <row r="41" spans="1:9" ht="22.5" customHeight="1" x14ac:dyDescent="0.15">
      <c r="A41" s="20" t="s">
        <v>69</v>
      </c>
      <c r="C41" s="199">
        <f>管理者入力シート!B5</f>
        <v>2020</v>
      </c>
      <c r="D41" s="20" t="s">
        <v>374</v>
      </c>
      <c r="F41" s="249">
        <f>F37-現況シート!F37</f>
        <v>-289</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10749</v>
      </c>
      <c r="D70" s="254"/>
      <c r="E70" s="82" t="s">
        <v>239</v>
      </c>
      <c r="F70" s="34"/>
      <c r="G70" s="253">
        <f>管理者用グラフシート!I56</f>
        <v>0.37</v>
      </c>
      <c r="H70" s="253"/>
      <c r="I70" s="110" t="s">
        <v>240</v>
      </c>
    </row>
    <row r="71" spans="1:9" ht="22.5" customHeight="1" x14ac:dyDescent="0.15">
      <c r="A71" s="20" t="s">
        <v>241</v>
      </c>
      <c r="C71" s="254">
        <f>管理者用グラフシート!I46</f>
        <v>6223</v>
      </c>
      <c r="D71" s="254"/>
      <c r="E71" s="20" t="s">
        <v>239</v>
      </c>
      <c r="G71" s="261">
        <f>管理者用グラフシート!I64</f>
        <v>0.21</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-110</v>
      </c>
      <c r="H103" s="208" t="s">
        <v>60</v>
      </c>
    </row>
    <row r="104" spans="1:8" ht="22.5" customHeight="1" x14ac:dyDescent="0.15">
      <c r="A104" s="35" t="s">
        <v>387</v>
      </c>
      <c r="C104" s="206">
        <f>SUM(管理者用グラフシート!H99:I100)-SUM(管理者用グラフシート!B95:C96)</f>
        <v>-1119</v>
      </c>
      <c r="D104" s="20" t="s">
        <v>423</v>
      </c>
      <c r="E104" s="34"/>
      <c r="G104" s="206">
        <f>SUM(管理者用グラフシート!H101:I102)-SUM(管理者用グラフシート!B97:C98)</f>
        <v>-1353</v>
      </c>
      <c r="H104" s="20" t="s">
        <v>60</v>
      </c>
    </row>
    <row r="105" spans="1:8" ht="22.5" customHeight="1" x14ac:dyDescent="0.15">
      <c r="A105" s="20" t="s">
        <v>389</v>
      </c>
      <c r="C105" s="206">
        <f>SUM(管理者用グラフシート!H103:I104)-SUM(管理者用グラフシート!B99:C100)</f>
        <v>877</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-313</v>
      </c>
      <c r="H137" s="208" t="s">
        <v>60</v>
      </c>
    </row>
    <row r="138" spans="1:8" ht="22.5" customHeight="1" x14ac:dyDescent="0.15">
      <c r="A138" s="35" t="s">
        <v>387</v>
      </c>
      <c r="C138" s="206">
        <f>SUM(管理者用グラフシート!H147:I148)-SUM(管理者用グラフシート!B95:C96)</f>
        <v>-1217</v>
      </c>
      <c r="D138" s="20" t="s">
        <v>423</v>
      </c>
      <c r="E138" s="34"/>
      <c r="G138" s="243">
        <f>SUM(管理者用グラフシート!H149:I150)-SUM(管理者用グラフシート!B97:C98)</f>
        <v>-2450</v>
      </c>
      <c r="H138" s="20" t="s">
        <v>60</v>
      </c>
    </row>
    <row r="139" spans="1:8" ht="22.5" customHeight="1" x14ac:dyDescent="0.15">
      <c r="A139" s="20" t="s">
        <v>389</v>
      </c>
      <c r="C139" s="206">
        <f>SUM(管理者用グラフシート!H151:I152)-SUM(管理者用グラフシート!B99:C100)</f>
        <v>-482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赤江地域自治区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35034</v>
      </c>
      <c r="I36" s="271"/>
    </row>
    <row r="37" spans="1:9" s="130" customFormat="1" ht="17.25" customHeight="1" x14ac:dyDescent="0.15">
      <c r="A37" s="165"/>
      <c r="B37" s="226" t="s">
        <v>5</v>
      </c>
      <c r="C37" s="227">
        <f>管理者用人口入力シート!DX1</f>
        <v>225</v>
      </c>
      <c r="D37" s="228">
        <f>C37</f>
        <v>225</v>
      </c>
      <c r="F37" s="162"/>
      <c r="G37" s="238">
        <f>管理者入力シート!B9</f>
        <v>2030</v>
      </c>
      <c r="H37" s="270">
        <f>管理者用人口入力シート!EU25</f>
        <v>35516</v>
      </c>
      <c r="I37" s="271"/>
    </row>
    <row r="38" spans="1:9" s="132" customFormat="1" ht="17.25" customHeight="1" x14ac:dyDescent="0.15">
      <c r="A38" s="160"/>
      <c r="B38" s="226" t="s">
        <v>6</v>
      </c>
      <c r="C38" s="227">
        <f>C37</f>
        <v>225</v>
      </c>
      <c r="D38" s="228">
        <f>C37</f>
        <v>225</v>
      </c>
      <c r="F38" s="162"/>
      <c r="G38" s="238">
        <f>管理者入力シート!B10</f>
        <v>2035</v>
      </c>
      <c r="H38" s="270">
        <f>管理者用人口入力シート!EU28</f>
        <v>35841</v>
      </c>
      <c r="I38" s="271"/>
    </row>
    <row r="39" spans="1:9" ht="17.25" customHeight="1" thickBot="1" x14ac:dyDescent="0.2">
      <c r="A39" s="166"/>
      <c r="B39" s="229" t="s">
        <v>7</v>
      </c>
      <c r="C39" s="230">
        <f>C37</f>
        <v>225</v>
      </c>
      <c r="D39" s="231">
        <f>C37</f>
        <v>225</v>
      </c>
      <c r="F39" s="162"/>
      <c r="G39" s="239">
        <f>管理者入力シート!B11</f>
        <v>2040</v>
      </c>
      <c r="H39" s="272">
        <f>管理者用人口入力シート!EU31</f>
        <v>36015</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32415</v>
      </c>
      <c r="E43" s="254"/>
      <c r="F43" s="20" t="s">
        <v>231</v>
      </c>
      <c r="H43" s="34"/>
      <c r="I43" s="34"/>
    </row>
    <row r="44" spans="1:9" ht="22.5" customHeight="1" x14ac:dyDescent="0.15">
      <c r="A44" s="250">
        <f>管理者入力シート!B11</f>
        <v>2040</v>
      </c>
      <c r="B44" s="250"/>
      <c r="C44" s="20" t="s">
        <v>417</v>
      </c>
      <c r="D44" s="254">
        <f>管理者用グラフシート!U10</f>
        <v>29314</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44</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1246</v>
      </c>
      <c r="G78" s="254"/>
      <c r="H78" s="82" t="s">
        <v>264</v>
      </c>
      <c r="I78" s="34"/>
    </row>
    <row r="79" spans="1:9" ht="22.5" customHeight="1" x14ac:dyDescent="0.15">
      <c r="A79" s="20" t="s">
        <v>234</v>
      </c>
      <c r="F79" s="254">
        <f>管理者用グラフシート!Q28</f>
        <v>669</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10749</v>
      </c>
      <c r="D112" s="254"/>
      <c r="E112" s="20" t="s">
        <v>270</v>
      </c>
      <c r="F112" s="36"/>
      <c r="G112" s="111">
        <f>管理者用グラフシート!Q56</f>
        <v>0.37</v>
      </c>
      <c r="H112" s="82" t="s">
        <v>271</v>
      </c>
      <c r="I112" s="34"/>
    </row>
    <row r="113" spans="1:9" ht="22.5" customHeight="1" x14ac:dyDescent="0.15">
      <c r="A113" s="20" t="s">
        <v>268</v>
      </c>
      <c r="C113" s="254">
        <f>管理者用グラフシート!Q46</f>
        <v>6223</v>
      </c>
      <c r="D113" s="254"/>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赤江地域自治区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0.37260678283246051</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6" t="str">
        <f>地域特徴シート!A1</f>
        <v>赤江地域自治区</v>
      </c>
      <c r="B11" s="256"/>
      <c r="C11" s="257">
        <f>管理者用地域特徴シート!D5</f>
        <v>16235.99</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0.12904294718092335</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0.37439492345866493</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7917.1200000000008</v>
      </c>
      <c r="F70" s="282"/>
      <c r="G70" s="20" t="s">
        <v>290</v>
      </c>
    </row>
    <row r="71" spans="1:8" ht="22.5" customHeight="1" x14ac:dyDescent="0.15">
      <c r="A71" s="20" t="s">
        <v>295</v>
      </c>
      <c r="F71" s="281">
        <f>管理者用地域特徴シート!AK5</f>
        <v>0.1358726405561618</v>
      </c>
      <c r="G71" s="281"/>
      <c r="H71" s="20" t="s">
        <v>271</v>
      </c>
    </row>
    <row r="72" spans="1:8" ht="22.5" customHeight="1" x14ac:dyDescent="0.15">
      <c r="A72" s="20" t="s">
        <v>296</v>
      </c>
      <c r="F72" s="281">
        <f>管理者用地域特徴シート!AL5</f>
        <v>0.16821394648559071</v>
      </c>
      <c r="G72" s="281"/>
      <c r="H72" s="20" t="s">
        <v>297</v>
      </c>
    </row>
    <row r="73" spans="1:8" ht="22.5" customHeight="1" x14ac:dyDescent="0.15">
      <c r="A73" s="20" t="s">
        <v>298</v>
      </c>
      <c r="E73" s="281"/>
      <c r="F73" s="281"/>
    </row>
    <row r="74" spans="1:8" ht="22.5" customHeight="1" x14ac:dyDescent="0.15">
      <c r="A74" s="20" t="s">
        <v>339</v>
      </c>
      <c r="C74" s="177">
        <f>管理者用地域特徴シート!AN5</f>
        <v>0.46261393031809545</v>
      </c>
      <c r="D74" s="156" t="s">
        <v>299</v>
      </c>
      <c r="E74" s="177">
        <f>管理者用地域特徴シート!AO5</f>
        <v>0.5373860696819045</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0.93168578307408711</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0.93288360473334664</v>
      </c>
      <c r="D141" s="281"/>
      <c r="E141" s="20" t="s">
        <v>316</v>
      </c>
      <c r="F141" s="157" t="str">
        <f>管理者入力シート!B3</f>
        <v>宮崎市</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赤江地域自治区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45201_12</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475</v>
      </c>
      <c r="DW1" s="313"/>
      <c r="DX1" s="308">
        <f>DW17</f>
        <v>225</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842.90481042643762</v>
      </c>
      <c r="E3" s="9">
        <v>803.38739646584054</v>
      </c>
      <c r="F3" s="9">
        <v>764.90765236936807</v>
      </c>
      <c r="G3" s="9">
        <v>912.27805773516729</v>
      </c>
      <c r="H3" s="9">
        <v>1006.3174327085104</v>
      </c>
      <c r="I3" s="9">
        <v>1251.1066615949007</v>
      </c>
      <c r="J3" s="9">
        <v>1404.8295364072792</v>
      </c>
      <c r="K3" s="9">
        <v>1036.3201561806468</v>
      </c>
      <c r="L3" s="9">
        <v>1027.5703190383442</v>
      </c>
      <c r="M3" s="9">
        <v>1071.6979881242305</v>
      </c>
      <c r="N3" s="9">
        <v>1204.9195681257115</v>
      </c>
      <c r="O3" s="9">
        <v>1380.6186943096604</v>
      </c>
      <c r="P3" s="9">
        <v>1018.0867350409208</v>
      </c>
      <c r="Q3" s="9">
        <v>848.58270128927893</v>
      </c>
      <c r="R3" s="9">
        <v>714.44041513844923</v>
      </c>
      <c r="S3" s="9">
        <v>561.32254763951823</v>
      </c>
      <c r="T3" s="9">
        <v>310.01487719329697</v>
      </c>
      <c r="U3" s="9">
        <v>138.74772647264086</v>
      </c>
      <c r="V3" s="9">
        <v>57.002813568554465</v>
      </c>
      <c r="W3" s="9">
        <v>12.523910171243342</v>
      </c>
      <c r="X3" s="9">
        <v>0.44</v>
      </c>
      <c r="Y3" s="9">
        <f>SUM(D3:X3)</f>
        <v>16368.019999999999</v>
      </c>
      <c r="Z3" s="9">
        <f>E3*3/5+F3*3/5</f>
        <v>940.97702930112519</v>
      </c>
      <c r="AA3" s="9">
        <f>F3*2/5+G3*1/5</f>
        <v>488.41867249478071</v>
      </c>
      <c r="AB3" s="9">
        <f t="shared" ref="AB3:AB20" si="0">SUM(Q3:X3)</f>
        <v>2643.0749914729818</v>
      </c>
      <c r="AC3" s="9">
        <f>SUM(S3:X3)</f>
        <v>1080.0518750452541</v>
      </c>
      <c r="AD3" s="13">
        <f>AB3/Y3</f>
        <v>0.16147799131922994</v>
      </c>
      <c r="AE3" s="13">
        <f>AC3/Y3</f>
        <v>6.5985493361155112E-2</v>
      </c>
      <c r="AF3" s="9">
        <f>SUM(H3:K3)</f>
        <v>4698.5737868913366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0.92324662973267013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1.0022161283005366</v>
      </c>
      <c r="AO3" s="6">
        <f t="shared" si="1"/>
        <v>0.99570208158278795</v>
      </c>
      <c r="AP3" s="6">
        <f t="shared" si="1"/>
        <v>0.8097737676951825</v>
      </c>
      <c r="AQ3" s="6">
        <f t="shared" si="1"/>
        <v>1.0396957184202738</v>
      </c>
      <c r="AR3" s="6">
        <f t="shared" si="1"/>
        <v>0.9679437860219775</v>
      </c>
      <c r="AS3" s="6">
        <f t="shared" si="1"/>
        <v>1.0044729692601528</v>
      </c>
      <c r="AT3" s="6">
        <f t="shared" si="1"/>
        <v>1.0347360501799909</v>
      </c>
      <c r="AU3" s="6">
        <f t="shared" si="1"/>
        <v>1.0321562915760647</v>
      </c>
      <c r="AV3" s="6">
        <f t="shared" si="1"/>
        <v>1.0121310830936323</v>
      </c>
      <c r="AW3" s="6">
        <f t="shared" si="1"/>
        <v>0.98064189175238659</v>
      </c>
      <c r="AX3" s="6">
        <f t="shared" si="1"/>
        <v>1.0012156888680359</v>
      </c>
      <c r="AY3" s="6">
        <f t="shared" si="1"/>
        <v>0.96588577223491745</v>
      </c>
      <c r="AZ3" s="6">
        <f t="shared" si="1"/>
        <v>0.9429017498564265</v>
      </c>
      <c r="BA3" s="6">
        <f t="shared" si="1"/>
        <v>0.89813877020085653</v>
      </c>
      <c r="BB3" s="6">
        <f t="shared" si="1"/>
        <v>0.78704665106634053</v>
      </c>
      <c r="BC3" s="6">
        <f t="shared" si="1"/>
        <v>0.7590853432696012</v>
      </c>
      <c r="BD3" s="6">
        <f t="shared" si="1"/>
        <v>0.51840461312382302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0.34437471866142422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0.16244264998237903</v>
      </c>
      <c r="BH3" s="7" t="str">
        <f>BI3&amp;"_"&amp;IF(BJ3="男性",1,IF(BJ3="女性",2,IF(BJ3="合計",3)))</f>
        <v>2025_1</v>
      </c>
      <c r="BI3" s="28">
        <f>管理者入力シート!B8</f>
        <v>2025</v>
      </c>
      <c r="BJ3" s="3" t="s">
        <v>21</v>
      </c>
      <c r="BK3" s="9">
        <f>CM4*AK$13</f>
        <v>624.41209488467996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670.58154581962867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774.91609006744284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796.44420190914411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671.66183515485352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725.44941486568609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716.80501970086459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845.84755553242064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1052.7316954419107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1208.5784156093987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1361.1877049476948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986.2214919953625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1038.2283291108272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997.4739517667457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1065.1108192040983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1096.6100916716262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640.57561927271888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430.97350961147481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177.8888990977143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44.636196858385283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0.37244957240253362</v>
      </c>
      <c r="CF3" s="9">
        <f t="shared" ref="CF3:CF14" si="2">SUM(BK3:CE3)</f>
        <v>15926.706932095078</v>
      </c>
      <c r="CG3" s="9">
        <f>BL3*3/5+BM3*3/5</f>
        <v>867.29858153224291</v>
      </c>
      <c r="CH3" s="9">
        <f>BM3*2/5+BN3*1/5</f>
        <v>469.25527640880597</v>
      </c>
      <c r="CI3" s="9">
        <f t="shared" ref="CI3:CI14" si="3">SUM(BX3:CE3)</f>
        <v>4453.6415370551658</v>
      </c>
      <c r="CJ3" s="9">
        <f>SUM(BZ3:CE3)</f>
        <v>2391.0567660843221</v>
      </c>
      <c r="CK3" s="13">
        <f>CI3/CF3</f>
        <v>0.27963354609610513</v>
      </c>
      <c r="CL3" s="13">
        <f>CJ3/CF3</f>
        <v>0.15012876021884525</v>
      </c>
      <c r="CM3" s="9">
        <f>SUM(BO3:BR3)</f>
        <v>2959.763825253825</v>
      </c>
      <c r="CO3" s="7" t="str">
        <f>CP3&amp;"_"&amp;IF(CQ3="男性",1,IF(CQ3="女性",2,IF(CQ3="合計",3)))</f>
        <v>2025_1</v>
      </c>
      <c r="CP3" s="28">
        <f>管理者入力シート!B8</f>
        <v>2025</v>
      </c>
      <c r="CQ3" s="3" t="s">
        <v>21</v>
      </c>
      <c r="CR3" s="9">
        <f>BK3+将来予測シート②!$G17</f>
        <v>625.41209488467996</v>
      </c>
      <c r="CS3" s="9">
        <f>BL3+将来予測シート②!$G18</f>
        <v>670.58154581962867</v>
      </c>
      <c r="CT3" s="9">
        <f>BM3+将来予測シート②!$G19</f>
        <v>775.91609006744284</v>
      </c>
      <c r="CU3" s="9">
        <f>BN3+将来予測シート②!$G20</f>
        <v>796.44420190914411</v>
      </c>
      <c r="CV3" s="9">
        <f>BO3+将来予測シート②!$G21</f>
        <v>671.66183515485352</v>
      </c>
      <c r="CW3" s="9">
        <f>BP3+将来予測シート②!$G22</f>
        <v>727.44941486568609</v>
      </c>
      <c r="CX3" s="9">
        <f>BQ3+将来予測シート②!$G23</f>
        <v>716.80501970086459</v>
      </c>
      <c r="CY3" s="9">
        <f>BR3+将来予測シート②!$G24</f>
        <v>845.84755553242064</v>
      </c>
      <c r="CZ3" s="9">
        <f>BS3+将来予測シート②!$G25</f>
        <v>1052.7316954419107</v>
      </c>
      <c r="DA3" s="9">
        <f>BT3+将来予測シート②!$G26</f>
        <v>1208.5784156093987</v>
      </c>
      <c r="DB3" s="9">
        <f>BU3+将来予測シート②!$G27</f>
        <v>1361.1877049476948</v>
      </c>
      <c r="DC3" s="9">
        <f>BV3+将来予測シート②!$G28</f>
        <v>986.2214919953625</v>
      </c>
      <c r="DD3" s="9">
        <f>BW3+将来予測シート②!$G29</f>
        <v>1038.2283291108272</v>
      </c>
      <c r="DE3" s="9">
        <f>BX3</f>
        <v>997.4739517667457</v>
      </c>
      <c r="DF3" s="9">
        <f t="shared" ref="DF3:DL3" si="4">BY3</f>
        <v>1065.1108192040983</v>
      </c>
      <c r="DG3" s="9">
        <f t="shared" si="4"/>
        <v>1096.6100916716262</v>
      </c>
      <c r="DH3" s="9">
        <f t="shared" si="4"/>
        <v>640.57561927271888</v>
      </c>
      <c r="DI3" s="9">
        <f t="shared" si="4"/>
        <v>430.97350961147481</v>
      </c>
      <c r="DJ3" s="9">
        <f t="shared" si="4"/>
        <v>177.8888990977143</v>
      </c>
      <c r="DK3" s="9">
        <f t="shared" si="4"/>
        <v>44.636196858385283</v>
      </c>
      <c r="DL3" s="9">
        <f t="shared" si="4"/>
        <v>0.37244957240253362</v>
      </c>
      <c r="DM3" s="9">
        <f t="shared" ref="DM3:DM4" si="5">SUM(CR3:DL3)</f>
        <v>15930.706932095078</v>
      </c>
      <c r="DN3" s="9">
        <f>CS3*3/5+CT3*3/5</f>
        <v>867.89858153224293</v>
      </c>
      <c r="DO3" s="9">
        <f>CT3*2/5+CU3*1/5</f>
        <v>469.65527640880595</v>
      </c>
      <c r="DP3" s="9">
        <f t="shared" ref="DP3:DP14" si="6">SUM(DE3:DL3)</f>
        <v>4453.6415370551658</v>
      </c>
      <c r="DQ3" s="9">
        <f>SUM(DG3:DL3)</f>
        <v>2391.0567660843221</v>
      </c>
      <c r="DR3" s="13">
        <f>DP3/DM3</f>
        <v>0.27956333363226704</v>
      </c>
      <c r="DS3" s="13">
        <f>DQ3/DM3</f>
        <v>0.15009106477673867</v>
      </c>
      <c r="DT3" s="9">
        <f>SUM(CV3:CY3)</f>
        <v>2961.763825253825</v>
      </c>
      <c r="DV3" s="312"/>
      <c r="DW3" s="313"/>
      <c r="DX3" s="28">
        <f>管理者入力シート!B8</f>
        <v>2025</v>
      </c>
      <c r="DY3" s="3" t="s">
        <v>21</v>
      </c>
      <c r="DZ3" s="9">
        <f>BK$3</f>
        <v>624.41209488467996</v>
      </c>
      <c r="EA3" s="9">
        <f>BL$3</f>
        <v>670.58154581962867</v>
      </c>
      <c r="EB3" s="9">
        <f t="shared" ref="EB3:ED3" si="7">BM$3</f>
        <v>774.91609006744284</v>
      </c>
      <c r="EC3" s="9">
        <f t="shared" si="7"/>
        <v>796.44420190914411</v>
      </c>
      <c r="ED3" s="9">
        <f t="shared" si="7"/>
        <v>671.66183515485352</v>
      </c>
      <c r="EE3" s="9">
        <f>BP$3+DX1</f>
        <v>950.44941486568609</v>
      </c>
      <c r="EF3" s="9">
        <f>BQ$3+DX1</f>
        <v>941.80501970086459</v>
      </c>
      <c r="EG3" s="9">
        <f>BR$3+DX1</f>
        <v>1070.8475555324208</v>
      </c>
      <c r="EH3" s="9">
        <f t="shared" ref="EH3:ET3" si="8">BS$3</f>
        <v>1052.7316954419107</v>
      </c>
      <c r="EI3" s="9">
        <f t="shared" si="8"/>
        <v>1208.5784156093987</v>
      </c>
      <c r="EJ3" s="9">
        <f t="shared" si="8"/>
        <v>1361.1877049476948</v>
      </c>
      <c r="EK3" s="9">
        <f t="shared" si="8"/>
        <v>986.2214919953625</v>
      </c>
      <c r="EL3" s="9">
        <f t="shared" si="8"/>
        <v>1038.2283291108272</v>
      </c>
      <c r="EM3" s="9">
        <f t="shared" si="8"/>
        <v>997.4739517667457</v>
      </c>
      <c r="EN3" s="9">
        <f t="shared" si="8"/>
        <v>1065.1108192040983</v>
      </c>
      <c r="EO3" s="9">
        <f t="shared" si="8"/>
        <v>1096.6100916716262</v>
      </c>
      <c r="EP3" s="9">
        <f t="shared" si="8"/>
        <v>640.57561927271888</v>
      </c>
      <c r="EQ3" s="9">
        <f t="shared" si="8"/>
        <v>430.97350961147481</v>
      </c>
      <c r="ER3" s="9">
        <f t="shared" si="8"/>
        <v>177.8888990977143</v>
      </c>
      <c r="ES3" s="9">
        <f t="shared" si="8"/>
        <v>44.636196858385283</v>
      </c>
      <c r="ET3" s="9">
        <f t="shared" si="8"/>
        <v>0.37244957240253362</v>
      </c>
      <c r="EU3" s="9">
        <f t="shared" ref="EU3:EU4" si="9">SUM(DZ3:ET3)</f>
        <v>16601.706932095076</v>
      </c>
      <c r="EV3" s="9">
        <f>EA3*3/5+EB3*3/5</f>
        <v>867.29858153224291</v>
      </c>
      <c r="EW3" s="9">
        <f>EB3*2/5+EC3*1/5</f>
        <v>469.25527640880597</v>
      </c>
      <c r="EX3" s="9">
        <f t="shared" ref="EX3:EX14" si="10">SUM(EM3:ET3)</f>
        <v>4453.6415370551658</v>
      </c>
      <c r="EY3" s="9">
        <f>SUM(EO3:ET3)</f>
        <v>2391.0567660843221</v>
      </c>
      <c r="EZ3" s="13">
        <f>EX3/EU3</f>
        <v>0.26826407400586083</v>
      </c>
      <c r="FA3" s="13">
        <f>EY3/EU3</f>
        <v>0.14402475455471611</v>
      </c>
      <c r="FB3" s="9">
        <f>SUM(ED3:EG3)</f>
        <v>3634.763825253825</v>
      </c>
    </row>
    <row r="4" spans="1:158" x14ac:dyDescent="0.15">
      <c r="A4" s="7" t="str">
        <f t="shared" ref="A4:A14" si="11">B4&amp;"_"&amp;IF(C4="男性",1,IF(C4="女性",2,IF(C4="合計",3)))</f>
        <v>2005_2</v>
      </c>
      <c r="B4" s="29">
        <v>2005</v>
      </c>
      <c r="C4" s="4" t="s">
        <v>22</v>
      </c>
      <c r="D4" s="10">
        <v>790.95764277778665</v>
      </c>
      <c r="E4" s="10">
        <v>685.04777146979711</v>
      </c>
      <c r="F4" s="10">
        <v>780.71642902146982</v>
      </c>
      <c r="G4" s="10">
        <v>977.1964342030559</v>
      </c>
      <c r="H4" s="10">
        <v>1139.5657243593905</v>
      </c>
      <c r="I4" s="10">
        <v>1361.230513699109</v>
      </c>
      <c r="J4" s="10">
        <v>1487.1760727254018</v>
      </c>
      <c r="K4" s="10">
        <v>1165.8786519205673</v>
      </c>
      <c r="L4" s="10">
        <v>1107.5019477777341</v>
      </c>
      <c r="M4" s="10">
        <v>1196.5444641949523</v>
      </c>
      <c r="N4" s="10">
        <v>1325.1847672090785</v>
      </c>
      <c r="O4" s="10">
        <v>1460.7295975857212</v>
      </c>
      <c r="P4" s="10">
        <v>1128.2418588507312</v>
      </c>
      <c r="Q4" s="10">
        <v>943.27225374523687</v>
      </c>
      <c r="R4" s="10">
        <v>963.40975832364427</v>
      </c>
      <c r="S4" s="10">
        <v>780.2841275699318</v>
      </c>
      <c r="T4" s="10">
        <v>549.72033532522164</v>
      </c>
      <c r="U4" s="10">
        <v>326.25873489104464</v>
      </c>
      <c r="V4" s="10">
        <v>151.11133504583574</v>
      </c>
      <c r="W4" s="10">
        <v>57.140947991157923</v>
      </c>
      <c r="X4" s="10">
        <v>5.880631313131313</v>
      </c>
      <c r="Y4" s="10">
        <f>SUM(D4:X4)</f>
        <v>18383.050000000003</v>
      </c>
      <c r="Z4" s="10">
        <f t="shared" ref="Z4:Z11" si="12">E4*3/5+F4*3/5</f>
        <v>879.45852029476009</v>
      </c>
      <c r="AA4" s="10">
        <f t="shared" ref="AA4:AA11" si="13">F4*2/5+G4*1/5</f>
        <v>507.72585844919911</v>
      </c>
      <c r="AB4" s="10">
        <f t="shared" si="0"/>
        <v>3777.0781242052044</v>
      </c>
      <c r="AC4" s="10">
        <f t="shared" ref="AC4:AC11" si="14">SUM(S4:X4)</f>
        <v>1870.3961121363229</v>
      </c>
      <c r="AD4" s="14">
        <f t="shared" ref="AD4:AD11" si="15">AB4/Y4</f>
        <v>0.20546525871415264</v>
      </c>
      <c r="AE4" s="14">
        <f t="shared" ref="AE4:AE11" si="16">AC4/Y4</f>
        <v>0.10174569030363964</v>
      </c>
      <c r="AF4" s="10">
        <f t="shared" ref="AF4:AF20" si="17">SUM(H4:K4)</f>
        <v>5153.8509627044687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0.95555706339325042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1.0049214580610255</v>
      </c>
      <c r="AO4" s="193">
        <f t="shared" si="18"/>
        <v>1.0376426356405828</v>
      </c>
      <c r="AP4" s="193">
        <f t="shared" si="18"/>
        <v>0.74537598625259804</v>
      </c>
      <c r="AQ4" s="193">
        <f t="shared" si="18"/>
        <v>1.0346504529009826</v>
      </c>
      <c r="AR4" s="193">
        <f t="shared" si="18"/>
        <v>0.9870352938364515</v>
      </c>
      <c r="AS4" s="193">
        <f t="shared" si="18"/>
        <v>0.93627535142847829</v>
      </c>
      <c r="AT4" s="193">
        <f t="shared" si="18"/>
        <v>0.96988614766491532</v>
      </c>
      <c r="AU4" s="193">
        <f t="shared" si="18"/>
        <v>1.0082726848275176</v>
      </c>
      <c r="AV4" s="193">
        <f t="shared" si="18"/>
        <v>1.0021343001072101</v>
      </c>
      <c r="AW4" s="193">
        <f t="shared" si="18"/>
        <v>1.0049769550214569</v>
      </c>
      <c r="AX4" s="193">
        <f t="shared" si="18"/>
        <v>0.97562151346044268</v>
      </c>
      <c r="AY4" s="193">
        <f t="shared" si="18"/>
        <v>0.94499702357012605</v>
      </c>
      <c r="AZ4" s="193">
        <f t="shared" si="18"/>
        <v>0.97194489930919603</v>
      </c>
      <c r="BA4" s="193">
        <f t="shared" si="18"/>
        <v>0.94191572404074164</v>
      </c>
      <c r="BB4" s="193">
        <f t="shared" si="18"/>
        <v>0.97360254796621915</v>
      </c>
      <c r="BC4" s="193">
        <f t="shared" si="18"/>
        <v>0.85042325705418509</v>
      </c>
      <c r="BD4" s="193">
        <f t="shared" si="18"/>
        <v>0.68863439274732119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0.49885384237606756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0.1754145408604692</v>
      </c>
      <c r="BH4" s="7" t="str">
        <f t="shared" ref="BH4:BH20" si="19">BI4&amp;"_"&amp;IF(BJ4="男性",1,IF(BJ4="女性",2,IF(BJ4="合計",3)))</f>
        <v>2025_2</v>
      </c>
      <c r="BI4" s="29">
        <f>BI3</f>
        <v>2025</v>
      </c>
      <c r="BJ4" s="4" t="s">
        <v>22</v>
      </c>
      <c r="BK4" s="10">
        <f>CM4*AK$14</f>
        <v>598.81853379984091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659.00634019829863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765.61401742422584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871.3945803371447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650.07626892266717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665.36318360988162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772.46396700343405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888.38548589683933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1029.3625891031115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1212.1251168865797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1425.7988927958963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1120.6073000055728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1130.6800204450772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1092.9805857735787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1220.9528539143814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1310.7353963359565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976.56695125841134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685.073911521274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480.49814779820662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172.98750740539018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27.64838572763589</v>
      </c>
      <c r="CF4" s="10">
        <f t="shared" si="2"/>
        <v>17757.140036163404</v>
      </c>
      <c r="CG4" s="10">
        <f t="shared" ref="CG4:CG14" si="20">BL4*3/5+BM4*3/5</f>
        <v>854.7722145735147</v>
      </c>
      <c r="CH4" s="10">
        <f t="shared" ref="CH4:CH14" si="21">BM4*2/5+BN4*1/5</f>
        <v>480.52452303711931</v>
      </c>
      <c r="CI4" s="10">
        <f t="shared" si="3"/>
        <v>5967.4437397348347</v>
      </c>
      <c r="CJ4" s="10">
        <f t="shared" ref="CJ4:CJ14" si="22">SUM(BZ4:CE4)</f>
        <v>3653.5103000468744</v>
      </c>
      <c r="CK4" s="14">
        <f t="shared" ref="CK4:CK14" si="23">CI4/CF4</f>
        <v>0.33605883197304315</v>
      </c>
      <c r="CL4" s="14">
        <f t="shared" ref="CL4:CL14" si="24">CJ4/CF4</f>
        <v>0.20574880260032288</v>
      </c>
      <c r="CM4" s="10">
        <f t="shared" ref="CM4:CM14" si="25">SUM(BO4:BR4)</f>
        <v>2976.288905432822</v>
      </c>
      <c r="CO4" s="7" t="str">
        <f t="shared" ref="CO4:CO20" si="26">CP4&amp;"_"&amp;IF(CQ4="男性",1,IF(CQ4="女性",2,IF(CQ4="合計",3)))</f>
        <v>2025_2</v>
      </c>
      <c r="CP4" s="29">
        <f>CP3</f>
        <v>2025</v>
      </c>
      <c r="CQ4" s="4" t="s">
        <v>22</v>
      </c>
      <c r="CR4" s="10">
        <f>BK4+将来予測シート②!$H17</f>
        <v>599.81853379984091</v>
      </c>
      <c r="CS4" s="10">
        <f>BL4+将来予測シート②!$H18</f>
        <v>659.00634019829863</v>
      </c>
      <c r="CT4" s="10">
        <f>BM4+将来予測シート②!$H19</f>
        <v>766.61401742422584</v>
      </c>
      <c r="CU4" s="10">
        <f>BN4+将来予測シート②!$H20</f>
        <v>871.3945803371447</v>
      </c>
      <c r="CV4" s="10">
        <f>BO4+将来予測シート②!$H21</f>
        <v>650.07626892266717</v>
      </c>
      <c r="CW4" s="10">
        <f>BP4+将来予測シート②!$H22</f>
        <v>667.36318360988162</v>
      </c>
      <c r="CX4" s="10">
        <f>BQ4+将来予測シート②!$H23</f>
        <v>772.46396700343405</v>
      </c>
      <c r="CY4" s="10">
        <f>BR4+将来予測シート②!$H24</f>
        <v>888.38548589683933</v>
      </c>
      <c r="CZ4" s="10">
        <f>BS4+将来予測シート②!$H25</f>
        <v>1030.3625891031115</v>
      </c>
      <c r="DA4" s="10">
        <f>BT4+将来予測シート②!$H26</f>
        <v>1212.1251168865797</v>
      </c>
      <c r="DB4" s="10">
        <f>BU4+将来予測シート②!$H27</f>
        <v>1425.7988927958963</v>
      </c>
      <c r="DC4" s="10">
        <f>BV4+将来予測シート②!$H28</f>
        <v>1120.6073000055728</v>
      </c>
      <c r="DD4" s="10">
        <f>BW4+将来予測シート②!$H29</f>
        <v>1130.6800204450772</v>
      </c>
      <c r="DE4" s="10">
        <f>BX4</f>
        <v>1092.9805857735787</v>
      </c>
      <c r="DF4" s="10">
        <f t="shared" ref="DF4" si="27">BY4</f>
        <v>1220.9528539143814</v>
      </c>
      <c r="DG4" s="10">
        <f t="shared" ref="DG4" si="28">BZ4</f>
        <v>1310.7353963359565</v>
      </c>
      <c r="DH4" s="10">
        <f t="shared" ref="DH4" si="29">CA4</f>
        <v>976.56695125841134</v>
      </c>
      <c r="DI4" s="10">
        <f t="shared" ref="DI4" si="30">CB4</f>
        <v>685.073911521274</v>
      </c>
      <c r="DJ4" s="10">
        <f t="shared" ref="DJ4" si="31">CC4</f>
        <v>480.49814779820662</v>
      </c>
      <c r="DK4" s="10">
        <f t="shared" ref="DK4" si="32">CD4</f>
        <v>172.98750740539018</v>
      </c>
      <c r="DL4" s="10">
        <f t="shared" ref="DL4" si="33">CE4</f>
        <v>27.64838572763589</v>
      </c>
      <c r="DM4" s="10">
        <f t="shared" si="5"/>
        <v>17762.140036163404</v>
      </c>
      <c r="DN4" s="10">
        <f t="shared" ref="DN4:DN14" si="34">CS4*3/5+CT4*3/5</f>
        <v>855.37221457351461</v>
      </c>
      <c r="DO4" s="10">
        <f t="shared" ref="DO4:DO14" si="35">CT4*2/5+CU4*1/5</f>
        <v>480.92452303711929</v>
      </c>
      <c r="DP4" s="10">
        <f t="shared" si="6"/>
        <v>5967.4437397348347</v>
      </c>
      <c r="DQ4" s="10">
        <f t="shared" ref="DQ4:DQ14" si="36">SUM(DG4:DL4)</f>
        <v>3653.5103000468744</v>
      </c>
      <c r="DR4" s="14">
        <f t="shared" ref="DR4:DR14" si="37">DP4/DM4</f>
        <v>0.3359642322144305</v>
      </c>
      <c r="DS4" s="14">
        <f t="shared" ref="DS4:DS14" si="38">DQ4/DM4</f>
        <v>0.20569088480376754</v>
      </c>
      <c r="DT4" s="10">
        <f>SUM(CV4:CY4)</f>
        <v>2978.288905432822</v>
      </c>
      <c r="DV4" s="312"/>
      <c r="DW4" s="313"/>
      <c r="DX4" s="29">
        <f>DX3</f>
        <v>2025</v>
      </c>
      <c r="DY4" s="4" t="s">
        <v>22</v>
      </c>
      <c r="DZ4" s="10">
        <f>BK$4</f>
        <v>598.81853379984091</v>
      </c>
      <c r="EA4" s="10">
        <f>BL$4</f>
        <v>659.00634019829863</v>
      </c>
      <c r="EB4" s="10">
        <f t="shared" ref="EB4:ED4" si="39">BM$4</f>
        <v>765.61401742422584</v>
      </c>
      <c r="EC4" s="10">
        <f t="shared" si="39"/>
        <v>871.3945803371447</v>
      </c>
      <c r="ED4" s="10">
        <f t="shared" si="39"/>
        <v>650.07626892266717</v>
      </c>
      <c r="EE4" s="10">
        <f>BP$4+DX1</f>
        <v>890.36318360988162</v>
      </c>
      <c r="EF4" s="10">
        <f>BQ$4+DX1</f>
        <v>997.46396700343405</v>
      </c>
      <c r="EG4" s="10">
        <f>BR$4+DX1</f>
        <v>1113.3854858968393</v>
      </c>
      <c r="EH4" s="10">
        <f t="shared" ref="EH4:ET4" si="40">BS$4</f>
        <v>1029.3625891031115</v>
      </c>
      <c r="EI4" s="10">
        <f t="shared" si="40"/>
        <v>1212.1251168865797</v>
      </c>
      <c r="EJ4" s="10">
        <f t="shared" si="40"/>
        <v>1425.7988927958963</v>
      </c>
      <c r="EK4" s="10">
        <f t="shared" si="40"/>
        <v>1120.6073000055728</v>
      </c>
      <c r="EL4" s="10">
        <f t="shared" si="40"/>
        <v>1130.6800204450772</v>
      </c>
      <c r="EM4" s="10">
        <f t="shared" si="40"/>
        <v>1092.9805857735787</v>
      </c>
      <c r="EN4" s="10">
        <f t="shared" si="40"/>
        <v>1220.9528539143814</v>
      </c>
      <c r="EO4" s="10">
        <f t="shared" si="40"/>
        <v>1310.7353963359565</v>
      </c>
      <c r="EP4" s="10">
        <f t="shared" si="40"/>
        <v>976.56695125841134</v>
      </c>
      <c r="EQ4" s="10">
        <f t="shared" si="40"/>
        <v>685.073911521274</v>
      </c>
      <c r="ER4" s="10">
        <f t="shared" si="40"/>
        <v>480.49814779820662</v>
      </c>
      <c r="ES4" s="10">
        <f t="shared" si="40"/>
        <v>172.98750740539018</v>
      </c>
      <c r="ET4" s="10">
        <f t="shared" si="40"/>
        <v>27.64838572763589</v>
      </c>
      <c r="EU4" s="10">
        <f t="shared" si="9"/>
        <v>18432.140036163404</v>
      </c>
      <c r="EV4" s="10">
        <f t="shared" ref="EV4:EV14" si="41">EA4*3/5+EB4*3/5</f>
        <v>854.7722145735147</v>
      </c>
      <c r="EW4" s="10">
        <f t="shared" ref="EW4:EW14" si="42">EB4*2/5+EC4*1/5</f>
        <v>480.52452303711931</v>
      </c>
      <c r="EX4" s="10">
        <f t="shared" si="10"/>
        <v>5967.4437397348347</v>
      </c>
      <c r="EY4" s="10">
        <f t="shared" ref="EY4:EY14" si="43">SUM(EO4:ET4)</f>
        <v>3653.5103000468744</v>
      </c>
      <c r="EZ4" s="14">
        <f t="shared" ref="EZ4:EZ14" si="44">EX4/EU4</f>
        <v>0.32375208348172579</v>
      </c>
      <c r="FA4" s="14">
        <f t="shared" ref="FA4:FA14" si="45">EY4/EU4</f>
        <v>0.19821411365575442</v>
      </c>
      <c r="FB4" s="10">
        <f>SUM(ED4:EG4)</f>
        <v>3651.288905432822</v>
      </c>
    </row>
    <row r="5" spans="1:158" x14ac:dyDescent="0.15">
      <c r="A5" s="7" t="str">
        <f t="shared" si="11"/>
        <v>2005_3</v>
      </c>
      <c r="B5" s="30">
        <v>2005</v>
      </c>
      <c r="C5" s="5" t="s">
        <v>23</v>
      </c>
      <c r="D5" s="11">
        <v>1633.8624532042243</v>
      </c>
      <c r="E5" s="11">
        <v>1488.4351679356378</v>
      </c>
      <c r="F5" s="11">
        <v>1545.624081390838</v>
      </c>
      <c r="G5" s="11">
        <v>1889.4744919382233</v>
      </c>
      <c r="H5" s="11">
        <v>2145.8831570679008</v>
      </c>
      <c r="I5" s="11">
        <v>2612.3371752940097</v>
      </c>
      <c r="J5" s="11">
        <v>2892.005609132681</v>
      </c>
      <c r="K5" s="11">
        <v>2202.1988081012141</v>
      </c>
      <c r="L5" s="11">
        <v>2135.0722668160784</v>
      </c>
      <c r="M5" s="11">
        <v>2268.242452319183</v>
      </c>
      <c r="N5" s="11">
        <v>2530.10433533479</v>
      </c>
      <c r="O5" s="11">
        <v>2841.3482918953814</v>
      </c>
      <c r="P5" s="11">
        <v>2146.328593891652</v>
      </c>
      <c r="Q5" s="11">
        <v>1791.8549550345158</v>
      </c>
      <c r="R5" s="11">
        <v>1677.8501734620936</v>
      </c>
      <c r="S5" s="11">
        <v>1341.60667520945</v>
      </c>
      <c r="T5" s="11">
        <v>859.73521251851867</v>
      </c>
      <c r="U5" s="11">
        <v>465.0064613636855</v>
      </c>
      <c r="V5" s="11">
        <v>208.11414861439022</v>
      </c>
      <c r="W5" s="11">
        <v>69.664858162401259</v>
      </c>
      <c r="X5" s="11">
        <v>6.3206313131313134</v>
      </c>
      <c r="Y5" s="11">
        <f>SUM(D5:X5)</f>
        <v>34751.070000000007</v>
      </c>
      <c r="Z5" s="11">
        <f t="shared" si="12"/>
        <v>1820.4355495958855</v>
      </c>
      <c r="AA5" s="11">
        <f t="shared" si="13"/>
        <v>996.14453094397982</v>
      </c>
      <c r="AB5" s="11">
        <f t="shared" si="0"/>
        <v>6420.1531156781875</v>
      </c>
      <c r="AC5" s="11">
        <f t="shared" si="14"/>
        <v>2950.447987181577</v>
      </c>
      <c r="AD5" s="15">
        <f t="shared" si="15"/>
        <v>0.18474691903524657</v>
      </c>
      <c r="AE5" s="15">
        <f t="shared" si="16"/>
        <v>8.4902363788556048E-2</v>
      </c>
      <c r="AF5" s="11">
        <f t="shared" si="17"/>
        <v>9852.4247495958043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0.93037886784428026</v>
      </c>
      <c r="AN5" s="6">
        <f t="shared" si="1"/>
        <v>0.9912523103597537</v>
      </c>
      <c r="AO5" s="6">
        <f t="shared" si="1"/>
        <v>0.97714491936284797</v>
      </c>
      <c r="AP5" s="6">
        <f t="shared" si="1"/>
        <v>0.86922424077106897</v>
      </c>
      <c r="AQ5" s="6">
        <f t="shared" si="1"/>
        <v>1.1499465053186482</v>
      </c>
      <c r="AR5" s="6">
        <f t="shared" si="1"/>
        <v>0.98134472526118421</v>
      </c>
      <c r="AS5" s="6">
        <f t="shared" si="1"/>
        <v>0.94739253774687726</v>
      </c>
      <c r="AT5" s="6">
        <f t="shared" si="1"/>
        <v>0.98331623280944747</v>
      </c>
      <c r="AU5" s="6">
        <f t="shared" si="1"/>
        <v>0.97412018880572859</v>
      </c>
      <c r="AV5" s="6">
        <f t="shared" si="1"/>
        <v>0.99803017204177824</v>
      </c>
      <c r="AW5" s="6">
        <f t="shared" si="1"/>
        <v>0.9870018433661335</v>
      </c>
      <c r="AX5" s="6">
        <f t="shared" si="1"/>
        <v>1.0142529100069275</v>
      </c>
      <c r="AY5" s="6">
        <f t="shared" si="1"/>
        <v>0.92040266209404287</v>
      </c>
      <c r="AZ5" s="6">
        <f t="shared" si="1"/>
        <v>0.93957219003855141</v>
      </c>
      <c r="BA5" s="6">
        <f t="shared" si="1"/>
        <v>0.93067441264916528</v>
      </c>
      <c r="BB5" s="6">
        <f t="shared" si="1"/>
        <v>0.81932906053031918</v>
      </c>
      <c r="BC5" s="6">
        <f t="shared" si="1"/>
        <v>0.67916632578475056</v>
      </c>
      <c r="BD5" s="6">
        <f t="shared" si="1"/>
        <v>0.41366620472560983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0.26987818247287099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1223.230628684521</v>
      </c>
      <c r="BL5" s="16">
        <f t="shared" ref="BL5:CE5" si="46">BL3+BL4</f>
        <v>1329.5878860179273</v>
      </c>
      <c r="BM5" s="16">
        <f t="shared" si="46"/>
        <v>1540.5301074916688</v>
      </c>
      <c r="BN5" s="16">
        <f t="shared" si="46"/>
        <v>1667.8387822462887</v>
      </c>
      <c r="BO5" s="16">
        <f t="shared" si="46"/>
        <v>1321.7381040775208</v>
      </c>
      <c r="BP5" s="16">
        <f t="shared" si="46"/>
        <v>1390.8125984755677</v>
      </c>
      <c r="BQ5" s="16">
        <f t="shared" si="46"/>
        <v>1489.2689867042986</v>
      </c>
      <c r="BR5" s="16">
        <f t="shared" si="46"/>
        <v>1734.2330414292601</v>
      </c>
      <c r="BS5" s="16">
        <f t="shared" si="46"/>
        <v>2082.0942845450222</v>
      </c>
      <c r="BT5" s="16">
        <f t="shared" si="46"/>
        <v>2420.7035324959784</v>
      </c>
      <c r="BU5" s="16">
        <f t="shared" si="46"/>
        <v>2786.9865977435911</v>
      </c>
      <c r="BV5" s="16">
        <f t="shared" si="46"/>
        <v>2106.8287920009352</v>
      </c>
      <c r="BW5" s="16">
        <f t="shared" si="46"/>
        <v>2168.9083495559044</v>
      </c>
      <c r="BX5" s="16">
        <f t="shared" si="46"/>
        <v>2090.4545375403245</v>
      </c>
      <c r="BY5" s="16">
        <f t="shared" si="46"/>
        <v>2286.0636731184795</v>
      </c>
      <c r="BZ5" s="16">
        <f t="shared" si="46"/>
        <v>2407.3454880075824</v>
      </c>
      <c r="CA5" s="16">
        <f t="shared" si="46"/>
        <v>1617.1425705311303</v>
      </c>
      <c r="CB5" s="16">
        <f t="shared" si="46"/>
        <v>1116.0474211327487</v>
      </c>
      <c r="CC5" s="16">
        <f t="shared" si="46"/>
        <v>658.38704689592089</v>
      </c>
      <c r="CD5" s="16">
        <f t="shared" si="46"/>
        <v>217.62370426377547</v>
      </c>
      <c r="CE5" s="16">
        <f t="shared" si="46"/>
        <v>28.020835300038424</v>
      </c>
      <c r="CF5" s="11">
        <f>SUM(BK5:CE5)</f>
        <v>33683.846968258484</v>
      </c>
      <c r="CG5" s="11">
        <f t="shared" si="20"/>
        <v>1722.0707961057578</v>
      </c>
      <c r="CH5" s="11">
        <f t="shared" si="21"/>
        <v>949.77979944592516</v>
      </c>
      <c r="CI5" s="11">
        <f t="shared" si="3"/>
        <v>10421.08527679</v>
      </c>
      <c r="CJ5" s="11">
        <f t="shared" si="22"/>
        <v>6044.567066131197</v>
      </c>
      <c r="CK5" s="15">
        <f t="shared" si="23"/>
        <v>0.30937930832574345</v>
      </c>
      <c r="CL5" s="15">
        <f t="shared" si="24"/>
        <v>0.17945002160315041</v>
      </c>
      <c r="CM5" s="11">
        <f t="shared" si="25"/>
        <v>5936.052730686647</v>
      </c>
      <c r="CO5" s="7" t="str">
        <f t="shared" si="26"/>
        <v>2025_3</v>
      </c>
      <c r="CP5" s="30">
        <f>CP4</f>
        <v>2025</v>
      </c>
      <c r="CQ5" s="5" t="s">
        <v>23</v>
      </c>
      <c r="CR5" s="16">
        <f>CR3+CR4</f>
        <v>1225.230628684521</v>
      </c>
      <c r="CS5" s="16">
        <f t="shared" ref="CS5" si="47">CS3+CS4</f>
        <v>1329.5878860179273</v>
      </c>
      <c r="CT5" s="16">
        <f t="shared" ref="CT5" si="48">CT3+CT4</f>
        <v>1542.5301074916688</v>
      </c>
      <c r="CU5" s="16">
        <f t="shared" ref="CU5" si="49">CU3+CU4</f>
        <v>1667.8387822462887</v>
      </c>
      <c r="CV5" s="16">
        <f t="shared" ref="CV5" si="50">CV3+CV4</f>
        <v>1321.7381040775208</v>
      </c>
      <c r="CW5" s="16">
        <f t="shared" ref="CW5" si="51">CW3+CW4</f>
        <v>1394.8125984755677</v>
      </c>
      <c r="CX5" s="16">
        <f t="shared" ref="CX5" si="52">CX3+CX4</f>
        <v>1489.2689867042986</v>
      </c>
      <c r="CY5" s="16">
        <f t="shared" ref="CY5" si="53">CY3+CY4</f>
        <v>1734.2330414292601</v>
      </c>
      <c r="CZ5" s="16">
        <f t="shared" ref="CZ5" si="54">CZ3+CZ4</f>
        <v>2083.0942845450222</v>
      </c>
      <c r="DA5" s="16">
        <f t="shared" ref="DA5" si="55">DA3+DA4</f>
        <v>2420.7035324959784</v>
      </c>
      <c r="DB5" s="16">
        <f t="shared" ref="DB5" si="56">DB3+DB4</f>
        <v>2786.9865977435911</v>
      </c>
      <c r="DC5" s="16">
        <f t="shared" ref="DC5" si="57">DC3+DC4</f>
        <v>2106.8287920009352</v>
      </c>
      <c r="DD5" s="16">
        <f t="shared" ref="DD5" si="58">DD3+DD4</f>
        <v>2168.9083495559044</v>
      </c>
      <c r="DE5" s="16">
        <f t="shared" ref="DE5" si="59">DE3+DE4</f>
        <v>2090.4545375403245</v>
      </c>
      <c r="DF5" s="16">
        <f t="shared" ref="DF5" si="60">DF3+DF4</f>
        <v>2286.0636731184795</v>
      </c>
      <c r="DG5" s="16">
        <f t="shared" ref="DG5" si="61">DG3+DG4</f>
        <v>2407.3454880075824</v>
      </c>
      <c r="DH5" s="16">
        <f t="shared" ref="DH5" si="62">DH3+DH4</f>
        <v>1617.1425705311303</v>
      </c>
      <c r="DI5" s="16">
        <f t="shared" ref="DI5" si="63">DI3+DI4</f>
        <v>1116.0474211327487</v>
      </c>
      <c r="DJ5" s="16">
        <f t="shared" ref="DJ5" si="64">DJ3+DJ4</f>
        <v>658.38704689592089</v>
      </c>
      <c r="DK5" s="16">
        <f t="shared" ref="DK5" si="65">DK3+DK4</f>
        <v>217.62370426377547</v>
      </c>
      <c r="DL5" s="16">
        <f t="shared" ref="DL5" si="66">DL3+DL4</f>
        <v>28.020835300038424</v>
      </c>
      <c r="DM5" s="11">
        <f>SUM(CR5:DL5)</f>
        <v>33692.846968258484</v>
      </c>
      <c r="DN5" s="11">
        <f t="shared" si="34"/>
        <v>1723.2707961057577</v>
      </c>
      <c r="DO5" s="11">
        <f t="shared" si="35"/>
        <v>950.57979944592535</v>
      </c>
      <c r="DP5" s="11">
        <f t="shared" si="6"/>
        <v>10421.08527679</v>
      </c>
      <c r="DQ5" s="11">
        <f t="shared" si="36"/>
        <v>6044.567066131197</v>
      </c>
      <c r="DR5" s="15">
        <f t="shared" si="37"/>
        <v>0.30929666723051169</v>
      </c>
      <c r="DS5" s="15">
        <f t="shared" si="38"/>
        <v>0.17940208709064245</v>
      </c>
      <c r="DT5" s="11">
        <f>SUM(CV5:CY5)</f>
        <v>5940.052730686647</v>
      </c>
      <c r="DV5" s="312"/>
      <c r="DW5" s="313"/>
      <c r="DX5" s="30">
        <f>DX4</f>
        <v>2025</v>
      </c>
      <c r="DY5" s="5" t="s">
        <v>23</v>
      </c>
      <c r="DZ5" s="16">
        <f>DZ3+DZ4</f>
        <v>1223.230628684521</v>
      </c>
      <c r="EA5" s="16">
        <f t="shared" ref="EA5:ET5" si="67">EA3+EA4</f>
        <v>1329.5878860179273</v>
      </c>
      <c r="EB5" s="16">
        <f t="shared" si="67"/>
        <v>1540.5301074916688</v>
      </c>
      <c r="EC5" s="16">
        <f t="shared" si="67"/>
        <v>1667.8387822462887</v>
      </c>
      <c r="ED5" s="16">
        <f t="shared" si="67"/>
        <v>1321.7381040775208</v>
      </c>
      <c r="EE5" s="16">
        <f t="shared" si="67"/>
        <v>1840.8125984755677</v>
      </c>
      <c r="EF5" s="16">
        <f t="shared" si="67"/>
        <v>1939.2689867042986</v>
      </c>
      <c r="EG5" s="16">
        <f t="shared" si="67"/>
        <v>2184.2330414292601</v>
      </c>
      <c r="EH5" s="16">
        <f t="shared" si="67"/>
        <v>2082.0942845450222</v>
      </c>
      <c r="EI5" s="16">
        <f t="shared" si="67"/>
        <v>2420.7035324959784</v>
      </c>
      <c r="EJ5" s="16">
        <f t="shared" si="67"/>
        <v>2786.9865977435911</v>
      </c>
      <c r="EK5" s="16">
        <f t="shared" si="67"/>
        <v>2106.8287920009352</v>
      </c>
      <c r="EL5" s="16">
        <f t="shared" si="67"/>
        <v>2168.9083495559044</v>
      </c>
      <c r="EM5" s="16">
        <f t="shared" si="67"/>
        <v>2090.4545375403245</v>
      </c>
      <c r="EN5" s="16">
        <f t="shared" si="67"/>
        <v>2286.0636731184795</v>
      </c>
      <c r="EO5" s="16">
        <f t="shared" si="67"/>
        <v>2407.3454880075824</v>
      </c>
      <c r="EP5" s="16">
        <f t="shared" si="67"/>
        <v>1617.1425705311303</v>
      </c>
      <c r="EQ5" s="16">
        <f t="shared" si="67"/>
        <v>1116.0474211327487</v>
      </c>
      <c r="ER5" s="16">
        <f t="shared" si="67"/>
        <v>658.38704689592089</v>
      </c>
      <c r="ES5" s="16">
        <f t="shared" si="67"/>
        <v>217.62370426377547</v>
      </c>
      <c r="ET5" s="16">
        <f t="shared" si="67"/>
        <v>28.020835300038424</v>
      </c>
      <c r="EU5" s="11">
        <f>SUM(DZ5:ET5)</f>
        <v>35033.846968258476</v>
      </c>
      <c r="EV5" s="11">
        <f t="shared" si="41"/>
        <v>1722.0707961057578</v>
      </c>
      <c r="EW5" s="11">
        <f t="shared" si="42"/>
        <v>949.77979944592516</v>
      </c>
      <c r="EX5" s="11">
        <f t="shared" si="10"/>
        <v>10421.08527679</v>
      </c>
      <c r="EY5" s="11">
        <f t="shared" si="43"/>
        <v>6044.567066131197</v>
      </c>
      <c r="EZ5" s="15">
        <f t="shared" si="44"/>
        <v>0.29745763536136233</v>
      </c>
      <c r="FA5" s="15">
        <f t="shared" si="45"/>
        <v>0.17253506506458519</v>
      </c>
      <c r="FB5" s="11">
        <f>SUM(ED5:EG5)</f>
        <v>7286.052730686647</v>
      </c>
    </row>
    <row r="6" spans="1:158" x14ac:dyDescent="0.15">
      <c r="A6" s="7" t="str">
        <f t="shared" si="11"/>
        <v>2010_1</v>
      </c>
      <c r="B6" s="28">
        <v>2010</v>
      </c>
      <c r="C6" s="3" t="s">
        <v>21</v>
      </c>
      <c r="D6" s="9">
        <v>865.94425125105806</v>
      </c>
      <c r="E6" s="9">
        <v>811.12778350703309</v>
      </c>
      <c r="F6" s="9">
        <v>838.47961003190528</v>
      </c>
      <c r="G6" s="9">
        <v>813.81762054883973</v>
      </c>
      <c r="H6" s="9">
        <v>778.98701379361012</v>
      </c>
      <c r="I6" s="9">
        <v>1058.7573973448889</v>
      </c>
      <c r="J6" s="9">
        <v>1229.521959596937</v>
      </c>
      <c r="K6" s="9">
        <v>1334.409509077406</v>
      </c>
      <c r="L6" s="9">
        <v>1016.7424426490263</v>
      </c>
      <c r="M6" s="9">
        <v>1052.6931763349528</v>
      </c>
      <c r="N6" s="9">
        <v>1070.543048344977</v>
      </c>
      <c r="O6" s="9">
        <v>1155.1129883192912</v>
      </c>
      <c r="P6" s="9">
        <v>1382.0931719287407</v>
      </c>
      <c r="Q6" s="9">
        <v>945.29506373646939</v>
      </c>
      <c r="R6" s="9">
        <v>819.44338165104159</v>
      </c>
      <c r="S6" s="9">
        <v>617.64713716159724</v>
      </c>
      <c r="T6" s="9">
        <v>415.85570420682103</v>
      </c>
      <c r="U6" s="9">
        <v>205.13328930419235</v>
      </c>
      <c r="V6" s="9">
        <v>70.574460252592104</v>
      </c>
      <c r="W6" s="9">
        <v>15.250228586638725</v>
      </c>
      <c r="X6" s="9">
        <v>2.4107623719800895</v>
      </c>
      <c r="Y6" s="9">
        <f t="shared" ref="Y6:Y11" si="68">SUM(D6:X6)</f>
        <v>16499.839999999997</v>
      </c>
      <c r="Z6" s="9">
        <f t="shared" si="12"/>
        <v>989.764436123363</v>
      </c>
      <c r="AA6" s="9">
        <f t="shared" si="13"/>
        <v>498.15536812253009</v>
      </c>
      <c r="AB6" s="9">
        <f t="shared" si="0"/>
        <v>3091.610027271332</v>
      </c>
      <c r="AC6" s="9">
        <f t="shared" si="14"/>
        <v>1326.8715818838218</v>
      </c>
      <c r="AD6" s="13">
        <f t="shared" si="15"/>
        <v>0.18737212162489653</v>
      </c>
      <c r="AE6" s="13">
        <f t="shared" si="16"/>
        <v>8.0417239311643143E-2</v>
      </c>
      <c r="AF6" s="9">
        <f t="shared" si="17"/>
        <v>4401.6758798128421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0.94395019020361681</v>
      </c>
      <c r="AN6" s="193">
        <f t="shared" si="18"/>
        <v>1.0276219348081068</v>
      </c>
      <c r="AO6" s="193">
        <f t="shared" si="18"/>
        <v>1.2245268798053448</v>
      </c>
      <c r="AP6" s="193">
        <f t="shared" si="18"/>
        <v>0.85308868746312472</v>
      </c>
      <c r="AQ6" s="193">
        <f t="shared" si="18"/>
        <v>0.97697611466585366</v>
      </c>
      <c r="AR6" s="193">
        <f t="shared" si="18"/>
        <v>0.94300481017001214</v>
      </c>
      <c r="AS6" s="193">
        <f t="shared" si="18"/>
        <v>0.95375133632979892</v>
      </c>
      <c r="AT6" s="193">
        <f t="shared" si="18"/>
        <v>0.99811125309591342</v>
      </c>
      <c r="AU6" s="193">
        <f t="shared" si="18"/>
        <v>1.0036573815017937</v>
      </c>
      <c r="AV6" s="193">
        <f t="shared" si="18"/>
        <v>1.0235480633074374</v>
      </c>
      <c r="AW6" s="193">
        <f t="shared" si="18"/>
        <v>0.97239946822758283</v>
      </c>
      <c r="AX6" s="193">
        <f t="shared" si="18"/>
        <v>0.993792546084733</v>
      </c>
      <c r="AY6" s="193">
        <f t="shared" si="18"/>
        <v>0.98445118171050217</v>
      </c>
      <c r="AZ6" s="193">
        <f t="shared" si="18"/>
        <v>0.96987903461082248</v>
      </c>
      <c r="BA6" s="193">
        <f t="shared" si="18"/>
        <v>0.94119984766300502</v>
      </c>
      <c r="BB6" s="193">
        <f t="shared" si="18"/>
        <v>0.92423689093811756</v>
      </c>
      <c r="BC6" s="193">
        <f t="shared" si="18"/>
        <v>0.77748934206108744</v>
      </c>
      <c r="BD6" s="193">
        <f t="shared" si="18"/>
        <v>0.62915798073590334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0.40677653167356248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0.22440139951173821</v>
      </c>
      <c r="BH6" s="7" t="str">
        <f t="shared" si="19"/>
        <v>2030_1</v>
      </c>
      <c r="BI6" s="28">
        <f>管理者入力シート!B9</f>
        <v>2030</v>
      </c>
      <c r="BJ6" s="3" t="s">
        <v>21</v>
      </c>
      <c r="BK6" s="9">
        <f>CM7*$AK$13</f>
        <v>570.71296665520651</v>
      </c>
      <c r="BL6" s="9">
        <f>IF(管理者入力シート!$B$14=1,BK3*管理者用人口入力シート!AM$3,IF(管理者入力シート!$B$14=2,BK3*管理者用人口入力シート!AM$7))</f>
        <v>578.70880610457289</v>
      </c>
      <c r="BM6" s="9">
        <f>IF(管理者入力シート!$B$14=1,BL3*管理者用人口入力シート!AN$3,IF(管理者入力シート!$B$14=2,BL3*管理者用人口入力シート!AN$7))</f>
        <v>668.38146454737489</v>
      </c>
      <c r="BN6" s="9">
        <f>IF(管理者入力シート!$B$14=1,BM3*管理者用人口入力シート!AO$3,IF(管理者入力シート!$B$14=2,BM3*管理者用人口入力シート!AO$7))</f>
        <v>764.36162521966457</v>
      </c>
      <c r="BO6" s="9">
        <f>IF(管理者入力シート!$B$14=1,BN3*管理者用人口入力シート!AP$3,IF(管理者入力シート!$B$14=2,BN3*管理者用人口入力シート!AP$7))</f>
        <v>668.19484615622366</v>
      </c>
      <c r="BP6" s="9">
        <f>IF(管理者入力シート!$B$14=1,BO3*管理者用人口入力シート!AQ$3,IF(管理者入力シート!$B$14=2,BO3*管理者用人口入力シート!AQ$7))</f>
        <v>734.416826106857</v>
      </c>
      <c r="BQ6" s="9">
        <f>IF(管理者入力シート!$B$14=1,BP3*管理者用人口入力シート!AR$3,IF(管理者入力シート!$B$14=2,BP3*管理者用人口入力シート!AR$7))</f>
        <v>707.03839610478121</v>
      </c>
      <c r="BR6" s="9">
        <f>IF(管理者入力シート!$B$14=1,BQ3*管理者用人口入力シート!AS$3,IF(管理者入力シート!$B$14=2,BQ3*管理者用人口入力シート!AS$7))</f>
        <v>699.25429870527614</v>
      </c>
      <c r="BS6" s="9">
        <f>IF(管理者入力シート!$B$14=1,BR3*管理者用人口入力シート!AT$3,IF(管理者入力シート!$B$14=2,BR3*管理者用人口入力シート!AT$7))</f>
        <v>853.20519861186494</v>
      </c>
      <c r="BT6" s="9">
        <f>IF(管理者入力シート!$B$14=1,BS3*管理者用人口入力シート!AU$3,IF(管理者入力シート!$B$14=2,BS3*管理者用人口入力シート!AU$7))</f>
        <v>1055.5934895396595</v>
      </c>
      <c r="BU6" s="9">
        <f>IF(管理者入力シート!$B$14=1,BT3*管理者用人口入力シート!AV$3,IF(管理者入力シート!$B$14=2,BT3*管理者用人口入力シート!AV$7))</f>
        <v>1214.6888653353358</v>
      </c>
      <c r="BV6" s="9">
        <f>IF(管理者入力シート!$B$14=1,BU3*管理者用人口入力シート!AW$3,IF(管理者入力シート!$B$14=2,BU3*管理者用人口入力シート!AW$7))</f>
        <v>1339.1592344552848</v>
      </c>
      <c r="BW6" s="9">
        <f>IF(管理者入力シート!$B$14=1,BV3*管理者用人口入力シート!AX$3,IF(管理者入力シート!$B$14=2,BV3*管理者用人口入力シート!AX$7))</f>
        <v>993.82843152296789</v>
      </c>
      <c r="BX6" s="9">
        <f>IF(管理者入力シート!$B$14=1,BW3*管理者用人口入力シート!AY$3,IF(管理者入力シート!$B$14=2,BW3*管理者用人口入力シート!AY$7))</f>
        <v>978.91434419731729</v>
      </c>
      <c r="BY6" s="9">
        <f>IF(管理者入力シート!$B$14=1,BX3*管理者用人口入力シート!AZ$3,IF(管理者入力シート!$B$14=2,BX3*管理者用人口入力シート!AZ$7))</f>
        <v>938.85789141976784</v>
      </c>
      <c r="BZ6" s="9">
        <f>IF(管理者入力シート!$B$14=1,BY3*管理者用人口入力シート!BA$3,IF(管理者入力シート!$B$14=2,BY3*管理者用人口入力シート!BA$7))</f>
        <v>973.79021252547636</v>
      </c>
      <c r="CA6" s="9">
        <f>IF(管理者入力シート!$B$14=1,BZ3*管理者用人口入力シート!BB$3,IF(管理者入力シート!$B$14=2,BZ3*管理者用人口入力シート!BB$7))</f>
        <v>880.60603074198082</v>
      </c>
      <c r="CB6" s="9">
        <f>IF(管理者入力シート!$B$14=1,CA3*管理者用人口入力シート!BC$3,IF(管理者入力シート!$B$14=2,CA3*管理者用人口入力シート!BC$7))</f>
        <v>459.94275308809887</v>
      </c>
      <c r="CC6" s="9">
        <f>IF(管理者入力シート!$B$14=1,CB3*管理者用人口入力シート!BD$3,IF(管理者入力シート!$B$14=2,CB3*管理者用人口入力シート!BD$7))</f>
        <v>199.57678678035123</v>
      </c>
      <c r="CD6" s="9">
        <f>IF(管理者入力シート!$B$14=1,CC3*管理者用人口入力シート!BE$3,IF(管理者入力シート!$B$14=2,CC3*管理者用人口入力シート!BE$7))</f>
        <v>54.231094115996655</v>
      </c>
      <c r="CE6" s="9">
        <f>IF(管理者入力シート!$B$14=1,CD3*管理者用人口入力シート!BF$3,IF(管理者入力シート!$B$14=2,CD3*管理者用人口入力シート!BF$7))</f>
        <v>0.56890168110686223</v>
      </c>
      <c r="CF6" s="9">
        <f t="shared" si="2"/>
        <v>15334.032463615167</v>
      </c>
      <c r="CG6" s="9">
        <f t="shared" si="20"/>
        <v>748.25416239116862</v>
      </c>
      <c r="CH6" s="9">
        <f t="shared" si="21"/>
        <v>420.22491086288284</v>
      </c>
      <c r="CI6" s="9">
        <f t="shared" si="3"/>
        <v>4486.4880145500956</v>
      </c>
      <c r="CJ6" s="9">
        <f t="shared" si="22"/>
        <v>2568.7157789330108</v>
      </c>
      <c r="CK6" s="13">
        <f t="shared" si="23"/>
        <v>0.29258370394061084</v>
      </c>
      <c r="CL6" s="13">
        <f t="shared" si="24"/>
        <v>0.16751730407693474</v>
      </c>
      <c r="CM6" s="9">
        <f t="shared" si="25"/>
        <v>2808.904367073138</v>
      </c>
      <c r="CO6" s="7" t="str">
        <f t="shared" si="26"/>
        <v>2030_1</v>
      </c>
      <c r="CP6" s="28">
        <f>管理者入力シート!B9</f>
        <v>2030</v>
      </c>
      <c r="CQ6" s="3" t="s">
        <v>21</v>
      </c>
      <c r="CR6" s="9">
        <f>DT7*$AK$13+将来予測シート②!$G17</f>
        <v>572.5373661027254</v>
      </c>
      <c r="CS6" s="9">
        <f>IF(管理者入力シート!$B$14=1,CR3*管理者用人口入力シート!AM$3,IF(管理者入力シート!$B$14=2,CR3*管理者用人口入力シート!AM$7))+将来予測シート②!$G18</f>
        <v>579.63561199261608</v>
      </c>
      <c r="CT6" s="9">
        <f>IF(管理者入力シート!$B$14=1,CS3*管理者用人口入力シート!AN$3,IF(管理者入力シート!$B$14=2,CS3*管理者用人口入力シート!AN$7))+将来予測シート②!$G19</f>
        <v>669.38146454737489</v>
      </c>
      <c r="CU6" s="9">
        <f>IF(管理者入力シート!$B$14=1,CT3*管理者用人口入力シート!AO$3,IF(管理者入力シート!$B$14=2,CT3*管理者用人口入力シート!AO$7))+将来予測シート②!$G20</f>
        <v>765.34800508068042</v>
      </c>
      <c r="CV6" s="9">
        <f>IF(管理者入力シート!$B$14=1,CU3*管理者用人口入力シート!AP$3,IF(管理者入力シート!$B$14=2,CU3*管理者用人口入力シート!AP$7))+将来予測シート②!$G21</f>
        <v>668.19484615622366</v>
      </c>
      <c r="CW6" s="9">
        <f>IF(管理者入力シート!$B$14=1,CV3*管理者用人口入力シート!AQ$3,IF(管理者入力シート!$B$14=2,CV3*管理者用人口入力シート!AQ$7))+将来予測シート②!$G22</f>
        <v>736.416826106857</v>
      </c>
      <c r="CX6" s="9">
        <f>IF(管理者入力シート!$B$14=1,CW3*管理者用人口入力シート!AR$3,IF(管理者入力シート!$B$14=2,CW3*管理者用人口入力シート!AR$7))+将来予測シート②!$G23</f>
        <v>708.98763855123275</v>
      </c>
      <c r="CY6" s="9">
        <f>IF(管理者入力シート!$B$14=1,CX3*管理者用人口入力シート!AS$3,IF(管理者入力シート!$B$14=2,CX3*管理者用人口入力シート!AS$7))+将来予測シート②!$G24</f>
        <v>699.25429870527614</v>
      </c>
      <c r="CZ6" s="9">
        <f>IF(管理者入力シート!$B$14=1,CY3*管理者用人口入力シート!AT$3,IF(管理者入力シート!$B$14=2,CY3*管理者用人口入力シート!AT$7))+将来予測シート②!$G25</f>
        <v>853.20519861186494</v>
      </c>
      <c r="DA6" s="9">
        <f>IF(管理者入力シート!$B$14=1,CZ3*管理者用人口入力シート!AU$3,IF(管理者入力シート!$B$14=2,CZ3*管理者用人口入力シート!AU$7))+将来予測シート②!$G26</f>
        <v>1055.5934895396595</v>
      </c>
      <c r="DB6" s="9">
        <f>IF(管理者入力シート!$B$14=1,DA3*管理者用人口入力シート!AV$3,IF(管理者入力シート!$B$14=2,DA3*管理者用人口入力シート!AV$7))+将来予測シート②!$G27</f>
        <v>1214.6888653353358</v>
      </c>
      <c r="DC6" s="9">
        <f>IF(管理者入力シート!$B$14=1,DB3*管理者用人口入力シート!AW$3,IF(管理者入力シート!$B$14=2,DB3*管理者用人口入力シート!AW$7))+将来予測シート②!$G28</f>
        <v>1339.1592344552848</v>
      </c>
      <c r="DD6" s="9">
        <f>IF(管理者入力シート!$B$14=1,DC3*管理者用人口入力シート!AX$3,IF(管理者入力シート!$B$14=2,DC3*管理者用人口入力シート!AX$7))+将来予測シート②!$G29</f>
        <v>993.82843152296789</v>
      </c>
      <c r="DE6" s="9">
        <f>IF(管理者入力シート!$B$14=1,DD3*管理者用人口入力シート!AY$3,IF(管理者入力シート!$B$14=2,DD3*管理者用人口入力シート!AY$7))</f>
        <v>978.91434419731729</v>
      </c>
      <c r="DF6" s="9">
        <f>IF(管理者入力シート!$B$14=1,DE3*管理者用人口入力シート!AZ$3,IF(管理者入力シート!$B$14=2,DE3*管理者用人口入力シート!AZ$7))</f>
        <v>938.85789141976784</v>
      </c>
      <c r="DG6" s="9">
        <f>IF(管理者入力シート!$B$14=1,DF3*管理者用人口入力シート!BA$3,IF(管理者入力シート!$B$14=2,DF3*管理者用人口入力シート!BA$7))</f>
        <v>973.79021252547636</v>
      </c>
      <c r="DH6" s="9">
        <f>IF(管理者入力シート!$B$14=1,DG3*管理者用人口入力シート!BB$3,IF(管理者入力シート!$B$14=2,DG3*管理者用人口入力シート!BB$7))</f>
        <v>880.60603074198082</v>
      </c>
      <c r="DI6" s="9">
        <f>IF(管理者入力シート!$B$14=1,DH3*管理者用人口入力シート!BC$3,IF(管理者入力シート!$B$14=2,DH3*管理者用人口入力シート!BC$7))</f>
        <v>459.94275308809887</v>
      </c>
      <c r="DJ6" s="9">
        <f>IF(管理者入力シート!$B$14=1,DI3*管理者用人口入力シート!BD$3,IF(管理者入力シート!$B$14=2,DI3*管理者用人口入力シート!BD$7))</f>
        <v>199.57678678035123</v>
      </c>
      <c r="DK6" s="9">
        <f>IF(管理者入力シート!$B$14=1,DJ3*管理者用人口入力シート!BE$3,IF(管理者入力シート!$B$14=2,DJ3*管理者用人口入力シート!BE$7))</f>
        <v>54.231094115996655</v>
      </c>
      <c r="DL6" s="9">
        <f>IF(管理者入力シート!$B$14=1,DK3*管理者用人口入力シート!BF$3,IF(管理者入力シート!$B$14=2,DK3*管理者用人口入力シート!BF$7))</f>
        <v>0.56890168110686223</v>
      </c>
      <c r="DM6" s="9">
        <f t="shared" ref="DM6:DM14" si="69">SUM(CR6:DL6)</f>
        <v>15342.719291258196</v>
      </c>
      <c r="DN6" s="9">
        <f t="shared" si="34"/>
        <v>749.41024592399458</v>
      </c>
      <c r="DO6" s="9">
        <f t="shared" si="35"/>
        <v>420.82218683508609</v>
      </c>
      <c r="DP6" s="9">
        <f t="shared" si="6"/>
        <v>4486.4880145500956</v>
      </c>
      <c r="DQ6" s="9">
        <f t="shared" si="36"/>
        <v>2568.7157789330108</v>
      </c>
      <c r="DR6" s="13">
        <f t="shared" si="37"/>
        <v>0.29241804724318698</v>
      </c>
      <c r="DS6" s="13">
        <f t="shared" si="38"/>
        <v>0.16742245818162008</v>
      </c>
      <c r="DT6" s="9">
        <f t="shared" ref="DT6:DT14" si="70">SUM(CV6:CY6)</f>
        <v>2812.8536095195896</v>
      </c>
      <c r="DV6" s="7" t="s">
        <v>400</v>
      </c>
      <c r="DX6" s="28">
        <f>管理者入力シート!B9</f>
        <v>2030</v>
      </c>
      <c r="DY6" s="3" t="s">
        <v>21</v>
      </c>
      <c r="DZ6" s="9">
        <f>FB7*$AK$13</f>
        <v>802.47238748616871</v>
      </c>
      <c r="EA6" s="129">
        <f>IF(管理者入力シート!$B$14=1,DZ3*管理者用人口入力シート!AM$3,IF(管理者入力シート!$B$14=2,DZ3*管理者用人口入力シート!AM$7))</f>
        <v>578.70880610457289</v>
      </c>
      <c r="EB6" s="9">
        <f>IF(管理者入力シート!$B$14=1,EA3*管理者用人口入力シート!AN$3,IF(管理者入力シート!$B$14=2,EA3*管理者用人口入力シート!AN$7))</f>
        <v>668.38146454737489</v>
      </c>
      <c r="EC6" s="9">
        <f>IF(管理者入力シート!$B$14=1,EB3*管理者用人口入力シート!AO$3,IF(管理者入力シート!$B$14=2,EB3*管理者用人口入力シート!AO$7))</f>
        <v>764.36162521966457</v>
      </c>
      <c r="ED6" s="9">
        <f>IF(管理者入力シート!$B$14=1,EC3*管理者用人口入力シート!AP$3,IF(管理者入力シート!$B$14=2,EC3*管理者用人口入力シート!AP$7))</f>
        <v>668.19484615622366</v>
      </c>
      <c r="EE6" s="9">
        <f>IF(管理者入力シート!$B$14=1,ED3*管理者用人口入力シート!AQ$3,IF(管理者入力シート!$B$14=2,ED3*管理者用人口入力シート!AQ$7))+DX1</f>
        <v>959.416826106857</v>
      </c>
      <c r="EF6" s="9">
        <f>IF(管理者入力シート!$B$14=1,EE3*管理者用人口入力シート!AR$3,IF(管理者入力シート!$B$14=2,EE3*管理者用人口入力シート!AR$7))+DX1</f>
        <v>1151.3281713305694</v>
      </c>
      <c r="EG6" s="9">
        <f>IF(管理者入力シート!$B$14=1,EF3*管理者用人口入力シート!AS$3,IF(管理者入力シート!$B$14=2,EF3*管理者用人口入力シート!AS$7))+DX1</f>
        <v>1143.7452521508094</v>
      </c>
      <c r="EH6" s="9">
        <f>IF(管理者入力シート!$B$14=1,EG3*管理者用人口入力シート!AT$3,IF(管理者入力シート!$B$14=2,EG3*管理者用人口入力シート!AT$7))</f>
        <v>1080.1623712513638</v>
      </c>
      <c r="EI6" s="9">
        <f>IF(管理者入力シート!$B$14=1,EH3*管理者用人口入力シート!AU$3,IF(管理者入力シート!$B$14=2,EH3*管理者用人口入力シート!AU$7))</f>
        <v>1055.5934895396595</v>
      </c>
      <c r="EJ6" s="9">
        <f>IF(管理者入力シート!$B$14=1,EI3*管理者用人口入力シート!AV$3,IF(管理者入力シート!$B$14=2,EI3*管理者用人口入力シート!AV$7))</f>
        <v>1214.6888653353358</v>
      </c>
      <c r="EK6" s="9">
        <f>IF(管理者入力シート!$B$14=1,EJ3*管理者用人口入力シート!AW$3,IF(管理者入力シート!$B$14=2,EJ3*管理者用人口入力シート!AW$7))</f>
        <v>1339.1592344552848</v>
      </c>
      <c r="EL6" s="9">
        <f>IF(管理者入力シート!$B$14=1,EK3*管理者用人口入力シート!AX$3,IF(管理者入力シート!$B$14=2,EK3*管理者用人口入力シート!AX$7))</f>
        <v>993.82843152296789</v>
      </c>
      <c r="EM6" s="9">
        <f>IF(管理者入力シート!$B$14=1,EL3*管理者用人口入力シート!AY$3,IF(管理者入力シート!$B$14=2,EL3*管理者用人口入力シート!AY$7))</f>
        <v>978.91434419731729</v>
      </c>
      <c r="EN6" s="9">
        <f>IF(管理者入力シート!$B$14=1,EM3*管理者用人口入力シート!AZ$3,IF(管理者入力シート!$B$14=2,EM3*管理者用人口入力シート!AZ$7))</f>
        <v>938.85789141976784</v>
      </c>
      <c r="EO6" s="9">
        <f>IF(管理者入力シート!$B$14=1,EN3*管理者用人口入力シート!BA$3,IF(管理者入力シート!$B$14=2,EN3*管理者用人口入力シート!BA$7))</f>
        <v>973.79021252547636</v>
      </c>
      <c r="EP6" s="9">
        <f>IF(管理者入力シート!$B$14=1,EO3*管理者用人口入力シート!BB$3,IF(管理者入力シート!$B$14=2,EO3*管理者用人口入力シート!BB$7))</f>
        <v>880.60603074198082</v>
      </c>
      <c r="EQ6" s="9">
        <f>IF(管理者入力シート!$B$14=1,EP3*管理者用人口入力シート!BC$3,IF(管理者入力シート!$B$14=2,EP3*管理者用人口入力シート!BC$7))</f>
        <v>459.94275308809887</v>
      </c>
      <c r="ER6" s="9">
        <f>IF(管理者入力シート!$B$14=1,EQ3*管理者用人口入力シート!BD$3,IF(管理者入力シート!$B$14=2,EQ3*管理者用人口入力シート!BD$7))</f>
        <v>199.57678678035123</v>
      </c>
      <c r="ES6" s="9">
        <f>IF(管理者入力シート!$B$14=1,ER3*管理者用人口入力シート!BE$3,IF(管理者入力シート!$B$14=2,ER3*管理者用人口入力シート!BE$7))</f>
        <v>54.231094115996655</v>
      </c>
      <c r="ET6" s="9">
        <f>IF(管理者入力シート!$B$14=1,ES3*管理者用人口入力シート!BF$3,IF(管理者入力シート!$B$14=2,ES3*管理者用人口入力シート!BF$7))</f>
        <v>0.56890168110686223</v>
      </c>
      <c r="EU6" s="9">
        <f t="shared" ref="EU6:EU14" si="71">SUM(DZ6:ET6)</f>
        <v>16906.529785756953</v>
      </c>
      <c r="EV6" s="9">
        <f t="shared" si="41"/>
        <v>748.25416239116862</v>
      </c>
      <c r="EW6" s="9">
        <f t="shared" si="42"/>
        <v>420.22491086288284</v>
      </c>
      <c r="EX6" s="9">
        <f t="shared" si="10"/>
        <v>4486.4880145500956</v>
      </c>
      <c r="EY6" s="9">
        <f t="shared" si="43"/>
        <v>2568.7157789330108</v>
      </c>
      <c r="EZ6" s="13">
        <f t="shared" si="44"/>
        <v>0.26537013044094804</v>
      </c>
      <c r="FA6" s="13">
        <f t="shared" si="45"/>
        <v>0.15193631167864188</v>
      </c>
      <c r="FB6" s="9">
        <f t="shared" ref="FB6:FB14" si="72">SUM(ED6:EG6)</f>
        <v>3922.6850957444594</v>
      </c>
    </row>
    <row r="7" spans="1:158" x14ac:dyDescent="0.15">
      <c r="A7" s="7" t="str">
        <f t="shared" si="11"/>
        <v>2010_2</v>
      </c>
      <c r="B7" s="29">
        <v>2010</v>
      </c>
      <c r="C7" s="4" t="s">
        <v>22</v>
      </c>
      <c r="D7" s="10">
        <v>814.93991730600396</v>
      </c>
      <c r="E7" s="10">
        <v>764.53671901996279</v>
      </c>
      <c r="F7" s="10">
        <v>725.06384121115968</v>
      </c>
      <c r="G7" s="10">
        <v>907.12492429595522</v>
      </c>
      <c r="H7" s="10">
        <v>974.91207940506229</v>
      </c>
      <c r="I7" s="10">
        <v>1184.952735160449</v>
      </c>
      <c r="J7" s="10">
        <v>1302.5961553485629</v>
      </c>
      <c r="K7" s="10">
        <v>1398.8921571069757</v>
      </c>
      <c r="L7" s="10">
        <v>1127.045967227813</v>
      </c>
      <c r="M7" s="10">
        <v>1116.3151592451425</v>
      </c>
      <c r="N7" s="10">
        <v>1194.4667202387875</v>
      </c>
      <c r="O7" s="10">
        <v>1339.038643255137</v>
      </c>
      <c r="P7" s="10">
        <v>1454.8970072321586</v>
      </c>
      <c r="Q7" s="10">
        <v>1126.911741408009</v>
      </c>
      <c r="R7" s="10">
        <v>919.40972436998152</v>
      </c>
      <c r="S7" s="10">
        <v>928.75054245060255</v>
      </c>
      <c r="T7" s="10">
        <v>717.24409617940921</v>
      </c>
      <c r="U7" s="10">
        <v>444.00838534374731</v>
      </c>
      <c r="V7" s="10">
        <v>210.41420272450605</v>
      </c>
      <c r="W7" s="10">
        <v>53.302094597214676</v>
      </c>
      <c r="X7" s="10">
        <v>9.9071868733600041</v>
      </c>
      <c r="Y7" s="10">
        <f t="shared" si="68"/>
        <v>18714.73</v>
      </c>
      <c r="Z7" s="10">
        <f t="shared" si="12"/>
        <v>893.76033613867344</v>
      </c>
      <c r="AA7" s="10">
        <f t="shared" si="13"/>
        <v>471.45052134365494</v>
      </c>
      <c r="AB7" s="10">
        <f t="shared" si="0"/>
        <v>4409.9479739468306</v>
      </c>
      <c r="AC7" s="10">
        <f t="shared" si="14"/>
        <v>2363.6265081688398</v>
      </c>
      <c r="AD7" s="14">
        <f t="shared" si="15"/>
        <v>0.23564048073078431</v>
      </c>
      <c r="AE7" s="14">
        <f t="shared" si="16"/>
        <v>0.12629765474408874</v>
      </c>
      <c r="AF7" s="10">
        <f t="shared" si="17"/>
        <v>4861.3531270210506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0.92680588804329955</v>
      </c>
      <c r="AN7" s="48">
        <f t="shared" si="73"/>
        <v>0.9967191443218667</v>
      </c>
      <c r="AO7" s="48">
        <f t="shared" si="73"/>
        <v>0.98637986101584274</v>
      </c>
      <c r="AP7" s="48">
        <f t="shared" si="73"/>
        <v>0.83897257906392453</v>
      </c>
      <c r="AQ7" s="48">
        <f t="shared" si="73"/>
        <v>1.0934324204047341</v>
      </c>
      <c r="AR7" s="48">
        <f t="shared" si="73"/>
        <v>0.97462122322572475</v>
      </c>
      <c r="AS7" s="48">
        <f t="shared" si="73"/>
        <v>0.97551534864681511</v>
      </c>
      <c r="AT7" s="48">
        <f t="shared" si="73"/>
        <v>1.008698545064439</v>
      </c>
      <c r="AU7" s="48">
        <f t="shared" si="73"/>
        <v>1.0027184458396567</v>
      </c>
      <c r="AV7" s="48">
        <f t="shared" si="73"/>
        <v>1.0050558984398674</v>
      </c>
      <c r="AW7" s="48">
        <f t="shared" si="73"/>
        <v>0.98381672827903155</v>
      </c>
      <c r="AX7" s="48">
        <f t="shared" si="73"/>
        <v>1.007713216137903</v>
      </c>
      <c r="AY7" s="48">
        <f t="shared" si="73"/>
        <v>0.9428699995459493</v>
      </c>
      <c r="AZ7" s="48">
        <f t="shared" si="73"/>
        <v>0.94123549768577319</v>
      </c>
      <c r="BA7" s="48">
        <f t="shared" si="73"/>
        <v>0.9142618730069223</v>
      </c>
      <c r="BB7" s="48">
        <f t="shared" si="73"/>
        <v>0.80302564916179286</v>
      </c>
      <c r="BC7" s="48">
        <f t="shared" si="73"/>
        <v>0.7180147655483633</v>
      </c>
      <c r="BD7" s="48">
        <f t="shared" si="73"/>
        <v>0.46308365207938396</v>
      </c>
      <c r="BE7" s="48">
        <f t="shared" si="73"/>
        <v>0.30485934980241536</v>
      </c>
      <c r="BF7" s="48">
        <f t="shared" si="73"/>
        <v>1.2745299132714737E-2</v>
      </c>
      <c r="BH7" s="7" t="str">
        <f t="shared" si="19"/>
        <v>2030_2</v>
      </c>
      <c r="BI7" s="29">
        <f>BI6</f>
        <v>2030</v>
      </c>
      <c r="BJ7" s="4" t="s">
        <v>22</v>
      </c>
      <c r="BK7" s="10">
        <f>CM7*$AK$14</f>
        <v>547.32043903817282</v>
      </c>
      <c r="BL7" s="10">
        <f>IF(管理者入力シート!$B$14=1,BK4*管理者用人口入力シート!AM$4,IF(管理者入力シート!$B$14=2,BK4*管理者用人口入力シート!AM$8))</f>
        <v>568.71945661040013</v>
      </c>
      <c r="BM7" s="10">
        <f>IF(管理者入力シート!$B$14=1,BL4*管理者用人口入力シート!AN$4,IF(管理者入力シート!$B$14=2,BL4*管理者用人口入力シート!AN$8))</f>
        <v>669.68772046806157</v>
      </c>
      <c r="BN7" s="10">
        <f>IF(管理者入力シート!$B$14=1,BM4*管理者用人口入力シート!AO$4,IF(管理者入力シート!$B$14=2,BM4*管理者用人口入力シート!AO$8))</f>
        <v>863.01420015700069</v>
      </c>
      <c r="BO7" s="10">
        <f>IF(管理者入力シート!$B$14=1,BN4*管理者用人口入力シート!AP$4,IF(管理者入力シート!$B$14=2,BN4*管理者用人口入力シート!AP$8))</f>
        <v>694.86373191676989</v>
      </c>
      <c r="BP7" s="10">
        <f>IF(管理者入力シート!$B$14=1,BO4*管理者用人口入力シート!AQ$4,IF(管理者入力シート!$B$14=2,BO4*管理者用人口入力シート!AQ$8))</f>
        <v>653.58655776612738</v>
      </c>
      <c r="BQ7" s="10">
        <f>IF(管理者入力シート!$B$14=1,BP4*管理者用人口入力シート!AR$4,IF(管理者入力シート!$B$14=2,BP4*管理者用人口入力シート!AR$8))</f>
        <v>641.92170657529698</v>
      </c>
      <c r="BR7" s="10">
        <f>IF(管理者入力シート!$B$14=1,BQ4*管理者用人口入力シート!AS$4,IF(管理者入力シート!$B$14=2,BQ4*管理者用人口入力シート!AS$8))</f>
        <v>729.95755013896814</v>
      </c>
      <c r="BS7" s="10">
        <f>IF(管理者入力シート!$B$14=1,BR4*管理者用人口入力シート!AT$4,IF(管理者入力シート!$B$14=2,BR4*管理者用人口入力シート!AT$8))</f>
        <v>874.08025305717365</v>
      </c>
      <c r="BT7" s="10">
        <f>IF(管理者入力シート!$B$14=1,BS4*管理者用人口入力シート!AU$4,IF(管理者入力シート!$B$14=2,BS4*管理者用人口入力シート!AU$8))</f>
        <v>1035.5000465243065</v>
      </c>
      <c r="BU7" s="10">
        <f>IF(管理者入力シート!$B$14=1,BT4*管理者用人口入力シート!AV$4,IF(管理者入力シート!$B$14=2,BT4*管理者用人口入力シート!AV$8))</f>
        <v>1227.6216373248728</v>
      </c>
      <c r="BV7" s="10">
        <f>IF(管理者入力シート!$B$14=1,BU4*管理者用人口入力シート!AW$4,IF(管理者入力シート!$B$14=2,BU4*管理者用人口入力シート!AW$8))</f>
        <v>1409.4792316457585</v>
      </c>
      <c r="BW7" s="10">
        <f>IF(管理者入力シート!$B$14=1,BV4*管理者用人口入力シート!AX$4,IF(管理者入力シート!$B$14=2,BV4*管理者用人口入力シート!AX$8))</f>
        <v>1103.4229154626141</v>
      </c>
      <c r="BX7" s="10">
        <f>IF(管理者入力シート!$B$14=1,BW4*管理者用人口入力シート!AY$4,IF(管理者入力シート!$B$14=2,BW4*管理者用人口入力シート!AY$8))</f>
        <v>1090.5661931569136</v>
      </c>
      <c r="BY7" s="10">
        <f>IF(管理者入力シート!$B$14=1,BX4*管理者用人口入力シート!AZ$4,IF(管理者入力シート!$B$14=2,BX4*管理者用人口入力シート!AZ$8))</f>
        <v>1061.1873298362518</v>
      </c>
      <c r="BZ7" s="10">
        <f>IF(管理者入力シート!$B$14=1,BY4*管理者用人口入力シート!BA$4,IF(管理者入力シート!$B$14=2,BY4*管理者用人口入力シート!BA$8))</f>
        <v>1149.597582692337</v>
      </c>
      <c r="CA7" s="10">
        <f>IF(管理者入力シート!$B$14=1,BZ4*管理者用人口入力シート!BB$4,IF(管理者入力シート!$B$14=2,BZ4*管理者用人口入力シート!BB$8))</f>
        <v>1243.3618227458196</v>
      </c>
      <c r="CB7" s="10">
        <f>IF(管理者入力シート!$B$14=1,CA4*管理者用人口入力シート!BC$4,IF(管理者入力シート!$B$14=2,CA4*管理者用人口入力シート!BC$8))</f>
        <v>794.08466533977389</v>
      </c>
      <c r="CC7" s="10">
        <f>IF(管理者入力シート!$B$14=1,CB4*管理者用人口入力シート!BD$4,IF(管理者入力シート!$B$14=2,CB4*管理者用人口入力シート!BD$8))</f>
        <v>450.93260544028931</v>
      </c>
      <c r="CD7" s="10">
        <f>IF(管理者入力シート!$B$14=1,CC4*管理者用人口入力シート!BE$4,IF(管理者入力シート!$B$14=2,CC4*管理者用人口入力シート!BE$8))</f>
        <v>216.44936859593452</v>
      </c>
      <c r="CE7" s="10">
        <f>IF(管理者入力シート!$B$14=1,CD4*管理者用人口入力シート!BF$4,IF(管理者入力シート!$B$14=2,CD4*管理者用人口入力シート!BF$8))</f>
        <v>34.321030327180786</v>
      </c>
      <c r="CF7" s="10">
        <f t="shared" si="2"/>
        <v>17059.676044820022</v>
      </c>
      <c r="CG7" s="10">
        <f t="shared" si="20"/>
        <v>743.04430624707697</v>
      </c>
      <c r="CH7" s="10">
        <f t="shared" si="21"/>
        <v>440.47792821862475</v>
      </c>
      <c r="CI7" s="10">
        <f t="shared" si="3"/>
        <v>6040.5005981344993</v>
      </c>
      <c r="CJ7" s="10">
        <f t="shared" si="22"/>
        <v>3888.7470751413352</v>
      </c>
      <c r="CK7" s="14">
        <f t="shared" si="23"/>
        <v>0.35408061573177579</v>
      </c>
      <c r="CL7" s="14">
        <f t="shared" si="24"/>
        <v>0.22794964364649289</v>
      </c>
      <c r="CM7" s="10">
        <f t="shared" si="25"/>
        <v>2720.3295463971622</v>
      </c>
      <c r="CO7" s="7" t="str">
        <f t="shared" si="26"/>
        <v>2030_2</v>
      </c>
      <c r="CP7" s="29">
        <f>CP6</f>
        <v>2030</v>
      </c>
      <c r="CQ7" s="4" t="s">
        <v>22</v>
      </c>
      <c r="CR7" s="10">
        <f>DT7*$AK$14+将来予測シート②!$H17</f>
        <v>549.1110477923479</v>
      </c>
      <c r="CS7" s="10">
        <f>IF(管理者入力シート!$B$14=1,CR4*管理者用人口入力シート!AM$4,IF(管理者入力シート!$B$14=2,CR4*管理者用人口入力シート!AM$8))+将来予測シート②!$H18</f>
        <v>569.66919250618412</v>
      </c>
      <c r="CT7" s="10">
        <f>IF(管理者入力シート!$B$14=1,CS4*管理者用人口入力シート!AN$4,IF(管理者入力シート!$B$14=2,CS4*管理者用人口入力シート!AN$8))+将来予測シート②!$H19</f>
        <v>670.68772046806157</v>
      </c>
      <c r="CU7" s="10">
        <f>IF(管理者入力シート!$B$14=1,CT4*管理者用人口入力シート!AO$4,IF(管理者入力シート!$B$14=2,CT4*管理者用人口入力シート!AO$8))+将来予測シート②!$H20</f>
        <v>864.14141854709817</v>
      </c>
      <c r="CV7" s="10">
        <f>IF(管理者入力シート!$B$14=1,CU4*管理者用人口入力シート!AP$4,IF(管理者入力シート!$B$14=2,CU4*管理者用人口入力シート!AP$8))+将来予測シート②!$H21</f>
        <v>694.86373191676989</v>
      </c>
      <c r="CW7" s="10">
        <f>IF(管理者入力シート!$B$14=1,CV4*管理者用人口入力シート!AQ$4,IF(管理者入力シート!$B$14=2,CV4*管理者用人口入力シート!AQ$8))+将来予測シート②!$H22</f>
        <v>655.58655776612738</v>
      </c>
      <c r="CX7" s="10">
        <f>IF(管理者入力シート!$B$14=1,CW4*管理者用人口入力シート!AR$4,IF(管理者入力シート!$B$14=2,CW4*管理者用人口入力シート!AR$8))+将来予測シート②!$H23</f>
        <v>643.85124437476634</v>
      </c>
      <c r="CY7" s="10">
        <f>IF(管理者入力シート!$B$14=1,CX4*管理者用人口入力シート!AS$4,IF(管理者入力シート!$B$14=2,CX4*管理者用人口入力シート!AS$8))+将来予測シート②!$H24</f>
        <v>729.95755013896814</v>
      </c>
      <c r="CZ7" s="10">
        <f>IF(管理者入力シート!$B$14=1,CY4*管理者用人口入力シート!AT$4,IF(管理者入力シート!$B$14=2,CY4*管理者用人口入力シート!AT$8))+将来予測シート②!$H25</f>
        <v>875.08025305717365</v>
      </c>
      <c r="DA7" s="10">
        <f>IF(管理者入力シート!$B$14=1,CZ4*管理者用人口入力シート!AU$4,IF(管理者入力シート!$B$14=2,CZ4*管理者用人口入力シート!AU$8))+将来予測シート②!$H26</f>
        <v>1036.506008910628</v>
      </c>
      <c r="DB7" s="10">
        <f>IF(管理者入力シート!$B$14=1,DA4*管理者用人口入力シート!AV$4,IF(管理者入力シート!$B$14=2,DA4*管理者用人口入力シート!AV$8))+将来予測シート②!$H27</f>
        <v>1227.6216373248728</v>
      </c>
      <c r="DC7" s="10">
        <f>IF(管理者入力シート!$B$14=1,DB4*管理者用人口入力シート!AW$4,IF(管理者入力シート!$B$14=2,DB4*管理者用人口入力シート!AW$8))+将来予測シート②!$H28</f>
        <v>1409.4792316457585</v>
      </c>
      <c r="DD7" s="10">
        <f>IF(管理者入力シート!$B$14=1,DC4*管理者用人口入力シート!AX$4,IF(管理者入力シート!$B$14=2,DC4*管理者用人口入力シート!AX$8))+将来予測シート②!$H29</f>
        <v>1103.4229154626141</v>
      </c>
      <c r="DE7" s="10">
        <f>IF(管理者入力シート!$B$14=1,DD4*管理者用人口入力シート!AY$4,IF(管理者入力シート!$B$14=2,DD4*管理者用人口入力シート!AY$8))</f>
        <v>1090.5661931569136</v>
      </c>
      <c r="DF7" s="10">
        <f>IF(管理者入力シート!$B$14=1,DE4*管理者用人口入力シート!AZ$4,IF(管理者入力シート!$B$14=2,DE4*管理者用人口入力シート!AZ$8))</f>
        <v>1061.1873298362518</v>
      </c>
      <c r="DG7" s="10">
        <f>IF(管理者入力シート!$B$14=1,DF4*管理者用人口入力シート!BA$4,IF(管理者入力シート!$B$14=2,DF4*管理者用人口入力シート!BA$8))</f>
        <v>1149.597582692337</v>
      </c>
      <c r="DH7" s="10">
        <f>IF(管理者入力シート!$B$14=1,DG4*管理者用人口入力シート!BB$4,IF(管理者入力シート!$B$14=2,DG4*管理者用人口入力シート!BB$8))</f>
        <v>1243.3618227458196</v>
      </c>
      <c r="DI7" s="10">
        <f>IF(管理者入力シート!$B$14=1,DH4*管理者用人口入力シート!BC$4,IF(管理者入力シート!$B$14=2,DH4*管理者用人口入力シート!BC$8))</f>
        <v>794.08466533977389</v>
      </c>
      <c r="DJ7" s="10">
        <f>IF(管理者入力シート!$B$14=1,DI4*管理者用人口入力シート!BD$4,IF(管理者入力シート!$B$14=2,DI4*管理者用人口入力シート!BD$8))</f>
        <v>450.93260544028931</v>
      </c>
      <c r="DK7" s="10">
        <f>IF(管理者入力シート!$B$14=1,DJ4*管理者用人口入力シート!BE$4,IF(管理者入力シート!$B$14=2,DJ4*管理者用人口入力シート!BE$8))</f>
        <v>216.44936859593452</v>
      </c>
      <c r="DL7" s="10">
        <f>IF(管理者入力シート!$B$14=1,DK4*管理者用人口入力シート!BF$4,IF(管理者入力シート!$B$14=2,DK4*管理者用人口入力シート!BF$8))</f>
        <v>34.321030327180786</v>
      </c>
      <c r="DM7" s="10">
        <f t="shared" si="69"/>
        <v>17070.479108045871</v>
      </c>
      <c r="DN7" s="10">
        <f t="shared" si="34"/>
        <v>744.21414778454732</v>
      </c>
      <c r="DO7" s="10">
        <f t="shared" si="35"/>
        <v>441.10337189664426</v>
      </c>
      <c r="DP7" s="10">
        <f t="shared" si="6"/>
        <v>6040.5005981344993</v>
      </c>
      <c r="DQ7" s="10">
        <f t="shared" si="36"/>
        <v>3888.7470751413352</v>
      </c>
      <c r="DR7" s="14">
        <f t="shared" si="37"/>
        <v>0.35385653559585306</v>
      </c>
      <c r="DS7" s="14">
        <f t="shared" si="38"/>
        <v>0.22780538557400198</v>
      </c>
      <c r="DT7" s="10">
        <f t="shared" si="70"/>
        <v>2724.2590841966316</v>
      </c>
      <c r="DV7" s="7" t="s">
        <v>401</v>
      </c>
      <c r="DW7" s="210">
        <f>(CF12-Y12)/4</f>
        <v>-608.77201541188788</v>
      </c>
      <c r="DX7" s="29">
        <f>DX6</f>
        <v>2030</v>
      </c>
      <c r="DY7" s="4" t="s">
        <v>22</v>
      </c>
      <c r="DZ7" s="10">
        <f>FB7*$AK$14</f>
        <v>769.58044603231679</v>
      </c>
      <c r="EA7" s="10">
        <f>IF(管理者入力シート!$B$14=1,DZ4*管理者用人口入力シート!AM$4,IF(管理者入力シート!$B$14=2,DZ4*管理者用人口入力シート!AM$8))</f>
        <v>568.71945661040013</v>
      </c>
      <c r="EB7" s="10">
        <f>IF(管理者入力シート!$B$14=1,EA4*管理者用人口入力シート!AN$4,IF(管理者入力シート!$B$14=2,EA4*管理者用人口入力シート!AN$8))</f>
        <v>669.68772046806157</v>
      </c>
      <c r="EC7" s="10">
        <f>IF(管理者入力シート!$B$14=1,EB4*管理者用人口入力シート!AO$4,IF(管理者入力シート!$B$14=2,EB4*管理者用人口入力シート!AO$8))</f>
        <v>863.01420015700069</v>
      </c>
      <c r="ED7" s="10">
        <f>IF(管理者入力シート!$B$14=1,EC4*管理者用人口入力シート!AP$4,IF(管理者入力シート!$B$14=2,EC4*管理者用人口入力シート!AP$8))</f>
        <v>694.86373191676989</v>
      </c>
      <c r="EE7" s="10">
        <f>IF(管理者入力シート!$B$14=1,ED4*管理者用人口入力シート!AQ$4,IF(管理者入力シート!$B$14=2,ED4*管理者用人口入力シート!AQ$8))+DX1</f>
        <v>878.58655776612738</v>
      </c>
      <c r="EF7" s="10">
        <f>IF(管理者入力シート!$B$14=1,EE4*管理者用人口入力シート!AR$4,IF(管理者入力シート!$B$14=2,EE4*管理者用人口入力シート!AR$8))+DX1</f>
        <v>1083.9947090156093</v>
      </c>
      <c r="EG7" s="10">
        <f>IF(管理者入力シート!$B$14=1,EF4*管理者用人口入力シート!AS$4,IF(管理者入力シート!$B$14=2,EF4*管理者用人口入力シート!AS$8))+DX1</f>
        <v>1167.576462861065</v>
      </c>
      <c r="EH7" s="10">
        <f>IF(管理者入力シート!$B$14=1,EG4*管理者用人口入力シート!AT$4,IF(管理者入力シート!$B$14=2,EG4*管理者用人口入力シート!AT$8))</f>
        <v>1095.457189150771</v>
      </c>
      <c r="EI7" s="10">
        <f>IF(管理者入力シート!$B$14=1,EH4*管理者用人口入力シート!AU$4,IF(管理者入力シート!$B$14=2,EH4*管理者用人口入力シート!AU$8))</f>
        <v>1035.5000465243065</v>
      </c>
      <c r="EJ7" s="10">
        <f>IF(管理者入力シート!$B$14=1,EI4*管理者用人口入力シート!AV$4,IF(管理者入力シート!$B$14=2,EI4*管理者用人口入力シート!AV$8))</f>
        <v>1227.6216373248728</v>
      </c>
      <c r="EK7" s="10">
        <f>IF(管理者入力シート!$B$14=1,EJ4*管理者用人口入力シート!AW$4,IF(管理者入力シート!$B$14=2,EJ4*管理者用人口入力シート!AW$8))</f>
        <v>1409.4792316457585</v>
      </c>
      <c r="EL7" s="10">
        <f>IF(管理者入力シート!$B$14=1,EK4*管理者用人口入力シート!AX$4,IF(管理者入力シート!$B$14=2,EK4*管理者用人口入力シート!AX$8))</f>
        <v>1103.4229154626141</v>
      </c>
      <c r="EM7" s="10">
        <f>IF(管理者入力シート!$B$14=1,EL4*管理者用人口入力シート!AY$4,IF(管理者入力シート!$B$14=2,EL4*管理者用人口入力シート!AY$8))</f>
        <v>1090.5661931569136</v>
      </c>
      <c r="EN7" s="10">
        <f>IF(管理者入力シート!$B$14=1,EM4*管理者用人口入力シート!AZ$4,IF(管理者入力シート!$B$14=2,EM4*管理者用人口入力シート!AZ$8))</f>
        <v>1061.1873298362518</v>
      </c>
      <c r="EO7" s="10">
        <f>IF(管理者入力シート!$B$14=1,EN4*管理者用人口入力シート!BA$4,IF(管理者入力シート!$B$14=2,EN4*管理者用人口入力シート!BA$8))</f>
        <v>1149.597582692337</v>
      </c>
      <c r="EP7" s="10">
        <f>IF(管理者入力シート!$B$14=1,EO4*管理者用人口入力シート!BB$4,IF(管理者入力シート!$B$14=2,EO4*管理者用人口入力シート!BB$8))</f>
        <v>1243.3618227458196</v>
      </c>
      <c r="EQ7" s="10">
        <f>IF(管理者入力シート!$B$14=1,EP4*管理者用人口入力シート!BC$4,IF(管理者入力シート!$B$14=2,EP4*管理者用人口入力シート!BC$8))</f>
        <v>794.08466533977389</v>
      </c>
      <c r="ER7" s="10">
        <f>IF(管理者入力シート!$B$14=1,EQ4*管理者用人口入力シート!BD$4,IF(管理者入力シート!$B$14=2,EQ4*管理者用人口入力シート!BD$8))</f>
        <v>450.93260544028931</v>
      </c>
      <c r="ES7" s="10">
        <f>IF(管理者入力シート!$B$14=1,ER4*管理者用人口入力シート!BE$4,IF(管理者入力シート!$B$14=2,ER4*管理者用人口入力シート!BE$8))</f>
        <v>216.44936859593452</v>
      </c>
      <c r="ET7" s="10">
        <f>IF(管理者入力シート!$B$14=1,ES4*管理者用人口入力シート!BF$4,IF(管理者入力シート!$B$14=2,ES4*管理者用人口入力シート!BF$8))</f>
        <v>34.321030327180786</v>
      </c>
      <c r="EU7" s="10">
        <f t="shared" si="71"/>
        <v>18608.004903070174</v>
      </c>
      <c r="EV7" s="10">
        <f t="shared" si="41"/>
        <v>743.04430624707697</v>
      </c>
      <c r="EW7" s="10">
        <f t="shared" si="42"/>
        <v>440.47792821862475</v>
      </c>
      <c r="EX7" s="10">
        <f t="shared" si="10"/>
        <v>6040.5005981344993</v>
      </c>
      <c r="EY7" s="10">
        <f t="shared" si="43"/>
        <v>3888.7470751413352</v>
      </c>
      <c r="EZ7" s="14">
        <f t="shared" si="44"/>
        <v>0.32461839028953954</v>
      </c>
      <c r="FA7" s="14">
        <f t="shared" si="45"/>
        <v>0.20898248336659256</v>
      </c>
      <c r="FB7" s="10">
        <f t="shared" si="72"/>
        <v>3825.0214615595714</v>
      </c>
    </row>
    <row r="8" spans="1:158" x14ac:dyDescent="0.15">
      <c r="A8" s="7" t="str">
        <f t="shared" si="11"/>
        <v>2010_3</v>
      </c>
      <c r="B8" s="30">
        <v>2010</v>
      </c>
      <c r="C8" s="5" t="s">
        <v>23</v>
      </c>
      <c r="D8" s="11">
        <v>1680.8841685570619</v>
      </c>
      <c r="E8" s="11">
        <v>1575.6645025269959</v>
      </c>
      <c r="F8" s="11">
        <v>1563.543451243065</v>
      </c>
      <c r="G8" s="11">
        <v>1720.9425448447951</v>
      </c>
      <c r="H8" s="11">
        <v>1753.8990931986723</v>
      </c>
      <c r="I8" s="11">
        <v>2243.7101325053382</v>
      </c>
      <c r="J8" s="11">
        <v>2532.1181149454997</v>
      </c>
      <c r="K8" s="11">
        <v>2733.3016661843817</v>
      </c>
      <c r="L8" s="11">
        <v>2143.7884098768391</v>
      </c>
      <c r="M8" s="11">
        <v>2169.0083355800953</v>
      </c>
      <c r="N8" s="11">
        <v>2265.0097685837645</v>
      </c>
      <c r="O8" s="11">
        <v>2494.1516315744284</v>
      </c>
      <c r="P8" s="11">
        <v>2836.9901791608991</v>
      </c>
      <c r="Q8" s="11">
        <v>2072.2068051444785</v>
      </c>
      <c r="R8" s="11">
        <v>1738.853106021023</v>
      </c>
      <c r="S8" s="11">
        <v>1546.3976796121997</v>
      </c>
      <c r="T8" s="11">
        <v>1133.0998003862303</v>
      </c>
      <c r="U8" s="11">
        <v>649.14167464793968</v>
      </c>
      <c r="V8" s="11">
        <v>280.98866297709816</v>
      </c>
      <c r="W8" s="11">
        <v>68.552323183853403</v>
      </c>
      <c r="X8" s="11">
        <v>12.317949245340094</v>
      </c>
      <c r="Y8" s="11">
        <f t="shared" si="68"/>
        <v>35214.570000000007</v>
      </c>
      <c r="Z8" s="11">
        <f t="shared" si="12"/>
        <v>1883.5247722620365</v>
      </c>
      <c r="AA8" s="11">
        <f t="shared" si="13"/>
        <v>969.60588946618498</v>
      </c>
      <c r="AB8" s="11">
        <f t="shared" si="0"/>
        <v>7501.5580012181636</v>
      </c>
      <c r="AC8" s="11">
        <f t="shared" si="14"/>
        <v>3690.4980900526616</v>
      </c>
      <c r="AD8" s="15">
        <f t="shared" si="15"/>
        <v>0.21302426811453787</v>
      </c>
      <c r="AE8" s="15">
        <f t="shared" si="16"/>
        <v>0.10480031674538866</v>
      </c>
      <c r="AF8" s="11">
        <f t="shared" si="17"/>
        <v>9263.0290068338909</v>
      </c>
      <c r="AH8" s="7"/>
      <c r="AI8" s="30" t="s">
        <v>88</v>
      </c>
      <c r="AJ8" s="5">
        <f>AJ7</f>
        <v>2010</v>
      </c>
      <c r="AK8" s="5">
        <f>AK7</f>
        <v>2020</v>
      </c>
      <c r="AL8" s="33" t="s">
        <v>22</v>
      </c>
      <c r="AM8" s="47">
        <f t="shared" si="73"/>
        <v>0.94973589578391115</v>
      </c>
      <c r="AN8" s="47">
        <f t="shared" si="73"/>
        <v>1.0162083118449952</v>
      </c>
      <c r="AO8" s="47">
        <f t="shared" si="73"/>
        <v>1.127218390097481</v>
      </c>
      <c r="AP8" s="47">
        <f t="shared" si="73"/>
        <v>0.79741571452960536</v>
      </c>
      <c r="AQ8" s="47">
        <f t="shared" si="73"/>
        <v>1.0053998107780147</v>
      </c>
      <c r="AR8" s="47">
        <f t="shared" si="73"/>
        <v>0.96476889973472146</v>
      </c>
      <c r="AS8" s="47">
        <f t="shared" si="73"/>
        <v>0.94497294543154153</v>
      </c>
      <c r="AT8" s="47">
        <f t="shared" si="73"/>
        <v>0.98389749374932178</v>
      </c>
      <c r="AU8" s="47">
        <f t="shared" si="73"/>
        <v>1.005962386321561</v>
      </c>
      <c r="AV8" s="47">
        <f t="shared" si="73"/>
        <v>1.0127845881769177</v>
      </c>
      <c r="AW8" s="47">
        <f t="shared" si="73"/>
        <v>0.98855402312865037</v>
      </c>
      <c r="AX8" s="47">
        <f t="shared" si="73"/>
        <v>0.98466511458307182</v>
      </c>
      <c r="AY8" s="47">
        <f t="shared" si="73"/>
        <v>0.96452238779953559</v>
      </c>
      <c r="AZ8" s="47">
        <f t="shared" si="73"/>
        <v>0.97091141750260412</v>
      </c>
      <c r="BA8" s="47">
        <f t="shared" si="73"/>
        <v>0.94155771781581987</v>
      </c>
      <c r="BB8" s="47">
        <f t="shared" si="73"/>
        <v>0.94859864639463187</v>
      </c>
      <c r="BC8" s="47">
        <f t="shared" si="73"/>
        <v>0.81313899094835285</v>
      </c>
      <c r="BD8" s="47">
        <f t="shared" si="73"/>
        <v>0.65822475189421403</v>
      </c>
      <c r="BE8" s="47">
        <f t="shared" si="73"/>
        <v>0.4504686846094485</v>
      </c>
      <c r="BF8" s="47">
        <f t="shared" si="73"/>
        <v>0.19840178543500631</v>
      </c>
      <c r="BH8" s="7" t="str">
        <f t="shared" si="19"/>
        <v>2030_3</v>
      </c>
      <c r="BI8" s="30">
        <f>BI7</f>
        <v>2030</v>
      </c>
      <c r="BJ8" s="5" t="s">
        <v>23</v>
      </c>
      <c r="BK8" s="16">
        <f>BK6+BK7</f>
        <v>1118.0334056933793</v>
      </c>
      <c r="BL8" s="16">
        <f t="shared" ref="BL8" si="74">BL6+BL7</f>
        <v>1147.428262714973</v>
      </c>
      <c r="BM8" s="16">
        <f t="shared" ref="BM8" si="75">BM6+BM7</f>
        <v>1338.0691850154365</v>
      </c>
      <c r="BN8" s="16">
        <f t="shared" ref="BN8" si="76">BN6+BN7</f>
        <v>1627.3758253766653</v>
      </c>
      <c r="BO8" s="16">
        <f t="shared" ref="BO8" si="77">BO6+BO7</f>
        <v>1363.0585780729934</v>
      </c>
      <c r="BP8" s="16">
        <f t="shared" ref="BP8" si="78">BP6+BP7</f>
        <v>1388.0033838729844</v>
      </c>
      <c r="BQ8" s="16">
        <f t="shared" ref="BQ8" si="79">BQ6+BQ7</f>
        <v>1348.9601026800783</v>
      </c>
      <c r="BR8" s="16">
        <f t="shared" ref="BR8" si="80">BR6+BR7</f>
        <v>1429.2118488442443</v>
      </c>
      <c r="BS8" s="16">
        <f t="shared" ref="BS8" si="81">BS6+BS7</f>
        <v>1727.2854516690386</v>
      </c>
      <c r="BT8" s="16">
        <f t="shared" ref="BT8" si="82">BT6+BT7</f>
        <v>2091.093536063966</v>
      </c>
      <c r="BU8" s="16">
        <f t="shared" ref="BU8" si="83">BU6+BU7</f>
        <v>2442.3105026602088</v>
      </c>
      <c r="BV8" s="16">
        <f t="shared" ref="BV8" si="84">BV6+BV7</f>
        <v>2748.6384661010434</v>
      </c>
      <c r="BW8" s="16">
        <f t="shared" ref="BW8" si="85">BW6+BW7</f>
        <v>2097.2513469855821</v>
      </c>
      <c r="BX8" s="16">
        <f t="shared" ref="BX8" si="86">BX6+BX7</f>
        <v>2069.4805373542308</v>
      </c>
      <c r="BY8" s="16">
        <f t="shared" ref="BY8" si="87">BY6+BY7</f>
        <v>2000.0452212560197</v>
      </c>
      <c r="BZ8" s="16">
        <f t="shared" ref="BZ8" si="88">BZ6+BZ7</f>
        <v>2123.3877952178136</v>
      </c>
      <c r="CA8" s="16">
        <f t="shared" ref="CA8" si="89">CA6+CA7</f>
        <v>2123.9678534878003</v>
      </c>
      <c r="CB8" s="16">
        <f t="shared" ref="CB8" si="90">CB6+CB7</f>
        <v>1254.0274184278728</v>
      </c>
      <c r="CC8" s="16">
        <f t="shared" ref="CC8" si="91">CC6+CC7</f>
        <v>650.50939222064051</v>
      </c>
      <c r="CD8" s="16">
        <f t="shared" ref="CD8" si="92">CD6+CD7</f>
        <v>270.68046271193117</v>
      </c>
      <c r="CE8" s="16">
        <f t="shared" ref="CE8" si="93">CE6+CE7</f>
        <v>34.889932008287651</v>
      </c>
      <c r="CF8" s="11">
        <f t="shared" si="2"/>
        <v>32393.708508435189</v>
      </c>
      <c r="CG8" s="11">
        <f t="shared" si="20"/>
        <v>1491.2984686382456</v>
      </c>
      <c r="CH8" s="11">
        <f t="shared" si="21"/>
        <v>860.70283908150759</v>
      </c>
      <c r="CI8" s="11">
        <f t="shared" si="3"/>
        <v>10526.988612684596</v>
      </c>
      <c r="CJ8" s="11">
        <f t="shared" si="22"/>
        <v>6457.4628540743461</v>
      </c>
      <c r="CK8" s="15">
        <f t="shared" si="23"/>
        <v>0.32497015925001027</v>
      </c>
      <c r="CL8" s="15">
        <f t="shared" si="24"/>
        <v>0.19934311788947687</v>
      </c>
      <c r="CM8" s="11">
        <f t="shared" si="25"/>
        <v>5529.2339134702997</v>
      </c>
      <c r="CO8" s="7" t="str">
        <f t="shared" si="26"/>
        <v>2030_3</v>
      </c>
      <c r="CP8" s="30">
        <f>CP7</f>
        <v>2030</v>
      </c>
      <c r="CQ8" s="5" t="s">
        <v>23</v>
      </c>
      <c r="CR8" s="16">
        <f>CR6+CR7</f>
        <v>1121.6484138950732</v>
      </c>
      <c r="CS8" s="16">
        <f t="shared" ref="CS8" si="94">CS6+CS7</f>
        <v>1149.3048044988002</v>
      </c>
      <c r="CT8" s="16">
        <f t="shared" ref="CT8" si="95">CT6+CT7</f>
        <v>1340.0691850154365</v>
      </c>
      <c r="CU8" s="16">
        <f t="shared" ref="CU8" si="96">CU6+CU7</f>
        <v>1629.4894236277787</v>
      </c>
      <c r="CV8" s="16">
        <f t="shared" ref="CV8" si="97">CV6+CV7</f>
        <v>1363.0585780729934</v>
      </c>
      <c r="CW8" s="16">
        <f t="shared" ref="CW8" si="98">CW6+CW7</f>
        <v>1392.0033838729844</v>
      </c>
      <c r="CX8" s="16">
        <f t="shared" ref="CX8" si="99">CX6+CX7</f>
        <v>1352.8388829259991</v>
      </c>
      <c r="CY8" s="16">
        <f t="shared" ref="CY8" si="100">CY6+CY7</f>
        <v>1429.2118488442443</v>
      </c>
      <c r="CZ8" s="16">
        <f t="shared" ref="CZ8" si="101">CZ6+CZ7</f>
        <v>1728.2854516690386</v>
      </c>
      <c r="DA8" s="16">
        <f t="shared" ref="DA8" si="102">DA6+DA7</f>
        <v>2092.0994984502877</v>
      </c>
      <c r="DB8" s="16">
        <f t="shared" ref="DB8" si="103">DB6+DB7</f>
        <v>2442.3105026602088</v>
      </c>
      <c r="DC8" s="16">
        <f t="shared" ref="DC8" si="104">DC6+DC7</f>
        <v>2748.6384661010434</v>
      </c>
      <c r="DD8" s="16">
        <f t="shared" ref="DD8" si="105">DD6+DD7</f>
        <v>2097.2513469855821</v>
      </c>
      <c r="DE8" s="16">
        <f t="shared" ref="DE8" si="106">DE6+DE7</f>
        <v>2069.4805373542308</v>
      </c>
      <c r="DF8" s="16">
        <f t="shared" ref="DF8" si="107">DF6+DF7</f>
        <v>2000.0452212560197</v>
      </c>
      <c r="DG8" s="16">
        <f t="shared" ref="DG8" si="108">DG6+DG7</f>
        <v>2123.3877952178136</v>
      </c>
      <c r="DH8" s="16">
        <f t="shared" ref="DH8" si="109">DH6+DH7</f>
        <v>2123.9678534878003</v>
      </c>
      <c r="DI8" s="16">
        <f t="shared" ref="DI8" si="110">DI6+DI7</f>
        <v>1254.0274184278728</v>
      </c>
      <c r="DJ8" s="16">
        <f t="shared" ref="DJ8" si="111">DJ6+DJ7</f>
        <v>650.50939222064051</v>
      </c>
      <c r="DK8" s="16">
        <f t="shared" ref="DK8" si="112">DK6+DK7</f>
        <v>270.68046271193117</v>
      </c>
      <c r="DL8" s="16">
        <f t="shared" ref="DL8" si="113">DL6+DL7</f>
        <v>34.889932008287651</v>
      </c>
      <c r="DM8" s="11">
        <f t="shared" si="69"/>
        <v>32413.198399304067</v>
      </c>
      <c r="DN8" s="11">
        <f t="shared" si="34"/>
        <v>1493.6243937085421</v>
      </c>
      <c r="DO8" s="11">
        <f t="shared" si="35"/>
        <v>861.92555873173035</v>
      </c>
      <c r="DP8" s="11">
        <f t="shared" si="6"/>
        <v>10526.988612684596</v>
      </c>
      <c r="DQ8" s="11">
        <f t="shared" si="36"/>
        <v>6457.4628540743461</v>
      </c>
      <c r="DR8" s="15">
        <f t="shared" si="37"/>
        <v>0.32477475635081471</v>
      </c>
      <c r="DS8" s="15">
        <f t="shared" si="38"/>
        <v>0.1992232538894709</v>
      </c>
      <c r="DT8" s="11">
        <f t="shared" si="70"/>
        <v>5537.1126937162207</v>
      </c>
      <c r="DV8" s="7" t="s">
        <v>402</v>
      </c>
      <c r="DW8" s="210">
        <f>(CF13-Y13)/4</f>
        <v>-738.82152297386301</v>
      </c>
      <c r="DX8" s="30">
        <f>DX7</f>
        <v>2030</v>
      </c>
      <c r="DY8" s="5" t="s">
        <v>23</v>
      </c>
      <c r="DZ8" s="16">
        <f>DZ6+DZ7</f>
        <v>1572.0528335184854</v>
      </c>
      <c r="EA8" s="16">
        <f t="shared" ref="EA8:ET8" si="114">EA6+EA7</f>
        <v>1147.428262714973</v>
      </c>
      <c r="EB8" s="16">
        <f t="shared" si="114"/>
        <v>1338.0691850154365</v>
      </c>
      <c r="EC8" s="16">
        <f t="shared" si="114"/>
        <v>1627.3758253766653</v>
      </c>
      <c r="ED8" s="16">
        <f t="shared" si="114"/>
        <v>1363.0585780729934</v>
      </c>
      <c r="EE8" s="16">
        <f t="shared" si="114"/>
        <v>1838.0033838729844</v>
      </c>
      <c r="EF8" s="16">
        <f t="shared" si="114"/>
        <v>2235.3228803461789</v>
      </c>
      <c r="EG8" s="16">
        <f t="shared" si="114"/>
        <v>2311.3217150118744</v>
      </c>
      <c r="EH8" s="16">
        <f t="shared" si="114"/>
        <v>2175.619560402135</v>
      </c>
      <c r="EI8" s="16">
        <f t="shared" si="114"/>
        <v>2091.093536063966</v>
      </c>
      <c r="EJ8" s="16">
        <f t="shared" si="114"/>
        <v>2442.3105026602088</v>
      </c>
      <c r="EK8" s="16">
        <f t="shared" si="114"/>
        <v>2748.6384661010434</v>
      </c>
      <c r="EL8" s="16">
        <f t="shared" si="114"/>
        <v>2097.2513469855821</v>
      </c>
      <c r="EM8" s="16">
        <f t="shared" si="114"/>
        <v>2069.4805373542308</v>
      </c>
      <c r="EN8" s="16">
        <f t="shared" si="114"/>
        <v>2000.0452212560197</v>
      </c>
      <c r="EO8" s="16">
        <f t="shared" si="114"/>
        <v>2123.3877952178136</v>
      </c>
      <c r="EP8" s="16">
        <f t="shared" si="114"/>
        <v>2123.9678534878003</v>
      </c>
      <c r="EQ8" s="16">
        <f t="shared" si="114"/>
        <v>1254.0274184278728</v>
      </c>
      <c r="ER8" s="16">
        <f t="shared" si="114"/>
        <v>650.50939222064051</v>
      </c>
      <c r="ES8" s="16">
        <f t="shared" si="114"/>
        <v>270.68046271193117</v>
      </c>
      <c r="ET8" s="16">
        <f t="shared" si="114"/>
        <v>34.889932008287651</v>
      </c>
      <c r="EU8" s="11">
        <f t="shared" si="71"/>
        <v>35514.534688827131</v>
      </c>
      <c r="EV8" s="11">
        <f t="shared" si="41"/>
        <v>1491.2984686382456</v>
      </c>
      <c r="EW8" s="11">
        <f t="shared" si="42"/>
        <v>860.70283908150759</v>
      </c>
      <c r="EX8" s="11">
        <f t="shared" si="10"/>
        <v>10526.988612684596</v>
      </c>
      <c r="EY8" s="11">
        <f t="shared" si="43"/>
        <v>6457.4628540743461</v>
      </c>
      <c r="EZ8" s="15">
        <f t="shared" si="44"/>
        <v>0.29641353054236652</v>
      </c>
      <c r="FA8" s="15">
        <f t="shared" si="45"/>
        <v>0.18182591749134935</v>
      </c>
      <c r="FB8" s="11">
        <f t="shared" si="72"/>
        <v>7747.7065573040309</v>
      </c>
    </row>
    <row r="9" spans="1:158" x14ac:dyDescent="0.15">
      <c r="A9" s="7" t="str">
        <f t="shared" si="11"/>
        <v>2015_1</v>
      </c>
      <c r="B9" s="28">
        <v>2015</v>
      </c>
      <c r="C9" s="3" t="s">
        <v>21</v>
      </c>
      <c r="D9" s="9">
        <v>842.10093115719508</v>
      </c>
      <c r="E9" s="9">
        <v>805.65623209522232</v>
      </c>
      <c r="F9" s="9">
        <v>804.03228939833264</v>
      </c>
      <c r="G9" s="9">
        <v>819.31609093201826</v>
      </c>
      <c r="H9" s="9">
        <v>707.39000334768309</v>
      </c>
      <c r="I9" s="9">
        <v>895.79339420057158</v>
      </c>
      <c r="J9" s="9">
        <v>1039.0059872156664</v>
      </c>
      <c r="K9" s="9">
        <v>1164.8399295180557</v>
      </c>
      <c r="L9" s="9">
        <v>1312.146531491099</v>
      </c>
      <c r="M9" s="9">
        <v>990.42934020006714</v>
      </c>
      <c r="N9" s="9">
        <v>1050.619551884779</v>
      </c>
      <c r="O9" s="9">
        <v>1056.6279621192921</v>
      </c>
      <c r="P9" s="9">
        <v>1171.5767097896392</v>
      </c>
      <c r="Q9" s="9">
        <v>1272.0822347052126</v>
      </c>
      <c r="R9" s="9">
        <v>888.17295326750661</v>
      </c>
      <c r="S9" s="9">
        <v>762.63498791732889</v>
      </c>
      <c r="T9" s="9">
        <v>506.05624862985269</v>
      </c>
      <c r="U9" s="9">
        <v>282.43519068277669</v>
      </c>
      <c r="V9" s="9">
        <v>84.856709249345784</v>
      </c>
      <c r="W9" s="9">
        <v>19.046507061973433</v>
      </c>
      <c r="X9" s="9">
        <v>1.0215136381098734E-2</v>
      </c>
      <c r="Y9" s="9">
        <f t="shared" si="68"/>
        <v>16474.829999999998</v>
      </c>
      <c r="Z9" s="9">
        <f t="shared" si="12"/>
        <v>965.81311289613291</v>
      </c>
      <c r="AA9" s="9">
        <f t="shared" si="13"/>
        <v>485.47613394573671</v>
      </c>
      <c r="AB9" s="9">
        <f t="shared" si="0"/>
        <v>3815.295046650378</v>
      </c>
      <c r="AC9" s="9">
        <f t="shared" si="14"/>
        <v>1655.0398586776587</v>
      </c>
      <c r="AD9" s="13">
        <f t="shared" si="15"/>
        <v>0.23158327258310882</v>
      </c>
      <c r="AE9" s="13">
        <f t="shared" si="16"/>
        <v>0.10045869114750555</v>
      </c>
      <c r="AF9" s="9">
        <f t="shared" si="17"/>
        <v>3807.0293142819769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550.49413966330519</v>
      </c>
      <c r="BL9" s="9">
        <f>IF(管理者入力シート!$B$14=1,BK6*管理者用人口入力シート!AM$3,IF(管理者入力シート!$B$14=2,BK6*管理者用人口入力シート!AM$7))</f>
        <v>528.94013787870472</v>
      </c>
      <c r="BM9" s="9">
        <f>IF(管理者入力シート!$B$14=1,BL6*管理者用人口入力シート!AN$3,IF(管理者入力シート!$B$14=2,BL6*管理者用人口入力シート!AN$7))</f>
        <v>576.81014603207893</v>
      </c>
      <c r="BN9" s="9">
        <f>IF(管理者入力シート!$B$14=1,BM6*管理者用人口入力シート!AO$3,IF(管理者入力シート!$B$14=2,BM6*管理者用人口入力シート!AO$7))</f>
        <v>659.27801610580502</v>
      </c>
      <c r="BO9" s="9">
        <f>IF(管理者入力シート!$B$14=1,BN6*管理者用人口入力シート!AP$3,IF(管理者入力シート!$B$14=2,BN6*管理者用人口入力シート!AP$7))</f>
        <v>641.27844404803488</v>
      </c>
      <c r="BP9" s="9">
        <f>IF(管理者入力シート!$B$14=1,BO6*管理者用人口入力シート!AQ$3,IF(管理者入力シート!$B$14=2,BO6*管理者用人口入力シート!AQ$7))</f>
        <v>730.62590793456854</v>
      </c>
      <c r="BQ9" s="9">
        <f>IF(管理者入力シート!$B$14=1,BP6*管理者用人口入力シート!AR$3,IF(管理者入力シート!$B$14=2,BP6*管理者用人口入力シート!AR$7))</f>
        <v>715.77822541781939</v>
      </c>
      <c r="BR9" s="9">
        <f>IF(管理者入力シート!$B$14=1,BQ6*管理者用人口入力シート!AS$3,IF(管理者入力シート!$B$14=2,BQ6*管理者用人口入力シート!AS$7))</f>
        <v>689.72680748284063</v>
      </c>
      <c r="BS9" s="9">
        <f>IF(管理者入力シート!$B$14=1,BR6*管理者用人口入力シート!AT$3,IF(管理者入力シート!$B$14=2,BR6*管理者用人口入力シート!AT$7))</f>
        <v>705.33679373406665</v>
      </c>
      <c r="BT9" s="9">
        <f>IF(管理者入力シート!$B$14=1,BS6*管理者用人口入力シート!AU$3,IF(管理者入力シート!$B$14=2,BS6*管理者用人口入力シート!AU$7))</f>
        <v>855.52459073440491</v>
      </c>
      <c r="BU9" s="9">
        <f>IF(管理者入力シート!$B$14=1,BT6*管理者用人口入力シート!AV$3,IF(管理者入力シート!$B$14=2,BT6*管理者用人口入力シート!AV$7))</f>
        <v>1060.9304630165573</v>
      </c>
      <c r="BV9" s="9">
        <f>IF(管理者入力シート!$B$14=1,BU6*管理者用人口入力シート!AW$3,IF(管理者入力シート!$B$14=2,BU6*管理者用人口入力シート!AW$7))</f>
        <v>1195.0312253711793</v>
      </c>
      <c r="BW9" s="9">
        <f>IF(管理者入力シート!$B$14=1,BV6*管理者用人口入力シート!AX$3,IF(管理者入力シート!$B$14=2,BV6*管理者用人口入力シート!AX$7))</f>
        <v>1349.4884590737072</v>
      </c>
      <c r="BX9" s="9">
        <f>IF(管理者入力シート!$B$14=1,BW6*管理者用人口入力シート!AY$3,IF(管理者入力シート!$B$14=2,BW6*管理者用人口入力シート!AY$7))</f>
        <v>937.05101277881226</v>
      </c>
      <c r="BY9" s="9">
        <f>IF(管理者入力シート!$B$14=1,BX6*管理者用人口入力シート!AZ$3,IF(管理者入力シート!$B$14=2,BX6*管理者用人口入力シート!AZ$7))</f>
        <v>921.38892995230424</v>
      </c>
      <c r="BZ9" s="9">
        <f>IF(管理者入力シート!$B$14=1,BY6*管理者用人口入力シート!BA$3,IF(管理者入力シート!$B$14=2,BY6*管理者用人口入力シート!BA$7))</f>
        <v>858.36197429676668</v>
      </c>
      <c r="CA9" s="9">
        <f>IF(管理者入力シート!$B$14=1,BZ6*管理者用人口入力シート!BB$3,IF(管理者入力シート!$B$14=2,BZ6*管理者用人口入力シート!BB$7))</f>
        <v>781.97851756067087</v>
      </c>
      <c r="CB9" s="9">
        <f>IF(管理者入力シート!$B$14=1,CA6*管理者用人口入力シート!BC$3,IF(管理者入力シート!$B$14=2,CA6*管理者用人口入力シート!BC$7))</f>
        <v>632.28813270367812</v>
      </c>
      <c r="CC9" s="9">
        <f>IF(管理者入力シート!$B$14=1,CB6*管理者用人口入力シート!BD$3,IF(管理者入力シート!$B$14=2,CB6*管理者用人口入力シート!BD$7))</f>
        <v>212.99196984748318</v>
      </c>
      <c r="CD9" s="9">
        <f>IF(管理者入力シート!$B$14=1,CC6*管理者用人口入力シート!BE$3,IF(管理者入力シート!$B$14=2,CC6*管理者用人口入力シート!BE$7))</f>
        <v>60.842849453513161</v>
      </c>
      <c r="CE9" s="9">
        <f>IF(管理者入力シート!$B$14=1,CD6*管理者用人口入力シート!BF$3,IF(管理者入力シート!$B$14=2,CD6*管理者用人口入力シート!BF$7))</f>
        <v>0.69119151680278346</v>
      </c>
      <c r="CF9" s="9">
        <f t="shared" si="2"/>
        <v>14664.8379346031</v>
      </c>
      <c r="CG9" s="9">
        <f t="shared" si="20"/>
        <v>663.45017034647014</v>
      </c>
      <c r="CH9" s="9">
        <f t="shared" si="21"/>
        <v>362.5796616339926</v>
      </c>
      <c r="CI9" s="9">
        <f t="shared" si="3"/>
        <v>4405.5945781100309</v>
      </c>
      <c r="CJ9" s="9">
        <f t="shared" si="22"/>
        <v>2547.1546353789149</v>
      </c>
      <c r="CK9" s="13">
        <f t="shared" si="23"/>
        <v>0.30041890662252774</v>
      </c>
      <c r="CL9" s="13">
        <f t="shared" si="24"/>
        <v>0.17369129115083215</v>
      </c>
      <c r="CM9" s="9">
        <f t="shared" si="25"/>
        <v>2777.4093848832636</v>
      </c>
      <c r="CO9" s="7" t="str">
        <f t="shared" si="26"/>
        <v>2035_1</v>
      </c>
      <c r="CP9" s="28">
        <f>管理者入力シート!B10</f>
        <v>2035</v>
      </c>
      <c r="CQ9" s="3" t="s">
        <v>21</v>
      </c>
      <c r="CR9" s="9">
        <f>DT10*$AK$13+将来予測シート②!$G17</f>
        <v>552.88964924752702</v>
      </c>
      <c r="CS9" s="9">
        <f>IF(管理者入力シート!$B$14=1,CR6*管理者用人口入力シート!AM$3,IF(管理者入力シート!$B$14=2,CR6*管理者用人口入力シート!AM$7))+将来予測シート②!$G18</f>
        <v>530.6310020288081</v>
      </c>
      <c r="CT9" s="9">
        <f>IF(管理者入力シート!$B$14=1,CS6*管理者用人口入力シート!AN$3,IF(管理者入力シート!$B$14=2,CS6*管理者用人口入力シート!AN$7))+将来予測シート②!$G19</f>
        <v>578.73391120376186</v>
      </c>
      <c r="CU9" s="9">
        <f>IF(管理者入力シート!$B$14=1,CT6*管理者用人口入力シート!AO$3,IF(管理者入力シート!$B$14=2,CT6*管理者用人口入力シート!AO$7))+将来予測シート②!$G20</f>
        <v>660.26439596682087</v>
      </c>
      <c r="CV9" s="9">
        <f>IF(管理者入力シート!$B$14=1,CU6*管理者用人口入力シート!AP$3,IF(管理者入力シート!$B$14=2,CU6*管理者用人口入力シート!AP$7))+将来予測シート②!$G21</f>
        <v>642.10598970396802</v>
      </c>
      <c r="CW9" s="9">
        <f>IF(管理者入力シート!$B$14=1,CV6*管理者用人口入力シート!AQ$3,IF(管理者入力シート!$B$14=2,CV6*管理者用人口入力シート!AQ$7))+将来予測シート②!$G22</f>
        <v>732.62590793456854</v>
      </c>
      <c r="CX9" s="9">
        <f>IF(管理者入力シート!$B$14=1,CW6*管理者用人口入力シート!AR$3,IF(管理者入力シート!$B$14=2,CW6*管理者用人口入力シート!AR$7))+将来予測シート②!$G23</f>
        <v>717.72746786427081</v>
      </c>
      <c r="CY9" s="9">
        <f>IF(管理者入力シート!$B$14=1,CX6*管理者用人口入力シート!AS$3,IF(管理者入力シート!$B$14=2,CX6*管理者用人口入力シート!AS$7))+将来予測シート②!$G24</f>
        <v>691.62832340758791</v>
      </c>
      <c r="CZ9" s="9">
        <f>IF(管理者入力シート!$B$14=1,CY6*管理者用人口入力シート!AT$3,IF(管理者入力シート!$B$14=2,CY6*管理者用人口入力シート!AT$7))+将来予測シート②!$G25</f>
        <v>705.33679373406665</v>
      </c>
      <c r="DA9" s="9">
        <f>IF(管理者入力シート!$B$14=1,CZ6*管理者用人口入力シート!AU$3,IF(管理者入力シート!$B$14=2,CZ6*管理者用人口入力シート!AU$7))+将来予測シート②!$G26</f>
        <v>855.52459073440491</v>
      </c>
      <c r="DB9" s="9">
        <f>IF(管理者入力シート!$B$14=1,DA6*管理者用人口入力シート!AV$3,IF(管理者入力シート!$B$14=2,DA6*管理者用人口入力シート!AV$7))+将来予測シート②!$G27</f>
        <v>1060.9304630165573</v>
      </c>
      <c r="DC9" s="9">
        <f>IF(管理者入力シート!$B$14=1,DB6*管理者用人口入力シート!AW$3,IF(管理者入力シート!$B$14=2,DB6*管理者用人口入力シート!AW$7))+将来予測シート②!$G28</f>
        <v>1195.0312253711793</v>
      </c>
      <c r="DD9" s="9">
        <f>IF(管理者入力シート!$B$14=1,DC6*管理者用人口入力シート!AX$3,IF(管理者入力シート!$B$14=2,DC6*管理者用人口入力シート!AX$7))+将来予測シート②!$G29</f>
        <v>1349.4884590737072</v>
      </c>
      <c r="DE9" s="9">
        <f>IF(管理者入力シート!$B$14=1,DD6*管理者用人口入力シート!AY$3,IF(管理者入力シート!$B$14=2,DD6*管理者用人口入力シート!AY$7))</f>
        <v>937.05101277881226</v>
      </c>
      <c r="DF9" s="9">
        <f>IF(管理者入力シート!$B$14=1,DE6*管理者用人口入力シート!AZ$3,IF(管理者入力シート!$B$14=2,DE6*管理者用人口入力シート!AZ$7))</f>
        <v>921.38892995230424</v>
      </c>
      <c r="DG9" s="9">
        <f>IF(管理者入力シート!$B$14=1,DF6*管理者用人口入力シート!BA$3,IF(管理者入力シート!$B$14=2,DF6*管理者用人口入力シート!BA$7))</f>
        <v>858.36197429676668</v>
      </c>
      <c r="DH9" s="9">
        <f>IF(管理者入力シート!$B$14=1,DG6*管理者用人口入力シート!BB$3,IF(管理者入力シート!$B$14=2,DG6*管理者用人口入力シート!BB$7))</f>
        <v>781.97851756067087</v>
      </c>
      <c r="DI9" s="9">
        <f>IF(管理者入力シート!$B$14=1,DH6*管理者用人口入力シート!BC$3,IF(管理者入力シート!$B$14=2,DH6*管理者用人口入力シート!BC$7))</f>
        <v>632.28813270367812</v>
      </c>
      <c r="DJ9" s="9">
        <f>IF(管理者入力シート!$B$14=1,DI6*管理者用人口入力シート!BD$3,IF(管理者入力シート!$B$14=2,DI6*管理者用人口入力シート!BD$7))</f>
        <v>212.99196984748318</v>
      </c>
      <c r="DK9" s="9">
        <f>IF(管理者入力シート!$B$14=1,DJ6*管理者用人口入力シート!BE$3,IF(管理者入力シート!$B$14=2,DJ6*管理者用人口入力シート!BE$7))</f>
        <v>60.842849453513161</v>
      </c>
      <c r="DL9" s="9">
        <f>IF(管理者入力シート!$B$14=1,DK6*管理者用人口入力シート!BF$3,IF(管理者入力シート!$B$14=2,DK6*管理者用人口入力シート!BF$7))</f>
        <v>0.69119151680278346</v>
      </c>
      <c r="DM9" s="9">
        <f t="shared" si="69"/>
        <v>14678.512757397257</v>
      </c>
      <c r="DN9" s="9">
        <f t="shared" si="34"/>
        <v>665.61894793954207</v>
      </c>
      <c r="DO9" s="9">
        <f t="shared" si="35"/>
        <v>363.5464436748689</v>
      </c>
      <c r="DP9" s="9">
        <f t="shared" si="6"/>
        <v>4405.5945781100309</v>
      </c>
      <c r="DQ9" s="9">
        <f t="shared" si="36"/>
        <v>2547.1546353789149</v>
      </c>
      <c r="DR9" s="13">
        <f t="shared" si="37"/>
        <v>0.30013902981348201</v>
      </c>
      <c r="DS9" s="13">
        <f t="shared" si="38"/>
        <v>0.17352947655376549</v>
      </c>
      <c r="DT9" s="9">
        <f t="shared" si="70"/>
        <v>2784.0876889103956</v>
      </c>
      <c r="DV9" s="7" t="s">
        <v>403</v>
      </c>
      <c r="DW9" s="210">
        <f>DW7+DW8</f>
        <v>-1347.5935383857509</v>
      </c>
      <c r="DX9" s="28">
        <f>管理者入力シート!B10</f>
        <v>2035</v>
      </c>
      <c r="DY9" s="3" t="s">
        <v>21</v>
      </c>
      <c r="DZ9" s="9">
        <f>FB10*$AK$13</f>
        <v>825.28852106360284</v>
      </c>
      <c r="EA9" s="129">
        <f>IF(管理者入力シート!$B$14=1,DZ6*管理者用人口入力シート!AM$3,IF(管理者入力シート!$B$14=2,DZ6*管理者用人口入力シート!AM$7))</f>
        <v>743.73613371434533</v>
      </c>
      <c r="EB9" s="9">
        <f>IF(管理者入力シート!$B$14=1,EA6*管理者用人口入力シート!AN$3,IF(管理者入力シート!$B$14=2,EA6*管理者用人口入力シート!AN$7))</f>
        <v>576.81014603207893</v>
      </c>
      <c r="EC9" s="9">
        <f>IF(管理者入力シート!$B$14=1,EB6*管理者用人口入力シート!AO$3,IF(管理者入力シート!$B$14=2,EB6*管理者用人口入力シート!AO$7))</f>
        <v>659.27801610580502</v>
      </c>
      <c r="ED9" s="9">
        <f>IF(管理者入力シート!$B$14=1,EC6*管理者用人口入力シート!AP$3,IF(管理者入力シート!$B$14=2,EC6*管理者用人口入力シート!AP$7))</f>
        <v>641.27844404803488</v>
      </c>
      <c r="EE9" s="9">
        <f>IF(管理者入力シート!$B$14=1,ED6*管理者用人口入力シート!AQ$3,IF(管理者入力シート!$B$14=2,ED6*管理者用人口入力シート!AQ$7))+DX1</f>
        <v>955.62590793456854</v>
      </c>
      <c r="EF9" s="9">
        <f>IF(管理者入力シート!$B$14=1,EE6*管理者用人口入力シート!AR$3,IF(管理者入力シート!$B$14=2,EE6*管理者用人口入力シート!AR$7))+DX1</f>
        <v>1160.0680006436073</v>
      </c>
      <c r="EG9" s="9">
        <f>IF(管理者入力シート!$B$14=1,EF6*管理者用人口入力シート!AS$3,IF(管理者入力シート!$B$14=2,EF6*管理者用人口入力シート!AS$7))+DX1</f>
        <v>1348.1383024624404</v>
      </c>
      <c r="EH9" s="9">
        <f>IF(管理者入力シート!$B$14=1,EG6*管理者用人口入力シート!AT$3,IF(管理者入力シート!$B$14=2,EG6*管理者用人口入力シート!AT$7))</f>
        <v>1153.6941717688815</v>
      </c>
      <c r="EI9" s="9">
        <f>IF(管理者入力シート!$B$14=1,EH6*管理者用人口入力シート!AU$3,IF(管理者入力シート!$B$14=2,EH6*管理者用人口入力シート!AU$7))</f>
        <v>1083.0987341556458</v>
      </c>
      <c r="EJ9" s="9">
        <f>IF(管理者入力シート!$B$14=1,EI6*管理者用人口入力シート!AV$3,IF(管理者入力シート!$B$14=2,EI6*管理者用人口入力シート!AV$7))</f>
        <v>1060.9304630165573</v>
      </c>
      <c r="EK9" s="9">
        <f>IF(管理者入力シート!$B$14=1,EJ6*管理者用人口入力シート!AW$3,IF(管理者入力シート!$B$14=2,EJ6*管理者用人口入力シート!AW$7))</f>
        <v>1195.0312253711793</v>
      </c>
      <c r="EL9" s="9">
        <f>IF(管理者入力シート!$B$14=1,EK6*管理者用人口入力シート!AX$3,IF(管理者入力シート!$B$14=2,EK6*管理者用人口入力シート!AX$7))</f>
        <v>1349.4884590737072</v>
      </c>
      <c r="EM9" s="9">
        <f>IF(管理者入力シート!$B$14=1,EL6*管理者用人口入力シート!AY$3,IF(管理者入力シート!$B$14=2,EL6*管理者用人口入力シート!AY$7))</f>
        <v>937.05101277881226</v>
      </c>
      <c r="EN9" s="9">
        <f>IF(管理者入力シート!$B$14=1,EM6*管理者用人口入力シート!AZ$3,IF(管理者入力シート!$B$14=2,EM6*管理者用人口入力シート!AZ$7))</f>
        <v>921.38892995230424</v>
      </c>
      <c r="EO9" s="9">
        <f>IF(管理者入力シート!$B$14=1,EN6*管理者用人口入力シート!BA$3,IF(管理者入力シート!$B$14=2,EN6*管理者用人口入力シート!BA$7))</f>
        <v>858.36197429676668</v>
      </c>
      <c r="EP9" s="9">
        <f>IF(管理者入力シート!$B$14=1,EO6*管理者用人口入力シート!BB$3,IF(管理者入力シート!$B$14=2,EO6*管理者用人口入力シート!BB$7))</f>
        <v>781.97851756067087</v>
      </c>
      <c r="EQ9" s="9">
        <f>IF(管理者入力シート!$B$14=1,EP6*管理者用人口入力シート!BC$3,IF(管理者入力シート!$B$14=2,EP6*管理者用人口入力シート!BC$7))</f>
        <v>632.28813270367812</v>
      </c>
      <c r="ER9" s="9">
        <f>IF(管理者入力シート!$B$14=1,EQ6*管理者用人口入力シート!BD$3,IF(管理者入力シート!$B$14=2,EQ6*管理者用人口入力シート!BD$7))</f>
        <v>212.99196984748318</v>
      </c>
      <c r="ES9" s="9">
        <f>IF(管理者入力シート!$B$14=1,ER6*管理者用人口入力シート!BE$3,IF(管理者入力シート!$B$14=2,ER6*管理者用人口入力シート!BE$7))</f>
        <v>60.842849453513161</v>
      </c>
      <c r="ET9" s="9">
        <f>IF(管理者入力シート!$B$14=1,ES6*管理者用人口入力シート!BF$3,IF(管理者入力シート!$B$14=2,ES6*管理者用人口入力シート!BF$7))</f>
        <v>0.69119151680278346</v>
      </c>
      <c r="EU9" s="9">
        <f t="shared" si="71"/>
        <v>17158.061103500488</v>
      </c>
      <c r="EV9" s="9">
        <f t="shared" si="41"/>
        <v>792.3277678478546</v>
      </c>
      <c r="EW9" s="9">
        <f t="shared" si="42"/>
        <v>362.5796616339926</v>
      </c>
      <c r="EX9" s="9">
        <f t="shared" si="10"/>
        <v>4405.5945781100309</v>
      </c>
      <c r="EY9" s="9">
        <f t="shared" si="43"/>
        <v>2547.1546353789149</v>
      </c>
      <c r="EZ9" s="13">
        <f t="shared" si="44"/>
        <v>0.25676529250797614</v>
      </c>
      <c r="FA9" s="13">
        <f t="shared" si="45"/>
        <v>0.14845235834130813</v>
      </c>
      <c r="FB9" s="9">
        <f t="shared" si="72"/>
        <v>4105.1106550886507</v>
      </c>
    </row>
    <row r="10" spans="1:158" x14ac:dyDescent="0.15">
      <c r="A10" s="7" t="str">
        <f t="shared" si="11"/>
        <v>2015_2</v>
      </c>
      <c r="B10" s="29">
        <v>2015</v>
      </c>
      <c r="C10" s="4" t="s">
        <v>22</v>
      </c>
      <c r="D10" s="10">
        <v>788.44337138240189</v>
      </c>
      <c r="E10" s="10">
        <v>769.2626899455222</v>
      </c>
      <c r="F10" s="10">
        <v>785.65470243113612</v>
      </c>
      <c r="G10" s="10">
        <v>887.86016313797927</v>
      </c>
      <c r="H10" s="10">
        <v>773.85801103272286</v>
      </c>
      <c r="I10" s="10">
        <v>952.46581547796598</v>
      </c>
      <c r="J10" s="10">
        <v>1117.4161290804159</v>
      </c>
      <c r="K10" s="10">
        <v>1242.3528238617503</v>
      </c>
      <c r="L10" s="10">
        <v>1396.2500038760888</v>
      </c>
      <c r="M10" s="10">
        <v>1131.1680043000233</v>
      </c>
      <c r="N10" s="10">
        <v>1142.6022192860992</v>
      </c>
      <c r="O10" s="10">
        <v>1161.4988035757419</v>
      </c>
      <c r="P10" s="10">
        <v>1330.7266225863691</v>
      </c>
      <c r="Q10" s="10">
        <v>1432.2750780367714</v>
      </c>
      <c r="R10" s="10">
        <v>1092.9680718484005</v>
      </c>
      <c r="S10" s="10">
        <v>865.34829251691201</v>
      </c>
      <c r="T10" s="10">
        <v>858.38551381163506</v>
      </c>
      <c r="U10" s="10">
        <v>557.6496404357282</v>
      </c>
      <c r="V10" s="10">
        <v>279.35141915268093</v>
      </c>
      <c r="W10" s="10">
        <v>85.591559599132438</v>
      </c>
      <c r="X10" s="10">
        <v>11.961064624522033</v>
      </c>
      <c r="Y10" s="10">
        <f t="shared" si="68"/>
        <v>18663.089999999997</v>
      </c>
      <c r="Z10" s="10">
        <f t="shared" si="12"/>
        <v>932.95043542599501</v>
      </c>
      <c r="AA10" s="10">
        <f t="shared" si="13"/>
        <v>491.83391360005032</v>
      </c>
      <c r="AB10" s="10">
        <f t="shared" si="0"/>
        <v>5183.5306400257832</v>
      </c>
      <c r="AC10" s="10">
        <f t="shared" si="14"/>
        <v>2658.2874901406103</v>
      </c>
      <c r="AD10" s="14">
        <f t="shared" si="15"/>
        <v>0.27774235884978232</v>
      </c>
      <c r="AE10" s="14">
        <f t="shared" si="16"/>
        <v>0.14243555006917991</v>
      </c>
      <c r="AF10" s="10">
        <f t="shared" si="17"/>
        <v>4086.0927794528552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527.93034644767135</v>
      </c>
      <c r="BL10" s="10">
        <f>IF(管理者入力シート!$B$14=1,BK7*管理者用人口入力シート!AM$4,IF(管理者入力シート!$B$14=2,BK7*管理者用人口入力シート!AM$8))</f>
        <v>519.80986745076257</v>
      </c>
      <c r="BM10" s="10">
        <f>IF(管理者入力シート!$B$14=1,BL7*管理者用人口入力シート!AN$4,IF(管理者入力シート!$B$14=2,BL7*管理者用人口入力シート!AN$8))</f>
        <v>577.93743891545773</v>
      </c>
      <c r="BN10" s="10">
        <f>IF(管理者入力シート!$B$14=1,BM7*管理者用人口入力シート!AO$4,IF(管理者入力シート!$B$14=2,BM7*管理者用人口入力シート!AO$8))</f>
        <v>754.88431413406022</v>
      </c>
      <c r="BO10" s="10">
        <f>IF(管理者入力シート!$B$14=1,BN7*管理者用人口入力シート!AP$4,IF(管理者入力シート!$B$14=2,BN7*管理者用人口入力シート!AP$8))</f>
        <v>688.18108506739054</v>
      </c>
      <c r="BP10" s="10">
        <f>IF(管理者入力シート!$B$14=1,BO7*管理者用人口入力シート!AQ$4,IF(管理者入力シート!$B$14=2,BO7*管理者用人口入力シート!AQ$8))</f>
        <v>698.61586458562556</v>
      </c>
      <c r="BQ10" s="10">
        <f>IF(管理者入力シート!$B$14=1,BP7*管理者用人口入力シート!AR$4,IF(管理者入力シート!$B$14=2,BP7*管理者用人口入力シート!AR$8))</f>
        <v>630.55998421743072</v>
      </c>
      <c r="BR10" s="10">
        <f>IF(管理者入力シート!$B$14=1,BQ7*管理者用人口入力シート!AS$4,IF(管理者入力シート!$B$14=2,BQ7*管理者用人口入力シート!AS$8))</f>
        <v>606.59864579890018</v>
      </c>
      <c r="BS10" s="10">
        <f>IF(管理者入力シート!$B$14=1,BR7*管理者用人口入力シート!AT$4,IF(管理者入力シート!$B$14=2,BR7*管理者用人口入力シート!AT$8))</f>
        <v>718.20340412512564</v>
      </c>
      <c r="BT10" s="10">
        <f>IF(管理者入力シート!$B$14=1,BS7*管理者用人口入力シート!AU$4,IF(管理者入力シート!$B$14=2,BS7*管理者用人口入力シート!AU$8))</f>
        <v>879.29185720194835</v>
      </c>
      <c r="BU10" s="10">
        <f>IF(管理者入力シート!$B$14=1,BT7*管理者用人口入力シート!AV$4,IF(管理者入力シート!$B$14=2,BT7*管理者用人口入力シート!AV$8))</f>
        <v>1048.7384881762989</v>
      </c>
      <c r="BV10" s="10">
        <f>IF(管理者入力シート!$B$14=1,BU7*管理者用人口入力シート!AW$4,IF(管理者入力シート!$B$14=2,BU7*管理者用人口入力シート!AW$8))</f>
        <v>1213.570308457284</v>
      </c>
      <c r="BW10" s="10">
        <f>IF(管理者入力シート!$B$14=1,BV7*管理者用人口入力シート!AX$4,IF(管理者入力シート!$B$14=2,BV7*管理者用人口入力シート!AX$8))</f>
        <v>1387.8650291309309</v>
      </c>
      <c r="BX10" s="10">
        <f>IF(管理者入力シート!$B$14=1,BW7*管理者用人口入力シート!AY$4,IF(管理者入力シート!$B$14=2,BW7*管理者用人口入力シート!AY$8))</f>
        <v>1064.2761051747257</v>
      </c>
      <c r="BY10" s="10">
        <f>IF(管理者入力シート!$B$14=1,BX7*管理者用人口入力シート!AZ$4,IF(管理者入力シート!$B$14=2,BX7*管理者用人口入力シート!AZ$8))</f>
        <v>1058.8431684783977</v>
      </c>
      <c r="BZ10" s="10">
        <f>IF(管理者入力シート!$B$14=1,BY7*管理者用人口入力シート!BA$4,IF(管理者入力シート!$B$14=2,BY7*管理者用人口入力シート!BA$8))</f>
        <v>999.16912045568495</v>
      </c>
      <c r="CA10" s="10">
        <f>IF(管理者入力シート!$B$14=1,BZ7*管理者用人口入力シート!BB$4,IF(管理者入力シート!$B$14=2,BZ7*管理者用人口入力シート!BB$8))</f>
        <v>1090.5067108404917</v>
      </c>
      <c r="CB10" s="10">
        <f>IF(管理者入力シート!$B$14=1,CA7*管理者用人口入力シート!BC$4,IF(管理者入力シート!$B$14=2,CA7*管理者用人口入力シート!BC$8))</f>
        <v>1011.0259779312405</v>
      </c>
      <c r="CC10" s="10">
        <f>IF(管理者入力シート!$B$14=1,CB7*管理者用人口入力シート!BD$4,IF(管理者入力シート!$B$14=2,CB7*管理者用人口入力シート!BD$8))</f>
        <v>522.68618182627267</v>
      </c>
      <c r="CD10" s="10">
        <f>IF(管理者入力シート!$B$14=1,CC7*管理者用人口入力シート!BE$4,IF(管理者入力シート!$B$14=2,CC7*管理者用人口入力シート!BE$8))</f>
        <v>203.13101762019858</v>
      </c>
      <c r="CE10" s="10">
        <f>IF(管理者入力シート!$B$14=1,CD7*管理者用人口入力シート!BF$4,IF(管理者入力シート!$B$14=2,CD7*管理者用人口入力シート!BF$8))</f>
        <v>42.943941185713193</v>
      </c>
      <c r="CF10" s="10">
        <f t="shared" si="2"/>
        <v>16244.76885722161</v>
      </c>
      <c r="CG10" s="10">
        <f t="shared" si="20"/>
        <v>658.6483838197322</v>
      </c>
      <c r="CH10" s="10">
        <f t="shared" si="21"/>
        <v>382.15183839299516</v>
      </c>
      <c r="CI10" s="10">
        <f t="shared" si="3"/>
        <v>5992.5822235127243</v>
      </c>
      <c r="CJ10" s="10">
        <f t="shared" si="22"/>
        <v>3869.4629498596018</v>
      </c>
      <c r="CK10" s="14">
        <f t="shared" si="23"/>
        <v>0.3688930434272521</v>
      </c>
      <c r="CL10" s="14">
        <f t="shared" si="24"/>
        <v>0.23819747660733459</v>
      </c>
      <c r="CM10" s="10">
        <f t="shared" si="25"/>
        <v>2623.9555796693471</v>
      </c>
      <c r="CO10" s="7" t="str">
        <f t="shared" si="26"/>
        <v>2035_2</v>
      </c>
      <c r="CP10" s="29">
        <f>CP9</f>
        <v>2035</v>
      </c>
      <c r="CQ10" s="4" t="s">
        <v>22</v>
      </c>
      <c r="CR10" s="10">
        <f>DT10*$AK$14+将来予測シート②!$H17</f>
        <v>530.26865653162577</v>
      </c>
      <c r="CS10" s="10">
        <f>IF(管理者入力シート!$B$14=1,CR7*管理者用人口入力シート!AM$4,IF(管理者入力シート!$B$14=2,CR7*管理者用人口入力シート!AM$8))+将来予測シート②!$H18</f>
        <v>521.51047285990762</v>
      </c>
      <c r="CT10" s="10">
        <f>IF(管理者入力シート!$B$14=1,CS7*管理者用人口入力シート!AN$4,IF(管理者入力シート!$B$14=2,CS7*管理者用人口入力シート!AN$8))+将来予測シート②!$H19</f>
        <v>579.90256842681094</v>
      </c>
      <c r="CU10" s="10">
        <f>IF(管理者入力シート!$B$14=1,CT7*管理者用人口入力シート!AO$4,IF(管理者入力シート!$B$14=2,CT7*管理者用人口入力シート!AO$8))+将来予測シート②!$H20</f>
        <v>756.0115325241577</v>
      </c>
      <c r="CV10" s="10">
        <f>IF(管理者入力シート!$B$14=1,CU7*管理者用人口入力シート!AP$4,IF(管理者入力シート!$B$14=2,CU7*管理者用人口入力シート!AP$8))+将来予測シート②!$H21</f>
        <v>689.07994672536108</v>
      </c>
      <c r="CW10" s="10">
        <f>IF(管理者入力シート!$B$14=1,CV7*管理者用人口入力シート!AQ$4,IF(管理者入力シート!$B$14=2,CV7*管理者用人口入力シート!AQ$8))+将来予測シート②!$H22</f>
        <v>700.61586458562556</v>
      </c>
      <c r="CX10" s="10">
        <f>IF(管理者入力シート!$B$14=1,CW7*管理者用人口入力シート!AR$4,IF(管理者入力シート!$B$14=2,CW7*管理者用人口入力シート!AR$8))+将来予測シート②!$H23</f>
        <v>632.48952201690008</v>
      </c>
      <c r="CY10" s="10">
        <f>IF(管理者入力シート!$B$14=1,CX7*管理者用人口入力シート!AS$4,IF(管理者入力シート!$B$14=2,CX7*管理者用人口入力シート!AS$8))+将来予測シート②!$H24</f>
        <v>608.42200681658619</v>
      </c>
      <c r="CZ10" s="10">
        <f>IF(管理者入力シート!$B$14=1,CY7*管理者用人口入力シート!AT$4,IF(管理者入力シート!$B$14=2,CY7*管理者用人口入力シート!AT$8))+将来予測シート②!$H25</f>
        <v>719.20340412512564</v>
      </c>
      <c r="DA10" s="10">
        <f>IF(管理者入力シート!$B$14=1,CZ7*管理者用人口入力シート!AU$4,IF(管理者入力シート!$B$14=2,CZ7*管理者用人口入力シート!AU$8))+将来予測シート②!$H26</f>
        <v>880.29781958826982</v>
      </c>
      <c r="DB10" s="10">
        <f>IF(管理者入力シート!$B$14=1,DA7*管理者用人口入力シート!AV$4,IF(管理者入力シート!$B$14=2,DA7*管理者用人口入力シート!AV$8))+将来予測シート②!$H27</f>
        <v>1049.7573113774511</v>
      </c>
      <c r="DC10" s="10">
        <f>IF(管理者入力シート!$B$14=1,DB7*管理者用人口入力シート!AW$4,IF(管理者入力シート!$B$14=2,DB7*管理者用人口入力シート!AW$8))+将来予測シート②!$H28</f>
        <v>1213.570308457284</v>
      </c>
      <c r="DD10" s="10">
        <f>IF(管理者入力シート!$B$14=1,DC7*管理者用人口入力シート!AX$4,IF(管理者入力シート!$B$14=2,DC7*管理者用人口入力シート!AX$8))+将来予測シート②!$H29</f>
        <v>1387.8650291309309</v>
      </c>
      <c r="DE10" s="10">
        <f>IF(管理者入力シート!$B$14=1,DD7*管理者用人口入力シート!AY$4,IF(管理者入力シート!$B$14=2,DD7*管理者用人口入力シート!AY$8))</f>
        <v>1064.2761051747257</v>
      </c>
      <c r="DF10" s="10">
        <f>IF(管理者入力シート!$B$14=1,DE7*管理者用人口入力シート!AZ$4,IF(管理者入力シート!$B$14=2,DE7*管理者用人口入力シート!AZ$8))</f>
        <v>1058.8431684783977</v>
      </c>
      <c r="DG10" s="10">
        <f>IF(管理者入力シート!$B$14=1,DF7*管理者用人口入力シート!BA$4,IF(管理者入力シート!$B$14=2,DF7*管理者用人口入力シート!BA$8))</f>
        <v>999.16912045568495</v>
      </c>
      <c r="DH10" s="10">
        <f>IF(管理者入力シート!$B$14=1,DG7*管理者用人口入力シート!BB$4,IF(管理者入力シート!$B$14=2,DG7*管理者用人口入力シート!BB$8))</f>
        <v>1090.5067108404917</v>
      </c>
      <c r="DI10" s="10">
        <f>IF(管理者入力シート!$B$14=1,DH7*管理者用人口入力シート!BC$4,IF(管理者入力シート!$B$14=2,DH7*管理者用人口入力シート!BC$8))</f>
        <v>1011.0259779312405</v>
      </c>
      <c r="DJ10" s="10">
        <f>IF(管理者入力シート!$B$14=1,DI7*管理者用人口入力シート!BD$4,IF(管理者入力シート!$B$14=2,DI7*管理者用人口入力シート!BD$8))</f>
        <v>522.68618182627267</v>
      </c>
      <c r="DK10" s="10">
        <f>IF(管理者入力シート!$B$14=1,DJ7*管理者用人口入力シート!BE$4,IF(管理者入力シート!$B$14=2,DJ7*管理者用人口入力シート!BE$8))</f>
        <v>203.13101762019858</v>
      </c>
      <c r="DL10" s="10">
        <f>IF(管理者入力シート!$B$14=1,DK7*管理者用人口入力シート!BF$4,IF(管理者入力シート!$B$14=2,DK7*管理者用人口入力シート!BF$8))</f>
        <v>42.943941185713193</v>
      </c>
      <c r="DM10" s="10">
        <f t="shared" si="69"/>
        <v>16261.576666678759</v>
      </c>
      <c r="DN10" s="10">
        <f t="shared" si="34"/>
        <v>660.84782477203112</v>
      </c>
      <c r="DO10" s="10">
        <f t="shared" si="35"/>
        <v>383.16333387555591</v>
      </c>
      <c r="DP10" s="10">
        <f t="shared" si="6"/>
        <v>5992.5822235127243</v>
      </c>
      <c r="DQ10" s="10">
        <f t="shared" si="36"/>
        <v>3869.4629498596018</v>
      </c>
      <c r="DR10" s="14">
        <f t="shared" si="37"/>
        <v>0.36851175912062656</v>
      </c>
      <c r="DS10" s="14">
        <f t="shared" si="38"/>
        <v>0.23795127798329874</v>
      </c>
      <c r="DT10" s="10">
        <f t="shared" si="70"/>
        <v>2630.6073401444728</v>
      </c>
      <c r="DV10" s="62" t="s">
        <v>405</v>
      </c>
      <c r="DW10" s="210">
        <f>((SUM(BL12:BL13)*3/5+SUM(BM12:BM13)+SUM(BN12:BN13)*1/5)-(SUM(E12:E13)*3/5+SUM(F12:F13)+SUM(G12:G13)*1/5))/4</f>
        <v>-228.92316731344977</v>
      </c>
      <c r="DX10" s="29">
        <f>DX9</f>
        <v>2035</v>
      </c>
      <c r="DY10" s="4" t="s">
        <v>22</v>
      </c>
      <c r="DZ10" s="10">
        <f>FB10*$AK$14</f>
        <v>791.46138614822496</v>
      </c>
      <c r="EA10" s="10">
        <f>IF(管理者入力シート!$B$14=1,DZ7*管理者用人口入力シート!AM$4,IF(管理者入力シート!$B$14=2,DZ7*管理者用人口入力シート!AM$8))</f>
        <v>730.89817429028426</v>
      </c>
      <c r="EB10" s="10">
        <f>IF(管理者入力シート!$B$14=1,EA7*管理者用人口入力シート!AN$4,IF(管理者入力シート!$B$14=2,EA7*管理者用人口入力シート!AN$8))</f>
        <v>577.93743891545773</v>
      </c>
      <c r="EC10" s="10">
        <f>IF(管理者入力シート!$B$14=1,EB7*管理者用人口入力シート!AO$4,IF(管理者入力シート!$B$14=2,EB7*管理者用人口入力シート!AO$8))</f>
        <v>754.88431413406022</v>
      </c>
      <c r="ED10" s="10">
        <f>IF(管理者入力シート!$B$14=1,EC7*管理者用人口入力シート!AP$4,IF(管理者入力シート!$B$14=2,EC7*管理者用人口入力シート!AP$8))</f>
        <v>688.18108506739054</v>
      </c>
      <c r="EE10" s="10">
        <f>IF(管理者入力シート!$B$14=1,ED7*管理者用人口入力シート!AQ$4,IF(管理者入力シート!$B$14=2,ED7*管理者用人口入力シート!AQ$8))+DX1</f>
        <v>923.61586458562556</v>
      </c>
      <c r="EF10" s="10">
        <f>IF(管理者入力シート!$B$14=1,EE7*管理者用人口入力シート!AR$4,IF(管理者入力シート!$B$14=2,EE7*管理者用人口入力シート!AR$8))+DX1</f>
        <v>1072.632986657743</v>
      </c>
      <c r="EG10" s="10">
        <f>IF(管理者入力シート!$B$14=1,EF7*管理者用人口入力シート!AS$4,IF(管理者入力シート!$B$14=2,EF7*管理者用人口入力シート!AS$8))+DX1</f>
        <v>1249.3456730106871</v>
      </c>
      <c r="EH10" s="10">
        <f>IF(管理者入力シート!$B$14=1,EG7*管理者用人口入力シート!AT$4,IF(管理者入力シート!$B$14=2,EG7*管理者用人口入力シート!AT$8))</f>
        <v>1148.7755555696999</v>
      </c>
      <c r="EI10" s="10">
        <f>IF(管理者入力シート!$B$14=1,EH7*管理者用人口入力シート!AU$4,IF(管理者入力シート!$B$14=2,EH7*管理者用人口入力シート!AU$8))</f>
        <v>1101.9887281112192</v>
      </c>
      <c r="EJ10" s="10">
        <f>IF(管理者入力シート!$B$14=1,EI7*管理者用人口入力シート!AV$4,IF(管理者入力シート!$B$14=2,EI7*管理者用人口入力シート!AV$8))</f>
        <v>1048.7384881762989</v>
      </c>
      <c r="EK10" s="10">
        <f>IF(管理者入力シート!$B$14=1,EJ7*管理者用人口入力シート!AW$4,IF(管理者入力シート!$B$14=2,EJ7*管理者用人口入力シート!AW$8))</f>
        <v>1213.570308457284</v>
      </c>
      <c r="EL10" s="10">
        <f>IF(管理者入力シート!$B$14=1,EK7*管理者用人口入力シート!AX$4,IF(管理者入力シート!$B$14=2,EK7*管理者用人口入力シート!AX$8))</f>
        <v>1387.8650291309309</v>
      </c>
      <c r="EM10" s="10">
        <f>IF(管理者入力シート!$B$14=1,EL7*管理者用人口入力シート!AY$4,IF(管理者入力シート!$B$14=2,EL7*管理者用人口入力シート!AY$8))</f>
        <v>1064.2761051747257</v>
      </c>
      <c r="EN10" s="10">
        <f>IF(管理者入力シート!$B$14=1,EM7*管理者用人口入力シート!AZ$4,IF(管理者入力シート!$B$14=2,EM7*管理者用人口入力シート!AZ$8))</f>
        <v>1058.8431684783977</v>
      </c>
      <c r="EO10" s="10">
        <f>IF(管理者入力シート!$B$14=1,EN7*管理者用人口入力シート!BA$4,IF(管理者入力シート!$B$14=2,EN7*管理者用人口入力シート!BA$8))</f>
        <v>999.16912045568495</v>
      </c>
      <c r="EP10" s="10">
        <f>IF(管理者入力シート!$B$14=1,EO7*管理者用人口入力シート!BB$4,IF(管理者入力シート!$B$14=2,EO7*管理者用人口入力シート!BB$8))</f>
        <v>1090.5067108404917</v>
      </c>
      <c r="EQ10" s="10">
        <f>IF(管理者入力シート!$B$14=1,EP7*管理者用人口入力シート!BC$4,IF(管理者入力シート!$B$14=2,EP7*管理者用人口入力シート!BC$8))</f>
        <v>1011.0259779312405</v>
      </c>
      <c r="ER10" s="10">
        <f>IF(管理者入力シート!$B$14=1,EQ7*管理者用人口入力シート!BD$4,IF(管理者入力シート!$B$14=2,EQ7*管理者用人口入力シート!BD$8))</f>
        <v>522.68618182627267</v>
      </c>
      <c r="ES10" s="10">
        <f>IF(管理者入力シート!$B$14=1,ER7*管理者用人口入力シート!BE$4,IF(管理者入力シート!$B$14=2,ER7*管理者用人口入力シート!BE$8))</f>
        <v>203.13101762019858</v>
      </c>
      <c r="ET10" s="10">
        <f>IF(管理者入力シート!$B$14=1,ES7*管理者用人口入力シート!BF$4,IF(管理者入力シート!$B$14=2,ES7*管理者用人口入力シート!BF$8))</f>
        <v>42.943941185713193</v>
      </c>
      <c r="EU10" s="10">
        <f t="shared" si="71"/>
        <v>18682.47725576763</v>
      </c>
      <c r="EV10" s="10">
        <f t="shared" si="41"/>
        <v>785.30136792344524</v>
      </c>
      <c r="EW10" s="10">
        <f t="shared" si="42"/>
        <v>382.15183839299516</v>
      </c>
      <c r="EX10" s="10">
        <f t="shared" si="10"/>
        <v>5992.5822235127243</v>
      </c>
      <c r="EY10" s="10">
        <f t="shared" si="43"/>
        <v>3869.4629498596018</v>
      </c>
      <c r="EZ10" s="14">
        <f t="shared" si="44"/>
        <v>0.32075950857441576</v>
      </c>
      <c r="FA10" s="14">
        <f t="shared" si="45"/>
        <v>0.20711723059451478</v>
      </c>
      <c r="FB10" s="10">
        <f t="shared" si="72"/>
        <v>3933.7756093214466</v>
      </c>
    </row>
    <row r="11" spans="1:158" x14ac:dyDescent="0.15">
      <c r="A11" s="7" t="str">
        <f t="shared" si="11"/>
        <v>2015_3</v>
      </c>
      <c r="B11" s="30">
        <v>2015</v>
      </c>
      <c r="C11" s="5" t="s">
        <v>23</v>
      </c>
      <c r="D11" s="11">
        <v>1630.5443025395971</v>
      </c>
      <c r="E11" s="11">
        <v>1574.9189220407445</v>
      </c>
      <c r="F11" s="11">
        <v>1589.6869918294688</v>
      </c>
      <c r="G11" s="11">
        <v>1707.1762540699974</v>
      </c>
      <c r="H11" s="11">
        <v>1481.2480143804059</v>
      </c>
      <c r="I11" s="11">
        <v>1848.2592096785374</v>
      </c>
      <c r="J11" s="11">
        <v>2156.4221162960821</v>
      </c>
      <c r="K11" s="11">
        <v>2407.1927533798062</v>
      </c>
      <c r="L11" s="11">
        <v>2708.3965353671879</v>
      </c>
      <c r="M11" s="11">
        <v>2121.5973445000905</v>
      </c>
      <c r="N11" s="11">
        <v>2193.2217711708781</v>
      </c>
      <c r="O11" s="11">
        <v>2218.126765695034</v>
      </c>
      <c r="P11" s="11">
        <v>2502.3033323760083</v>
      </c>
      <c r="Q11" s="11">
        <v>2704.3573127419841</v>
      </c>
      <c r="R11" s="11">
        <v>1981.1410251159073</v>
      </c>
      <c r="S11" s="11">
        <v>1627.9832804342409</v>
      </c>
      <c r="T11" s="11">
        <v>1364.4417624414878</v>
      </c>
      <c r="U11" s="11">
        <v>840.08483111850489</v>
      </c>
      <c r="V11" s="11">
        <v>364.20812840202672</v>
      </c>
      <c r="W11" s="11">
        <v>104.63806666110587</v>
      </c>
      <c r="X11" s="11">
        <v>11.971279760903132</v>
      </c>
      <c r="Y11" s="11">
        <f t="shared" si="68"/>
        <v>35137.919999999991</v>
      </c>
      <c r="Z11" s="11">
        <f t="shared" si="12"/>
        <v>1898.7635483221279</v>
      </c>
      <c r="AA11" s="11">
        <f t="shared" si="13"/>
        <v>977.31004754578692</v>
      </c>
      <c r="AB11" s="11">
        <f t="shared" si="0"/>
        <v>8998.8256866761585</v>
      </c>
      <c r="AC11" s="11">
        <f t="shared" si="14"/>
        <v>4313.3273488182685</v>
      </c>
      <c r="AD11" s="15">
        <f t="shared" si="15"/>
        <v>0.25610012450014574</v>
      </c>
      <c r="AE11" s="15">
        <f t="shared" si="16"/>
        <v>0.12275420254865028</v>
      </c>
      <c r="AF11" s="11">
        <f t="shared" si="17"/>
        <v>7893.1220937348317</v>
      </c>
      <c r="BH11" s="7" t="str">
        <f t="shared" si="19"/>
        <v>2035_3</v>
      </c>
      <c r="BI11" s="30">
        <f>BI10</f>
        <v>2035</v>
      </c>
      <c r="BJ11" s="5" t="s">
        <v>23</v>
      </c>
      <c r="BK11" s="16">
        <f>BK9+BK10</f>
        <v>1078.4244861109764</v>
      </c>
      <c r="BL11" s="16">
        <f t="shared" ref="BL11" si="117">BL9+BL10</f>
        <v>1048.7500053294673</v>
      </c>
      <c r="BM11" s="16">
        <f t="shared" ref="BM11" si="118">BM9+BM10</f>
        <v>1154.7475849475368</v>
      </c>
      <c r="BN11" s="16">
        <f t="shared" ref="BN11" si="119">BN9+BN10</f>
        <v>1414.1623302398652</v>
      </c>
      <c r="BO11" s="16">
        <f t="shared" ref="BO11" si="120">BO9+BO10</f>
        <v>1329.4595291154255</v>
      </c>
      <c r="BP11" s="16">
        <f t="shared" ref="BP11" si="121">BP9+BP10</f>
        <v>1429.241772520194</v>
      </c>
      <c r="BQ11" s="16">
        <f t="shared" ref="BQ11" si="122">BQ9+BQ10</f>
        <v>1346.3382096352502</v>
      </c>
      <c r="BR11" s="16">
        <f t="shared" ref="BR11" si="123">BR9+BR10</f>
        <v>1296.3254532817409</v>
      </c>
      <c r="BS11" s="16">
        <f t="shared" ref="BS11" si="124">BS9+BS10</f>
        <v>1423.5401978591922</v>
      </c>
      <c r="BT11" s="16">
        <f t="shared" ref="BT11" si="125">BT9+BT10</f>
        <v>1734.8164479363531</v>
      </c>
      <c r="BU11" s="16">
        <f t="shared" ref="BU11" si="126">BU9+BU10</f>
        <v>2109.6689511928562</v>
      </c>
      <c r="BV11" s="16">
        <f t="shared" ref="BV11" si="127">BV9+BV10</f>
        <v>2408.6015338284633</v>
      </c>
      <c r="BW11" s="16">
        <f t="shared" ref="BW11" si="128">BW9+BW10</f>
        <v>2737.3534882046379</v>
      </c>
      <c r="BX11" s="16">
        <f t="shared" ref="BX11" si="129">BX9+BX10</f>
        <v>2001.3271179535379</v>
      </c>
      <c r="BY11" s="16">
        <f t="shared" ref="BY11" si="130">BY9+BY10</f>
        <v>1980.2320984307021</v>
      </c>
      <c r="BZ11" s="16">
        <f t="shared" ref="BZ11" si="131">BZ9+BZ10</f>
        <v>1857.5310947524517</v>
      </c>
      <c r="CA11" s="16">
        <f t="shared" ref="CA11" si="132">CA9+CA10</f>
        <v>1872.4852284011627</v>
      </c>
      <c r="CB11" s="16">
        <f t="shared" ref="CB11" si="133">CB9+CB10</f>
        <v>1643.3141106349185</v>
      </c>
      <c r="CC11" s="16">
        <f t="shared" ref="CC11" si="134">CC9+CC10</f>
        <v>735.67815167375579</v>
      </c>
      <c r="CD11" s="16">
        <f t="shared" ref="CD11" si="135">CD9+CD10</f>
        <v>263.97386707371174</v>
      </c>
      <c r="CE11" s="16">
        <f t="shared" ref="CE11" si="136">CE9+CE10</f>
        <v>43.635132702515975</v>
      </c>
      <c r="CF11" s="11">
        <f t="shared" si="2"/>
        <v>30909.606791824714</v>
      </c>
      <c r="CG11" s="11">
        <f t="shared" si="20"/>
        <v>1322.0985541662026</v>
      </c>
      <c r="CH11" s="11">
        <f t="shared" si="21"/>
        <v>744.73150002698776</v>
      </c>
      <c r="CI11" s="11">
        <f t="shared" si="3"/>
        <v>10398.176801622756</v>
      </c>
      <c r="CJ11" s="11">
        <f t="shared" si="22"/>
        <v>6416.6175852385159</v>
      </c>
      <c r="CK11" s="15">
        <f t="shared" si="23"/>
        <v>0.33640598768059937</v>
      </c>
      <c r="CL11" s="15">
        <f t="shared" si="24"/>
        <v>0.20759298649297758</v>
      </c>
      <c r="CM11" s="11">
        <f t="shared" si="25"/>
        <v>5401.3649645526111</v>
      </c>
      <c r="CO11" s="7" t="str">
        <f t="shared" si="26"/>
        <v>2035_3</v>
      </c>
      <c r="CP11" s="30">
        <f>CP10</f>
        <v>2035</v>
      </c>
      <c r="CQ11" s="5" t="s">
        <v>23</v>
      </c>
      <c r="CR11" s="16">
        <f>CR9+CR10</f>
        <v>1083.1583057791527</v>
      </c>
      <c r="CS11" s="16">
        <f t="shared" ref="CS11" si="137">CS9+CS10</f>
        <v>1052.1414748887157</v>
      </c>
      <c r="CT11" s="16">
        <f t="shared" ref="CT11" si="138">CT9+CT10</f>
        <v>1158.6364796305729</v>
      </c>
      <c r="CU11" s="16">
        <f t="shared" ref="CU11" si="139">CU9+CU10</f>
        <v>1416.2759284909785</v>
      </c>
      <c r="CV11" s="16">
        <f t="shared" ref="CV11" si="140">CV9+CV10</f>
        <v>1331.1859364293291</v>
      </c>
      <c r="CW11" s="16">
        <f t="shared" ref="CW11" si="141">CW9+CW10</f>
        <v>1433.241772520194</v>
      </c>
      <c r="CX11" s="16">
        <f t="shared" ref="CX11" si="142">CX9+CX10</f>
        <v>1350.2169898811708</v>
      </c>
      <c r="CY11" s="16">
        <f t="shared" ref="CY11" si="143">CY9+CY10</f>
        <v>1300.0503302241741</v>
      </c>
      <c r="CZ11" s="16">
        <f t="shared" ref="CZ11" si="144">CZ9+CZ10</f>
        <v>1424.5401978591922</v>
      </c>
      <c r="DA11" s="16">
        <f t="shared" ref="DA11" si="145">DA9+DA10</f>
        <v>1735.8224103226748</v>
      </c>
      <c r="DB11" s="16">
        <f t="shared" ref="DB11" si="146">DB9+DB10</f>
        <v>2110.6877743940086</v>
      </c>
      <c r="DC11" s="16">
        <f t="shared" ref="DC11" si="147">DC9+DC10</f>
        <v>2408.6015338284633</v>
      </c>
      <c r="DD11" s="16">
        <f t="shared" ref="DD11" si="148">DD9+DD10</f>
        <v>2737.3534882046379</v>
      </c>
      <c r="DE11" s="16">
        <f t="shared" ref="DE11" si="149">DE9+DE10</f>
        <v>2001.3271179535379</v>
      </c>
      <c r="DF11" s="16">
        <f t="shared" ref="DF11" si="150">DF9+DF10</f>
        <v>1980.2320984307021</v>
      </c>
      <c r="DG11" s="16">
        <f t="shared" ref="DG11" si="151">DG9+DG10</f>
        <v>1857.5310947524517</v>
      </c>
      <c r="DH11" s="16">
        <f t="shared" ref="DH11" si="152">DH9+DH10</f>
        <v>1872.4852284011627</v>
      </c>
      <c r="DI11" s="16">
        <f t="shared" ref="DI11" si="153">DI9+DI10</f>
        <v>1643.3141106349185</v>
      </c>
      <c r="DJ11" s="16">
        <f t="shared" ref="DJ11" si="154">DJ9+DJ10</f>
        <v>735.67815167375579</v>
      </c>
      <c r="DK11" s="16">
        <f t="shared" ref="DK11" si="155">DK9+DK10</f>
        <v>263.97386707371174</v>
      </c>
      <c r="DL11" s="16">
        <f t="shared" ref="DL11" si="156">DL9+DL10</f>
        <v>43.635132702515975</v>
      </c>
      <c r="DM11" s="11">
        <f t="shared" si="69"/>
        <v>30940.089424076017</v>
      </c>
      <c r="DN11" s="11">
        <f t="shared" si="34"/>
        <v>1326.4667727115732</v>
      </c>
      <c r="DO11" s="11">
        <f t="shared" si="35"/>
        <v>746.70977755042486</v>
      </c>
      <c r="DP11" s="11">
        <f t="shared" si="6"/>
        <v>10398.176801622756</v>
      </c>
      <c r="DQ11" s="11">
        <f t="shared" si="36"/>
        <v>6416.6175852385159</v>
      </c>
      <c r="DR11" s="15">
        <f t="shared" si="37"/>
        <v>0.33607455554189247</v>
      </c>
      <c r="DS11" s="15">
        <f t="shared" si="38"/>
        <v>0.20738846282213483</v>
      </c>
      <c r="DT11" s="11">
        <f t="shared" si="70"/>
        <v>5414.6950290548684</v>
      </c>
      <c r="DW11" s="211"/>
      <c r="DX11" s="30">
        <f>DX10</f>
        <v>2035</v>
      </c>
      <c r="DY11" s="5" t="s">
        <v>23</v>
      </c>
      <c r="DZ11" s="16">
        <f>DZ9+DZ10</f>
        <v>1616.7499072118278</v>
      </c>
      <c r="EA11" s="16">
        <f t="shared" ref="EA11" si="157">EA9+EA10</f>
        <v>1474.6343080046295</v>
      </c>
      <c r="EB11" s="16">
        <f t="shared" ref="EB11" si="158">EB9+EB10</f>
        <v>1154.7475849475368</v>
      </c>
      <c r="EC11" s="16">
        <f t="shared" ref="EC11" si="159">EC9+EC10</f>
        <v>1414.1623302398652</v>
      </c>
      <c r="ED11" s="16">
        <f t="shared" ref="ED11" si="160">ED9+ED10</f>
        <v>1329.4595291154255</v>
      </c>
      <c r="EE11" s="16">
        <f t="shared" ref="EE11" si="161">EE9+EE10</f>
        <v>1879.241772520194</v>
      </c>
      <c r="EF11" s="16">
        <f t="shared" ref="EF11" si="162">EF9+EF10</f>
        <v>2232.7009873013503</v>
      </c>
      <c r="EG11" s="16">
        <f t="shared" ref="EG11" si="163">EG9+EG10</f>
        <v>2597.4839754731274</v>
      </c>
      <c r="EH11" s="16">
        <f t="shared" ref="EH11" si="164">EH9+EH10</f>
        <v>2302.4697273385814</v>
      </c>
      <c r="EI11" s="16">
        <f t="shared" ref="EI11" si="165">EI9+EI10</f>
        <v>2185.0874622668653</v>
      </c>
      <c r="EJ11" s="16">
        <f t="shared" ref="EJ11" si="166">EJ9+EJ10</f>
        <v>2109.6689511928562</v>
      </c>
      <c r="EK11" s="16">
        <f t="shared" ref="EK11" si="167">EK9+EK10</f>
        <v>2408.6015338284633</v>
      </c>
      <c r="EL11" s="16">
        <f t="shared" ref="EL11" si="168">EL9+EL10</f>
        <v>2737.3534882046379</v>
      </c>
      <c r="EM11" s="16">
        <f t="shared" ref="EM11" si="169">EM9+EM10</f>
        <v>2001.3271179535379</v>
      </c>
      <c r="EN11" s="16">
        <f t="shared" ref="EN11" si="170">EN9+EN10</f>
        <v>1980.2320984307021</v>
      </c>
      <c r="EO11" s="16">
        <f t="shared" ref="EO11" si="171">EO9+EO10</f>
        <v>1857.5310947524517</v>
      </c>
      <c r="EP11" s="16">
        <f t="shared" ref="EP11" si="172">EP9+EP10</f>
        <v>1872.4852284011627</v>
      </c>
      <c r="EQ11" s="16">
        <f t="shared" ref="EQ11" si="173">EQ9+EQ10</f>
        <v>1643.3141106349185</v>
      </c>
      <c r="ER11" s="16">
        <f t="shared" ref="ER11" si="174">ER9+ER10</f>
        <v>735.67815167375579</v>
      </c>
      <c r="ES11" s="16">
        <f t="shared" ref="ES11" si="175">ES9+ES10</f>
        <v>263.97386707371174</v>
      </c>
      <c r="ET11" s="16">
        <f t="shared" ref="ET11" si="176">ET9+ET10</f>
        <v>43.635132702515975</v>
      </c>
      <c r="EU11" s="11">
        <f t="shared" si="71"/>
        <v>35840.538359268117</v>
      </c>
      <c r="EV11" s="11">
        <f t="shared" si="41"/>
        <v>1577.6291357712998</v>
      </c>
      <c r="EW11" s="11">
        <f t="shared" si="42"/>
        <v>744.73150002698776</v>
      </c>
      <c r="EX11" s="11">
        <f t="shared" si="10"/>
        <v>10398.176801622756</v>
      </c>
      <c r="EY11" s="11">
        <f t="shared" si="43"/>
        <v>6416.6175852385159</v>
      </c>
      <c r="EZ11" s="15">
        <f t="shared" si="44"/>
        <v>0.29012334294174624</v>
      </c>
      <c r="FA11" s="15">
        <f t="shared" si="45"/>
        <v>0.17903239959505862</v>
      </c>
      <c r="FB11" s="11">
        <f t="shared" si="72"/>
        <v>8038.8862644100973</v>
      </c>
    </row>
    <row r="12" spans="1:158" x14ac:dyDescent="0.15">
      <c r="A12" s="7" t="str">
        <f t="shared" si="11"/>
        <v>2020_1</v>
      </c>
      <c r="B12" s="28">
        <v>2020</v>
      </c>
      <c r="C12" s="3" t="s">
        <v>21</v>
      </c>
      <c r="D12" s="9">
        <v>723.54044624746678</v>
      </c>
      <c r="E12" s="9">
        <v>777.46684658562367</v>
      </c>
      <c r="F12" s="9">
        <v>807.44166967167223</v>
      </c>
      <c r="G12" s="9">
        <v>800.57662421369434</v>
      </c>
      <c r="H12" s="9">
        <v>663.4606778873092</v>
      </c>
      <c r="I12" s="9">
        <v>735.47035773388927</v>
      </c>
      <c r="J12" s="9">
        <v>867.077649475979</v>
      </c>
      <c r="K12" s="9">
        <v>1043.6534290575969</v>
      </c>
      <c r="L12" s="9">
        <v>1205.3018677614521</v>
      </c>
      <c r="M12" s="9">
        <v>1354.3402979482487</v>
      </c>
      <c r="N12" s="9">
        <v>1002.4443208244055</v>
      </c>
      <c r="O12" s="9">
        <v>1030.2815448723343</v>
      </c>
      <c r="P12" s="9">
        <v>1057.912492970496</v>
      </c>
      <c r="Q12" s="9">
        <v>1131.6092750676094</v>
      </c>
      <c r="R12" s="9">
        <v>1199.4485650648185</v>
      </c>
      <c r="S12" s="9">
        <v>797.70256397334117</v>
      </c>
      <c r="T12" s="9">
        <v>600.22931322635282</v>
      </c>
      <c r="U12" s="9">
        <v>384.13988120491837</v>
      </c>
      <c r="V12" s="9">
        <v>146.41570575845805</v>
      </c>
      <c r="W12" s="9">
        <v>29.222505374277727</v>
      </c>
      <c r="X12" s="9">
        <v>3.0939650800550607</v>
      </c>
      <c r="Y12" s="9">
        <f t="shared" ref="Y12:Y14" si="177">SUM(D12:X12)</f>
        <v>16360.83</v>
      </c>
      <c r="Z12" s="9">
        <f>E12*3/5+F12*3/5</f>
        <v>950.94510975437754</v>
      </c>
      <c r="AA12" s="9">
        <f>F12*2/5+G12*1/5</f>
        <v>483.09199271140773</v>
      </c>
      <c r="AB12" s="9">
        <f t="shared" ref="AB12:AB14" si="178">SUM(Q12:X12)</f>
        <v>4291.8617747498301</v>
      </c>
      <c r="AC12" s="9">
        <f>SUM(S12:X12)</f>
        <v>1960.8039346174032</v>
      </c>
      <c r="AD12" s="13">
        <f>AB12/Y12</f>
        <v>0.26232543060161556</v>
      </c>
      <c r="AE12" s="13">
        <f>AC12/Y12</f>
        <v>0.11984746095506177</v>
      </c>
      <c r="AF12" s="9">
        <f>SUM(H12:K12)</f>
        <v>3309.6621141547744</v>
      </c>
      <c r="AK12" s="61">
        <f>管理者入力シート!B5</f>
        <v>2020</v>
      </c>
      <c r="AL12" s="62"/>
      <c r="BH12" s="7" t="str">
        <f t="shared" si="19"/>
        <v>2040_1</v>
      </c>
      <c r="BI12" s="28">
        <f>管理者入力シート!B11</f>
        <v>2040</v>
      </c>
      <c r="BJ12" s="3" t="s">
        <v>21</v>
      </c>
      <c r="BK12" s="9">
        <f>CM13*$AK$13</f>
        <v>537.8567185578554</v>
      </c>
      <c r="BL12" s="9">
        <f>IF(管理者入力シート!$B$14=1,BK9*管理者用人口入力シート!AM$3,IF(管理者入力シート!$B$14=2,BK9*管理者用人口入力シート!AM$7))</f>
        <v>510.20120997328172</v>
      </c>
      <c r="BM12" s="9">
        <f>IF(管理者入力シート!$B$14=1,BL9*管理者用人口入力シート!AN$3,IF(管理者入力シート!$B$14=2,BL9*管理者用人口入力シート!AN$7))</f>
        <v>527.20476162395278</v>
      </c>
      <c r="BN12" s="9">
        <f>IF(管理者入力シート!$B$14=1,BM9*管理者用人口入力シート!AO$3,IF(管理者入力シート!$B$14=2,BM9*管理者用人口入力シート!AO$7))</f>
        <v>568.95391167564992</v>
      </c>
      <c r="BO12" s="9">
        <f>IF(管理者入力シート!$B$14=1,BN9*管理者用人口入力シート!AP$3,IF(管理者入力シート!$B$14=2,BN9*管理者用人口入力シート!AP$7))</f>
        <v>553.11617749243476</v>
      </c>
      <c r="BP12" s="9">
        <f>IF(管理者入力シート!$B$14=1,BO9*管理者用人口入力シート!AQ$3,IF(管理者入力シート!$B$14=2,BO9*管理者用人口入力シート!AQ$7))</f>
        <v>701.19464122882459</v>
      </c>
      <c r="BQ12" s="9">
        <f>IF(管理者入力シート!$B$14=1,BP9*管理者用人口入力シート!AR$3,IF(管理者入力シート!$B$14=2,BP9*管理者用人口入力シート!AR$7))</f>
        <v>712.08351611159492</v>
      </c>
      <c r="BR12" s="9">
        <f>IF(管理者入力シート!$B$14=1,BQ9*管理者用人口入力シート!AS$3,IF(管理者入力シート!$B$14=2,BQ9*管理者用人口入力シート!AS$7))</f>
        <v>698.25264512226272</v>
      </c>
      <c r="BS12" s="9">
        <f>IF(管理者入力シート!$B$14=1,BR9*管理者用人口入力シート!AT$3,IF(管理者入力シート!$B$14=2,BR9*管理者用人口入力シート!AT$7))</f>
        <v>695.72642719988175</v>
      </c>
      <c r="BT12" s="9">
        <f>IF(管理者入力シート!$B$14=1,BS9*管理者用人口入力シート!AU$3,IF(管理者入力シート!$B$14=2,BS9*管理者用人口入力シート!AU$7))</f>
        <v>707.2542136065498</v>
      </c>
      <c r="BU12" s="9">
        <f>IF(管理者入力シート!$B$14=1,BT9*管理者用人口入力シート!AV$3,IF(管理者入力シート!$B$14=2,BT9*管理者用人口入力シート!AV$7))</f>
        <v>859.85003617796724</v>
      </c>
      <c r="BV12" s="9">
        <f>IF(管理者入力シート!$B$14=1,BU9*管理者用人口入力シート!AW$3,IF(管理者入力シート!$B$14=2,BU9*管理者用人口入力シート!AW$7))</f>
        <v>1043.7611370565076</v>
      </c>
      <c r="BW12" s="9">
        <f>IF(管理者入力シート!$B$14=1,BV9*管理者用人口入力シート!AX$3,IF(管理者入力シート!$B$14=2,BV9*管理者用人口入力シート!AX$7))</f>
        <v>1204.2487595040102</v>
      </c>
      <c r="BX12" s="9">
        <f>IF(管理者入力シート!$B$14=1,BW9*管理者用人口入力シート!AY$3,IF(管理者入力シート!$B$14=2,BW9*管理者用人口入力シート!AY$7))</f>
        <v>1272.3921827940901</v>
      </c>
      <c r="BY12" s="9">
        <f>IF(管理者入力シート!$B$14=1,BX9*管理者用人口入力シート!AZ$3,IF(管理者入力シート!$B$14=2,BX9*管理者用人口入力シート!AZ$7))</f>
        <v>881.98567636982318</v>
      </c>
      <c r="BZ12" s="9">
        <f>IF(管理者入力シート!$B$14=1,BY9*管理者用人口入力シート!BA$3,IF(管理者入力シート!$B$14=2,BY9*管理者用人口入力シート!BA$7))</f>
        <v>842.39076886603755</v>
      </c>
      <c r="CA12" s="9">
        <f>IF(管理者入力シート!$B$14=1,BZ9*管理者用人口入力シート!BB$3,IF(管理者入力シート!$B$14=2,BZ9*管理者用人口入力シート!BB$7))</f>
        <v>689.28668162545921</v>
      </c>
      <c r="CB12" s="9">
        <f>IF(管理者入力シート!$B$14=1,CA9*管理者用人口入力シート!BC$3,IF(管理者入力シート!$B$14=2,CA9*管理者用人口入力シート!BC$7))</f>
        <v>561.47212195018176</v>
      </c>
      <c r="CC12" s="9">
        <f>IF(管理者入力シート!$B$14=1,CB9*管理者用人口入力シート!BD$3,IF(管理者入力シート!$B$14=2,CB9*管理者用人口入力シート!BD$7))</f>
        <v>292.80229765887344</v>
      </c>
      <c r="CD12" s="9">
        <f>IF(管理者入力シート!$B$14=1,CC9*管理者用人口入力シート!BE$3,IF(管理者入力シート!$B$14=2,CC9*管理者用人口入力シート!BE$7))</f>
        <v>64.932593440839383</v>
      </c>
      <c r="CE12" s="9">
        <f>IF(管理者入力シート!$B$14=1,CD9*管理者用人口入力シート!BF$3,IF(管理者入力シート!$B$14=2,CD9*管理者用人口入力シート!BF$7))</f>
        <v>0.77546031637175461</v>
      </c>
      <c r="CF12" s="9">
        <f t="shared" si="2"/>
        <v>13925.741938352448</v>
      </c>
      <c r="CG12" s="9">
        <f t="shared" si="20"/>
        <v>622.44358295834058</v>
      </c>
      <c r="CH12" s="9">
        <f t="shared" si="21"/>
        <v>324.67268698471111</v>
      </c>
      <c r="CI12" s="9">
        <f t="shared" si="3"/>
        <v>4606.0377830216776</v>
      </c>
      <c r="CJ12" s="9">
        <f t="shared" si="22"/>
        <v>2451.6599238577633</v>
      </c>
      <c r="CK12" s="13">
        <f t="shared" si="23"/>
        <v>0.33075708306329688</v>
      </c>
      <c r="CL12" s="13">
        <f t="shared" si="24"/>
        <v>0.17605237370554194</v>
      </c>
      <c r="CM12" s="9">
        <f t="shared" si="25"/>
        <v>2664.6469799551169</v>
      </c>
      <c r="CO12" s="7" t="str">
        <f t="shared" si="26"/>
        <v>2040_1</v>
      </c>
      <c r="CP12" s="28">
        <f>管理者入力シート!B11</f>
        <v>2040</v>
      </c>
      <c r="CQ12" s="3" t="s">
        <v>21</v>
      </c>
      <c r="CR12" s="9">
        <f>DT13*$AK$13+将来予測シート②!$G17</f>
        <v>540.44182357688953</v>
      </c>
      <c r="CS12" s="9">
        <f>IF(管理者入力シート!$B$14=1,CR9*管理者用人口入力シート!AM$3,IF(管理者入力シート!$B$14=2,CR9*管理者用人口入力シート!AM$7))+将来予測シート②!$G18</f>
        <v>512.42138236080268</v>
      </c>
      <c r="CT12" s="9">
        <f>IF(管理者入力シート!$B$14=1,CS9*管理者用人口入力シート!AN$3,IF(管理者入力シート!$B$14=2,CS9*管理者用人口入力シート!AN$7))+将来予測シート②!$G19</f>
        <v>529.89007829280831</v>
      </c>
      <c r="CU12" s="9">
        <f>IF(管理者入力シート!$B$14=1,CT9*管理者用人口入力シート!AO$3,IF(管理者入力シート!$B$14=2,CT9*管理者用人口入力シート!AO$7))+将来予測シート②!$G20</f>
        <v>570.85147489832173</v>
      </c>
      <c r="CV12" s="9">
        <f>IF(管理者入力シート!$B$14=1,CU9*管理者用人口入力シート!AP$3,IF(管理者入力シート!$B$14=2,CU9*管理者用人口入力シート!AP$7))+将来予測シート②!$G21</f>
        <v>553.94372314836801</v>
      </c>
      <c r="CW12" s="9">
        <f>IF(管理者入力シート!$B$14=1,CV9*管理者用人口入力シート!AQ$3,IF(管理者入力シート!$B$14=2,CV9*管理者用人口入力シート!AQ$7))+将来予測シート②!$G22</f>
        <v>704.09950647838707</v>
      </c>
      <c r="CX12" s="9">
        <f>IF(管理者入力シート!$B$14=1,CW9*管理者用人口入力シート!AR$3,IF(管理者入力シート!$B$14=2,CW9*管理者用人口入力シート!AR$7))+将来予測シート②!$G23</f>
        <v>714.03275855804645</v>
      </c>
      <c r="CY12" s="9">
        <f>IF(管理者入力シート!$B$14=1,CX9*管理者用人口入力シート!AS$3,IF(管理者入力シート!$B$14=2,CX9*管理者用人口入力シート!AS$7))+将来予測シート②!$G24</f>
        <v>700.15416104700989</v>
      </c>
      <c r="CZ12" s="9">
        <f>IF(管理者入力シート!$B$14=1,CY9*管理者用人口入力シート!AT$3,IF(管理者入力シート!$B$14=2,CY9*管理者用人口入力シート!AT$7))+将来予測シート②!$G25</f>
        <v>697.64448354659123</v>
      </c>
      <c r="DA12" s="9">
        <f>IF(管理者入力シート!$B$14=1,CZ9*管理者用人口入力シート!AU$3,IF(管理者入力シート!$B$14=2,CZ9*管理者用人口入力シート!AU$7))+将来予測シート②!$G26</f>
        <v>707.2542136065498</v>
      </c>
      <c r="DB12" s="9">
        <f>IF(管理者入力シート!$B$14=1,DA9*管理者用人口入力シート!AV$3,IF(管理者入力シート!$B$14=2,DA9*管理者用人口入力シート!AV$7))+将来予測シート②!$G27</f>
        <v>859.85003617796724</v>
      </c>
      <c r="DC12" s="9">
        <f>IF(管理者入力シート!$B$14=1,DB9*管理者用人口入力シート!AW$3,IF(管理者入力シート!$B$14=2,DB9*管理者用人口入力シート!AW$7))+将来予測シート②!$G28</f>
        <v>1043.7611370565076</v>
      </c>
      <c r="DD12" s="9">
        <f>IF(管理者入力シート!$B$14=1,DC9*管理者用人口入力シート!AX$3,IF(管理者入力シート!$B$14=2,DC9*管理者用人口入力シート!AX$7))+将来予測シート②!$G29</f>
        <v>1204.2487595040102</v>
      </c>
      <c r="DE12" s="9">
        <f>IF(管理者入力シート!$B$14=1,DD9*管理者用人口入力シート!AY$3,IF(管理者入力シート!$B$14=2,DD9*管理者用人口入力シート!AY$7))</f>
        <v>1272.3921827940901</v>
      </c>
      <c r="DF12" s="9">
        <f>IF(管理者入力シート!$B$14=1,DE9*管理者用人口入力シート!AZ$3,IF(管理者入力シート!$B$14=2,DE9*管理者用人口入力シート!AZ$7))</f>
        <v>881.98567636982318</v>
      </c>
      <c r="DG12" s="9">
        <f>IF(管理者入力シート!$B$14=1,DF9*管理者用人口入力シート!BA$3,IF(管理者入力シート!$B$14=2,DF9*管理者用人口入力シート!BA$7))</f>
        <v>842.39076886603755</v>
      </c>
      <c r="DH12" s="9">
        <f>IF(管理者入力シート!$B$14=1,DG9*管理者用人口入力シート!BB$3,IF(管理者入力シート!$B$14=2,DG9*管理者用人口入力シート!BB$7))</f>
        <v>689.28668162545921</v>
      </c>
      <c r="DI12" s="9">
        <f>IF(管理者入力シート!$B$14=1,DH9*管理者用人口入力シート!BC$3,IF(管理者入力シート!$B$14=2,DH9*管理者用人口入力シート!BC$7))</f>
        <v>561.47212195018176</v>
      </c>
      <c r="DJ12" s="9">
        <f>IF(管理者入力シート!$B$14=1,DI9*管理者用人口入力シート!BD$3,IF(管理者入力シート!$B$14=2,DI9*管理者用人口入力シート!BD$7))</f>
        <v>292.80229765887344</v>
      </c>
      <c r="DK12" s="9">
        <f>IF(管理者入力シート!$B$14=1,DJ9*管理者用人口入力シート!BE$3,IF(管理者入力シート!$B$14=2,DJ9*管理者用人口入力シート!BE$7))</f>
        <v>64.932593440839383</v>
      </c>
      <c r="DL12" s="9">
        <f>IF(管理者入力シート!$B$14=1,DK9*管理者用人口入力シート!BF$3,IF(管理者入力シート!$B$14=2,DK9*管理者用人口入力シート!BF$7))</f>
        <v>0.77546031637175461</v>
      </c>
      <c r="DM12" s="9">
        <f t="shared" si="69"/>
        <v>13944.631321273935</v>
      </c>
      <c r="DN12" s="9">
        <f t="shared" si="34"/>
        <v>625.38687639216664</v>
      </c>
      <c r="DO12" s="9">
        <f t="shared" si="35"/>
        <v>326.12632629678768</v>
      </c>
      <c r="DP12" s="9">
        <f t="shared" si="6"/>
        <v>4606.0377830216776</v>
      </c>
      <c r="DQ12" s="9">
        <f t="shared" si="36"/>
        <v>2451.6599238577633</v>
      </c>
      <c r="DR12" s="13">
        <f t="shared" si="37"/>
        <v>0.33030903986645416</v>
      </c>
      <c r="DS12" s="13">
        <f t="shared" si="38"/>
        <v>0.17581389334528408</v>
      </c>
      <c r="DT12" s="9">
        <f t="shared" si="70"/>
        <v>2672.2301492318111</v>
      </c>
      <c r="DV12" s="212"/>
      <c r="DX12" s="28">
        <f>管理者入力シート!B11</f>
        <v>2040</v>
      </c>
      <c r="DY12" s="3" t="s">
        <v>21</v>
      </c>
      <c r="DZ12" s="9">
        <f>FB13*$AK$13</f>
        <v>812.65109995815283</v>
      </c>
      <c r="EA12" s="129">
        <f>IF(管理者入力シート!$B$14=1,DZ9*管理者用人口入力シート!AM$3,IF(管理者入力シート!$B$14=2,DZ9*管理者用人口入力シート!AM$7))</f>
        <v>764.88226065629374</v>
      </c>
      <c r="EB12" s="9">
        <f>IF(管理者入力シート!$B$14=1,EA9*管理者用人口入力シート!AN$3,IF(管理者入力シート!$B$14=2,EA9*管理者用人口入力シート!AN$7))</f>
        <v>741.29604279701573</v>
      </c>
      <c r="EC12" s="9">
        <f>IF(管理者入力シート!$B$14=1,EB9*管理者用人口入力シート!AO$3,IF(管理者入力シート!$B$14=2,EB9*管理者用人口入力シート!AO$7))</f>
        <v>568.95391167564992</v>
      </c>
      <c r="ED12" s="9">
        <f>IF(管理者入力シート!$B$14=1,EC9*管理者用人口入力シート!AP$3,IF(管理者入力シート!$B$14=2,EC9*管理者用人口入力シート!AP$7))</f>
        <v>553.11617749243476</v>
      </c>
      <c r="EE12" s="9">
        <f>IF(管理者入力シート!$B$14=1,ED9*管理者用人口入力シート!AQ$3,IF(管理者入力シート!$B$14=2,ED9*管理者用人口入力シート!AQ$7))+DX1</f>
        <v>926.19464122882459</v>
      </c>
      <c r="EF12" s="9">
        <f>IF(管理者入力シート!$B$14=1,EE9*管理者用人口入力シート!AR$3,IF(管理者入力シート!$B$14=2,EE9*管理者用人口入力シート!AR$7))+DX1</f>
        <v>1156.3732913373829</v>
      </c>
      <c r="EG12" s="9">
        <f>IF(管理者入力シート!$B$14=1,EF9*管理者用人口入力シート!AS$3,IF(管理者入力シート!$B$14=2,EF9*管理者用人口入力シート!AS$7))+DX1</f>
        <v>1356.6641401018624</v>
      </c>
      <c r="EH12" s="9">
        <f>IF(管理者入力シート!$B$14=1,EG9*管理者用人口入力シート!AT$3,IF(管理者入力シート!$B$14=2,EG9*管理者用人口入力シート!AT$7))</f>
        <v>1359.8651442395062</v>
      </c>
      <c r="EI12" s="9">
        <f>IF(管理者入力シート!$B$14=1,EH9*管理者用人口入力シート!AU$3,IF(管理者入力シート!$B$14=2,EH9*管理者用人口入力シート!AU$7))</f>
        <v>1156.8304268903628</v>
      </c>
      <c r="EJ12" s="9">
        <f>IF(管理者入力シート!$B$14=1,EI9*管理者用人口入力シート!AV$3,IF(管理者入力シート!$B$14=2,EI9*管理者用人口入力シート!AV$7))</f>
        <v>1088.5747713558858</v>
      </c>
      <c r="EK12" s="9">
        <f>IF(管理者入力シート!$B$14=1,EJ9*管理者用人口入力シート!AW$3,IF(管理者入力シート!$B$14=2,EJ9*管理者用人口入力シート!AW$7))</f>
        <v>1043.7611370565076</v>
      </c>
      <c r="EL12" s="9">
        <f>IF(管理者入力シート!$B$14=1,EK9*管理者用人口入力シート!AX$3,IF(管理者入力シート!$B$14=2,EK9*管理者用人口入力シート!AX$7))</f>
        <v>1204.2487595040102</v>
      </c>
      <c r="EM12" s="9">
        <f>IF(管理者入力シート!$B$14=1,EL9*管理者用人口入力シート!AY$3,IF(管理者入力シート!$B$14=2,EL9*管理者用人口入力シート!AY$7))</f>
        <v>1272.3921827940901</v>
      </c>
      <c r="EN12" s="9">
        <f>IF(管理者入力シート!$B$14=1,EM9*管理者用人口入力シート!AZ$3,IF(管理者入力シート!$B$14=2,EM9*管理者用人口入力シート!AZ$7))</f>
        <v>881.98567636982318</v>
      </c>
      <c r="EO12" s="9">
        <f>IF(管理者入力シート!$B$14=1,EN9*管理者用人口入力シート!BA$3,IF(管理者入力シート!$B$14=2,EN9*管理者用人口入力シート!BA$7))</f>
        <v>842.39076886603755</v>
      </c>
      <c r="EP12" s="9">
        <f>IF(管理者入力シート!$B$14=1,EO9*管理者用人口入力シート!BB$3,IF(管理者入力シート!$B$14=2,EO9*管理者用人口入力シート!BB$7))</f>
        <v>689.28668162545921</v>
      </c>
      <c r="EQ12" s="9">
        <f>IF(管理者入力シート!$B$14=1,EP9*管理者用人口入力シート!BC$3,IF(管理者入力シート!$B$14=2,EP9*管理者用人口入力シート!BC$7))</f>
        <v>561.47212195018176</v>
      </c>
      <c r="ER12" s="9">
        <f>IF(管理者入力シート!$B$14=1,EQ9*管理者用人口入力シート!BD$3,IF(管理者入力シート!$B$14=2,EQ9*管理者用人口入力シート!BD$7))</f>
        <v>292.80229765887344</v>
      </c>
      <c r="ES12" s="9">
        <f>IF(管理者入力シート!$B$14=1,ER9*管理者用人口入力シート!BE$3,IF(管理者入力シート!$B$14=2,ER9*管理者用人口入力シート!BE$7))</f>
        <v>64.932593440839383</v>
      </c>
      <c r="ET12" s="9">
        <f>IF(管理者入力シート!$B$14=1,ES9*管理者用人口入力シート!BF$3,IF(管理者入力シート!$B$14=2,ES9*管理者用人口入力シート!BF$7))</f>
        <v>0.77546031637175461</v>
      </c>
      <c r="EU12" s="9">
        <f t="shared" si="71"/>
        <v>17339.449587315565</v>
      </c>
      <c r="EV12" s="9">
        <f t="shared" si="41"/>
        <v>903.70698207198575</v>
      </c>
      <c r="EW12" s="9">
        <f t="shared" si="42"/>
        <v>410.30919945393623</v>
      </c>
      <c r="EX12" s="9">
        <f t="shared" si="10"/>
        <v>4606.0377830216776</v>
      </c>
      <c r="EY12" s="9">
        <f t="shared" si="43"/>
        <v>2451.6599238577633</v>
      </c>
      <c r="EZ12" s="13">
        <f t="shared" si="44"/>
        <v>0.2656392153526696</v>
      </c>
      <c r="FA12" s="13">
        <f t="shared" si="45"/>
        <v>0.14139202697940548</v>
      </c>
      <c r="FB12" s="9">
        <f t="shared" si="72"/>
        <v>3992.3482501605044</v>
      </c>
    </row>
    <row r="13" spans="1:158" x14ac:dyDescent="0.15">
      <c r="A13" s="7" t="str">
        <f t="shared" si="11"/>
        <v>2020_2</v>
      </c>
      <c r="B13" s="29">
        <v>2020</v>
      </c>
      <c r="C13" s="4" t="s">
        <v>22</v>
      </c>
      <c r="D13" s="10">
        <v>693.88378719154912</v>
      </c>
      <c r="E13" s="10">
        <v>753.40263261004191</v>
      </c>
      <c r="F13" s="10">
        <v>773.04858401200067</v>
      </c>
      <c r="G13" s="10">
        <v>815.22881613406184</v>
      </c>
      <c r="H13" s="10">
        <v>661.78964475336386</v>
      </c>
      <c r="I13" s="10">
        <v>800.67254159606023</v>
      </c>
      <c r="J13" s="10">
        <v>940.1173760494695</v>
      </c>
      <c r="K13" s="10">
        <v>1046.2091789466162</v>
      </c>
      <c r="L13" s="10">
        <v>1204.940794375902</v>
      </c>
      <c r="M13" s="10">
        <v>1407.8007400985759</v>
      </c>
      <c r="N13" s="10">
        <v>1133.5822562928734</v>
      </c>
      <c r="O13" s="10">
        <v>1148.2888991389029</v>
      </c>
      <c r="P13" s="10">
        <v>1133.1832206270587</v>
      </c>
      <c r="Q13" s="10">
        <v>1257.5326975296452</v>
      </c>
      <c r="R13" s="10">
        <v>1392.0924565055207</v>
      </c>
      <c r="S13" s="10">
        <v>1029.4838127484995</v>
      </c>
      <c r="T13" s="10">
        <v>842.50530247268262</v>
      </c>
      <c r="U13" s="10">
        <v>729.9910044638209</v>
      </c>
      <c r="V13" s="10">
        <v>384.0167215072197</v>
      </c>
      <c r="W13" s="10">
        <v>139.35552881752227</v>
      </c>
      <c r="X13" s="10">
        <v>15.014004128613301</v>
      </c>
      <c r="Y13" s="10">
        <f t="shared" si="177"/>
        <v>18302.140000000003</v>
      </c>
      <c r="Z13" s="10">
        <f t="shared" ref="Z13:Z14" si="179">E13*3/5+F13*3/5</f>
        <v>915.87072997322548</v>
      </c>
      <c r="AA13" s="10">
        <f t="shared" ref="AA13:AA14" si="180">F13*2/5+G13*1/5</f>
        <v>472.26519683161263</v>
      </c>
      <c r="AB13" s="10">
        <f t="shared" si="178"/>
        <v>5789.9915281735239</v>
      </c>
      <c r="AC13" s="10">
        <f t="shared" ref="AC13:AC14" si="181">SUM(S13:X13)</f>
        <v>3140.366374138358</v>
      </c>
      <c r="AD13" s="14">
        <f t="shared" ref="AD13:AD14" si="182">AB13/Y13</f>
        <v>0.31635598504729628</v>
      </c>
      <c r="AE13" s="14">
        <f t="shared" ref="AE13:AE14" si="183">AC13/Y13</f>
        <v>0.17158465480749013</v>
      </c>
      <c r="AF13" s="10">
        <f t="shared" ref="AF13:AF14" si="184">SUM(H13:K13)</f>
        <v>3448.7887413455096</v>
      </c>
      <c r="AI13" s="60" t="s">
        <v>47</v>
      </c>
      <c r="AJ13" s="1" t="s">
        <v>21</v>
      </c>
      <c r="AK13" s="8">
        <f>VLOOKUP(AK12&amp;"_1",A:D,4,FALSE)/VLOOKUP(AK12&amp;"_2",A:AF,32,FALSE)</f>
        <v>0.20979552547634009</v>
      </c>
      <c r="AL13" s="63"/>
      <c r="BH13" s="7" t="str">
        <f t="shared" si="19"/>
        <v>2040_2</v>
      </c>
      <c r="BI13" s="29">
        <f>BI12</f>
        <v>2040</v>
      </c>
      <c r="BJ13" s="4" t="s">
        <v>22</v>
      </c>
      <c r="BK13" s="10">
        <f>CM13*$AK$14</f>
        <v>515.81091115906713</v>
      </c>
      <c r="BL13" s="10">
        <f>IF(管理者入力シート!$B$14=1,BK10*管理者用人口入力シート!AM$4,IF(管理者入力シート!$B$14=2,BK10*管理者用人口入力シート!AM$8))</f>
        <v>501.39440049498972</v>
      </c>
      <c r="BM13" s="10">
        <f>IF(管理者入力シート!$B$14=1,BL10*管理者用人口入力シート!AN$4,IF(管理者入力シート!$B$14=2,BL10*管理者用人口入力シート!AN$8))</f>
        <v>528.23510788251008</v>
      </c>
      <c r="BN13" s="10">
        <f>IF(管理者入力シート!$B$14=1,BM10*管理者用人口入力シート!AO$4,IF(管理者入力シート!$B$14=2,BM10*管理者用人口入力シート!AO$8))</f>
        <v>651.46170947134351</v>
      </c>
      <c r="BO13" s="10">
        <f>IF(管理者入力シート!$B$14=1,BN10*管理者用人口入力シート!AP$4,IF(管理者入力シート!$B$14=2,BN10*管理者用人口入力シート!AP$8))</f>
        <v>601.95661474240273</v>
      </c>
      <c r="BP13" s="10">
        <f>IF(管理者入力シート!$B$14=1,BO10*管理者用人口入力シート!AQ$4,IF(管理者入力シート!$B$14=2,BO10*管理者用人口入力シート!AQ$8))</f>
        <v>691.89713270776326</v>
      </c>
      <c r="BQ13" s="10">
        <f>IF(管理者入力シート!$B$14=1,BP10*管理者用人口入力シート!AR$4,IF(管理者入力シート!$B$14=2,BP10*管理者用人口入力シート!AR$8))</f>
        <v>674.00285901349514</v>
      </c>
      <c r="BR13" s="10">
        <f>IF(管理者入力シート!$B$14=1,BQ10*管理者用人口入力シート!AS$4,IF(管理者入力シート!$B$14=2,BQ10*管理者用人口入力シート!AS$8))</f>
        <v>595.86212555721181</v>
      </c>
      <c r="BS13" s="10">
        <f>IF(管理者入力シート!$B$14=1,BR10*管理者用人口入力シート!AT$4,IF(管理者入力シート!$B$14=2,BR10*管理者用人口入力シート!AT$8))</f>
        <v>596.83088731327041</v>
      </c>
      <c r="BT13" s="10">
        <f>IF(管理者入力シート!$B$14=1,BS10*管理者用人口入力シート!AU$4,IF(管理者入力シート!$B$14=2,BS10*管理者用人口入力シート!AU$8))</f>
        <v>722.48561027797984</v>
      </c>
      <c r="BU13" s="10">
        <f>IF(管理者入力シート!$B$14=1,BT10*管理者用人口入力シート!AV$4,IF(管理者入力シート!$B$14=2,BT10*管理者用人口入力シート!AV$8))</f>
        <v>890.53324148359241</v>
      </c>
      <c r="BV13" s="10">
        <f>IF(管理者入力シート!$B$14=1,BU10*管理者用人口入力シート!AW$4,IF(管理者入力シート!$B$14=2,BU10*管理者用人口入力シート!AW$8))</f>
        <v>1036.7346516965388</v>
      </c>
      <c r="BW13" s="10">
        <f>IF(管理者入力シート!$B$14=1,BV10*管理者用人口入力シート!AX$4,IF(管理者入力シート!$B$14=2,BV10*管理者用人口入力シート!AX$8))</f>
        <v>1194.9603468317055</v>
      </c>
      <c r="BX13" s="10">
        <f>IF(管理者入力シート!$B$14=1,BW10*管理者用人口入力シート!AY$4,IF(管理者入力シート!$B$14=2,BW10*管理者用人口入力シート!AY$8))</f>
        <v>1338.6268918408375</v>
      </c>
      <c r="BY13" s="10">
        <f>IF(管理者入力シート!$B$14=1,BX10*管理者用人口入力シート!AZ$4,IF(管理者入力シート!$B$14=2,BX10*管理者用人口入力シート!AZ$8))</f>
        <v>1033.3178218893436</v>
      </c>
      <c r="BZ13" s="10">
        <f>IF(管理者入力シート!$B$14=1,BY10*管理者用人口入力シート!BA$4,IF(管理者入力シート!$B$14=2,BY10*管理者用人口入力シート!BA$8))</f>
        <v>996.96195723739186</v>
      </c>
      <c r="CA13" s="10">
        <f>IF(管理者入力シート!$B$14=1,BZ10*管理者用人口入力シート!BB$4,IF(管理者入力シート!$B$14=2,BZ10*管理者用人口入力シート!BB$8))</f>
        <v>947.81047518357764</v>
      </c>
      <c r="CB13" s="10">
        <f>IF(管理者入力シート!$B$14=1,CA10*管理者用人口入力シート!BC$4,IF(管理者入力シート!$B$14=2,CA10*管理者用人口入力シート!BC$8))</f>
        <v>886.73352647524462</v>
      </c>
      <c r="CC13" s="10">
        <f>IF(管理者入力シート!$B$14=1,CB10*管理者用人口入力シート!BD$4,IF(管理者入力シート!$B$14=2,CB10*管理者用人口入力シート!BD$8))</f>
        <v>665.48232348239594</v>
      </c>
      <c r="CD13" s="10">
        <f>IF(管理者入力シート!$B$14=1,CC10*管理者用人口入力シート!BE$4,IF(管理者入力シート!$B$14=2,CC10*管理者用人口入力シート!BE$8))</f>
        <v>235.45375679081607</v>
      </c>
      <c r="CE13" s="10">
        <f>IF(管理者入力シート!$B$14=1,CD10*管理者用人口入力シート!BF$4,IF(管理者入力シート!$B$14=2,CD10*管理者用人口入力シート!BF$8))</f>
        <v>40.301556573077121</v>
      </c>
      <c r="CF13" s="10">
        <f t="shared" si="2"/>
        <v>15346.853908104551</v>
      </c>
      <c r="CG13" s="10">
        <f t="shared" si="20"/>
        <v>617.77770502649992</v>
      </c>
      <c r="CH13" s="10">
        <f t="shared" si="21"/>
        <v>341.58638504727276</v>
      </c>
      <c r="CI13" s="10">
        <f t="shared" si="3"/>
        <v>6144.6883094726854</v>
      </c>
      <c r="CJ13" s="10">
        <f t="shared" si="22"/>
        <v>3772.7435957425032</v>
      </c>
      <c r="CK13" s="14">
        <f t="shared" si="23"/>
        <v>0.40038748959666087</v>
      </c>
      <c r="CL13" s="14">
        <f t="shared" si="24"/>
        <v>0.24583172670654976</v>
      </c>
      <c r="CM13" s="10">
        <f t="shared" si="25"/>
        <v>2563.7187320208732</v>
      </c>
      <c r="CO13" s="7" t="str">
        <f t="shared" si="26"/>
        <v>2040_2</v>
      </c>
      <c r="CP13" s="29">
        <f>CP12</f>
        <v>2040</v>
      </c>
      <c r="CQ13" s="4" t="s">
        <v>22</v>
      </c>
      <c r="CR13" s="10">
        <f>DT13*$AK$14+将来予測シート②!$H17</f>
        <v>518.33104549213465</v>
      </c>
      <c r="CS13" s="10">
        <f>IF(管理者入力シート!$B$14=1,CR10*管理者用人口入力シート!AM$4,IF(管理者入力シート!$B$14=2,CR10*管理者用人口入力シート!AM$8))+将来予測シート②!$H18</f>
        <v>503.6151775171947</v>
      </c>
      <c r="CT13" s="10">
        <f>IF(管理者入力シート!$B$14=1,CS10*管理者用人口入力シート!AN$4,IF(管理者入力シート!$B$14=2,CS10*管理者用人口入力シート!AN$8))+将来予測シート②!$H19</f>
        <v>530.96327723445188</v>
      </c>
      <c r="CU13" s="10">
        <f>IF(管理者入力シート!$B$14=1,CT10*管理者用人口入力シート!AO$4,IF(管理者入力シート!$B$14=2,CT10*管理者用人口入力シート!AO$8))+将来予測シート②!$H20</f>
        <v>653.67683959546412</v>
      </c>
      <c r="CV13" s="10">
        <f>IF(管理者入力シート!$B$14=1,CU10*管理者用人口入力シート!AP$4,IF(管理者入力シート!$B$14=2,CU10*管理者用人口入力シート!AP$8))+将来予測シート②!$H21</f>
        <v>602.85547640037316</v>
      </c>
      <c r="CW13" s="10">
        <f>IF(管理者入力シート!$B$14=1,CV10*管理者用人口入力シート!AQ$4,IF(管理者入力シート!$B$14=2,CV10*管理者用人口入力シート!AQ$8))+将来予測シート②!$H22</f>
        <v>694.80084804860246</v>
      </c>
      <c r="CX13" s="10">
        <f>IF(管理者入力シート!$B$14=1,CW10*管理者用人口入力シート!AR$4,IF(管理者入力シート!$B$14=2,CW10*管理者用人口入力シート!AR$8))+将来予測シート②!$H23</f>
        <v>675.93239681296461</v>
      </c>
      <c r="CY13" s="10">
        <f>IF(管理者入力シート!$B$14=1,CX10*管理者用人口入力シート!AS$4,IF(管理者入力シート!$B$14=2,CX10*管理者用人口入力シート!AS$8))+将来予測シート②!$H24</f>
        <v>597.68548657489794</v>
      </c>
      <c r="CZ13" s="10">
        <f>IF(管理者入力シート!$B$14=1,CY10*管理者用人口入力シート!AT$4,IF(管理者入力シート!$B$14=2,CY10*管理者用人口入力シート!AT$8))+将来予測シート②!$H25</f>
        <v>599.62488764877196</v>
      </c>
      <c r="DA13" s="10">
        <f>IF(管理者入力シート!$B$14=1,CZ10*管理者用人口入力シート!AU$4,IF(管理者入力シート!$B$14=2,CZ10*管理者用人口入力シート!AU$8))+将来予測シート②!$H26</f>
        <v>723.49157266430143</v>
      </c>
      <c r="DB13" s="10">
        <f>IF(管理者入力シート!$B$14=1,DA10*管理者用人口入力シート!AV$4,IF(管理者入力シート!$B$14=2,DA10*管理者用人口入力シート!AV$8))+将来予測シート②!$H27</f>
        <v>891.55206468474444</v>
      </c>
      <c r="DC13" s="10">
        <f>IF(管理者入力シート!$B$14=1,DB10*管理者用人口入力シート!AW$4,IF(管理者入力シート!$B$14=2,DB10*管理者用人口入力シート!AW$8))+将来予測シート②!$H28</f>
        <v>1037.7418134708946</v>
      </c>
      <c r="DD13" s="10">
        <f>IF(管理者入力シート!$B$14=1,DC10*管理者用人口入力シート!AX$4,IF(管理者入力シート!$B$14=2,DC10*管理者用人口入力シート!AX$8))+将来予測シート②!$H29</f>
        <v>1194.9603468317055</v>
      </c>
      <c r="DE13" s="10">
        <f>IF(管理者入力シート!$B$14=1,DD10*管理者用人口入力シート!AY$4,IF(管理者入力シート!$B$14=2,DD10*管理者用人口入力シート!AY$8))</f>
        <v>1338.6268918408375</v>
      </c>
      <c r="DF13" s="10">
        <f>IF(管理者入力シート!$B$14=1,DE10*管理者用人口入力シート!AZ$4,IF(管理者入力シート!$B$14=2,DE10*管理者用人口入力シート!AZ$8))</f>
        <v>1033.3178218893436</v>
      </c>
      <c r="DG13" s="10">
        <f>IF(管理者入力シート!$B$14=1,DF10*管理者用人口入力シート!BA$4,IF(管理者入力シート!$B$14=2,DF10*管理者用人口入力シート!BA$8))</f>
        <v>996.96195723739186</v>
      </c>
      <c r="DH13" s="10">
        <f>IF(管理者入力シート!$B$14=1,DG10*管理者用人口入力シート!BB$4,IF(管理者入力シート!$B$14=2,DG10*管理者用人口入力シート!BB$8))</f>
        <v>947.81047518357764</v>
      </c>
      <c r="DI13" s="10">
        <f>IF(管理者入力シート!$B$14=1,DH10*管理者用人口入力シート!BC$4,IF(管理者入力シート!$B$14=2,DH10*管理者用人口入力シート!BC$8))</f>
        <v>886.73352647524462</v>
      </c>
      <c r="DJ13" s="10">
        <f>IF(管理者入力シート!$B$14=1,DI10*管理者用人口入力シート!BD$4,IF(管理者入力シート!$B$14=2,DI10*管理者用人口入力シート!BD$8))</f>
        <v>665.48232348239594</v>
      </c>
      <c r="DK13" s="10">
        <f>IF(管理者入力シート!$B$14=1,DJ10*管理者用人口入力シート!BE$4,IF(管理者入力シート!$B$14=2,DJ10*管理者用人口入力シート!BE$8))</f>
        <v>235.45375679081607</v>
      </c>
      <c r="DL13" s="10">
        <f>IF(管理者入力シート!$B$14=1,DK10*管理者用人口入力シート!BF$4,IF(管理者入力シート!$B$14=2,DK10*管理者用人口入力シート!BF$8))</f>
        <v>40.301556573077121</v>
      </c>
      <c r="DM13" s="10">
        <f t="shared" si="69"/>
        <v>15369.919542449183</v>
      </c>
      <c r="DN13" s="10">
        <f t="shared" si="34"/>
        <v>620.74707285098793</v>
      </c>
      <c r="DO13" s="10">
        <f t="shared" si="35"/>
        <v>343.12067881287356</v>
      </c>
      <c r="DP13" s="10">
        <f t="shared" si="6"/>
        <v>6144.6883094726854</v>
      </c>
      <c r="DQ13" s="10">
        <f t="shared" si="36"/>
        <v>3772.7435957425032</v>
      </c>
      <c r="DR13" s="14">
        <f t="shared" si="37"/>
        <v>0.39978662819294986</v>
      </c>
      <c r="DS13" s="14">
        <f t="shared" si="38"/>
        <v>0.24546280709686266</v>
      </c>
      <c r="DT13" s="10">
        <f t="shared" si="70"/>
        <v>2571.2742078368383</v>
      </c>
      <c r="DV13" s="62"/>
      <c r="DX13" s="29">
        <f>DX12</f>
        <v>2040</v>
      </c>
      <c r="DY13" s="4" t="s">
        <v>22</v>
      </c>
      <c r="DZ13" s="10">
        <f>FB13*$AK$14</f>
        <v>779.34195085962074</v>
      </c>
      <c r="EA13" s="10">
        <f>IF(管理者入力シート!$B$14=1,DZ10*管理者用人口入力シート!AM$4,IF(管理者入力シート!$B$14=2,DZ10*管理者用人口入力シート!AM$8))</f>
        <v>751.6792885518604</v>
      </c>
      <c r="EB13" s="10">
        <f>IF(管理者入力シート!$B$14=1,EA10*管理者用人口入力シート!AN$4,IF(管理者入力シート!$B$14=2,EA10*管理者用人口入力シート!AN$8))</f>
        <v>742.74479982611876</v>
      </c>
      <c r="EC13" s="10">
        <f>IF(管理者入力シート!$B$14=1,EB10*管理者用人口入力シート!AO$4,IF(管理者入力シート!$B$14=2,EB10*管理者用人口入力シート!AO$8))</f>
        <v>651.46170947134351</v>
      </c>
      <c r="ED13" s="10">
        <f>IF(管理者入力シート!$B$14=1,EC10*管理者用人口入力シート!AP$4,IF(管理者入力シート!$B$14=2,EC10*管理者用人口入力シート!AP$8))</f>
        <v>601.95661474240273</v>
      </c>
      <c r="EE13" s="10">
        <f>IF(管理者入力シート!$B$14=1,ED10*管理者用人口入力シート!AQ$4,IF(管理者入力シート!$B$14=2,ED10*管理者用人口入力シート!AQ$8))+DX1</f>
        <v>916.89713270776326</v>
      </c>
      <c r="EF13" s="10">
        <f>IF(管理者入力シート!$B$14=1,EE10*管理者用人口入力シート!AR$4,IF(管理者入力シート!$B$14=2,EE10*管理者用人口入力シート!AR$8))+DX1</f>
        <v>1116.0758614538074</v>
      </c>
      <c r="EG13" s="10">
        <f>IF(管理者入力シート!$B$14=1,EF10*管理者用人口入力シート!AS$4,IF(管理者入力シート!$B$14=2,EF10*管理者用人口入力シート!AS$8))+DX1</f>
        <v>1238.6091527689987</v>
      </c>
      <c r="EH13" s="10">
        <f>IF(管理者入力シート!$B$14=1,EG10*管理者用人口入力シート!AT$4,IF(管理者入力シート!$B$14=2,EG10*管理者用人口入力シート!AT$8))</f>
        <v>1229.2280765017747</v>
      </c>
      <c r="EI13" s="10">
        <f>IF(管理者入力シート!$B$14=1,EH10*管理者用人口入力シート!AU$4,IF(管理者入力シート!$B$14=2,EH10*管理者用人口入力シート!AU$8))</f>
        <v>1155.6249992287724</v>
      </c>
      <c r="EJ13" s="10">
        <f>IF(管理者入力シート!$B$14=1,EI10*管理者用人口入力シート!AV$4,IF(管理者入力シート!$B$14=2,EI10*管理者用人口入力シート!AV$8))</f>
        <v>1116.0772001757266</v>
      </c>
      <c r="EK13" s="10">
        <f>IF(管理者入力シート!$B$14=1,EJ10*管理者用人口入力シート!AW$4,IF(管理者入力シート!$B$14=2,EJ10*管理者用人口入力シート!AW$8))</f>
        <v>1036.7346516965388</v>
      </c>
      <c r="EL13" s="10">
        <f>IF(管理者入力シート!$B$14=1,EK10*管理者用人口入力シート!AX$4,IF(管理者入力シート!$B$14=2,EK10*管理者用人口入力シート!AX$8))</f>
        <v>1194.9603468317055</v>
      </c>
      <c r="EM13" s="10">
        <f>IF(管理者入力シート!$B$14=1,EL10*管理者用人口入力シート!AY$4,IF(管理者入力シート!$B$14=2,EL10*管理者用人口入力シート!AY$8))</f>
        <v>1338.6268918408375</v>
      </c>
      <c r="EN13" s="10">
        <f>IF(管理者入力シート!$B$14=1,EM10*管理者用人口入力シート!AZ$4,IF(管理者入力シート!$B$14=2,EM10*管理者用人口入力シート!AZ$8))</f>
        <v>1033.3178218893436</v>
      </c>
      <c r="EO13" s="10">
        <f>IF(管理者入力シート!$B$14=1,EN10*管理者用人口入力シート!BA$4,IF(管理者入力シート!$B$14=2,EN10*管理者用人口入力シート!BA$8))</f>
        <v>996.96195723739186</v>
      </c>
      <c r="EP13" s="10">
        <f>IF(管理者入力シート!$B$14=1,EO10*管理者用人口入力シート!BB$4,IF(管理者入力シート!$B$14=2,EO10*管理者用人口入力シート!BB$8))</f>
        <v>947.81047518357764</v>
      </c>
      <c r="EQ13" s="10">
        <f>IF(管理者入力シート!$B$14=1,EP10*管理者用人口入力シート!BC$4,IF(管理者入力シート!$B$14=2,EP10*管理者用人口入力シート!BC$8))</f>
        <v>886.73352647524462</v>
      </c>
      <c r="ER13" s="10">
        <f>IF(管理者入力シート!$B$14=1,EQ10*管理者用人口入力シート!BD$4,IF(管理者入力シート!$B$14=2,EQ10*管理者用人口入力シート!BD$8))</f>
        <v>665.48232348239594</v>
      </c>
      <c r="ES13" s="10">
        <f>IF(管理者入力シート!$B$14=1,ER10*管理者用人口入力シート!BE$4,IF(管理者入力シート!$B$14=2,ER10*管理者用人口入力シート!BE$8))</f>
        <v>235.45375679081607</v>
      </c>
      <c r="ET13" s="10">
        <f>IF(管理者入力シート!$B$14=1,ES10*管理者用人口入力シート!BF$4,IF(管理者入力シート!$B$14=2,ES10*管理者用人口入力シート!BF$8))</f>
        <v>40.301556573077121</v>
      </c>
      <c r="EU13" s="10">
        <f t="shared" si="71"/>
        <v>18676.080094289118</v>
      </c>
      <c r="EV13" s="10">
        <f t="shared" si="41"/>
        <v>896.65445302678756</v>
      </c>
      <c r="EW13" s="10">
        <f t="shared" si="42"/>
        <v>427.39026182471622</v>
      </c>
      <c r="EX13" s="10">
        <f t="shared" si="10"/>
        <v>6144.6883094726854</v>
      </c>
      <c r="EY13" s="10">
        <f t="shared" si="43"/>
        <v>3772.7435957425032</v>
      </c>
      <c r="EZ13" s="14">
        <f t="shared" si="44"/>
        <v>0.32901381223737869</v>
      </c>
      <c r="FA13" s="14">
        <f t="shared" si="45"/>
        <v>0.20200939258641085</v>
      </c>
      <c r="FB13" s="10">
        <f t="shared" si="72"/>
        <v>3873.5387616729722</v>
      </c>
    </row>
    <row r="14" spans="1:158" x14ac:dyDescent="0.15">
      <c r="A14" s="7" t="str">
        <f t="shared" si="11"/>
        <v>2020_3</v>
      </c>
      <c r="B14" s="30">
        <v>2020</v>
      </c>
      <c r="C14" s="5" t="s">
        <v>23</v>
      </c>
      <c r="D14" s="11">
        <v>1417.424233439016</v>
      </c>
      <c r="E14" s="11">
        <v>1530.8694791956655</v>
      </c>
      <c r="F14" s="11">
        <v>1580.490253683673</v>
      </c>
      <c r="G14" s="11">
        <v>1615.8054403477563</v>
      </c>
      <c r="H14" s="11">
        <v>1325.2503226406729</v>
      </c>
      <c r="I14" s="11">
        <v>1536.1428993299496</v>
      </c>
      <c r="J14" s="11">
        <v>1807.1950255254485</v>
      </c>
      <c r="K14" s="11">
        <v>2089.8626080042131</v>
      </c>
      <c r="L14" s="11">
        <v>2410.2426621373543</v>
      </c>
      <c r="M14" s="11">
        <v>2762.1410380468246</v>
      </c>
      <c r="N14" s="11">
        <v>2136.026577117279</v>
      </c>
      <c r="O14" s="11">
        <v>2178.5704440112372</v>
      </c>
      <c r="P14" s="11">
        <v>2191.095713597555</v>
      </c>
      <c r="Q14" s="11">
        <v>2389.1419725972546</v>
      </c>
      <c r="R14" s="11">
        <v>2591.5410215703391</v>
      </c>
      <c r="S14" s="11">
        <v>1827.1863767218406</v>
      </c>
      <c r="T14" s="11">
        <v>1442.7346156990354</v>
      </c>
      <c r="U14" s="11">
        <v>1114.1308856687392</v>
      </c>
      <c r="V14" s="11">
        <v>530.43242726567769</v>
      </c>
      <c r="W14" s="11">
        <v>168.57803419179999</v>
      </c>
      <c r="X14" s="11">
        <v>18.107969208668361</v>
      </c>
      <c r="Y14" s="11">
        <f t="shared" si="177"/>
        <v>34662.970000000008</v>
      </c>
      <c r="Z14" s="11">
        <f t="shared" si="179"/>
        <v>1866.8158397276031</v>
      </c>
      <c r="AA14" s="11">
        <f t="shared" si="180"/>
        <v>955.35718954302047</v>
      </c>
      <c r="AB14" s="11">
        <f t="shared" si="178"/>
        <v>10081.853302923353</v>
      </c>
      <c r="AC14" s="11">
        <f t="shared" si="181"/>
        <v>5101.1703087557617</v>
      </c>
      <c r="AD14" s="15">
        <f t="shared" si="182"/>
        <v>0.29085370650360748</v>
      </c>
      <c r="AE14" s="15">
        <f t="shared" si="183"/>
        <v>0.14716483638752711</v>
      </c>
      <c r="AF14" s="11">
        <f t="shared" si="184"/>
        <v>6758.450855500284</v>
      </c>
      <c r="AI14" s="43"/>
      <c r="AJ14" s="1" t="s">
        <v>22</v>
      </c>
      <c r="AK14" s="8">
        <f>VLOOKUP(AK12&amp;"_2",A:D,4,FALSE)/VLOOKUP(AK12&amp;"_2",A:AF,32,FALSE)</f>
        <v>0.20119637334493196</v>
      </c>
      <c r="AL14" s="63"/>
      <c r="BH14" s="7" t="str">
        <f t="shared" si="19"/>
        <v>2040_3</v>
      </c>
      <c r="BI14" s="30">
        <f>BI13</f>
        <v>2040</v>
      </c>
      <c r="BJ14" s="5" t="s">
        <v>23</v>
      </c>
      <c r="BK14" s="16">
        <f>BK12+BK13</f>
        <v>1053.6676297169224</v>
      </c>
      <c r="BL14" s="16">
        <f t="shared" ref="BL14" si="185">BL12+BL13</f>
        <v>1011.5956104682714</v>
      </c>
      <c r="BM14" s="16">
        <f t="shared" ref="BM14" si="186">BM12+BM13</f>
        <v>1055.4398695064629</v>
      </c>
      <c r="BN14" s="16">
        <f t="shared" ref="BN14" si="187">BN12+BN13</f>
        <v>1220.4156211469935</v>
      </c>
      <c r="BO14" s="16">
        <f t="shared" ref="BO14" si="188">BO12+BO13</f>
        <v>1155.0727922348374</v>
      </c>
      <c r="BP14" s="16">
        <f t="shared" ref="BP14" si="189">BP12+BP13</f>
        <v>1393.0917739365877</v>
      </c>
      <c r="BQ14" s="16">
        <f t="shared" ref="BQ14" si="190">BQ12+BQ13</f>
        <v>1386.0863751250899</v>
      </c>
      <c r="BR14" s="16">
        <f t="shared" ref="BR14" si="191">BR12+BR13</f>
        <v>1294.1147706794745</v>
      </c>
      <c r="BS14" s="16">
        <f t="shared" ref="BS14" si="192">BS12+BS13</f>
        <v>1292.5573145131521</v>
      </c>
      <c r="BT14" s="16">
        <f t="shared" ref="BT14" si="193">BT12+BT13</f>
        <v>1429.7398238845296</v>
      </c>
      <c r="BU14" s="16">
        <f t="shared" ref="BU14" si="194">BU12+BU13</f>
        <v>1750.3832776615595</v>
      </c>
      <c r="BV14" s="16">
        <f t="shared" ref="BV14" si="195">BV12+BV13</f>
        <v>2080.4957887530463</v>
      </c>
      <c r="BW14" s="16">
        <f t="shared" ref="BW14" si="196">BW12+BW13</f>
        <v>2399.2091063357157</v>
      </c>
      <c r="BX14" s="16">
        <f t="shared" ref="BX14" si="197">BX12+BX13</f>
        <v>2611.0190746349276</v>
      </c>
      <c r="BY14" s="16">
        <f t="shared" ref="BY14" si="198">BY12+BY13</f>
        <v>1915.3034982591666</v>
      </c>
      <c r="BZ14" s="16">
        <f t="shared" ref="BZ14" si="199">BZ12+BZ13</f>
        <v>1839.3527261034294</v>
      </c>
      <c r="CA14" s="16">
        <f t="shared" ref="CA14" si="200">CA12+CA13</f>
        <v>1637.0971568090367</v>
      </c>
      <c r="CB14" s="16">
        <f t="shared" ref="CB14" si="201">CB12+CB13</f>
        <v>1448.2056484254263</v>
      </c>
      <c r="CC14" s="16">
        <f t="shared" ref="CC14" si="202">CC12+CC13</f>
        <v>958.28462114126933</v>
      </c>
      <c r="CD14" s="16">
        <f t="shared" ref="CD14" si="203">CD12+CD13</f>
        <v>300.38635023165546</v>
      </c>
      <c r="CE14" s="16">
        <f t="shared" ref="CE14" si="204">CE12+CE13</f>
        <v>41.077016889448878</v>
      </c>
      <c r="CF14" s="11">
        <f t="shared" si="2"/>
        <v>29272.595846456999</v>
      </c>
      <c r="CG14" s="11">
        <f t="shared" si="20"/>
        <v>1240.2212879848405</v>
      </c>
      <c r="CH14" s="11">
        <f t="shared" si="21"/>
        <v>666.25907203198381</v>
      </c>
      <c r="CI14" s="11">
        <f t="shared" si="3"/>
        <v>10750.72609249436</v>
      </c>
      <c r="CJ14" s="11">
        <f t="shared" si="22"/>
        <v>6224.4035196002651</v>
      </c>
      <c r="CK14" s="15">
        <f t="shared" si="23"/>
        <v>0.36726247815140628</v>
      </c>
      <c r="CL14" s="15">
        <f t="shared" si="24"/>
        <v>0.21263585751837702</v>
      </c>
      <c r="CM14" s="11">
        <f t="shared" si="25"/>
        <v>5228.3657119759901</v>
      </c>
      <c r="CO14" s="7" t="str">
        <f t="shared" si="26"/>
        <v>2040_3</v>
      </c>
      <c r="CP14" s="30">
        <f>CP13</f>
        <v>2040</v>
      </c>
      <c r="CQ14" s="5" t="s">
        <v>23</v>
      </c>
      <c r="CR14" s="16">
        <f>CR12+CR13</f>
        <v>1058.7728690690242</v>
      </c>
      <c r="CS14" s="16">
        <f t="shared" ref="CS14" si="205">CS12+CS13</f>
        <v>1016.0365598779974</v>
      </c>
      <c r="CT14" s="16">
        <f t="shared" ref="CT14" si="206">CT12+CT13</f>
        <v>1060.8533555272602</v>
      </c>
      <c r="CU14" s="16">
        <f t="shared" ref="CU14" si="207">CU12+CU13</f>
        <v>1224.5283144937857</v>
      </c>
      <c r="CV14" s="16">
        <f t="shared" ref="CV14" si="208">CV12+CV13</f>
        <v>1156.7991995487412</v>
      </c>
      <c r="CW14" s="16">
        <f t="shared" ref="CW14" si="209">CW12+CW13</f>
        <v>1398.9003545269895</v>
      </c>
      <c r="CX14" s="16">
        <f t="shared" ref="CX14" si="210">CX12+CX13</f>
        <v>1389.965155371011</v>
      </c>
      <c r="CY14" s="16">
        <f t="shared" ref="CY14" si="211">CY12+CY13</f>
        <v>1297.8396476219077</v>
      </c>
      <c r="CZ14" s="16">
        <f t="shared" ref="CZ14" si="212">CZ12+CZ13</f>
        <v>1297.2693711953632</v>
      </c>
      <c r="DA14" s="16">
        <f t="shared" ref="DA14" si="213">DA12+DA13</f>
        <v>1430.7457862708511</v>
      </c>
      <c r="DB14" s="16">
        <f t="shared" ref="DB14" si="214">DB12+DB13</f>
        <v>1751.4021008627117</v>
      </c>
      <c r="DC14" s="16">
        <f t="shared" ref="DC14" si="215">DC12+DC13</f>
        <v>2081.5029505274024</v>
      </c>
      <c r="DD14" s="16">
        <f t="shared" ref="DD14" si="216">DD12+DD13</f>
        <v>2399.2091063357157</v>
      </c>
      <c r="DE14" s="16">
        <f t="shared" ref="DE14" si="217">DE12+DE13</f>
        <v>2611.0190746349276</v>
      </c>
      <c r="DF14" s="16">
        <f t="shared" ref="DF14" si="218">DF12+DF13</f>
        <v>1915.3034982591666</v>
      </c>
      <c r="DG14" s="16">
        <f t="shared" ref="DG14" si="219">DG12+DG13</f>
        <v>1839.3527261034294</v>
      </c>
      <c r="DH14" s="16">
        <f t="shared" ref="DH14" si="220">DH12+DH13</f>
        <v>1637.0971568090367</v>
      </c>
      <c r="DI14" s="16">
        <f t="shared" ref="DI14" si="221">DI12+DI13</f>
        <v>1448.2056484254263</v>
      </c>
      <c r="DJ14" s="16">
        <f t="shared" ref="DJ14" si="222">DJ12+DJ13</f>
        <v>958.28462114126933</v>
      </c>
      <c r="DK14" s="16">
        <f t="shared" ref="DK14" si="223">DK12+DK13</f>
        <v>300.38635023165546</v>
      </c>
      <c r="DL14" s="16">
        <f t="shared" ref="DL14" si="224">DL12+DL13</f>
        <v>41.077016889448878</v>
      </c>
      <c r="DM14" s="11">
        <f t="shared" si="69"/>
        <v>29314.550863723118</v>
      </c>
      <c r="DN14" s="11">
        <f t="shared" si="34"/>
        <v>1246.1339492431548</v>
      </c>
      <c r="DO14" s="11">
        <f t="shared" si="35"/>
        <v>669.24700510966125</v>
      </c>
      <c r="DP14" s="11">
        <f t="shared" si="6"/>
        <v>10750.72609249436</v>
      </c>
      <c r="DQ14" s="11">
        <f t="shared" si="36"/>
        <v>6224.4035196002651</v>
      </c>
      <c r="DR14" s="15">
        <f t="shared" si="37"/>
        <v>0.36673685169089287</v>
      </c>
      <c r="DS14" s="15">
        <f t="shared" si="38"/>
        <v>0.21233153284647424</v>
      </c>
      <c r="DT14" s="11">
        <f t="shared" si="70"/>
        <v>5243.5043570686494</v>
      </c>
      <c r="DX14" s="30">
        <f>DX13</f>
        <v>2040</v>
      </c>
      <c r="DY14" s="5" t="s">
        <v>23</v>
      </c>
      <c r="DZ14" s="16">
        <f>DZ12+DZ13</f>
        <v>1591.9930508177736</v>
      </c>
      <c r="EA14" s="16">
        <f t="shared" ref="EA14" si="225">EA12+EA13</f>
        <v>1516.5615492081542</v>
      </c>
      <c r="EB14" s="16">
        <f t="shared" ref="EB14" si="226">EB12+EB13</f>
        <v>1484.0408426231345</v>
      </c>
      <c r="EC14" s="16">
        <f t="shared" ref="EC14" si="227">EC12+EC13</f>
        <v>1220.4156211469935</v>
      </c>
      <c r="ED14" s="16">
        <f t="shared" ref="ED14" si="228">ED12+ED13</f>
        <v>1155.0727922348374</v>
      </c>
      <c r="EE14" s="16">
        <f t="shared" ref="EE14" si="229">EE12+EE13</f>
        <v>1843.0917739365877</v>
      </c>
      <c r="EF14" s="16">
        <f t="shared" ref="EF14" si="230">EF12+EF13</f>
        <v>2272.4491527911905</v>
      </c>
      <c r="EG14" s="16">
        <f t="shared" ref="EG14" si="231">EG12+EG13</f>
        <v>2595.273292870861</v>
      </c>
      <c r="EH14" s="16">
        <f t="shared" ref="EH14" si="232">EH12+EH13</f>
        <v>2589.0932207412807</v>
      </c>
      <c r="EI14" s="16">
        <f t="shared" ref="EI14" si="233">EI12+EI13</f>
        <v>2312.4554261191352</v>
      </c>
      <c r="EJ14" s="16">
        <f t="shared" ref="EJ14" si="234">EJ12+EJ13</f>
        <v>2204.6519715316126</v>
      </c>
      <c r="EK14" s="16">
        <f t="shared" ref="EK14" si="235">EK12+EK13</f>
        <v>2080.4957887530463</v>
      </c>
      <c r="EL14" s="16">
        <f t="shared" ref="EL14" si="236">EL12+EL13</f>
        <v>2399.2091063357157</v>
      </c>
      <c r="EM14" s="16">
        <f t="shared" ref="EM14" si="237">EM12+EM13</f>
        <v>2611.0190746349276</v>
      </c>
      <c r="EN14" s="16">
        <f t="shared" ref="EN14" si="238">EN12+EN13</f>
        <v>1915.3034982591666</v>
      </c>
      <c r="EO14" s="16">
        <f t="shared" ref="EO14" si="239">EO12+EO13</f>
        <v>1839.3527261034294</v>
      </c>
      <c r="EP14" s="16">
        <f t="shared" ref="EP14" si="240">EP12+EP13</f>
        <v>1637.0971568090367</v>
      </c>
      <c r="EQ14" s="16">
        <f t="shared" ref="EQ14" si="241">EQ12+EQ13</f>
        <v>1448.2056484254263</v>
      </c>
      <c r="ER14" s="16">
        <f t="shared" ref="ER14" si="242">ER12+ER13</f>
        <v>958.28462114126933</v>
      </c>
      <c r="ES14" s="16">
        <f t="shared" ref="ES14" si="243">ES12+ES13</f>
        <v>300.38635023165546</v>
      </c>
      <c r="ET14" s="16">
        <f t="shared" ref="ET14" si="244">ET12+ET13</f>
        <v>41.077016889448878</v>
      </c>
      <c r="EU14" s="11">
        <f t="shared" si="71"/>
        <v>36015.52968160469</v>
      </c>
      <c r="EV14" s="11">
        <f t="shared" si="41"/>
        <v>1800.3614350987732</v>
      </c>
      <c r="EW14" s="11">
        <f t="shared" si="42"/>
        <v>837.69946127865251</v>
      </c>
      <c r="EX14" s="11">
        <f t="shared" si="10"/>
        <v>10750.72609249436</v>
      </c>
      <c r="EY14" s="11">
        <f t="shared" si="43"/>
        <v>6224.4035196002651</v>
      </c>
      <c r="EZ14" s="15">
        <f t="shared" si="44"/>
        <v>0.29850251231999531</v>
      </c>
      <c r="FA14" s="15">
        <f t="shared" si="45"/>
        <v>0.17282554427568073</v>
      </c>
      <c r="FB14" s="11">
        <f t="shared" si="72"/>
        <v>7865.8870118334762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509.62022160224717</v>
      </c>
      <c r="BL15" s="9">
        <f>IF(管理者入力シート!$B$14=1,BK12*管理者用人口入力シート!AM$3,IF(管理者入力シート!$B$14=2,BK12*管理者用人口入力シート!AM$7))</f>
        <v>498.48877368306819</v>
      </c>
      <c r="BM15" s="9">
        <f>IF(管理者入力シート!$B$14=1,BL12*管理者用人口入力シート!AN$3,IF(管理者入力シート!$B$14=2,BL12*管理者用人口入力シート!AN$7))</f>
        <v>508.5273134365504</v>
      </c>
      <c r="BN15" s="9">
        <f>IF(管理者入力シート!$B$14=1,BM12*管理者用人口入力シート!AO$3,IF(管理者入力シート!$B$14=2,BM12*管理者用人口入力シート!AO$7))</f>
        <v>520.02415949752503</v>
      </c>
      <c r="BO15" s="9">
        <f>IF(管理者入力シート!$B$14=1,BN12*管理者用人口入力シート!AP$3,IF(管理者入力シート!$B$14=2,BN12*管理者用人口入力シート!AP$7))</f>
        <v>477.33673064702833</v>
      </c>
      <c r="BP15" s="9">
        <f>IF(管理者入力シート!$B$14=1,BO12*管理者用人口入力シート!AQ$3,IF(管理者入力シート!$B$14=2,BO12*管理者用人口入力シート!AQ$7))</f>
        <v>604.79516072056742</v>
      </c>
      <c r="BQ15" s="9">
        <f>IF(管理者入力シート!$B$14=1,BP12*管理者用人口入力シート!AR$3,IF(管理者入力シート!$B$14=2,BP12*管理者用人口入力シート!AR$7))</f>
        <v>683.39917895376027</v>
      </c>
      <c r="BR15" s="9">
        <f>IF(管理者入力シート!$B$14=1,BQ12*管理者用人口入力シート!AS$3,IF(管理者入力シート!$B$14=2,BQ12*管理者用人口入力シート!AS$7))</f>
        <v>694.64839948525253</v>
      </c>
      <c r="BS15" s="9">
        <f>IF(管理者入力シート!$B$14=1,BR12*管理者用人口入力シート!AT$3,IF(管理者入力シート!$B$14=2,BR12*管理者用人口入力シート!AT$7))</f>
        <v>704.32642722222249</v>
      </c>
      <c r="BT15" s="9">
        <f>IF(管理者入力シート!$B$14=1,BS12*管理者用人口入力シート!AU$3,IF(管理者入力シート!$B$14=2,BS12*管理者用人口入力シート!AU$7))</f>
        <v>697.61772181144249</v>
      </c>
      <c r="BU15" s="9">
        <f>IF(管理者入力シート!$B$14=1,BT12*管理者用人口入力シート!AV$3,IF(管理者入力シート!$B$14=2,BT12*管理者用人口入力シート!AV$7))</f>
        <v>710.83001908171286</v>
      </c>
      <c r="BV15" s="9">
        <f>IF(管理者入力シート!$B$14=1,BU12*管理者用人口入力シート!AW$3,IF(管理者入力シート!$B$14=2,BU12*管理者用人口入力シート!AW$7))</f>
        <v>845.93484940321468</v>
      </c>
      <c r="BW15" s="9">
        <f>IF(管理者入力シート!$B$14=1,BV12*管理者用人口入力シート!AX$3,IF(管理者入力シート!$B$14=2,BV12*管理者用人口入力シート!AX$7))</f>
        <v>1051.8118923029679</v>
      </c>
      <c r="BX15" s="9">
        <f>IF(管理者入力シート!$B$14=1,BW12*管理者用人口入力シート!AY$3,IF(管理者入力シート!$B$14=2,BW12*管理者用人口入力シート!AY$7))</f>
        <v>1135.4500273267561</v>
      </c>
      <c r="BY15" s="9">
        <f>IF(管理者入力シート!$B$14=1,BX12*管理者用人口入力シート!AZ$3,IF(管理者入力シート!$B$14=2,BX12*管理者用人口入力シート!AZ$7))</f>
        <v>1197.6206894236827</v>
      </c>
      <c r="BZ15" s="9">
        <f>IF(管理者入力シート!$B$14=1,BY12*管理者用人口入力シート!BA$3,IF(管理者入力シート!$B$14=2,BY12*管理者用人口入力シート!BA$7))</f>
        <v>806.36587644315171</v>
      </c>
      <c r="CA15" s="9">
        <f>IF(管理者入力シート!$B$14=1,BZ12*管理者用人口入力シート!BB$3,IF(管理者入力シート!$B$14=2,BZ12*管理者用人口入力シート!BB$7))</f>
        <v>676.46139401655159</v>
      </c>
      <c r="CB15" s="9">
        <f>IF(管理者入力シート!$B$14=1,CA12*管理者用人口入力シート!BC$3,IF(管理者入力シート!$B$14=2,CA12*管理者用人口入力シート!BC$7))</f>
        <v>494.91801510291344</v>
      </c>
      <c r="CC15" s="9">
        <f>IF(管理者入力シート!$B$14=1,CB12*管理者用人口入力シート!BD$3,IF(管理者入力シート!$B$14=2,CB12*管理者用人口入力シート!BD$7))</f>
        <v>260.00856077345139</v>
      </c>
      <c r="CD15" s="9">
        <f>IF(管理者入力シート!$B$14=1,CC12*管理者用人口入力シート!BE$3,IF(管理者入力シート!$B$14=2,CC12*管理者用人口入力シート!BE$7))</f>
        <v>89.263518084937445</v>
      </c>
      <c r="CE15" s="9">
        <f>IF(管理者入力シート!$B$14=1,CD12*管理者用人口入力シート!BF$3,IF(管理者入力シート!$B$14=2,CD12*管理者用人口入力シート!BF$7))</f>
        <v>0.82758532686644881</v>
      </c>
      <c r="CF15" s="9">
        <f t="shared" ref="CF15:CF20" si="252">SUM(BK15:CE15)</f>
        <v>13168.276514345869</v>
      </c>
      <c r="CG15" s="9">
        <f t="shared" ref="CG15:CG20" si="253">BL15*3/5+BM15*3/5</f>
        <v>604.20965227177112</v>
      </c>
      <c r="CH15" s="9">
        <f t="shared" ref="CH15:CH20" si="254">BM15*2/5+BN15*1/5</f>
        <v>307.41575727412516</v>
      </c>
      <c r="CI15" s="9">
        <f t="shared" ref="CI15:CI20" si="255">SUM(BX15:CE15)</f>
        <v>4660.9156664983102</v>
      </c>
      <c r="CJ15" s="9">
        <f t="shared" ref="CJ15:CJ20" si="256">SUM(BZ15:CE15)</f>
        <v>2327.8449497478723</v>
      </c>
      <c r="CK15" s="13">
        <f t="shared" ref="CK15:CK20" si="257">CI15/CF15</f>
        <v>0.35395031851135456</v>
      </c>
      <c r="CL15" s="13">
        <f t="shared" ref="CL15:CL20" si="258">CJ15/CF15</f>
        <v>0.17677673666799573</v>
      </c>
      <c r="CM15" s="9">
        <f t="shared" ref="CM15:CM20" si="259">SUM(BO15:BR15)</f>
        <v>2460.1794698066083</v>
      </c>
      <c r="CO15" s="7" t="str">
        <f t="shared" si="26"/>
        <v>2045_1</v>
      </c>
      <c r="CP15" s="28">
        <f>管理者入力シート!B12</f>
        <v>2045</v>
      </c>
      <c r="CQ15" s="3" t="s">
        <v>21</v>
      </c>
      <c r="CR15" s="9">
        <f>DT16*$AK$13+将来予測シート②!$G17</f>
        <v>512.57024377668165</v>
      </c>
      <c r="CS15" s="9">
        <f>IF(管理者入力シート!$B$14=1,CR12*管理者用人口入力シート!AM$3,IF(管理者入力シート!$B$14=2,CR12*管理者用人口入力シート!AM$7))+将来予測シート②!$G18</f>
        <v>500.88466423591933</v>
      </c>
      <c r="CT15" s="9">
        <f>IF(管理者入力シート!$B$14=1,CS12*管理者用人口入力シート!AN$3,IF(管理者入力シート!$B$14=2,CS12*管理者用人口入力シート!AN$7))+将来予測シート②!$G19</f>
        <v>511.74020175888734</v>
      </c>
      <c r="CU15" s="9">
        <f>IF(管理者入力シート!$B$14=1,CT12*管理者用人口入力シート!AO$3,IF(管理者入力シート!$B$14=2,CT12*管理者用人口入力シート!AO$7))+将来予測シート②!$G20</f>
        <v>522.67290178013434</v>
      </c>
      <c r="CV15" s="9">
        <f>IF(管理者入力シート!$B$14=1,CU12*管理者用人口入力シート!AP$3,IF(管理者入力シート!$B$14=2,CU12*管理者用人口入力シート!AP$7))+将来予測シート②!$G21</f>
        <v>478.92873415789018</v>
      </c>
      <c r="CW15" s="9">
        <f>IF(管理者入力シート!$B$14=1,CV12*管理者用人口入力シート!AQ$3,IF(管理者入力シート!$B$14=2,CV12*管理者用人口入力シート!AQ$7))+将来予測シート②!$G22</f>
        <v>607.70002597013001</v>
      </c>
      <c r="CX15" s="9">
        <f>IF(管理者入力シート!$B$14=1,CW12*管理者用人口入力シート!AR$3,IF(管理者入力シート!$B$14=2,CW12*管理者用人口入力シート!AR$7))+将来予測シート②!$G23</f>
        <v>686.23032227659473</v>
      </c>
      <c r="CY15" s="9">
        <f>IF(管理者入力シート!$B$14=1,CX12*管理者用人口入力シート!AS$3,IF(管理者入力シート!$B$14=2,CX12*管理者用人口入力シート!AS$7))+将来予測シート②!$G24</f>
        <v>696.54991540999981</v>
      </c>
      <c r="CZ15" s="9">
        <f>IF(管理者入力シート!$B$14=1,CY12*管理者用人口入力シート!AT$3,IF(管理者入力シート!$B$14=2,CY12*管理者用人口入力シート!AT$7))+将来予測シート②!$G25</f>
        <v>706.24448356893174</v>
      </c>
      <c r="DA15" s="9">
        <f>IF(管理者入力シート!$B$14=1,CZ12*管理者用人口入力シート!AU$3,IF(管理者入力シート!$B$14=2,CZ12*管理者用人口入力シート!AU$7))+将来予測シート②!$G26</f>
        <v>699.54099229044789</v>
      </c>
      <c r="DB15" s="9">
        <f>IF(管理者入力シート!$B$14=1,DA12*管理者用人口入力シート!AV$3,IF(管理者入力シート!$B$14=2,DA12*管理者用人口入力シート!AV$7))+将来予測シート②!$G27</f>
        <v>710.83001908171286</v>
      </c>
      <c r="DC15" s="9">
        <f>IF(管理者入力シート!$B$14=1,DB12*管理者用人口入力シート!AW$3,IF(管理者入力シート!$B$14=2,DB12*管理者用人口入力シート!AW$7))+将来予測シート②!$G28</f>
        <v>845.93484940321468</v>
      </c>
      <c r="DD15" s="9">
        <f>IF(管理者入力シート!$B$14=1,DC12*管理者用人口入力シート!AX$3,IF(管理者入力シート!$B$14=2,DC12*管理者用人口入力シート!AX$7))+将来予測シート②!$G29</f>
        <v>1051.8118923029679</v>
      </c>
      <c r="DE15" s="9">
        <f>IF(管理者入力シート!$B$14=1,DD12*管理者用人口入力シート!AY$3,IF(管理者入力シート!$B$14=2,DD12*管理者用人口入力シート!AY$7))</f>
        <v>1135.4500273267561</v>
      </c>
      <c r="DF15" s="9">
        <f>IF(管理者入力シート!$B$14=1,DE12*管理者用人口入力シート!AZ$3,IF(管理者入力シート!$B$14=2,DE12*管理者用人口入力シート!AZ$7))</f>
        <v>1197.6206894236827</v>
      </c>
      <c r="DG15" s="9">
        <f>IF(管理者入力シート!$B$14=1,DF12*管理者用人口入力シート!BA$3,IF(管理者入力シート!$B$14=2,DF12*管理者用人口入力シート!BA$7))</f>
        <v>806.36587644315171</v>
      </c>
      <c r="DH15" s="9">
        <f>IF(管理者入力シート!$B$14=1,DG12*管理者用人口入力シート!BB$3,IF(管理者入力シート!$B$14=2,DG12*管理者用人口入力シート!BB$7))</f>
        <v>676.46139401655159</v>
      </c>
      <c r="DI15" s="9">
        <f>IF(管理者入力シート!$B$14=1,DH12*管理者用人口入力シート!BC$3,IF(管理者入力シート!$B$14=2,DH12*管理者用人口入力シート!BC$7))</f>
        <v>494.91801510291344</v>
      </c>
      <c r="DJ15" s="9">
        <f>IF(管理者入力シート!$B$14=1,DI12*管理者用人口入力シート!BD$3,IF(管理者入力シート!$B$14=2,DI12*管理者用人口入力シート!BD$7))</f>
        <v>260.00856077345139</v>
      </c>
      <c r="DK15" s="9">
        <f>IF(管理者入力シート!$B$14=1,DJ12*管理者用人口入力シート!BE$3,IF(管理者入力シート!$B$14=2,DJ12*管理者用人口入力シート!BE$7))</f>
        <v>89.263518084937445</v>
      </c>
      <c r="DL15" s="9">
        <f>IF(管理者入力シート!$B$14=1,DK12*管理者用人口入力シート!BF$3,IF(管理者入力シート!$B$14=2,DK12*管理者用人口入力シート!BF$7))</f>
        <v>0.82758532686644881</v>
      </c>
      <c r="DM15" s="9">
        <f t="shared" ref="DM15:DM20" si="260">SUM(CR15:DL15)</f>
        <v>13192.554912511823</v>
      </c>
      <c r="DN15" s="9">
        <f t="shared" ref="DN15:DN20" si="261">CS15*3/5+CT15*3/5</f>
        <v>607.574919596884</v>
      </c>
      <c r="DO15" s="9">
        <f t="shared" ref="DO15:DO20" si="262">CT15*2/5+CU15*1/5</f>
        <v>309.23066105958179</v>
      </c>
      <c r="DP15" s="9">
        <f t="shared" ref="DP15:DP20" si="263">SUM(DE15:DL15)</f>
        <v>4660.9156664983102</v>
      </c>
      <c r="DQ15" s="9">
        <f t="shared" ref="DQ15:DQ20" si="264">SUM(DG15:DL15)</f>
        <v>2327.8449497478723</v>
      </c>
      <c r="DR15" s="13">
        <f t="shared" ref="DR15:DR20" si="265">DP15/DM15</f>
        <v>0.35329894000121964</v>
      </c>
      <c r="DS15" s="13">
        <f t="shared" ref="DS15:DS20" si="266">DQ15/DM15</f>
        <v>0.17645141257211244</v>
      </c>
      <c r="DT15" s="9">
        <f t="shared" ref="DT15:DT20" si="267">SUM(CV15:CY15)</f>
        <v>2469.4089978146148</v>
      </c>
      <c r="DV15" s="62" t="s">
        <v>404</v>
      </c>
      <c r="DW15" s="211">
        <f>AK13+AK14</f>
        <v>0.41099189882127207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488.73177889190026</v>
      </c>
      <c r="BL16" s="10">
        <f>IF(管理者入力シート!$B$14=1,BK13*管理者用人口入力シート!AM$4,IF(管理者入力シート!$B$14=2,BK13*管理者用人口入力シート!AM$8))</f>
        <v>489.88413776477205</v>
      </c>
      <c r="BM16" s="10">
        <f>IF(管理者入力シート!$B$14=1,BL13*管理者用人口入力シート!AN$4,IF(管理者入力シート!$B$14=2,BL13*管理者用人口入力シート!AN$8))</f>
        <v>509.52115729554691</v>
      </c>
      <c r="BN16" s="10">
        <f>IF(管理者入力シート!$B$14=1,BM13*管理者用人口入力シート!AO$4,IF(管理者入力シート!$B$14=2,BM13*管理者用人口入力シート!AO$8))</f>
        <v>595.43632790029221</v>
      </c>
      <c r="BO16" s="10">
        <f>IF(管理者入力シート!$B$14=1,BN13*管理者用人口入力シート!AP$4,IF(管理者入力シート!$B$14=2,BN13*管理者用人口入力シート!AP$8))</f>
        <v>519.4858045467696</v>
      </c>
      <c r="BP16" s="10">
        <f>IF(管理者入力シート!$B$14=1,BO13*管理者用人口入力シート!AQ$4,IF(管理者入力シート!$B$14=2,BO13*管理者用人口入力シート!AQ$8))</f>
        <v>605.20706655858601</v>
      </c>
      <c r="BQ16" s="10">
        <f>IF(管理者入力シート!$B$14=1,BP13*管理者用人口入力シート!AR$4,IF(管理者入力シート!$B$14=2,BP13*管理者用人口入力シート!AR$8))</f>
        <v>667.52083545207734</v>
      </c>
      <c r="BR16" s="10">
        <f>IF(管理者入力シート!$B$14=1,BQ13*管理者用人口入力シート!AS$4,IF(管理者入力シート!$B$14=2,BQ13*管理者用人口入力シート!AS$8))</f>
        <v>636.91446691126248</v>
      </c>
      <c r="BS16" s="10">
        <f>IF(管理者入力シート!$B$14=1,BR13*管理者用人口入力シート!AT$4,IF(管理者入力シート!$B$14=2,BR13*管理者用人口入力シート!AT$8))</f>
        <v>586.26725195588438</v>
      </c>
      <c r="BT16" s="10">
        <f>IF(管理者入力シート!$B$14=1,BS13*管理者用人口入力シート!AU$4,IF(管理者入力シート!$B$14=2,BS13*管理者用人口入力シート!AU$8))</f>
        <v>600.38942363207218</v>
      </c>
      <c r="BU16" s="10">
        <f>IF(管理者入力シート!$B$14=1,BT13*管理者用人口入力シート!AV$4,IF(管理者入力シート!$B$14=2,BT13*管理者用人口入力シート!AV$8))</f>
        <v>731.72229126913294</v>
      </c>
      <c r="BV16" s="10">
        <f>IF(管理者入力シート!$B$14=1,BU13*管理者用人口入力シート!AW$4,IF(管理者入力シート!$B$14=2,BU13*管理者用人口入力シート!AW$8))</f>
        <v>880.34021859840323</v>
      </c>
      <c r="BW16" s="10">
        <f>IF(管理者入力シート!$B$14=1,BV13*管理者用人口入力シート!AX$4,IF(管理者入力シート!$B$14=2,BV13*管理者用人口入力シート!AX$8))</f>
        <v>1020.8364446050134</v>
      </c>
      <c r="BX16" s="10">
        <f>IF(管理者入力シート!$B$14=1,BW13*管理者用人口入力シート!AY$4,IF(管理者入力シート!$B$14=2,BW13*管理者用人口入力シート!AY$8))</f>
        <v>1152.5660070518777</v>
      </c>
      <c r="BY16" s="10">
        <f>IF(管理者入力シート!$B$14=1,BX13*管理者用人口入力シート!AZ$4,IF(管理者入力シート!$B$14=2,BX13*管理者用人口入力シート!AZ$8))</f>
        <v>1299.6881330642927</v>
      </c>
      <c r="BZ16" s="10">
        <f>IF(管理者入力シート!$B$14=1,BY13*管理者用人口入力シート!BA$4,IF(管理者入力シート!$B$14=2,BY13*管理者用人口入力シート!BA$8))</f>
        <v>972.92837015654413</v>
      </c>
      <c r="CA16" s="10">
        <f>IF(管理者入力シート!$B$14=1,BZ13*管理者用人口入力シート!BB$4,IF(管理者入力シート!$B$14=2,BZ13*管理者用人口入力シート!BB$8))</f>
        <v>945.71676314233275</v>
      </c>
      <c r="CB16" s="10">
        <f>IF(管理者入力シート!$B$14=1,CA13*管理者用人口入力シート!BC$4,IF(管理者入力シート!$B$14=2,CA13*管理者用人口入力シート!BC$8))</f>
        <v>770.70165340105314</v>
      </c>
      <c r="CC16" s="10">
        <f>IF(管理者入力シート!$B$14=1,CB13*管理者用人口入力シート!BD$4,IF(管理者入力シート!$B$14=2,CB13*管理者用人口入力シート!BD$8))</f>
        <v>583.66995546044939</v>
      </c>
      <c r="CD16" s="10">
        <f>IF(管理者入力シート!$B$14=1,CC13*管理者用人口入力シート!BE$4,IF(管理者入力シート!$B$14=2,CC13*管理者用人口入力シート!BE$8))</f>
        <v>299.7789468899544</v>
      </c>
      <c r="CE16" s="10">
        <f>IF(管理者入力シート!$B$14=1,CD13*管理者用人口入力シート!BF$4,IF(管理者入力シート!$B$14=2,CD13*管理者用人口入力シート!BF$8))</f>
        <v>46.714445734677646</v>
      </c>
      <c r="CF16" s="10">
        <f t="shared" si="252"/>
        <v>14404.021480282892</v>
      </c>
      <c r="CG16" s="10">
        <f t="shared" si="253"/>
        <v>599.64317703619145</v>
      </c>
      <c r="CH16" s="10">
        <f t="shared" si="254"/>
        <v>322.89572849827721</v>
      </c>
      <c r="CI16" s="10">
        <f t="shared" si="255"/>
        <v>6071.7642749011829</v>
      </c>
      <c r="CJ16" s="10">
        <f t="shared" si="256"/>
        <v>3619.5101347850114</v>
      </c>
      <c r="CK16" s="14">
        <f t="shared" si="257"/>
        <v>0.42153257569162794</v>
      </c>
      <c r="CL16" s="14">
        <f t="shared" si="258"/>
        <v>0.25128469432926204</v>
      </c>
      <c r="CM16" s="10">
        <f t="shared" si="259"/>
        <v>2429.1281734686954</v>
      </c>
      <c r="CO16" s="7" t="str">
        <f t="shared" si="26"/>
        <v>2045_2</v>
      </c>
      <c r="CP16" s="29">
        <f>CP15</f>
        <v>2045</v>
      </c>
      <c r="CQ16" s="4" t="s">
        <v>22</v>
      </c>
      <c r="CR16" s="10">
        <f>DT16*$AK$14+将来予測シート②!$H17</f>
        <v>491.60187306358296</v>
      </c>
      <c r="CS16" s="10">
        <f>IF(管理者入力シート!$B$14=1,CR13*管理者用人口入力シート!AM$4,IF(管理者入力シート!$B$14=2,CR13*管理者用人口入力シート!AM$8))+将来予測シート②!$H18</f>
        <v>492.27759980308372</v>
      </c>
      <c r="CT16" s="10">
        <f>IF(管理者入力シート!$B$14=1,CS13*管理者用人口入力シート!AN$4,IF(管理者入力シート!$B$14=2,CS13*管理者用人口入力シート!AN$8))+将来予測シート②!$H19</f>
        <v>512.7779293642659</v>
      </c>
      <c r="CU16" s="10">
        <f>IF(管理者入力シート!$B$14=1,CT13*管理者用人口入力シート!AO$4,IF(管理者入力シート!$B$14=2,CT13*管理者用人口入力シート!AO$8))+将来予測シート②!$H20</f>
        <v>598.51157056510135</v>
      </c>
      <c r="CV16" s="10">
        <f>IF(管理者入力シート!$B$14=1,CU13*管理者用人口入力シート!AP$4,IF(管理者入力シート!$B$14=2,CU13*管理者用人口入力シート!AP$8))+将来予測シート②!$H21</f>
        <v>521.2521841174713</v>
      </c>
      <c r="CW16" s="10">
        <f>IF(管理者入力シート!$B$14=1,CV13*管理者用人口入力シート!AQ$4,IF(管理者入力シート!$B$14=2,CV13*管理者用人口入力シート!AQ$8))+将来予測シート②!$H22</f>
        <v>608.11078189942509</v>
      </c>
      <c r="CX16" s="10">
        <f>IF(管理者入力シート!$B$14=1,CW13*管理者用人口入力シート!AR$4,IF(管理者入力シート!$B$14=2,CW13*管理者用人口入力シート!AR$8))+将来予測シート②!$H23</f>
        <v>670.32224970660161</v>
      </c>
      <c r="CY16" s="10">
        <f>IF(管理者入力シート!$B$14=1,CX13*管理者用人口入力シート!AS$4,IF(管理者入力シート!$B$14=2,CX13*管理者用人口入力シート!AS$8))+将来予測シート②!$H24</f>
        <v>638.73782792894872</v>
      </c>
      <c r="CZ16" s="10">
        <f>IF(管理者入力シート!$B$14=1,CY13*管理者用人口入力シート!AT$4,IF(管理者入力シート!$B$14=2,CY13*管理者用人口入力シート!AT$8))+将来予測シート②!$H25</f>
        <v>589.06125229138604</v>
      </c>
      <c r="DA16" s="10">
        <f>IF(管理者入力シート!$B$14=1,CZ13*管理者用人口入力シート!AU$4,IF(管理者入力シート!$B$14=2,CZ13*管理者用人口入力シート!AU$8))+将来予測シート②!$H26</f>
        <v>603.20008287695657</v>
      </c>
      <c r="DB16" s="10">
        <f>IF(管理者入力シート!$B$14=1,DA13*管理者用人口入力シート!AV$4,IF(管理者入力シート!$B$14=2,DA13*管理者用人口入力シート!AV$8))+将来予測シート②!$H27</f>
        <v>732.74111447028508</v>
      </c>
      <c r="DC16" s="10">
        <f>IF(管理者入力シート!$B$14=1,DB13*管理者用人口入力シート!AW$4,IF(管理者入力シート!$B$14=2,DB13*管理者用人口入力シート!AW$8))+将来予測シート②!$H28</f>
        <v>881.34738037275883</v>
      </c>
      <c r="DD16" s="10">
        <f>IF(管理者入力シート!$B$14=1,DC13*管理者用人口入力シート!AX$4,IF(管理者入力シート!$B$14=2,DC13*管理者用人口入力シート!AX$8))+将来予測シート②!$H29</f>
        <v>1021.8281616689632</v>
      </c>
      <c r="DE16" s="10">
        <f>IF(管理者入力シート!$B$14=1,DD13*管理者用人口入力シート!AY$4,IF(管理者入力シート!$B$14=2,DD13*管理者用人口入力シート!AY$8))</f>
        <v>1152.5660070518777</v>
      </c>
      <c r="DF16" s="10">
        <f>IF(管理者入力シート!$B$14=1,DE13*管理者用人口入力シート!AZ$4,IF(管理者入力シート!$B$14=2,DE13*管理者用人口入力シート!AZ$8))</f>
        <v>1299.6881330642927</v>
      </c>
      <c r="DG16" s="10">
        <f>IF(管理者入力シート!$B$14=1,DF13*管理者用人口入力シート!BA$4,IF(管理者入力シート!$B$14=2,DF13*管理者用人口入力シート!BA$8))</f>
        <v>972.92837015654413</v>
      </c>
      <c r="DH16" s="10">
        <f>IF(管理者入力シート!$B$14=1,DG13*管理者用人口入力シート!BB$4,IF(管理者入力シート!$B$14=2,DG13*管理者用人口入力シート!BB$8))</f>
        <v>945.71676314233275</v>
      </c>
      <c r="DI16" s="10">
        <f>IF(管理者入力シート!$B$14=1,DH13*管理者用人口入力シート!BC$4,IF(管理者入力シート!$B$14=2,DH13*管理者用人口入力シート!BC$8))</f>
        <v>770.70165340105314</v>
      </c>
      <c r="DJ16" s="10">
        <f>IF(管理者入力シート!$B$14=1,DI13*管理者用人口入力シート!BD$4,IF(管理者入力シート!$B$14=2,DI13*管理者用人口入力シート!BD$8))</f>
        <v>583.66995546044939</v>
      </c>
      <c r="DK16" s="10">
        <f>IF(管理者入力シート!$B$14=1,DJ13*管理者用人口入力シート!BE$4,IF(管理者入力シート!$B$14=2,DJ13*管理者用人口入力シート!BE$8))</f>
        <v>299.7789468899544</v>
      </c>
      <c r="DL16" s="10">
        <f>IF(管理者入力シート!$B$14=1,DK13*管理者用人口入力シート!BF$4,IF(管理者入力シート!$B$14=2,DK13*管理者用人口入力シート!BF$8))</f>
        <v>46.714445734677646</v>
      </c>
      <c r="DM16" s="10">
        <f t="shared" si="260"/>
        <v>14433.534283030011</v>
      </c>
      <c r="DN16" s="10">
        <f t="shared" si="261"/>
        <v>603.03331750040979</v>
      </c>
      <c r="DO16" s="10">
        <f t="shared" si="262"/>
        <v>324.81348585872661</v>
      </c>
      <c r="DP16" s="10">
        <f t="shared" si="263"/>
        <v>6071.7642749011829</v>
      </c>
      <c r="DQ16" s="10">
        <f t="shared" si="264"/>
        <v>3619.5101347850114</v>
      </c>
      <c r="DR16" s="14">
        <f t="shared" si="265"/>
        <v>0.42067065181948954</v>
      </c>
      <c r="DS16" s="14">
        <f t="shared" si="266"/>
        <v>0.25077088284887994</v>
      </c>
      <c r="DT16" s="10">
        <f t="shared" si="267"/>
        <v>2438.4230436524467</v>
      </c>
      <c r="DV16" s="212" t="s">
        <v>406</v>
      </c>
      <c r="DW16" s="7">
        <f>IF(DW10&lt;0,ABS(DW10)/DW15,0)</f>
        <v>557.00165373089635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998.35200049414743</v>
      </c>
      <c r="BL17" s="16">
        <f t="shared" ref="BL17:CE17" si="268">BL15+BL16</f>
        <v>988.37291144784024</v>
      </c>
      <c r="BM17" s="16">
        <f t="shared" si="268"/>
        <v>1018.0484707320973</v>
      </c>
      <c r="BN17" s="16">
        <f t="shared" si="268"/>
        <v>1115.4604873978174</v>
      </c>
      <c r="BO17" s="16">
        <f t="shared" si="268"/>
        <v>996.82253519379788</v>
      </c>
      <c r="BP17" s="16">
        <f t="shared" si="268"/>
        <v>1210.0022272791534</v>
      </c>
      <c r="BQ17" s="16">
        <f t="shared" si="268"/>
        <v>1350.9200144058377</v>
      </c>
      <c r="BR17" s="16">
        <f t="shared" si="268"/>
        <v>1331.5628663965149</v>
      </c>
      <c r="BS17" s="16">
        <f t="shared" si="268"/>
        <v>1290.5936791781069</v>
      </c>
      <c r="BT17" s="16">
        <f t="shared" si="268"/>
        <v>1298.0071454435147</v>
      </c>
      <c r="BU17" s="16">
        <f t="shared" si="268"/>
        <v>1442.5523103508458</v>
      </c>
      <c r="BV17" s="16">
        <f t="shared" si="268"/>
        <v>1726.2750680016179</v>
      </c>
      <c r="BW17" s="16">
        <f t="shared" si="268"/>
        <v>2072.6483369079815</v>
      </c>
      <c r="BX17" s="16">
        <f t="shared" si="268"/>
        <v>2288.0160343786338</v>
      </c>
      <c r="BY17" s="16">
        <f t="shared" si="268"/>
        <v>2497.3088224879757</v>
      </c>
      <c r="BZ17" s="16">
        <f t="shared" si="268"/>
        <v>1779.2942465996957</v>
      </c>
      <c r="CA17" s="16">
        <f t="shared" si="268"/>
        <v>1622.1781571588845</v>
      </c>
      <c r="CB17" s="16">
        <f t="shared" si="268"/>
        <v>1265.6196685039665</v>
      </c>
      <c r="CC17" s="16">
        <f t="shared" si="268"/>
        <v>843.67851623390084</v>
      </c>
      <c r="CD17" s="16">
        <f t="shared" si="268"/>
        <v>389.04246497489186</v>
      </c>
      <c r="CE17" s="16">
        <f t="shared" si="268"/>
        <v>47.542031061544094</v>
      </c>
      <c r="CF17" s="11">
        <f t="shared" si="252"/>
        <v>27572.297994628767</v>
      </c>
      <c r="CG17" s="11">
        <f t="shared" si="253"/>
        <v>1203.8528293079626</v>
      </c>
      <c r="CH17" s="11">
        <f t="shared" si="254"/>
        <v>630.31148577240242</v>
      </c>
      <c r="CI17" s="11">
        <f t="shared" si="255"/>
        <v>10732.679941399492</v>
      </c>
      <c r="CJ17" s="11">
        <f t="shared" si="256"/>
        <v>5947.3550845328846</v>
      </c>
      <c r="CK17" s="15">
        <f t="shared" si="257"/>
        <v>0.38925590980810798</v>
      </c>
      <c r="CL17" s="15">
        <f t="shared" si="258"/>
        <v>0.2157003774473735</v>
      </c>
      <c r="CM17" s="11">
        <f t="shared" si="259"/>
        <v>4889.3076432753041</v>
      </c>
      <c r="CO17" s="7" t="str">
        <f t="shared" si="26"/>
        <v>2045_3</v>
      </c>
      <c r="CP17" s="30">
        <f>CP16</f>
        <v>2045</v>
      </c>
      <c r="CQ17" s="5" t="s">
        <v>23</v>
      </c>
      <c r="CR17" s="16">
        <f>CR15+CR16</f>
        <v>1004.1721168402646</v>
      </c>
      <c r="CS17" s="16">
        <f>CS15+CS16</f>
        <v>993.16226403900305</v>
      </c>
      <c r="CT17" s="16">
        <f t="shared" ref="CT17:DL17" si="269">CT15+CT16</f>
        <v>1024.5181311231531</v>
      </c>
      <c r="CU17" s="16">
        <f t="shared" si="269"/>
        <v>1121.1844723452357</v>
      </c>
      <c r="CV17" s="16">
        <f t="shared" si="269"/>
        <v>1000.1809182753615</v>
      </c>
      <c r="CW17" s="16">
        <f t="shared" si="269"/>
        <v>1215.810807869555</v>
      </c>
      <c r="CX17" s="16">
        <f t="shared" si="269"/>
        <v>1356.5525719831962</v>
      </c>
      <c r="CY17" s="16">
        <f t="shared" si="269"/>
        <v>1335.2877433389485</v>
      </c>
      <c r="CZ17" s="16">
        <f t="shared" si="269"/>
        <v>1295.3057358603178</v>
      </c>
      <c r="DA17" s="16">
        <f t="shared" si="269"/>
        <v>1302.7410751674045</v>
      </c>
      <c r="DB17" s="16">
        <f t="shared" si="269"/>
        <v>1443.5711335519979</v>
      </c>
      <c r="DC17" s="16">
        <f t="shared" si="269"/>
        <v>1727.2822297759735</v>
      </c>
      <c r="DD17" s="16">
        <f t="shared" si="269"/>
        <v>2073.6400539719311</v>
      </c>
      <c r="DE17" s="16">
        <f t="shared" si="269"/>
        <v>2288.0160343786338</v>
      </c>
      <c r="DF17" s="16">
        <f t="shared" si="269"/>
        <v>2497.3088224879757</v>
      </c>
      <c r="DG17" s="16">
        <f t="shared" si="269"/>
        <v>1779.2942465996957</v>
      </c>
      <c r="DH17" s="16">
        <f t="shared" si="269"/>
        <v>1622.1781571588845</v>
      </c>
      <c r="DI17" s="16">
        <f t="shared" si="269"/>
        <v>1265.6196685039665</v>
      </c>
      <c r="DJ17" s="16">
        <f t="shared" si="269"/>
        <v>843.67851623390084</v>
      </c>
      <c r="DK17" s="16">
        <f t="shared" si="269"/>
        <v>389.04246497489186</v>
      </c>
      <c r="DL17" s="16">
        <f t="shared" si="269"/>
        <v>47.542031061544094</v>
      </c>
      <c r="DM17" s="11">
        <f t="shared" si="260"/>
        <v>27626.089195541837</v>
      </c>
      <c r="DN17" s="11">
        <f t="shared" si="261"/>
        <v>1210.6082370972936</v>
      </c>
      <c r="DO17" s="11">
        <f t="shared" si="262"/>
        <v>634.04414691830834</v>
      </c>
      <c r="DP17" s="11">
        <f t="shared" si="263"/>
        <v>10732.679941399492</v>
      </c>
      <c r="DQ17" s="11">
        <f t="shared" si="264"/>
        <v>5947.3550845328846</v>
      </c>
      <c r="DR17" s="15">
        <f t="shared" si="265"/>
        <v>0.38849798338924785</v>
      </c>
      <c r="DS17" s="15">
        <f t="shared" si="266"/>
        <v>0.21528038378637537</v>
      </c>
      <c r="DT17" s="11">
        <f t="shared" si="267"/>
        <v>4907.8320414670616</v>
      </c>
      <c r="DV17" s="62" t="s">
        <v>407</v>
      </c>
      <c r="DW17" s="7">
        <f>IF(DW9&gt;=0,0,IF(AND(DW10&lt;=0,DW9&lt;=0,DW16*2&gt;=ABS(DW9)),ROUND(DW16/3,0),ROUND(ABS(DW9)/6,0)))</f>
        <v>225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464.02056133940425</v>
      </c>
      <c r="BL18" s="9">
        <f>IF(管理者入力シート!$B$14=1,BK15*管理者用人口入力シート!AM$3,IF(管理者入力シート!$B$14=2,BK15*管理者用人口入力シート!AM$7))</f>
        <v>472.31902204689379</v>
      </c>
      <c r="BM18" s="9">
        <f>IF(管理者入力シート!$B$14=1,BL15*管理者用人口入力シート!AN$3,IF(管理者入力シート!$B$14=2,BL15*管理者用人口入力シート!AN$7))</f>
        <v>496.85330395944442</v>
      </c>
      <c r="BN18" s="9">
        <f>IF(管理者入力シート!$B$14=1,BM15*管理者用人口入力シート!AO$3,IF(管理者入力シート!$B$14=2,BM15*管理者用人口入力シート!AO$7))</f>
        <v>501.60110075030451</v>
      </c>
      <c r="BO18" s="9">
        <f>IF(管理者入力シート!$B$14=1,BN15*管理者用人口入力シート!AP$3,IF(管理者入力シート!$B$14=2,BN15*管理者用人口入力シート!AP$7))</f>
        <v>436.28601026918824</v>
      </c>
      <c r="BP18" s="9">
        <f>IF(管理者入力シート!$B$14=1,BO15*管理者用人口入力シート!AQ$3,IF(管理者入力シート!$B$14=2,BO15*管理者用人口入力シート!AQ$7))</f>
        <v>521.93545673946278</v>
      </c>
      <c r="BQ18" s="9">
        <f>IF(管理者入力シート!$B$14=1,BP15*管理者用人口入力シート!AR$3,IF(管理者入力シート!$B$14=2,BP15*管理者用人口入力シート!AR$7))</f>
        <v>589.44619934247817</v>
      </c>
      <c r="BR18" s="9">
        <f>IF(管理者入力シート!$B$14=1,BQ15*管理者用人口入力シート!AS$3,IF(管理者入力シート!$B$14=2,BQ15*管理者用人口入力シート!AS$7))</f>
        <v>666.66638832202466</v>
      </c>
      <c r="BS18" s="9">
        <f>IF(管理者入力シート!$B$14=1,BR15*管理者用人口入力シート!AT$3,IF(管理者入力シート!$B$14=2,BR15*管理者用人口入力シート!AT$7))</f>
        <v>700.6908298921154</v>
      </c>
      <c r="BT18" s="9">
        <f>IF(管理者入力シート!$B$14=1,BS15*管理者用人口入力シート!AU$3,IF(管理者入力シート!$B$14=2,BS15*管理者用人口入力シート!AU$7))</f>
        <v>706.24110046806504</v>
      </c>
      <c r="BU18" s="9">
        <f>IF(管理者入力シート!$B$14=1,BT15*管理者用人口入力シート!AV$3,IF(管理者入力シート!$B$14=2,BT15*管理者用人口入力シート!AV$7))</f>
        <v>701.14480616277285</v>
      </c>
      <c r="BV18" s="9">
        <f>IF(管理者入力シート!$B$14=1,BU15*管理者用人口入力シート!AW$3,IF(管理者入力シート!$B$14=2,BU15*管理者用人口入力シート!AW$7))</f>
        <v>699.32646373549233</v>
      </c>
      <c r="BW18" s="9">
        <f>IF(管理者入力シート!$B$14=1,BV15*管理者用人口入力シート!AX$3,IF(管理者入力シート!$B$14=2,BV15*管理者用人口入力シート!AX$7))</f>
        <v>852.45972773524613</v>
      </c>
      <c r="BX18" s="9">
        <f>IF(管理者入力シート!$B$14=1,BW15*管理者用人口入力シート!AY$3,IF(管理者入力シート!$B$14=2,BW15*管理者用人口入力シート!AY$7))</f>
        <v>991.72187841812342</v>
      </c>
      <c r="BY18" s="9">
        <f>IF(管理者入力シート!$B$14=1,BX15*管理者用人口入力シート!AZ$3,IF(管理者入力シート!$B$14=2,BX15*管理者用人口入力シート!AZ$7))</f>
        <v>1068.725871568224</v>
      </c>
      <c r="BZ18" s="9">
        <f>IF(管理者入力シート!$B$14=1,BY15*管理者用人口入力シート!BA$3,IF(管理者入力シート!$B$14=2,BY15*管理者用人口入力シート!BA$7))</f>
        <v>1094.9389346643377</v>
      </c>
      <c r="CA18" s="9">
        <f>IF(管理者入力シート!$B$14=1,BZ15*管理者用人口入力シート!BB$3,IF(管理者入力シート!$B$14=2,BZ15*管理者用人口入力シート!BB$7))</f>
        <v>647.53248139267998</v>
      </c>
      <c r="CB18" s="9">
        <f>IF(管理者入力シート!$B$14=1,CA15*管理者用人口入力シート!BC$3,IF(管理者入力シート!$B$14=2,CA15*管理者用人口入力シート!BC$7))</f>
        <v>485.70926922731331</v>
      </c>
      <c r="CC18" s="9">
        <f>IF(管理者入力シート!$B$14=1,CB15*管理者用人口入力シート!BD$3,IF(管理者入力シート!$B$14=2,CB15*管理者用人口入力シート!BD$7))</f>
        <v>229.18844191373685</v>
      </c>
      <c r="CD18" s="9">
        <f>IF(管理者入力シート!$B$14=1,CC15*管理者用人口入力シート!BE$3,IF(管理者入力シート!$B$14=2,CC15*管理者用人口入力シート!BE$7))</f>
        <v>79.266040780456194</v>
      </c>
      <c r="CE18" s="9">
        <f>IF(管理者入力シート!$B$14=1,CD15*管理者用人口入力シート!BF$3,IF(管理者入力シート!$B$14=2,CD15*管理者用人口入力シート!BF$7))</f>
        <v>1.1376902396310193</v>
      </c>
      <c r="CF18" s="9">
        <f t="shared" si="252"/>
        <v>12407.211578967395</v>
      </c>
      <c r="CG18" s="9">
        <f t="shared" si="253"/>
        <v>581.50339560380291</v>
      </c>
      <c r="CH18" s="9">
        <f t="shared" si="254"/>
        <v>299.06154173383868</v>
      </c>
      <c r="CI18" s="9">
        <f t="shared" si="255"/>
        <v>4598.2206082045032</v>
      </c>
      <c r="CJ18" s="9">
        <f t="shared" si="256"/>
        <v>2537.7728582181549</v>
      </c>
      <c r="CK18" s="13">
        <f t="shared" si="257"/>
        <v>0.37060870437636201</v>
      </c>
      <c r="CL18" s="13">
        <f t="shared" si="258"/>
        <v>0.20454014522652025</v>
      </c>
      <c r="CM18" s="9">
        <f t="shared" si="259"/>
        <v>2214.3340546731538</v>
      </c>
      <c r="CO18" s="7" t="str">
        <f t="shared" si="26"/>
        <v>2050_1</v>
      </c>
      <c r="CP18" s="28">
        <f>管理者入力シート!B13</f>
        <v>2050</v>
      </c>
      <c r="CQ18" s="3" t="s">
        <v>21</v>
      </c>
      <c r="CR18" s="9">
        <f>DT19*$AK$13+将来予測シート②!$G17</f>
        <v>467.47031000710138</v>
      </c>
      <c r="CS18" s="9">
        <f>IF(管理者入力シート!$B$14=1,CR15*管理者用人口入力シート!AM$3,IF(管理者入力シート!$B$14=2,CR15*管理者用人口入力シート!AM$7))+将来予測シート②!$G18</f>
        <v>475.053119968018</v>
      </c>
      <c r="CT18" s="9">
        <f>IF(管理者入力シート!$B$14=1,CS15*管理者用人口入力シート!AN$3,IF(管理者入力シート!$B$14=2,CS15*管理者用人口入力シート!AN$7))+将来予測シート②!$G19</f>
        <v>500.24133394117104</v>
      </c>
      <c r="CU18" s="9">
        <f>IF(管理者入力シート!$B$14=1,CT15*管理者用人口入力シート!AO$3,IF(管理者入力シート!$B$14=2,CT15*管理者用人口入力シート!AO$7))+将来予測シート②!$G20</f>
        <v>504.7702290871506</v>
      </c>
      <c r="CV18" s="9">
        <f>IF(管理者入力シート!$B$14=1,CU15*管理者用人口入力シート!AP$3,IF(管理者入力シート!$B$14=2,CU15*管理者用人口入力シート!AP$7))+将来予測シート②!$G21</f>
        <v>438.5082324133046</v>
      </c>
      <c r="CW18" s="9">
        <f>IF(管理者入力シート!$B$14=1,CV15*管理者用人口入力シート!AQ$3,IF(管理者入力シート!$B$14=2,CV15*管理者用人口入力シート!AQ$7))+将来予測シート②!$G22</f>
        <v>525.67620499163729</v>
      </c>
      <c r="CX18" s="9">
        <f>IF(管理者入力シート!$B$14=1,CW15*管理者用人口入力シート!AR$3,IF(管理者入力シート!$B$14=2,CW15*管理者用人口入力シート!AR$7))+将来予測シート②!$G23</f>
        <v>592.27734266531286</v>
      </c>
      <c r="CY18" s="9">
        <f>IF(管理者入力シート!$B$14=1,CX15*管理者用人口入力シート!AS$3,IF(管理者入力シート!$B$14=2,CX15*管理者用人口入力シート!AS$7))+将来予測シート②!$G24</f>
        <v>669.42821208766861</v>
      </c>
      <c r="CZ18" s="9">
        <f>IF(管理者入力シート!$B$14=1,CY15*管理者用人口入力シート!AT$3,IF(管理者入力シート!$B$14=2,CY15*管理者用人口入力シート!AT$7))+将来予測シート②!$G25</f>
        <v>702.60888623882488</v>
      </c>
      <c r="DA18" s="9">
        <f>IF(管理者入力シート!$B$14=1,CZ15*管理者用人口入力シート!AU$3,IF(管理者入力シート!$B$14=2,CZ15*管理者用人口入力シート!AU$7))+将来予測シート②!$G26</f>
        <v>708.16437094707021</v>
      </c>
      <c r="DB18" s="9">
        <f>IF(管理者入力シート!$B$14=1,DA15*管理者用人口入力シート!AV$3,IF(管理者入力シート!$B$14=2,DA15*管理者用人口入力シート!AV$7))+将来予測シート②!$G27</f>
        <v>703.07780050199244</v>
      </c>
      <c r="DC18" s="9">
        <f>IF(管理者入力シート!$B$14=1,DB15*管理者用人口入力シート!AW$3,IF(管理者入力シート!$B$14=2,DB15*管理者用人口入力シート!AW$7))+将来予測シート②!$G28</f>
        <v>699.32646373549233</v>
      </c>
      <c r="DD18" s="9">
        <f>IF(管理者入力シート!$B$14=1,DC15*管理者用人口入力シート!AX$3,IF(管理者入力シート!$B$14=2,DC15*管理者用人口入力シート!AX$7))+将来予測シート②!$G29</f>
        <v>852.45972773524613</v>
      </c>
      <c r="DE18" s="9">
        <f>IF(管理者入力シート!$B$14=1,DD15*管理者用人口入力シート!AY$3,IF(管理者入力シート!$B$14=2,DD15*管理者用人口入力シート!AY$7))</f>
        <v>991.72187841812342</v>
      </c>
      <c r="DF18" s="9">
        <f>IF(管理者入力シート!$B$14=1,DE15*管理者用人口入力シート!AZ$3,IF(管理者入力シート!$B$14=2,DE15*管理者用人口入力シート!AZ$7))</f>
        <v>1068.725871568224</v>
      </c>
      <c r="DG18" s="9">
        <f>IF(管理者入力シート!$B$14=1,DF15*管理者用人口入力シート!BA$3,IF(管理者入力シート!$B$14=2,DF15*管理者用人口入力シート!BA$7))</f>
        <v>1094.9389346643377</v>
      </c>
      <c r="DH18" s="9">
        <f>IF(管理者入力シート!$B$14=1,DG15*管理者用人口入力シート!BB$3,IF(管理者入力シート!$B$14=2,DG15*管理者用人口入力シート!BB$7))</f>
        <v>647.53248139267998</v>
      </c>
      <c r="DI18" s="9">
        <f>IF(管理者入力シート!$B$14=1,DH15*管理者用人口入力シート!BC$3,IF(管理者入力シート!$B$14=2,DH15*管理者用人口入力シート!BC$7))</f>
        <v>485.70926922731331</v>
      </c>
      <c r="DJ18" s="9">
        <f>IF(管理者入力シート!$B$14=1,DI15*管理者用人口入力シート!BD$3,IF(管理者入力シート!$B$14=2,DI15*管理者用人口入力シート!BD$7))</f>
        <v>229.18844191373685</v>
      </c>
      <c r="DK18" s="9">
        <f>IF(管理者入力シート!$B$14=1,DJ15*管理者用人口入力シート!BE$3,IF(管理者入力シート!$B$14=2,DJ15*管理者用人口入力シート!BE$7))</f>
        <v>79.266040780456194</v>
      </c>
      <c r="DL18" s="9">
        <f>IF(管理者入力シート!$B$14=1,DK15*管理者用人口入力シート!BF$3,IF(管理者入力シート!$B$14=2,DK15*管理者用人口入力シート!BF$7))</f>
        <v>1.1376902396310193</v>
      </c>
      <c r="DM18" s="9">
        <f t="shared" si="260"/>
        <v>12437.282842524492</v>
      </c>
      <c r="DN18" s="9">
        <f t="shared" si="261"/>
        <v>585.17667234551345</v>
      </c>
      <c r="DO18" s="9">
        <f t="shared" si="262"/>
        <v>301.05057939389849</v>
      </c>
      <c r="DP18" s="9">
        <f t="shared" si="263"/>
        <v>4598.2206082045032</v>
      </c>
      <c r="DQ18" s="9">
        <f t="shared" si="264"/>
        <v>2537.7728582181549</v>
      </c>
      <c r="DR18" s="13">
        <f t="shared" si="265"/>
        <v>0.36971263469884769</v>
      </c>
      <c r="DS18" s="13">
        <f t="shared" si="266"/>
        <v>0.20404560146700365</v>
      </c>
      <c r="DT18" s="9">
        <f t="shared" si="267"/>
        <v>2225.8899921579236</v>
      </c>
      <c r="DX18" s="288">
        <f>DX1</f>
        <v>225</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445.00116905256095</v>
      </c>
      <c r="BL19" s="10">
        <f>IF(管理者入力シート!$B$14=1,BK16*管理者用人口入力シート!AM$4,IF(管理者入力シート!$B$14=2,BK16*管理者用人口入力シート!AM$8))</f>
        <v>464.16611382396331</v>
      </c>
      <c r="BM19" s="10">
        <f>IF(管理者入力シート!$B$14=1,BL16*管理者用人口入力シート!AN$4,IF(管理者入力シート!$B$14=2,BL16*管理者用人口入力シート!AN$8))</f>
        <v>497.82433263758003</v>
      </c>
      <c r="BN19" s="10">
        <f>IF(管理者入力シート!$B$14=1,BM16*管理者用人口入力シート!AO$4,IF(管理者入力シート!$B$14=2,BM16*管理者用人口入力シート!AO$8))</f>
        <v>574.34161864729185</v>
      </c>
      <c r="BO19" s="10">
        <f>IF(管理者入力シート!$B$14=1,BN16*管理者用人口入力シート!AP$4,IF(管理者入力シート!$B$14=2,BN16*管理者用人口入力シート!AP$8))</f>
        <v>474.81028486949589</v>
      </c>
      <c r="BP19" s="10">
        <f>IF(管理者入力シート!$B$14=1,BO16*管理者用人口入力シート!AQ$4,IF(管理者入力シート!$B$14=2,BO16*管理者用人口入力シート!AQ$8))</f>
        <v>522.29092959318689</v>
      </c>
      <c r="BQ19" s="10">
        <f>IF(管理者入力シート!$B$14=1,BP16*管理者用人口入力シート!AR$4,IF(管理者入力シート!$B$14=2,BP16*管理者用人口入力シート!AR$8))</f>
        <v>583.88495571540534</v>
      </c>
      <c r="BR19" s="10">
        <f>IF(管理者入力シート!$B$14=1,BQ16*管理者用人口入力シート!AS$4,IF(管理者入力シート!$B$14=2,BQ16*管理者用人口入力シート!AS$8))</f>
        <v>630.78913001407284</v>
      </c>
      <c r="BS19" s="10">
        <f>IF(管理者入力シート!$B$14=1,BR16*管理者用人口入力シート!AT$4,IF(管理者入力シート!$B$14=2,BR16*管理者用人口入力シート!AT$8))</f>
        <v>626.65854772667649</v>
      </c>
      <c r="BT19" s="10">
        <f>IF(管理者入力シート!$B$14=1,BS16*管理者用人口入力シート!AU$4,IF(管理者入力シート!$B$14=2,BS16*管理者用人口入力シート!AU$8))</f>
        <v>589.76280379972525</v>
      </c>
      <c r="BU19" s="10">
        <f>IF(管理者入力シート!$B$14=1,BT16*管理者用人口入力シート!AV$4,IF(管理者入力シート!$B$14=2,BT16*管理者用人口入力シート!AV$8))</f>
        <v>608.06515515898525</v>
      </c>
      <c r="BV19" s="10">
        <f>IF(管理者入力シート!$B$14=1,BU16*管理者用人口入力シート!AW$4,IF(管理者入力シート!$B$14=2,BU16*管理者用人口入力シート!AW$8))</f>
        <v>723.34701484701554</v>
      </c>
      <c r="BW19" s="10">
        <f>IF(管理者入力シート!$B$14=1,BV16*管理者用人口入力シート!AX$4,IF(管理者入力シート!$B$14=2,BV16*管理者用人口入力シート!AX$8))</f>
        <v>866.84030221828323</v>
      </c>
      <c r="BX19" s="10">
        <f>IF(管理者入力シート!$B$14=1,BW16*管理者用人口入力シート!AY$4,IF(管理者入力シート!$B$14=2,BW16*管理者用人口入力シート!AY$8))</f>
        <v>984.61960510321592</v>
      </c>
      <c r="BY19" s="10">
        <f>IF(管理者入力シート!$B$14=1,BX16*管理者用人口入力シート!AZ$4,IF(管理者入力シート!$B$14=2,BX16*管理者用人口入力シート!AZ$8))</f>
        <v>1119.039495672055</v>
      </c>
      <c r="BZ19" s="10">
        <f>IF(管理者入力シート!$B$14=1,BY16*管理者用人口入力シート!BA$4,IF(管理者入力シート!$B$14=2,BY16*管理者用人口入力シート!BA$8))</f>
        <v>1223.731392440319</v>
      </c>
      <c r="CA19" s="10">
        <f>IF(管理者入力シート!$B$14=1,BZ16*管理者用人口入力シート!BB$4,IF(管理者入力シート!$B$14=2,BZ16*管理者用人口入力シート!BB$8))</f>
        <v>922.91853496943315</v>
      </c>
      <c r="CB19" s="10">
        <f>IF(管理者入力シート!$B$14=1,CA16*管理者用人口入力シート!BC$4,IF(管理者入力シート!$B$14=2,CA16*管理者用人口入力シート!BC$8))</f>
        <v>768.99917450449891</v>
      </c>
      <c r="CC19" s="10">
        <f>IF(管理者入力シート!$B$14=1,CB16*管理者用人口入力シート!BD$4,IF(管理者入力シート!$B$14=2,CB16*管理者用人口入力シート!BD$8))</f>
        <v>507.29490459436875</v>
      </c>
      <c r="CD19" s="10">
        <f>IF(管理者入力シート!$B$14=1,CC16*管理者用人口入力シート!BE$4,IF(管理者入力シート!$B$14=2,CC16*管理者用人口入力シート!BE$8))</f>
        <v>262.92503708232402</v>
      </c>
      <c r="CE19" s="10">
        <f>IF(管理者入力シート!$B$14=1,CD16*管理者用人口入力シート!BF$4,IF(管理者入力シート!$B$14=2,CD16*管理者用人口入力シート!BF$8))</f>
        <v>59.476678298792883</v>
      </c>
      <c r="CF19" s="10">
        <f t="shared" si="252"/>
        <v>13456.787180769254</v>
      </c>
      <c r="CG19" s="10">
        <f t="shared" si="253"/>
        <v>577.19426787692601</v>
      </c>
      <c r="CH19" s="10">
        <f t="shared" si="254"/>
        <v>313.99805678449036</v>
      </c>
      <c r="CI19" s="10">
        <f t="shared" si="255"/>
        <v>5849.0048226650079</v>
      </c>
      <c r="CJ19" s="10">
        <f t="shared" si="256"/>
        <v>3745.345721889737</v>
      </c>
      <c r="CK19" s="14">
        <f t="shared" si="257"/>
        <v>0.43465091214518642</v>
      </c>
      <c r="CL19" s="14">
        <f t="shared" si="258"/>
        <v>0.27832391726028882</v>
      </c>
      <c r="CM19" s="10">
        <f t="shared" si="259"/>
        <v>2211.775300192161</v>
      </c>
      <c r="CO19" s="7" t="str">
        <f t="shared" si="26"/>
        <v>2050_2</v>
      </c>
      <c r="CP19" s="29">
        <f>CP18</f>
        <v>2050</v>
      </c>
      <c r="CQ19" s="4" t="s">
        <v>22</v>
      </c>
      <c r="CR19" s="10">
        <f>DT19*$AK$14+将来予測シート②!$H17</f>
        <v>448.35050680143883</v>
      </c>
      <c r="CS19" s="10">
        <f>IF(管理者入力シート!$B$14=1,CR16*管理者用人口入力シート!AM$4,IF(管理者入力シート!$B$14=2,CR16*管理者用人口入力シート!AM$8))+将来予測シート②!$H18</f>
        <v>466.89194528309054</v>
      </c>
      <c r="CT19" s="10">
        <f>IF(管理者入力シート!$B$14=1,CS16*管理者用人口入力シート!AN$4,IF(管理者入力シート!$B$14=2,CS16*管理者用人口入力シート!AN$8))+将来予測シート②!$H19</f>
        <v>501.25658865499781</v>
      </c>
      <c r="CU19" s="10">
        <f>IF(管理者入力シート!$B$14=1,CT16*管理者用人口入力シート!AO$4,IF(管理者入力シート!$B$14=2,CT16*管理者用人口入力シート!AO$8))+将来予測シート②!$H20</f>
        <v>578.01271201550765</v>
      </c>
      <c r="CV19" s="10">
        <f>IF(管理者入力シート!$B$14=1,CU16*管理者用人口入力シート!AP$4,IF(管理者入力シート!$B$14=2,CU16*管理者用人口入力シート!AP$8))+将来予測シート②!$H21</f>
        <v>477.2625316964066</v>
      </c>
      <c r="CW19" s="10">
        <f>IF(管理者入力シート!$B$14=1,CV16*管理者用人口入力シート!AQ$4,IF(管理者入力シート!$B$14=2,CV16*管理者用人口入力シート!AQ$8))+将来予測シート②!$H22</f>
        <v>526.06684727933248</v>
      </c>
      <c r="CX19" s="10">
        <f>IF(管理者入力シート!$B$14=1,CW16*管理者用人口入力シート!AR$4,IF(管理者入力シート!$B$14=2,CW16*管理者用人口入力シート!AR$8))+将来予測シート②!$H23</f>
        <v>586.6863699699295</v>
      </c>
      <c r="CY19" s="10">
        <f>IF(管理者入力シート!$B$14=1,CX16*管理者用人口入力シート!AS$4,IF(管理者入力シート!$B$14=2,CX16*管理者用人口入力シート!AS$8))+将来予測シート②!$H24</f>
        <v>633.43639069354458</v>
      </c>
      <c r="CZ19" s="10">
        <f>IF(管理者入力シート!$B$14=1,CY16*管理者用人口入力シート!AT$4,IF(管理者入力シート!$B$14=2,CY16*管理者用人口入力シート!AT$8))+将来予測シート②!$H25</f>
        <v>629.45254806217815</v>
      </c>
      <c r="DA19" s="10">
        <f>IF(管理者入力シート!$B$14=1,CZ16*管理者用人口入力シート!AU$4,IF(管理者入力シート!$B$14=2,CZ16*管理者用人口入力シート!AU$8))+将来予測シート②!$H26</f>
        <v>592.57346304460975</v>
      </c>
      <c r="DB19" s="10">
        <f>IF(管理者入力シート!$B$14=1,DA16*管理者用人口入力シート!AV$4,IF(管理者入力シート!$B$14=2,DA16*管理者用人口入力シート!AV$8))+将来予測シート②!$H27</f>
        <v>610.91174752482107</v>
      </c>
      <c r="DC19" s="10">
        <f>IF(管理者入力シート!$B$14=1,DB16*管理者用人口入力シート!AW$4,IF(管理者入力シート!$B$14=2,DB16*管理者用人口入力シート!AW$8))+将来予測シート②!$H28</f>
        <v>724.35417662137127</v>
      </c>
      <c r="DD19" s="10">
        <f>IF(管理者入力シート!$B$14=1,DC16*管理者用人口入力シート!AX$4,IF(管理者入力シート!$B$14=2,DC16*管理者用人口入力シート!AX$8))+将来予測シート②!$H29</f>
        <v>867.83201928223275</v>
      </c>
      <c r="DE19" s="10">
        <f>IF(管理者入力シート!$B$14=1,DD16*管理者用人口入力シート!AY$4,IF(管理者入力シート!$B$14=2,DD16*管理者用人口入力シート!AY$8))</f>
        <v>985.57613841375826</v>
      </c>
      <c r="DF19" s="10">
        <f>IF(管理者入力シート!$B$14=1,DE16*管理者用人口入力シート!AZ$4,IF(管理者入力シート!$B$14=2,DE16*管理者用人口入力シート!AZ$8))</f>
        <v>1119.039495672055</v>
      </c>
      <c r="DG19" s="10">
        <f>IF(管理者入力シート!$B$14=1,DF16*管理者用人口入力シート!BA$4,IF(管理者入力シート!$B$14=2,DF16*管理者用人口入力シート!BA$8))</f>
        <v>1223.731392440319</v>
      </c>
      <c r="DH19" s="10">
        <f>IF(管理者入力シート!$B$14=1,DG16*管理者用人口入力シート!BB$4,IF(管理者入力シート!$B$14=2,DG16*管理者用人口入力シート!BB$8))</f>
        <v>922.91853496943315</v>
      </c>
      <c r="DI19" s="10">
        <f>IF(管理者入力シート!$B$14=1,DH16*管理者用人口入力シート!BC$4,IF(管理者入力シート!$B$14=2,DH16*管理者用人口入力シート!BC$8))</f>
        <v>768.99917450449891</v>
      </c>
      <c r="DJ19" s="10">
        <f>IF(管理者入力シート!$B$14=1,DI16*管理者用人口入力シート!BD$4,IF(管理者入力シート!$B$14=2,DI16*管理者用人口入力シート!BD$8))</f>
        <v>507.29490459436875</v>
      </c>
      <c r="DK19" s="10">
        <f>IF(管理者入力シート!$B$14=1,DJ16*管理者用人口入力シート!BE$4,IF(管理者入力シート!$B$14=2,DJ16*管理者用人口入力シート!BE$8))</f>
        <v>262.92503708232402</v>
      </c>
      <c r="DL19" s="10">
        <f>IF(管理者入力シート!$B$14=1,DK16*管理者用人口入力シート!BF$4,IF(管理者入力シート!$B$14=2,DK16*管理者用人口入力シート!BF$8))</f>
        <v>59.476678298792883</v>
      </c>
      <c r="DM19" s="10">
        <f t="shared" si="260"/>
        <v>13493.049202905011</v>
      </c>
      <c r="DN19" s="10">
        <f t="shared" si="261"/>
        <v>580.88912036285296</v>
      </c>
      <c r="DO19" s="10">
        <f t="shared" si="262"/>
        <v>316.10517786510064</v>
      </c>
      <c r="DP19" s="10">
        <f t="shared" si="263"/>
        <v>5849.9613559755498</v>
      </c>
      <c r="DQ19" s="10">
        <f t="shared" si="264"/>
        <v>3745.345721889737</v>
      </c>
      <c r="DR19" s="14">
        <f t="shared" si="265"/>
        <v>0.43355369627764134</v>
      </c>
      <c r="DS19" s="14">
        <f t="shared" si="266"/>
        <v>0.27757593302804945</v>
      </c>
      <c r="DT19" s="10">
        <f t="shared" si="267"/>
        <v>2223.4521396392129</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909.02173039196521</v>
      </c>
      <c r="BL20" s="16">
        <f t="shared" ref="BL20:CE20" si="276">BL18+BL19</f>
        <v>936.48513587085711</v>
      </c>
      <c r="BM20" s="16">
        <f t="shared" si="276"/>
        <v>994.6776365970245</v>
      </c>
      <c r="BN20" s="16">
        <f t="shared" si="276"/>
        <v>1075.9427193975964</v>
      </c>
      <c r="BO20" s="16">
        <f t="shared" si="276"/>
        <v>911.09629513868413</v>
      </c>
      <c r="BP20" s="16">
        <f t="shared" si="276"/>
        <v>1044.2263863326498</v>
      </c>
      <c r="BQ20" s="16">
        <f t="shared" si="276"/>
        <v>1173.3311550578835</v>
      </c>
      <c r="BR20" s="16">
        <f t="shared" si="276"/>
        <v>1297.4555183360976</v>
      </c>
      <c r="BS20" s="16">
        <f t="shared" si="276"/>
        <v>1327.349377618792</v>
      </c>
      <c r="BT20" s="16">
        <f t="shared" si="276"/>
        <v>1296.0039042677904</v>
      </c>
      <c r="BU20" s="16">
        <f t="shared" si="276"/>
        <v>1309.2099613217581</v>
      </c>
      <c r="BV20" s="16">
        <f t="shared" si="276"/>
        <v>1422.6734785825079</v>
      </c>
      <c r="BW20" s="16">
        <f t="shared" si="276"/>
        <v>1719.3000299535292</v>
      </c>
      <c r="BX20" s="16">
        <f t="shared" si="276"/>
        <v>1976.3414835213393</v>
      </c>
      <c r="BY20" s="16">
        <f t="shared" si="276"/>
        <v>2187.7653672402789</v>
      </c>
      <c r="BZ20" s="16">
        <f t="shared" si="276"/>
        <v>2318.6703271046567</v>
      </c>
      <c r="CA20" s="16">
        <f t="shared" si="276"/>
        <v>1570.451016362113</v>
      </c>
      <c r="CB20" s="16">
        <f t="shared" si="276"/>
        <v>1254.7084437318122</v>
      </c>
      <c r="CC20" s="16">
        <f t="shared" si="276"/>
        <v>736.48334650810557</v>
      </c>
      <c r="CD20" s="16">
        <f t="shared" si="276"/>
        <v>342.19107786278022</v>
      </c>
      <c r="CE20" s="16">
        <f t="shared" si="276"/>
        <v>60.614368538423903</v>
      </c>
      <c r="CF20" s="11">
        <f t="shared" si="252"/>
        <v>25863.998759736642</v>
      </c>
      <c r="CG20" s="11">
        <f t="shared" si="253"/>
        <v>1158.6976634807288</v>
      </c>
      <c r="CH20" s="11">
        <f t="shared" si="254"/>
        <v>613.05959851832904</v>
      </c>
      <c r="CI20" s="11">
        <f t="shared" si="255"/>
        <v>10447.22543086951</v>
      </c>
      <c r="CJ20" s="11">
        <f t="shared" si="256"/>
        <v>6283.1185801078909</v>
      </c>
      <c r="CK20" s="15">
        <f t="shared" si="257"/>
        <v>0.40392924264801072</v>
      </c>
      <c r="CL20" s="15">
        <f t="shared" si="258"/>
        <v>0.24292912470630926</v>
      </c>
      <c r="CM20" s="11">
        <f t="shared" si="259"/>
        <v>4426.1093548653153</v>
      </c>
      <c r="CO20" s="7" t="str">
        <f t="shared" si="26"/>
        <v>2050_3</v>
      </c>
      <c r="CP20" s="30">
        <f>CP19</f>
        <v>2050</v>
      </c>
      <c r="CQ20" s="5" t="s">
        <v>23</v>
      </c>
      <c r="CR20" s="16">
        <f>CR18+CR19</f>
        <v>915.82081680854026</v>
      </c>
      <c r="CS20" s="16">
        <f t="shared" ref="CS20:DL20" si="277">CS18+CS19</f>
        <v>941.94506525110853</v>
      </c>
      <c r="CT20" s="16">
        <f t="shared" si="277"/>
        <v>1001.4979225961688</v>
      </c>
      <c r="CU20" s="16">
        <f t="shared" si="277"/>
        <v>1082.7829411026582</v>
      </c>
      <c r="CV20" s="16">
        <f t="shared" si="277"/>
        <v>915.77076410971119</v>
      </c>
      <c r="CW20" s="16">
        <f t="shared" si="277"/>
        <v>1051.7430522709697</v>
      </c>
      <c r="CX20" s="16">
        <f t="shared" si="277"/>
        <v>1178.9637126352422</v>
      </c>
      <c r="CY20" s="16">
        <f t="shared" si="277"/>
        <v>1302.8646027812133</v>
      </c>
      <c r="CZ20" s="16">
        <f t="shared" si="277"/>
        <v>1332.0614343010029</v>
      </c>
      <c r="DA20" s="16">
        <f t="shared" si="277"/>
        <v>1300.73783399168</v>
      </c>
      <c r="DB20" s="16">
        <f t="shared" si="277"/>
        <v>1313.9895480268135</v>
      </c>
      <c r="DC20" s="16">
        <f t="shared" si="277"/>
        <v>1423.6806403568635</v>
      </c>
      <c r="DD20" s="16">
        <f t="shared" si="277"/>
        <v>1720.2917470174789</v>
      </c>
      <c r="DE20" s="16">
        <f t="shared" si="277"/>
        <v>1977.2980168318818</v>
      </c>
      <c r="DF20" s="16">
        <f t="shared" si="277"/>
        <v>2187.7653672402789</v>
      </c>
      <c r="DG20" s="16">
        <f t="shared" si="277"/>
        <v>2318.6703271046567</v>
      </c>
      <c r="DH20" s="16">
        <f t="shared" si="277"/>
        <v>1570.451016362113</v>
      </c>
      <c r="DI20" s="16">
        <f t="shared" si="277"/>
        <v>1254.7084437318122</v>
      </c>
      <c r="DJ20" s="16">
        <f t="shared" si="277"/>
        <v>736.48334650810557</v>
      </c>
      <c r="DK20" s="16">
        <f t="shared" si="277"/>
        <v>342.19107786278022</v>
      </c>
      <c r="DL20" s="16">
        <f t="shared" si="277"/>
        <v>60.614368538423903</v>
      </c>
      <c r="DM20" s="11">
        <f t="shared" si="260"/>
        <v>25930.332045429503</v>
      </c>
      <c r="DN20" s="11">
        <f t="shared" si="261"/>
        <v>1166.0657927083664</v>
      </c>
      <c r="DO20" s="11">
        <f t="shared" si="262"/>
        <v>617.15575725899907</v>
      </c>
      <c r="DP20" s="11">
        <f t="shared" si="263"/>
        <v>10448.181964180052</v>
      </c>
      <c r="DQ20" s="11">
        <f t="shared" si="264"/>
        <v>6283.1185801078909</v>
      </c>
      <c r="DR20" s="15">
        <f t="shared" si="265"/>
        <v>0.40293282576848666</v>
      </c>
      <c r="DS20" s="15">
        <f t="shared" si="266"/>
        <v>0.24230767924992141</v>
      </c>
      <c r="DT20" s="11">
        <f t="shared" si="267"/>
        <v>4449.342131797137</v>
      </c>
      <c r="DX20" s="28">
        <f>DX3</f>
        <v>2025</v>
      </c>
      <c r="DY20" s="3" t="s">
        <v>21</v>
      </c>
      <c r="DZ20" s="9">
        <f t="shared" ref="DZ20:ET20" si="278">ROUND(DZ3,0)</f>
        <v>624</v>
      </c>
      <c r="EA20" s="9">
        <f t="shared" si="278"/>
        <v>671</v>
      </c>
      <c r="EB20" s="9">
        <f t="shared" si="278"/>
        <v>775</v>
      </c>
      <c r="EC20" s="9">
        <f t="shared" si="278"/>
        <v>796</v>
      </c>
      <c r="ED20" s="9">
        <f t="shared" si="278"/>
        <v>672</v>
      </c>
      <c r="EE20" s="9">
        <f t="shared" si="278"/>
        <v>950</v>
      </c>
      <c r="EF20" s="9">
        <f t="shared" si="278"/>
        <v>942</v>
      </c>
      <c r="EG20" s="9">
        <f t="shared" si="278"/>
        <v>1071</v>
      </c>
      <c r="EH20" s="9">
        <f t="shared" si="278"/>
        <v>1053</v>
      </c>
      <c r="EI20" s="9">
        <f t="shared" si="278"/>
        <v>1209</v>
      </c>
      <c r="EJ20" s="9">
        <f t="shared" si="278"/>
        <v>1361</v>
      </c>
      <c r="EK20" s="9">
        <f t="shared" si="278"/>
        <v>986</v>
      </c>
      <c r="EL20" s="9">
        <f t="shared" si="278"/>
        <v>1038</v>
      </c>
      <c r="EM20" s="9">
        <f t="shared" si="278"/>
        <v>997</v>
      </c>
      <c r="EN20" s="9">
        <f t="shared" si="278"/>
        <v>1065</v>
      </c>
      <c r="EO20" s="9">
        <f t="shared" si="278"/>
        <v>1097</v>
      </c>
      <c r="EP20" s="9">
        <f t="shared" si="278"/>
        <v>641</v>
      </c>
      <c r="EQ20" s="9">
        <f t="shared" si="278"/>
        <v>431</v>
      </c>
      <c r="ER20" s="9">
        <f t="shared" si="278"/>
        <v>178</v>
      </c>
      <c r="ES20" s="9">
        <f t="shared" si="278"/>
        <v>45</v>
      </c>
      <c r="ET20" s="9">
        <f t="shared" si="278"/>
        <v>0</v>
      </c>
      <c r="EU20" s="9">
        <f t="shared" ref="EU20:EU21" si="279">SUM(DZ20:ET20)</f>
        <v>16602</v>
      </c>
      <c r="EV20" s="9">
        <f>EA20*3/5+EB20*3/5</f>
        <v>867.6</v>
      </c>
      <c r="EW20" s="9">
        <f>EB20*2/5+EC20*1/5</f>
        <v>469.2</v>
      </c>
      <c r="EX20" s="9">
        <f t="shared" ref="EX20:EX31" si="280">SUM(EM20:ET20)</f>
        <v>4454</v>
      </c>
      <c r="EY20" s="9">
        <f>SUM(EO20:ET20)</f>
        <v>2392</v>
      </c>
      <c r="EZ20" s="13">
        <f>EX20/EU20</f>
        <v>0.26828093000843273</v>
      </c>
      <c r="FA20" s="13">
        <f>EY20/EU20</f>
        <v>0.14407902662329838</v>
      </c>
      <c r="FB20" s="9">
        <f>SUM(ED20:EG20)</f>
        <v>3635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599</v>
      </c>
      <c r="EA21" s="10">
        <f t="shared" si="281"/>
        <v>659</v>
      </c>
      <c r="EB21" s="10">
        <f t="shared" si="281"/>
        <v>766</v>
      </c>
      <c r="EC21" s="10">
        <f t="shared" si="281"/>
        <v>871</v>
      </c>
      <c r="ED21" s="10">
        <f t="shared" si="281"/>
        <v>650</v>
      </c>
      <c r="EE21" s="10">
        <f t="shared" si="281"/>
        <v>890</v>
      </c>
      <c r="EF21" s="10">
        <f t="shared" si="281"/>
        <v>997</v>
      </c>
      <c r="EG21" s="10">
        <f t="shared" si="281"/>
        <v>1113</v>
      </c>
      <c r="EH21" s="10">
        <f t="shared" si="281"/>
        <v>1029</v>
      </c>
      <c r="EI21" s="10">
        <f t="shared" si="281"/>
        <v>1212</v>
      </c>
      <c r="EJ21" s="10">
        <f t="shared" si="281"/>
        <v>1426</v>
      </c>
      <c r="EK21" s="10">
        <f t="shared" si="281"/>
        <v>1121</v>
      </c>
      <c r="EL21" s="10">
        <f t="shared" si="281"/>
        <v>1131</v>
      </c>
      <c r="EM21" s="10">
        <f t="shared" si="281"/>
        <v>1093</v>
      </c>
      <c r="EN21" s="10">
        <f t="shared" si="281"/>
        <v>1221</v>
      </c>
      <c r="EO21" s="10">
        <f t="shared" si="281"/>
        <v>1311</v>
      </c>
      <c r="EP21" s="10">
        <f t="shared" si="281"/>
        <v>977</v>
      </c>
      <c r="EQ21" s="10">
        <f t="shared" si="281"/>
        <v>685</v>
      </c>
      <c r="ER21" s="10">
        <f t="shared" si="281"/>
        <v>480</v>
      </c>
      <c r="ES21" s="10">
        <f t="shared" si="281"/>
        <v>173</v>
      </c>
      <c r="ET21" s="10">
        <f t="shared" si="281"/>
        <v>28</v>
      </c>
      <c r="EU21" s="10">
        <f t="shared" si="279"/>
        <v>18432</v>
      </c>
      <c r="EV21" s="10">
        <f t="shared" ref="EV21:EV31" si="282">EA21*3/5+EB21*3/5</f>
        <v>855</v>
      </c>
      <c r="EW21" s="10">
        <f t="shared" ref="EW21:EW31" si="283">EB21*2/5+EC21*1/5</f>
        <v>480.59999999999997</v>
      </c>
      <c r="EX21" s="10">
        <f t="shared" si="280"/>
        <v>5968</v>
      </c>
      <c r="EY21" s="10">
        <f t="shared" ref="EY21:EY31" si="284">SUM(EO21:ET21)</f>
        <v>3654</v>
      </c>
      <c r="EZ21" s="14">
        <f t="shared" ref="EZ21:EZ31" si="285">EX21/EU21</f>
        <v>0.32378472222222221</v>
      </c>
      <c r="FA21" s="14">
        <f t="shared" ref="FA21:FA31" si="286">EY21/EU21</f>
        <v>0.1982421875</v>
      </c>
      <c r="FB21" s="10">
        <f>SUM(ED21:EG21)</f>
        <v>3650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1223</v>
      </c>
      <c r="EA22" s="16">
        <f t="shared" ref="EA22:ET22" si="287">EA20+EA21</f>
        <v>1330</v>
      </c>
      <c r="EB22" s="16">
        <f t="shared" si="287"/>
        <v>1541</v>
      </c>
      <c r="EC22" s="16">
        <f t="shared" si="287"/>
        <v>1667</v>
      </c>
      <c r="ED22" s="16">
        <f t="shared" si="287"/>
        <v>1322</v>
      </c>
      <c r="EE22" s="16">
        <f t="shared" si="287"/>
        <v>1840</v>
      </c>
      <c r="EF22" s="16">
        <f t="shared" si="287"/>
        <v>1939</v>
      </c>
      <c r="EG22" s="16">
        <f t="shared" si="287"/>
        <v>2184</v>
      </c>
      <c r="EH22" s="16">
        <f t="shared" si="287"/>
        <v>2082</v>
      </c>
      <c r="EI22" s="16">
        <f t="shared" si="287"/>
        <v>2421</v>
      </c>
      <c r="EJ22" s="16">
        <f t="shared" si="287"/>
        <v>2787</v>
      </c>
      <c r="EK22" s="16">
        <f t="shared" si="287"/>
        <v>2107</v>
      </c>
      <c r="EL22" s="16">
        <f t="shared" si="287"/>
        <v>2169</v>
      </c>
      <c r="EM22" s="16">
        <f t="shared" si="287"/>
        <v>2090</v>
      </c>
      <c r="EN22" s="16">
        <f t="shared" si="287"/>
        <v>2286</v>
      </c>
      <c r="EO22" s="16">
        <f t="shared" si="287"/>
        <v>2408</v>
      </c>
      <c r="EP22" s="16">
        <f t="shared" si="287"/>
        <v>1618</v>
      </c>
      <c r="EQ22" s="16">
        <f t="shared" si="287"/>
        <v>1116</v>
      </c>
      <c r="ER22" s="16">
        <f t="shared" si="287"/>
        <v>658</v>
      </c>
      <c r="ES22" s="16">
        <f t="shared" si="287"/>
        <v>218</v>
      </c>
      <c r="ET22" s="16">
        <f t="shared" si="287"/>
        <v>28</v>
      </c>
      <c r="EU22" s="11">
        <f>SUM(DZ22:ET22)</f>
        <v>35034</v>
      </c>
      <c r="EV22" s="11">
        <f t="shared" si="282"/>
        <v>1722.6</v>
      </c>
      <c r="EW22" s="11">
        <f t="shared" si="283"/>
        <v>949.8</v>
      </c>
      <c r="EX22" s="11">
        <f t="shared" si="280"/>
        <v>10422</v>
      </c>
      <c r="EY22" s="11">
        <f t="shared" si="284"/>
        <v>6046</v>
      </c>
      <c r="EZ22" s="15">
        <f t="shared" si="285"/>
        <v>0.29748244562425075</v>
      </c>
      <c r="FA22" s="15">
        <f t="shared" si="286"/>
        <v>0.17257521265056802</v>
      </c>
      <c r="FB22" s="11">
        <f>SUM(ED22:EG22)</f>
        <v>7285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802</v>
      </c>
      <c r="EA23" s="9">
        <f t="shared" si="288"/>
        <v>579</v>
      </c>
      <c r="EB23" s="9">
        <f t="shared" si="288"/>
        <v>668</v>
      </c>
      <c r="EC23" s="9">
        <f t="shared" si="288"/>
        <v>764</v>
      </c>
      <c r="ED23" s="9">
        <f t="shared" si="288"/>
        <v>668</v>
      </c>
      <c r="EE23" s="9">
        <f t="shared" si="288"/>
        <v>959</v>
      </c>
      <c r="EF23" s="9">
        <f t="shared" si="288"/>
        <v>1151</v>
      </c>
      <c r="EG23" s="9">
        <f t="shared" si="288"/>
        <v>1144</v>
      </c>
      <c r="EH23" s="9">
        <f t="shared" si="288"/>
        <v>1080</v>
      </c>
      <c r="EI23" s="9">
        <f t="shared" si="288"/>
        <v>1056</v>
      </c>
      <c r="EJ23" s="9">
        <f t="shared" si="288"/>
        <v>1215</v>
      </c>
      <c r="EK23" s="9">
        <f t="shared" si="288"/>
        <v>1339</v>
      </c>
      <c r="EL23" s="9">
        <f t="shared" si="288"/>
        <v>994</v>
      </c>
      <c r="EM23" s="9">
        <f t="shared" si="288"/>
        <v>979</v>
      </c>
      <c r="EN23" s="9">
        <f t="shared" si="288"/>
        <v>939</v>
      </c>
      <c r="EO23" s="9">
        <f t="shared" si="288"/>
        <v>974</v>
      </c>
      <c r="EP23" s="9">
        <f t="shared" si="288"/>
        <v>881</v>
      </c>
      <c r="EQ23" s="9">
        <f t="shared" si="288"/>
        <v>460</v>
      </c>
      <c r="ER23" s="9">
        <f t="shared" si="288"/>
        <v>200</v>
      </c>
      <c r="ES23" s="9">
        <f t="shared" si="288"/>
        <v>54</v>
      </c>
      <c r="ET23" s="9">
        <f t="shared" si="288"/>
        <v>1</v>
      </c>
      <c r="EU23" s="9">
        <f t="shared" ref="EU23:EU31" si="289">SUM(DZ23:ET23)</f>
        <v>16907</v>
      </c>
      <c r="EV23" s="9">
        <f t="shared" si="282"/>
        <v>748.2</v>
      </c>
      <c r="EW23" s="9">
        <f t="shared" si="283"/>
        <v>420</v>
      </c>
      <c r="EX23" s="9">
        <f t="shared" si="280"/>
        <v>4488</v>
      </c>
      <c r="EY23" s="9">
        <f t="shared" si="284"/>
        <v>2570</v>
      </c>
      <c r="EZ23" s="13">
        <f t="shared" si="285"/>
        <v>0.26545217957059208</v>
      </c>
      <c r="FA23" s="13">
        <f t="shared" si="286"/>
        <v>0.15200804400544154</v>
      </c>
      <c r="FB23" s="9">
        <f t="shared" ref="FB23:FB31" si="290">SUM(ED23:EG23)</f>
        <v>3922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770</v>
      </c>
      <c r="EA24" s="10">
        <f t="shared" si="291"/>
        <v>569</v>
      </c>
      <c r="EB24" s="10">
        <f t="shared" si="291"/>
        <v>670</v>
      </c>
      <c r="EC24" s="10">
        <f t="shared" si="291"/>
        <v>863</v>
      </c>
      <c r="ED24" s="10">
        <f t="shared" si="291"/>
        <v>695</v>
      </c>
      <c r="EE24" s="10">
        <f t="shared" si="291"/>
        <v>879</v>
      </c>
      <c r="EF24" s="10">
        <f t="shared" si="291"/>
        <v>1084</v>
      </c>
      <c r="EG24" s="10">
        <f t="shared" si="291"/>
        <v>1168</v>
      </c>
      <c r="EH24" s="10">
        <f t="shared" si="291"/>
        <v>1095</v>
      </c>
      <c r="EI24" s="10">
        <f t="shared" si="291"/>
        <v>1036</v>
      </c>
      <c r="EJ24" s="10">
        <f t="shared" si="291"/>
        <v>1228</v>
      </c>
      <c r="EK24" s="10">
        <f t="shared" si="291"/>
        <v>1409</v>
      </c>
      <c r="EL24" s="10">
        <f t="shared" si="291"/>
        <v>1103</v>
      </c>
      <c r="EM24" s="10">
        <f t="shared" si="291"/>
        <v>1091</v>
      </c>
      <c r="EN24" s="10">
        <f t="shared" si="291"/>
        <v>1061</v>
      </c>
      <c r="EO24" s="10">
        <f t="shared" si="291"/>
        <v>1150</v>
      </c>
      <c r="EP24" s="10">
        <f t="shared" si="291"/>
        <v>1243</v>
      </c>
      <c r="EQ24" s="10">
        <f t="shared" si="291"/>
        <v>794</v>
      </c>
      <c r="ER24" s="10">
        <f t="shared" si="291"/>
        <v>451</v>
      </c>
      <c r="ES24" s="10">
        <f t="shared" si="291"/>
        <v>216</v>
      </c>
      <c r="ET24" s="10">
        <f t="shared" si="291"/>
        <v>34</v>
      </c>
      <c r="EU24" s="10">
        <f t="shared" si="289"/>
        <v>18609</v>
      </c>
      <c r="EV24" s="10">
        <f t="shared" si="282"/>
        <v>743.4</v>
      </c>
      <c r="EW24" s="10">
        <f t="shared" si="283"/>
        <v>440.6</v>
      </c>
      <c r="EX24" s="10">
        <f t="shared" si="280"/>
        <v>6040</v>
      </c>
      <c r="EY24" s="10">
        <f t="shared" si="284"/>
        <v>3888</v>
      </c>
      <c r="EZ24" s="14">
        <f t="shared" si="285"/>
        <v>0.32457413079692621</v>
      </c>
      <c r="FA24" s="14">
        <f t="shared" si="286"/>
        <v>0.20893116234080283</v>
      </c>
      <c r="FB24" s="10">
        <f t="shared" si="290"/>
        <v>3826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1572</v>
      </c>
      <c r="EA25" s="16">
        <f t="shared" ref="EA25:ET25" si="292">EA23+EA24</f>
        <v>1148</v>
      </c>
      <c r="EB25" s="16">
        <f t="shared" si="292"/>
        <v>1338</v>
      </c>
      <c r="EC25" s="16">
        <f t="shared" si="292"/>
        <v>1627</v>
      </c>
      <c r="ED25" s="16">
        <f t="shared" si="292"/>
        <v>1363</v>
      </c>
      <c r="EE25" s="16">
        <f t="shared" si="292"/>
        <v>1838</v>
      </c>
      <c r="EF25" s="16">
        <f t="shared" si="292"/>
        <v>2235</v>
      </c>
      <c r="EG25" s="16">
        <f t="shared" si="292"/>
        <v>2312</v>
      </c>
      <c r="EH25" s="16">
        <f t="shared" si="292"/>
        <v>2175</v>
      </c>
      <c r="EI25" s="16">
        <f t="shared" si="292"/>
        <v>2092</v>
      </c>
      <c r="EJ25" s="16">
        <f t="shared" si="292"/>
        <v>2443</v>
      </c>
      <c r="EK25" s="16">
        <f t="shared" si="292"/>
        <v>2748</v>
      </c>
      <c r="EL25" s="16">
        <f t="shared" si="292"/>
        <v>2097</v>
      </c>
      <c r="EM25" s="16">
        <f t="shared" si="292"/>
        <v>2070</v>
      </c>
      <c r="EN25" s="16">
        <f t="shared" si="292"/>
        <v>2000</v>
      </c>
      <c r="EO25" s="16">
        <f t="shared" si="292"/>
        <v>2124</v>
      </c>
      <c r="EP25" s="16">
        <f t="shared" si="292"/>
        <v>2124</v>
      </c>
      <c r="EQ25" s="16">
        <f t="shared" si="292"/>
        <v>1254</v>
      </c>
      <c r="ER25" s="16">
        <f t="shared" si="292"/>
        <v>651</v>
      </c>
      <c r="ES25" s="16">
        <f t="shared" si="292"/>
        <v>270</v>
      </c>
      <c r="ET25" s="16">
        <f t="shared" si="292"/>
        <v>35</v>
      </c>
      <c r="EU25" s="11">
        <f t="shared" si="289"/>
        <v>35516</v>
      </c>
      <c r="EV25" s="11">
        <f t="shared" si="282"/>
        <v>1491.6</v>
      </c>
      <c r="EW25" s="11">
        <f t="shared" si="283"/>
        <v>860.6</v>
      </c>
      <c r="EX25" s="11">
        <f t="shared" si="280"/>
        <v>10528</v>
      </c>
      <c r="EY25" s="11">
        <f t="shared" si="284"/>
        <v>6458</v>
      </c>
      <c r="EZ25" s="15">
        <f t="shared" si="285"/>
        <v>0.29642977812816756</v>
      </c>
      <c r="FA25" s="15">
        <f t="shared" si="286"/>
        <v>0.18183353981304201</v>
      </c>
      <c r="FB25" s="11">
        <f t="shared" si="290"/>
        <v>7748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825</v>
      </c>
      <c r="EA26" s="9">
        <f t="shared" si="293"/>
        <v>744</v>
      </c>
      <c r="EB26" s="9">
        <f t="shared" si="293"/>
        <v>577</v>
      </c>
      <c r="EC26" s="9">
        <f t="shared" si="293"/>
        <v>659</v>
      </c>
      <c r="ED26" s="9">
        <f t="shared" si="293"/>
        <v>641</v>
      </c>
      <c r="EE26" s="9">
        <f t="shared" si="293"/>
        <v>956</v>
      </c>
      <c r="EF26" s="9">
        <f t="shared" si="293"/>
        <v>1160</v>
      </c>
      <c r="EG26" s="9">
        <f t="shared" si="293"/>
        <v>1348</v>
      </c>
      <c r="EH26" s="9">
        <f t="shared" si="293"/>
        <v>1154</v>
      </c>
      <c r="EI26" s="9">
        <f t="shared" si="293"/>
        <v>1083</v>
      </c>
      <c r="EJ26" s="9">
        <f t="shared" si="293"/>
        <v>1061</v>
      </c>
      <c r="EK26" s="9">
        <f t="shared" si="293"/>
        <v>1195</v>
      </c>
      <c r="EL26" s="9">
        <f t="shared" si="293"/>
        <v>1349</v>
      </c>
      <c r="EM26" s="9">
        <f t="shared" si="293"/>
        <v>937</v>
      </c>
      <c r="EN26" s="9">
        <f t="shared" si="293"/>
        <v>921</v>
      </c>
      <c r="EO26" s="9">
        <f t="shared" si="293"/>
        <v>858</v>
      </c>
      <c r="EP26" s="9">
        <f t="shared" si="293"/>
        <v>782</v>
      </c>
      <c r="EQ26" s="9">
        <f t="shared" si="293"/>
        <v>632</v>
      </c>
      <c r="ER26" s="9">
        <f t="shared" si="293"/>
        <v>213</v>
      </c>
      <c r="ES26" s="9">
        <f t="shared" si="293"/>
        <v>61</v>
      </c>
      <c r="ET26" s="9">
        <f t="shared" si="293"/>
        <v>1</v>
      </c>
      <c r="EU26" s="9">
        <f t="shared" si="289"/>
        <v>17157</v>
      </c>
      <c r="EV26" s="9">
        <f t="shared" si="282"/>
        <v>792.59999999999991</v>
      </c>
      <c r="EW26" s="9">
        <f t="shared" si="283"/>
        <v>362.6</v>
      </c>
      <c r="EX26" s="9">
        <f t="shared" si="280"/>
        <v>4405</v>
      </c>
      <c r="EY26" s="9">
        <f t="shared" si="284"/>
        <v>2547</v>
      </c>
      <c r="EZ26" s="13">
        <f t="shared" si="285"/>
        <v>0.25674651745643179</v>
      </c>
      <c r="FA26" s="13">
        <f t="shared" si="286"/>
        <v>0.14845252666550096</v>
      </c>
      <c r="FB26" s="9">
        <f t="shared" si="290"/>
        <v>4105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791</v>
      </c>
      <c r="EA27" s="10">
        <f t="shared" si="294"/>
        <v>731</v>
      </c>
      <c r="EB27" s="10">
        <f t="shared" si="294"/>
        <v>578</v>
      </c>
      <c r="EC27" s="10">
        <f t="shared" si="294"/>
        <v>755</v>
      </c>
      <c r="ED27" s="10">
        <f t="shared" si="294"/>
        <v>688</v>
      </c>
      <c r="EE27" s="10">
        <f t="shared" si="294"/>
        <v>924</v>
      </c>
      <c r="EF27" s="10">
        <f t="shared" si="294"/>
        <v>1073</v>
      </c>
      <c r="EG27" s="10">
        <f t="shared" si="294"/>
        <v>1249</v>
      </c>
      <c r="EH27" s="10">
        <f t="shared" si="294"/>
        <v>1149</v>
      </c>
      <c r="EI27" s="10">
        <f t="shared" si="294"/>
        <v>1102</v>
      </c>
      <c r="EJ27" s="10">
        <f t="shared" si="294"/>
        <v>1049</v>
      </c>
      <c r="EK27" s="10">
        <f t="shared" si="294"/>
        <v>1214</v>
      </c>
      <c r="EL27" s="10">
        <f t="shared" si="294"/>
        <v>1388</v>
      </c>
      <c r="EM27" s="10">
        <f t="shared" si="294"/>
        <v>1064</v>
      </c>
      <c r="EN27" s="10">
        <f t="shared" si="294"/>
        <v>1059</v>
      </c>
      <c r="EO27" s="10">
        <f t="shared" si="294"/>
        <v>999</v>
      </c>
      <c r="EP27" s="10">
        <f t="shared" si="294"/>
        <v>1091</v>
      </c>
      <c r="EQ27" s="10">
        <f t="shared" si="294"/>
        <v>1011</v>
      </c>
      <c r="ER27" s="10">
        <f t="shared" si="294"/>
        <v>523</v>
      </c>
      <c r="ES27" s="10">
        <f t="shared" si="294"/>
        <v>203</v>
      </c>
      <c r="ET27" s="10">
        <f t="shared" si="294"/>
        <v>43</v>
      </c>
      <c r="EU27" s="10">
        <f t="shared" si="289"/>
        <v>18684</v>
      </c>
      <c r="EV27" s="10">
        <f t="shared" si="282"/>
        <v>785.40000000000009</v>
      </c>
      <c r="EW27" s="10">
        <f t="shared" si="283"/>
        <v>382.2</v>
      </c>
      <c r="EX27" s="10">
        <f t="shared" si="280"/>
        <v>5993</v>
      </c>
      <c r="EY27" s="10">
        <f t="shared" si="284"/>
        <v>3870</v>
      </c>
      <c r="EZ27" s="14">
        <f t="shared" si="285"/>
        <v>0.32075572682509101</v>
      </c>
      <c r="FA27" s="14">
        <f t="shared" si="286"/>
        <v>0.2071290944123314</v>
      </c>
      <c r="FB27" s="10">
        <f t="shared" si="290"/>
        <v>3934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1616</v>
      </c>
      <c r="EA28" s="16">
        <f t="shared" ref="EA28:ET28" si="295">EA26+EA27</f>
        <v>1475</v>
      </c>
      <c r="EB28" s="16">
        <f t="shared" si="295"/>
        <v>1155</v>
      </c>
      <c r="EC28" s="16">
        <f t="shared" si="295"/>
        <v>1414</v>
      </c>
      <c r="ED28" s="16">
        <f t="shared" si="295"/>
        <v>1329</v>
      </c>
      <c r="EE28" s="16">
        <f t="shared" si="295"/>
        <v>1880</v>
      </c>
      <c r="EF28" s="16">
        <f t="shared" si="295"/>
        <v>2233</v>
      </c>
      <c r="EG28" s="16">
        <f t="shared" si="295"/>
        <v>2597</v>
      </c>
      <c r="EH28" s="16">
        <f t="shared" si="295"/>
        <v>2303</v>
      </c>
      <c r="EI28" s="16">
        <f t="shared" si="295"/>
        <v>2185</v>
      </c>
      <c r="EJ28" s="16">
        <f t="shared" si="295"/>
        <v>2110</v>
      </c>
      <c r="EK28" s="16">
        <f t="shared" si="295"/>
        <v>2409</v>
      </c>
      <c r="EL28" s="16">
        <f t="shared" si="295"/>
        <v>2737</v>
      </c>
      <c r="EM28" s="16">
        <f t="shared" si="295"/>
        <v>2001</v>
      </c>
      <c r="EN28" s="16">
        <f t="shared" si="295"/>
        <v>1980</v>
      </c>
      <c r="EO28" s="16">
        <f t="shared" si="295"/>
        <v>1857</v>
      </c>
      <c r="EP28" s="16">
        <f t="shared" si="295"/>
        <v>1873</v>
      </c>
      <c r="EQ28" s="16">
        <f t="shared" si="295"/>
        <v>1643</v>
      </c>
      <c r="ER28" s="16">
        <f t="shared" si="295"/>
        <v>736</v>
      </c>
      <c r="ES28" s="16">
        <f t="shared" si="295"/>
        <v>264</v>
      </c>
      <c r="ET28" s="16">
        <f t="shared" si="295"/>
        <v>44</v>
      </c>
      <c r="EU28" s="11">
        <f t="shared" si="289"/>
        <v>35841</v>
      </c>
      <c r="EV28" s="11">
        <f t="shared" si="282"/>
        <v>1578</v>
      </c>
      <c r="EW28" s="11">
        <f t="shared" si="283"/>
        <v>744.8</v>
      </c>
      <c r="EX28" s="11">
        <f t="shared" si="280"/>
        <v>10398</v>
      </c>
      <c r="EY28" s="11">
        <f t="shared" si="284"/>
        <v>6417</v>
      </c>
      <c r="EZ28" s="15">
        <f t="shared" si="285"/>
        <v>0.29011467313970035</v>
      </c>
      <c r="FA28" s="15">
        <f t="shared" si="286"/>
        <v>0.17904076337155772</v>
      </c>
      <c r="FB28" s="11">
        <f t="shared" si="290"/>
        <v>8039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813</v>
      </c>
      <c r="EA29" s="9">
        <f t="shared" si="296"/>
        <v>765</v>
      </c>
      <c r="EB29" s="9">
        <f t="shared" si="296"/>
        <v>741</v>
      </c>
      <c r="EC29" s="9">
        <f t="shared" si="296"/>
        <v>569</v>
      </c>
      <c r="ED29" s="9">
        <f t="shared" si="296"/>
        <v>553</v>
      </c>
      <c r="EE29" s="9">
        <f t="shared" si="296"/>
        <v>926</v>
      </c>
      <c r="EF29" s="9">
        <f t="shared" si="296"/>
        <v>1156</v>
      </c>
      <c r="EG29" s="9">
        <f t="shared" si="296"/>
        <v>1357</v>
      </c>
      <c r="EH29" s="9">
        <f t="shared" si="296"/>
        <v>1360</v>
      </c>
      <c r="EI29" s="9">
        <f t="shared" si="296"/>
        <v>1157</v>
      </c>
      <c r="EJ29" s="9">
        <f t="shared" si="296"/>
        <v>1089</v>
      </c>
      <c r="EK29" s="9">
        <f t="shared" si="296"/>
        <v>1044</v>
      </c>
      <c r="EL29" s="9">
        <f t="shared" si="296"/>
        <v>1204</v>
      </c>
      <c r="EM29" s="9">
        <f t="shared" si="296"/>
        <v>1272</v>
      </c>
      <c r="EN29" s="9">
        <f t="shared" si="296"/>
        <v>882</v>
      </c>
      <c r="EO29" s="9">
        <f t="shared" si="296"/>
        <v>842</v>
      </c>
      <c r="EP29" s="9">
        <f t="shared" si="296"/>
        <v>689</v>
      </c>
      <c r="EQ29" s="9">
        <f t="shared" si="296"/>
        <v>561</v>
      </c>
      <c r="ER29" s="9">
        <f t="shared" si="296"/>
        <v>293</v>
      </c>
      <c r="ES29" s="9">
        <f t="shared" si="296"/>
        <v>65</v>
      </c>
      <c r="ET29" s="9">
        <f t="shared" si="296"/>
        <v>1</v>
      </c>
      <c r="EU29" s="9">
        <f t="shared" si="289"/>
        <v>17339</v>
      </c>
      <c r="EV29" s="9">
        <f t="shared" si="282"/>
        <v>903.6</v>
      </c>
      <c r="EW29" s="9">
        <f t="shared" si="283"/>
        <v>410.2</v>
      </c>
      <c r="EX29" s="9">
        <f t="shared" si="280"/>
        <v>4605</v>
      </c>
      <c r="EY29" s="9">
        <f t="shared" si="284"/>
        <v>2451</v>
      </c>
      <c r="EZ29" s="13">
        <f t="shared" si="285"/>
        <v>0.26558625064882635</v>
      </c>
      <c r="FA29" s="13">
        <f t="shared" si="286"/>
        <v>0.1413576330814926</v>
      </c>
      <c r="FB29" s="9">
        <f t="shared" si="290"/>
        <v>3992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779</v>
      </c>
      <c r="EA30" s="10">
        <f t="shared" si="297"/>
        <v>752</v>
      </c>
      <c r="EB30" s="10">
        <f t="shared" si="297"/>
        <v>743</v>
      </c>
      <c r="EC30" s="10">
        <f t="shared" si="297"/>
        <v>651</v>
      </c>
      <c r="ED30" s="10">
        <f t="shared" si="297"/>
        <v>602</v>
      </c>
      <c r="EE30" s="10">
        <f t="shared" si="297"/>
        <v>917</v>
      </c>
      <c r="EF30" s="10">
        <f t="shared" si="297"/>
        <v>1116</v>
      </c>
      <c r="EG30" s="10">
        <f t="shared" si="297"/>
        <v>1239</v>
      </c>
      <c r="EH30" s="10">
        <f t="shared" si="297"/>
        <v>1229</v>
      </c>
      <c r="EI30" s="10">
        <f t="shared" si="297"/>
        <v>1156</v>
      </c>
      <c r="EJ30" s="10">
        <f t="shared" si="297"/>
        <v>1116</v>
      </c>
      <c r="EK30" s="10">
        <f t="shared" si="297"/>
        <v>1037</v>
      </c>
      <c r="EL30" s="10">
        <f t="shared" si="297"/>
        <v>1195</v>
      </c>
      <c r="EM30" s="10">
        <f t="shared" si="297"/>
        <v>1339</v>
      </c>
      <c r="EN30" s="10">
        <f t="shared" si="297"/>
        <v>1033</v>
      </c>
      <c r="EO30" s="10">
        <f t="shared" si="297"/>
        <v>997</v>
      </c>
      <c r="EP30" s="10">
        <f t="shared" si="297"/>
        <v>948</v>
      </c>
      <c r="EQ30" s="10">
        <f t="shared" si="297"/>
        <v>887</v>
      </c>
      <c r="ER30" s="10">
        <f t="shared" si="297"/>
        <v>665</v>
      </c>
      <c r="ES30" s="10">
        <f t="shared" si="297"/>
        <v>235</v>
      </c>
      <c r="ET30" s="10">
        <f t="shared" si="297"/>
        <v>40</v>
      </c>
      <c r="EU30" s="10">
        <f t="shared" si="289"/>
        <v>18676</v>
      </c>
      <c r="EV30" s="10">
        <f t="shared" si="282"/>
        <v>897</v>
      </c>
      <c r="EW30" s="10">
        <f t="shared" si="283"/>
        <v>427.4</v>
      </c>
      <c r="EX30" s="10">
        <f t="shared" si="280"/>
        <v>6144</v>
      </c>
      <c r="EY30" s="10">
        <f t="shared" si="284"/>
        <v>3772</v>
      </c>
      <c r="EZ30" s="14">
        <f t="shared" si="285"/>
        <v>0.32897836795887769</v>
      </c>
      <c r="FA30" s="14">
        <f t="shared" si="286"/>
        <v>0.2019704433497537</v>
      </c>
      <c r="FB30" s="10">
        <f t="shared" si="290"/>
        <v>3874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1592</v>
      </c>
      <c r="EA31" s="16">
        <f t="shared" ref="EA31:ET31" si="298">EA29+EA30</f>
        <v>1517</v>
      </c>
      <c r="EB31" s="16">
        <f t="shared" si="298"/>
        <v>1484</v>
      </c>
      <c r="EC31" s="16">
        <f t="shared" si="298"/>
        <v>1220</v>
      </c>
      <c r="ED31" s="16">
        <f t="shared" si="298"/>
        <v>1155</v>
      </c>
      <c r="EE31" s="16">
        <f t="shared" si="298"/>
        <v>1843</v>
      </c>
      <c r="EF31" s="16">
        <f t="shared" si="298"/>
        <v>2272</v>
      </c>
      <c r="EG31" s="16">
        <f t="shared" si="298"/>
        <v>2596</v>
      </c>
      <c r="EH31" s="16">
        <f t="shared" si="298"/>
        <v>2589</v>
      </c>
      <c r="EI31" s="16">
        <f t="shared" si="298"/>
        <v>2313</v>
      </c>
      <c r="EJ31" s="16">
        <f t="shared" si="298"/>
        <v>2205</v>
      </c>
      <c r="EK31" s="16">
        <f t="shared" si="298"/>
        <v>2081</v>
      </c>
      <c r="EL31" s="16">
        <f t="shared" si="298"/>
        <v>2399</v>
      </c>
      <c r="EM31" s="16">
        <f t="shared" si="298"/>
        <v>2611</v>
      </c>
      <c r="EN31" s="16">
        <f t="shared" si="298"/>
        <v>1915</v>
      </c>
      <c r="EO31" s="16">
        <f t="shared" si="298"/>
        <v>1839</v>
      </c>
      <c r="EP31" s="16">
        <f t="shared" si="298"/>
        <v>1637</v>
      </c>
      <c r="EQ31" s="16">
        <f t="shared" si="298"/>
        <v>1448</v>
      </c>
      <c r="ER31" s="16">
        <f t="shared" si="298"/>
        <v>958</v>
      </c>
      <c r="ES31" s="16">
        <f t="shared" si="298"/>
        <v>300</v>
      </c>
      <c r="ET31" s="16">
        <f t="shared" si="298"/>
        <v>41</v>
      </c>
      <c r="EU31" s="11">
        <f t="shared" si="289"/>
        <v>36015</v>
      </c>
      <c r="EV31" s="11">
        <f t="shared" si="282"/>
        <v>1800.6</v>
      </c>
      <c r="EW31" s="11">
        <f t="shared" si="283"/>
        <v>837.6</v>
      </c>
      <c r="EX31" s="11">
        <f t="shared" si="280"/>
        <v>10749</v>
      </c>
      <c r="EY31" s="11">
        <f t="shared" si="284"/>
        <v>6223</v>
      </c>
      <c r="EZ31" s="15">
        <f t="shared" si="285"/>
        <v>0.29845897542690547</v>
      </c>
      <c r="FA31" s="15">
        <f t="shared" si="286"/>
        <v>0.17278911564625851</v>
      </c>
      <c r="FB31" s="11">
        <f t="shared" si="290"/>
        <v>7866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16500</v>
      </c>
      <c r="D4" s="17">
        <f>SUM(C41:C61)</f>
        <v>18714</v>
      </c>
      <c r="E4" s="17">
        <f>C4+D4</f>
        <v>35214</v>
      </c>
      <c r="F4" s="85"/>
      <c r="G4" s="1" t="s">
        <v>58</v>
      </c>
      <c r="H4" s="1">
        <f>B4</f>
        <v>2010</v>
      </c>
      <c r="I4" s="17">
        <f>C4</f>
        <v>16500</v>
      </c>
      <c r="J4" s="17">
        <f>D4</f>
        <v>18714</v>
      </c>
      <c r="K4" s="17">
        <f>I4+J4</f>
        <v>35214</v>
      </c>
      <c r="N4" s="1" t="s">
        <v>58</v>
      </c>
      <c r="O4" s="1">
        <f>H4</f>
        <v>2010</v>
      </c>
      <c r="P4" s="17">
        <f>I4</f>
        <v>16500</v>
      </c>
      <c r="Q4" s="17">
        <f t="shared" ref="Q4:R4" si="0">J4</f>
        <v>18714</v>
      </c>
      <c r="R4" s="17">
        <f t="shared" si="0"/>
        <v>35214</v>
      </c>
      <c r="S4" s="1"/>
      <c r="T4" s="1"/>
      <c r="U4" s="1"/>
    </row>
    <row r="5" spans="1:21" x14ac:dyDescent="0.15">
      <c r="A5" s="1" t="s">
        <v>61</v>
      </c>
      <c r="B5" s="1">
        <f>管理者入力シート!B6</f>
        <v>2015</v>
      </c>
      <c r="C5" s="17">
        <f>SUM(B65:B85)</f>
        <v>16475</v>
      </c>
      <c r="D5" s="17">
        <f>SUM(C65:C85)</f>
        <v>18661</v>
      </c>
      <c r="E5" s="17">
        <f t="shared" ref="E5" si="1">C5+D5</f>
        <v>35136</v>
      </c>
      <c r="F5" s="85"/>
      <c r="G5" s="1" t="s">
        <v>57</v>
      </c>
      <c r="H5" s="1">
        <f t="shared" ref="H5:H6" si="2">B5</f>
        <v>2015</v>
      </c>
      <c r="I5" s="17">
        <f t="shared" ref="I5" si="3">C5</f>
        <v>16475</v>
      </c>
      <c r="J5" s="17">
        <f>D5</f>
        <v>18661</v>
      </c>
      <c r="K5" s="17">
        <f t="shared" ref="K5:K10" si="4">I5+J5</f>
        <v>35136</v>
      </c>
      <c r="N5" s="1" t="s">
        <v>57</v>
      </c>
      <c r="O5" s="1">
        <f t="shared" ref="O5:O10" si="5">H5</f>
        <v>2015</v>
      </c>
      <c r="P5" s="17">
        <f t="shared" ref="P5:P10" si="6">I5</f>
        <v>16475</v>
      </c>
      <c r="Q5" s="17">
        <f t="shared" ref="Q5:Q10" si="7">J5</f>
        <v>18661</v>
      </c>
      <c r="R5" s="17">
        <f t="shared" ref="R5:R10" si="8">K5</f>
        <v>35136</v>
      </c>
      <c r="S5" s="1"/>
      <c r="T5" s="1"/>
      <c r="U5" s="1"/>
    </row>
    <row r="6" spans="1:21" x14ac:dyDescent="0.15">
      <c r="A6" s="1" t="s">
        <v>62</v>
      </c>
      <c r="B6" s="1">
        <f>管理者入力シート!B5</f>
        <v>2020</v>
      </c>
      <c r="C6" s="17">
        <f>SUM(B89:B109)</f>
        <v>16358</v>
      </c>
      <c r="D6" s="17">
        <f>SUM(C89:C109)</f>
        <v>18302</v>
      </c>
      <c r="E6" s="17">
        <f>C6+D6</f>
        <v>34660</v>
      </c>
      <c r="F6" s="85"/>
      <c r="G6" s="1" t="s">
        <v>62</v>
      </c>
      <c r="H6" s="1">
        <f t="shared" si="2"/>
        <v>2020</v>
      </c>
      <c r="I6" s="17">
        <f>C6</f>
        <v>16358</v>
      </c>
      <c r="J6" s="17">
        <f>D6</f>
        <v>18302</v>
      </c>
      <c r="K6" s="17">
        <f t="shared" si="4"/>
        <v>34660</v>
      </c>
      <c r="N6" s="1" t="s">
        <v>62</v>
      </c>
      <c r="O6" s="1">
        <f t="shared" si="5"/>
        <v>2020</v>
      </c>
      <c r="P6" s="17">
        <f t="shared" si="6"/>
        <v>16358</v>
      </c>
      <c r="Q6" s="17">
        <f t="shared" si="7"/>
        <v>18302</v>
      </c>
      <c r="R6" s="17">
        <f t="shared" si="8"/>
        <v>34660</v>
      </c>
      <c r="S6" s="1"/>
      <c r="T6" s="1"/>
      <c r="U6" s="1"/>
    </row>
    <row r="7" spans="1:21" x14ac:dyDescent="0.15">
      <c r="G7" s="1" t="s">
        <v>106</v>
      </c>
      <c r="H7" s="1">
        <f>管理者入力シート!B8</f>
        <v>2025</v>
      </c>
      <c r="I7" s="17">
        <f>SUM(H69:H89)</f>
        <v>15927</v>
      </c>
      <c r="J7" s="17">
        <f>SUM(I69:I89)</f>
        <v>17757</v>
      </c>
      <c r="K7" s="17">
        <f t="shared" si="4"/>
        <v>33684</v>
      </c>
      <c r="N7" s="1" t="s">
        <v>106</v>
      </c>
      <c r="O7" s="1">
        <f t="shared" si="5"/>
        <v>2025</v>
      </c>
      <c r="P7" s="17">
        <f t="shared" si="6"/>
        <v>15927</v>
      </c>
      <c r="Q7" s="17">
        <f t="shared" si="7"/>
        <v>17757</v>
      </c>
      <c r="R7" s="17">
        <f t="shared" si="8"/>
        <v>33684</v>
      </c>
      <c r="S7" s="236">
        <f>SUM(O69:O89)</f>
        <v>15931</v>
      </c>
      <c r="T7" s="236">
        <f>SUM(P69:P89)</f>
        <v>17762</v>
      </c>
      <c r="U7" s="236">
        <f>S7+T7</f>
        <v>33693</v>
      </c>
    </row>
    <row r="8" spans="1:21" x14ac:dyDescent="0.15">
      <c r="A8" s="69" t="s">
        <v>71</v>
      </c>
      <c r="G8" s="1" t="s">
        <v>107</v>
      </c>
      <c r="H8" s="1">
        <f>管理者入力シート!B9</f>
        <v>2030</v>
      </c>
      <c r="I8" s="17">
        <f>SUM(H93:H113)</f>
        <v>15335</v>
      </c>
      <c r="J8" s="17">
        <f>SUM(I93:I113)</f>
        <v>17060</v>
      </c>
      <c r="K8" s="17">
        <f t="shared" si="4"/>
        <v>32395</v>
      </c>
      <c r="N8" s="1" t="s">
        <v>107</v>
      </c>
      <c r="O8" s="1">
        <f t="shared" si="5"/>
        <v>2030</v>
      </c>
      <c r="P8" s="17">
        <f t="shared" si="6"/>
        <v>15335</v>
      </c>
      <c r="Q8" s="17">
        <f t="shared" si="7"/>
        <v>17060</v>
      </c>
      <c r="R8" s="17">
        <f t="shared" si="8"/>
        <v>32395</v>
      </c>
      <c r="S8" s="236">
        <f>SUM(O93:O113)</f>
        <v>15344</v>
      </c>
      <c r="T8" s="236">
        <f>SUM(P93:P113)</f>
        <v>17071</v>
      </c>
      <c r="U8" s="236">
        <f t="shared" ref="U8:U10" si="9">S8+T8</f>
        <v>32415</v>
      </c>
    </row>
    <row r="9" spans="1:21" x14ac:dyDescent="0.15">
      <c r="A9" s="2" t="s">
        <v>72</v>
      </c>
      <c r="G9" s="1" t="s">
        <v>108</v>
      </c>
      <c r="H9" s="1">
        <f>管理者入力シート!B10</f>
        <v>2035</v>
      </c>
      <c r="I9" s="17">
        <f>SUM(H117:H137)</f>
        <v>14664</v>
      </c>
      <c r="J9" s="17">
        <f>SUM(I117:I137)</f>
        <v>16247</v>
      </c>
      <c r="K9" s="17">
        <f t="shared" si="4"/>
        <v>30911</v>
      </c>
      <c r="N9" s="1" t="s">
        <v>108</v>
      </c>
      <c r="O9" s="1">
        <f t="shared" si="5"/>
        <v>2035</v>
      </c>
      <c r="P9" s="17">
        <f t="shared" si="6"/>
        <v>14664</v>
      </c>
      <c r="Q9" s="17">
        <f t="shared" si="7"/>
        <v>16247</v>
      </c>
      <c r="R9" s="17">
        <f t="shared" si="8"/>
        <v>30911</v>
      </c>
      <c r="S9" s="236">
        <f>SUM(O117:O137)</f>
        <v>14679</v>
      </c>
      <c r="T9" s="236">
        <f>SUM(P117:P137)</f>
        <v>16262</v>
      </c>
      <c r="U9" s="236">
        <f t="shared" si="9"/>
        <v>30941</v>
      </c>
    </row>
    <row r="10" spans="1:21" x14ac:dyDescent="0.15">
      <c r="A10" s="1" t="s">
        <v>58</v>
      </c>
      <c r="B10" s="1">
        <f>B4</f>
        <v>2010</v>
      </c>
      <c r="C10" s="17">
        <f>ROUND(VLOOKUP(B10&amp;"_3",管理者用人口入力シート!A:AA,26,FALSE),0)</f>
        <v>1884</v>
      </c>
      <c r="D10" s="12"/>
      <c r="E10" s="12"/>
      <c r="G10" s="1" t="s">
        <v>109</v>
      </c>
      <c r="H10" s="1">
        <f>管理者入力シート!B11</f>
        <v>2040</v>
      </c>
      <c r="I10" s="17">
        <f>SUM(H141:H161)</f>
        <v>13924</v>
      </c>
      <c r="J10" s="17">
        <f>SUM(I141:I161)</f>
        <v>15346</v>
      </c>
      <c r="K10" s="17">
        <f t="shared" si="4"/>
        <v>29270</v>
      </c>
      <c r="N10" s="1" t="s">
        <v>109</v>
      </c>
      <c r="O10" s="1">
        <f t="shared" si="5"/>
        <v>2040</v>
      </c>
      <c r="P10" s="17">
        <f t="shared" si="6"/>
        <v>13924</v>
      </c>
      <c r="Q10" s="17">
        <f t="shared" si="7"/>
        <v>15346</v>
      </c>
      <c r="R10" s="17">
        <f t="shared" si="8"/>
        <v>29270</v>
      </c>
      <c r="S10" s="236">
        <f>SUM(O141:O161)</f>
        <v>13943</v>
      </c>
      <c r="T10" s="236">
        <f>SUM(P141:P161)</f>
        <v>15371</v>
      </c>
      <c r="U10" s="236">
        <f t="shared" si="9"/>
        <v>29314</v>
      </c>
    </row>
    <row r="11" spans="1:21" x14ac:dyDescent="0.15">
      <c r="A11" s="1" t="s">
        <v>61</v>
      </c>
      <c r="B11" s="1">
        <f t="shared" ref="B11:B12" si="10">B5</f>
        <v>2015</v>
      </c>
      <c r="C11" s="17">
        <f>ROUND(VLOOKUP(B11&amp;"_3",管理者用人口入力シート!A:AA,26,FALSE),0)</f>
        <v>1899</v>
      </c>
      <c r="D11" s="12"/>
      <c r="E11" s="12"/>
      <c r="I11" s="12"/>
      <c r="J11" s="12"/>
      <c r="K11" s="12"/>
      <c r="P11" s="12"/>
    </row>
    <row r="12" spans="1:21" x14ac:dyDescent="0.15">
      <c r="A12" s="1" t="s">
        <v>62</v>
      </c>
      <c r="B12" s="1">
        <f t="shared" si="10"/>
        <v>2020</v>
      </c>
      <c r="C12" s="17">
        <f>ROUND(VLOOKUP(B12&amp;"_3",管理者用人口入力シート!A:AA,26,FALSE),0)</f>
        <v>1867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970</v>
      </c>
      <c r="D14" s="12"/>
      <c r="E14" s="12"/>
      <c r="G14" s="1" t="s">
        <v>58</v>
      </c>
      <c r="H14" s="1">
        <f>H4</f>
        <v>2010</v>
      </c>
      <c r="I14" s="17">
        <f>C10</f>
        <v>1884</v>
      </c>
      <c r="J14" s="12"/>
      <c r="K14" s="12"/>
      <c r="N14" s="1" t="s">
        <v>58</v>
      </c>
      <c r="O14" s="1">
        <f>O4</f>
        <v>2010</v>
      </c>
      <c r="P14" s="17">
        <f>I14</f>
        <v>1884</v>
      </c>
      <c r="Q14" s="17"/>
    </row>
    <row r="15" spans="1:21" x14ac:dyDescent="0.15">
      <c r="A15" s="1" t="s">
        <v>61</v>
      </c>
      <c r="B15" s="1">
        <f t="shared" ref="B15:B16" si="11">B5</f>
        <v>2015</v>
      </c>
      <c r="C15" s="17">
        <f>ROUND(VLOOKUP(B15&amp;"_3",管理者用人口入力シート!A:AA,27,FALSE),0)</f>
        <v>977</v>
      </c>
      <c r="D15" s="12"/>
      <c r="E15" s="12"/>
      <c r="G15" s="1" t="s">
        <v>57</v>
      </c>
      <c r="H15" s="1">
        <f t="shared" ref="H15:H20" si="12">H5</f>
        <v>2015</v>
      </c>
      <c r="I15" s="17">
        <f>C11</f>
        <v>1899</v>
      </c>
      <c r="J15" s="12"/>
      <c r="K15" s="12"/>
      <c r="N15" s="1" t="s">
        <v>57</v>
      </c>
      <c r="O15" s="1">
        <f t="shared" ref="O15:O20" si="13">O5</f>
        <v>2015</v>
      </c>
      <c r="P15" s="17">
        <f t="shared" ref="P15:P20" si="14">I15</f>
        <v>1899</v>
      </c>
      <c r="Q15" s="17"/>
    </row>
    <row r="16" spans="1:21" x14ac:dyDescent="0.15">
      <c r="A16" s="1" t="s">
        <v>62</v>
      </c>
      <c r="B16" s="1">
        <f t="shared" si="11"/>
        <v>2020</v>
      </c>
      <c r="C16" s="17">
        <f>ROUND(VLOOKUP(B16&amp;"_3",管理者用人口入力シート!A:AA,27,FALSE),0)</f>
        <v>955</v>
      </c>
      <c r="D16" s="12"/>
      <c r="E16" s="12"/>
      <c r="G16" s="1" t="s">
        <v>62</v>
      </c>
      <c r="H16" s="1">
        <f t="shared" si="12"/>
        <v>2020</v>
      </c>
      <c r="I16" s="17">
        <f>C12</f>
        <v>1867</v>
      </c>
      <c r="J16" s="12"/>
      <c r="K16" s="12"/>
      <c r="N16" s="1" t="s">
        <v>62</v>
      </c>
      <c r="O16" s="1">
        <f t="shared" si="13"/>
        <v>2020</v>
      </c>
      <c r="P16" s="17">
        <f t="shared" si="14"/>
        <v>1867</v>
      </c>
      <c r="Q16" s="17"/>
    </row>
    <row r="17" spans="1:17" x14ac:dyDescent="0.15">
      <c r="G17" s="1" t="s">
        <v>106</v>
      </c>
      <c r="H17" s="1">
        <f t="shared" si="12"/>
        <v>2025</v>
      </c>
      <c r="I17" s="17">
        <f>ROUND(VLOOKUP(H17&amp;"_3",管理者用人口入力シート!BH:CM,26,FALSE),0)</f>
        <v>1722</v>
      </c>
      <c r="J17" s="12"/>
      <c r="K17" s="12"/>
      <c r="N17" s="1" t="s">
        <v>106</v>
      </c>
      <c r="O17" s="1">
        <f t="shared" si="13"/>
        <v>2025</v>
      </c>
      <c r="P17" s="17">
        <f t="shared" si="14"/>
        <v>1722</v>
      </c>
      <c r="Q17" s="17">
        <f>ROUND(VLOOKUP(H17&amp;"_3",管理者用人口入力シート!CO:DT,26,FALSE),0)</f>
        <v>1723</v>
      </c>
    </row>
    <row r="18" spans="1:17" x14ac:dyDescent="0.15">
      <c r="A18" s="69" t="s">
        <v>110</v>
      </c>
      <c r="G18" s="1" t="s">
        <v>107</v>
      </c>
      <c r="H18" s="1">
        <f t="shared" si="12"/>
        <v>2030</v>
      </c>
      <c r="I18" s="17">
        <f>ROUND(VLOOKUP(H18&amp;"_3",管理者用人口入力シート!BH:CM,26,FALSE),0)</f>
        <v>1491</v>
      </c>
      <c r="J18" s="12"/>
      <c r="K18" s="12"/>
      <c r="N18" s="1" t="s">
        <v>107</v>
      </c>
      <c r="O18" s="1">
        <f t="shared" si="13"/>
        <v>2030</v>
      </c>
      <c r="P18" s="17">
        <f t="shared" si="14"/>
        <v>1491</v>
      </c>
      <c r="Q18" s="17">
        <f>ROUND(VLOOKUP(H18&amp;"_3",管理者用人口入力シート!CO:DT,26,FALSE),0)</f>
        <v>1494</v>
      </c>
    </row>
    <row r="19" spans="1:17" x14ac:dyDescent="0.15">
      <c r="A19" s="2" t="s">
        <v>84</v>
      </c>
      <c r="G19" s="1" t="s">
        <v>108</v>
      </c>
      <c r="H19" s="1">
        <f t="shared" si="12"/>
        <v>2035</v>
      </c>
      <c r="I19" s="17">
        <f>ROUND(VLOOKUP(H19&amp;"_3",管理者用人口入力シート!BH:CM,26,FALSE),0)</f>
        <v>1322</v>
      </c>
      <c r="J19" s="12"/>
      <c r="K19" s="12"/>
      <c r="N19" s="1" t="s">
        <v>108</v>
      </c>
      <c r="O19" s="1">
        <f t="shared" si="13"/>
        <v>2035</v>
      </c>
      <c r="P19" s="17">
        <f t="shared" si="14"/>
        <v>1322</v>
      </c>
      <c r="Q19" s="17">
        <f>ROUND(VLOOKUP(H19&amp;"_3",管理者用人口入力シート!CO:DT,26,FALSE),0)</f>
        <v>1326</v>
      </c>
    </row>
    <row r="20" spans="1:17" x14ac:dyDescent="0.15">
      <c r="A20" s="1" t="s">
        <v>58</v>
      </c>
      <c r="B20" s="1">
        <f>B4</f>
        <v>2010</v>
      </c>
      <c r="C20" s="17">
        <f>SUM(B54:C61)</f>
        <v>7500</v>
      </c>
      <c r="D20" s="12"/>
      <c r="E20" s="12"/>
      <c r="G20" s="1" t="s">
        <v>109</v>
      </c>
      <c r="H20" s="1">
        <f t="shared" si="12"/>
        <v>2040</v>
      </c>
      <c r="I20" s="17">
        <f>ROUND(VLOOKUP(H20&amp;"_3",管理者用人口入力シート!BH:CM,26,FALSE),0)</f>
        <v>1240</v>
      </c>
      <c r="J20" s="12"/>
      <c r="K20" s="12"/>
      <c r="N20" s="1" t="s">
        <v>109</v>
      </c>
      <c r="O20" s="1">
        <f t="shared" si="13"/>
        <v>2040</v>
      </c>
      <c r="P20" s="17">
        <f t="shared" si="14"/>
        <v>1240</v>
      </c>
      <c r="Q20" s="17">
        <f>ROUND(VLOOKUP(H20&amp;"_3",管理者用人口入力シート!CO:DT,26,FALSE),0)</f>
        <v>1246</v>
      </c>
    </row>
    <row r="21" spans="1:17" x14ac:dyDescent="0.15">
      <c r="A21" s="1" t="s">
        <v>61</v>
      </c>
      <c r="B21" s="1">
        <f t="shared" ref="B21:B22" si="15">B5</f>
        <v>2015</v>
      </c>
      <c r="C21" s="17">
        <f>SUM(B78:C85)</f>
        <v>8998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10081</v>
      </c>
      <c r="D22" s="12"/>
      <c r="E22" s="12"/>
      <c r="G22" s="1" t="s">
        <v>58</v>
      </c>
      <c r="H22" s="1">
        <f>H4</f>
        <v>2010</v>
      </c>
      <c r="I22" s="17">
        <f>C14</f>
        <v>970</v>
      </c>
      <c r="J22" s="12"/>
      <c r="K22" s="12"/>
      <c r="N22" s="1" t="s">
        <v>58</v>
      </c>
      <c r="O22" s="1">
        <f>O4</f>
        <v>2010</v>
      </c>
      <c r="P22" s="17">
        <f>I22</f>
        <v>970</v>
      </c>
      <c r="Q22" s="17"/>
    </row>
    <row r="23" spans="1:17" x14ac:dyDescent="0.15">
      <c r="A23" s="2" t="s">
        <v>86</v>
      </c>
      <c r="G23" s="1" t="s">
        <v>57</v>
      </c>
      <c r="H23" s="1">
        <f t="shared" ref="H23:H28" si="16">H5</f>
        <v>2015</v>
      </c>
      <c r="I23" s="17">
        <f t="shared" ref="I23:I24" si="17">C15</f>
        <v>977</v>
      </c>
      <c r="J23" s="12"/>
      <c r="K23" s="12"/>
      <c r="N23" s="1" t="s">
        <v>57</v>
      </c>
      <c r="O23" s="1">
        <f t="shared" ref="O23:O28" si="18">O5</f>
        <v>2015</v>
      </c>
      <c r="P23" s="17">
        <f t="shared" ref="P23:P28" si="19">I23</f>
        <v>977</v>
      </c>
      <c r="Q23" s="17"/>
    </row>
    <row r="24" spans="1:17" x14ac:dyDescent="0.15">
      <c r="A24" s="1" t="s">
        <v>58</v>
      </c>
      <c r="B24" s="1">
        <f>B4</f>
        <v>2010</v>
      </c>
      <c r="C24" s="17">
        <f>SUM(B56:C61)</f>
        <v>3690</v>
      </c>
      <c r="D24" s="12"/>
      <c r="E24" s="12"/>
      <c r="G24" s="1" t="s">
        <v>62</v>
      </c>
      <c r="H24" s="1">
        <f t="shared" si="16"/>
        <v>2020</v>
      </c>
      <c r="I24" s="17">
        <f t="shared" si="17"/>
        <v>955</v>
      </c>
      <c r="J24" s="12"/>
      <c r="K24" s="12"/>
      <c r="N24" s="1" t="s">
        <v>62</v>
      </c>
      <c r="O24" s="1">
        <f t="shared" si="18"/>
        <v>2020</v>
      </c>
      <c r="P24" s="17">
        <f t="shared" si="19"/>
        <v>955</v>
      </c>
      <c r="Q24" s="17"/>
    </row>
    <row r="25" spans="1:17" x14ac:dyDescent="0.15">
      <c r="A25" s="1" t="s">
        <v>61</v>
      </c>
      <c r="B25" s="1">
        <f t="shared" ref="B25:B26" si="20">B5</f>
        <v>2015</v>
      </c>
      <c r="C25" s="17">
        <f>SUM(B80:C85)</f>
        <v>4313</v>
      </c>
      <c r="D25" s="12"/>
      <c r="E25" s="12"/>
      <c r="G25" s="1" t="s">
        <v>106</v>
      </c>
      <c r="H25" s="1">
        <f t="shared" si="16"/>
        <v>2025</v>
      </c>
      <c r="I25" s="17">
        <f>ROUND(VLOOKUP(H25&amp;"_3",管理者用人口入力シート!BH:CM,27,FALSE),0)</f>
        <v>950</v>
      </c>
      <c r="J25" s="12"/>
      <c r="K25" s="12"/>
      <c r="N25" s="1" t="s">
        <v>106</v>
      </c>
      <c r="O25" s="1">
        <f t="shared" si="18"/>
        <v>2025</v>
      </c>
      <c r="P25" s="17">
        <f t="shared" si="19"/>
        <v>950</v>
      </c>
      <c r="Q25" s="17">
        <f>ROUND(VLOOKUP(H17&amp;"_3",管理者用人口入力シート!CO:DT,27,FALSE),0)</f>
        <v>951</v>
      </c>
    </row>
    <row r="26" spans="1:17" x14ac:dyDescent="0.15">
      <c r="A26" s="1" t="s">
        <v>62</v>
      </c>
      <c r="B26" s="1">
        <f t="shared" si="20"/>
        <v>2020</v>
      </c>
      <c r="C26" s="17">
        <f>SUM(B104:C109)</f>
        <v>5100</v>
      </c>
      <c r="D26" s="12"/>
      <c r="E26" s="12"/>
      <c r="G26" s="1" t="s">
        <v>107</v>
      </c>
      <c r="H26" s="1">
        <f t="shared" si="16"/>
        <v>2030</v>
      </c>
      <c r="I26" s="17">
        <f>ROUND(VLOOKUP(H26&amp;"_3",管理者用人口入力シート!BH:CM,27,FALSE),0)</f>
        <v>861</v>
      </c>
      <c r="J26" s="12"/>
      <c r="K26" s="12"/>
      <c r="N26" s="1" t="s">
        <v>107</v>
      </c>
      <c r="O26" s="1">
        <f t="shared" si="18"/>
        <v>2030</v>
      </c>
      <c r="P26" s="17">
        <f t="shared" si="19"/>
        <v>861</v>
      </c>
      <c r="Q26" s="17">
        <f>ROUND(VLOOKUP(H18&amp;"_3",管理者用人口入力シート!CO:DT,27,FALSE),0)</f>
        <v>862</v>
      </c>
    </row>
    <row r="27" spans="1:17" x14ac:dyDescent="0.15">
      <c r="G27" s="1" t="s">
        <v>108</v>
      </c>
      <c r="H27" s="1">
        <f t="shared" si="16"/>
        <v>2035</v>
      </c>
      <c r="I27" s="17">
        <f>ROUND(VLOOKUP(H27&amp;"_3",管理者用人口入力シート!BH:CM,27,FALSE),0)</f>
        <v>745</v>
      </c>
      <c r="J27" s="12"/>
      <c r="K27" s="12"/>
      <c r="N27" s="1" t="s">
        <v>108</v>
      </c>
      <c r="O27" s="1">
        <f t="shared" si="18"/>
        <v>2035</v>
      </c>
      <c r="P27" s="17">
        <f t="shared" si="19"/>
        <v>745</v>
      </c>
      <c r="Q27" s="17">
        <f>ROUND(VLOOKUP(H19&amp;"_3",管理者用人口入力シート!CO:DT,27,FALSE),0)</f>
        <v>747</v>
      </c>
    </row>
    <row r="28" spans="1:17" x14ac:dyDescent="0.15">
      <c r="A28" s="69" t="s">
        <v>85</v>
      </c>
      <c r="G28" s="1" t="s">
        <v>109</v>
      </c>
      <c r="H28" s="1">
        <f t="shared" si="16"/>
        <v>2040</v>
      </c>
      <c r="I28" s="17">
        <f>ROUND(VLOOKUP(H28&amp;"_3",管理者用人口入力シート!BH:CM,27,FALSE),0)</f>
        <v>666</v>
      </c>
      <c r="J28" s="12"/>
      <c r="K28" s="12"/>
      <c r="N28" s="1" t="s">
        <v>109</v>
      </c>
      <c r="O28" s="1">
        <f t="shared" si="18"/>
        <v>2040</v>
      </c>
      <c r="P28" s="17">
        <f t="shared" si="19"/>
        <v>666</v>
      </c>
      <c r="Q28" s="17">
        <f>ROUND(VLOOKUP(H20&amp;"_3",管理者用人口入力シート!CO:DT,27,FALSE),0)</f>
        <v>669</v>
      </c>
    </row>
    <row r="29" spans="1:17" x14ac:dyDescent="0.15">
      <c r="A29" s="2" t="s">
        <v>84</v>
      </c>
    </row>
    <row r="30" spans="1:17" x14ac:dyDescent="0.15">
      <c r="A30" s="1" t="s">
        <v>58</v>
      </c>
      <c r="B30" s="1">
        <f>B4</f>
        <v>2010</v>
      </c>
      <c r="C30" s="38">
        <f>ROUND((SUM(B54:C61)/SUM(B41:C61)),2)</f>
        <v>0.21</v>
      </c>
      <c r="D30" s="205"/>
      <c r="E30" s="205"/>
      <c r="G30" s="69" t="s">
        <v>110</v>
      </c>
      <c r="N30" s="69" t="s">
        <v>110</v>
      </c>
    </row>
    <row r="31" spans="1:17" x14ac:dyDescent="0.15">
      <c r="A31" s="1" t="s">
        <v>61</v>
      </c>
      <c r="B31" s="1">
        <f t="shared" ref="B31:B32" si="21">B5</f>
        <v>2015</v>
      </c>
      <c r="C31" s="38">
        <f>ROUND((SUM(B78:C85)/SUM(B65:C85)),2)</f>
        <v>0.26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0.28999999999999998</v>
      </c>
      <c r="D32" s="205"/>
      <c r="E32" s="205"/>
      <c r="G32" s="1" t="s">
        <v>58</v>
      </c>
      <c r="H32" s="1">
        <f>H4</f>
        <v>2010</v>
      </c>
      <c r="I32" s="17">
        <f>C20</f>
        <v>7500</v>
      </c>
      <c r="J32" s="12"/>
      <c r="K32" s="12"/>
      <c r="N32" s="1" t="s">
        <v>58</v>
      </c>
      <c r="O32" s="1">
        <f>O4</f>
        <v>2010</v>
      </c>
      <c r="P32" s="17">
        <f>I32</f>
        <v>7500</v>
      </c>
      <c r="Q32" s="17"/>
    </row>
    <row r="33" spans="1:17" x14ac:dyDescent="0.15">
      <c r="A33" s="2" t="s">
        <v>86</v>
      </c>
      <c r="G33" s="1" t="s">
        <v>57</v>
      </c>
      <c r="H33" s="1">
        <f t="shared" ref="H33:H38" si="22">H5</f>
        <v>2015</v>
      </c>
      <c r="I33" s="17">
        <f>C21</f>
        <v>8998</v>
      </c>
      <c r="J33" s="12"/>
      <c r="K33" s="12"/>
      <c r="N33" s="1" t="s">
        <v>57</v>
      </c>
      <c r="O33" s="1">
        <f t="shared" ref="O33:O38" si="23">O5</f>
        <v>2015</v>
      </c>
      <c r="P33" s="17">
        <f t="shared" ref="P33:P38" si="24">I33</f>
        <v>8998</v>
      </c>
      <c r="Q33" s="17"/>
    </row>
    <row r="34" spans="1:17" x14ac:dyDescent="0.15">
      <c r="A34" s="1" t="s">
        <v>58</v>
      </c>
      <c r="B34" s="1">
        <f>B4</f>
        <v>2010</v>
      </c>
      <c r="C34" s="38">
        <f>ROUND((SUM(B56:C61)/SUM(B41:C61)),2)</f>
        <v>0.1</v>
      </c>
      <c r="D34" s="205"/>
      <c r="E34" s="205"/>
      <c r="G34" s="1" t="s">
        <v>62</v>
      </c>
      <c r="H34" s="1">
        <f t="shared" si="22"/>
        <v>2020</v>
      </c>
      <c r="I34" s="17">
        <f>C22</f>
        <v>10081</v>
      </c>
      <c r="J34" s="12"/>
      <c r="K34" s="12"/>
      <c r="N34" s="1" t="s">
        <v>62</v>
      </c>
      <c r="O34" s="1">
        <f t="shared" si="23"/>
        <v>2020</v>
      </c>
      <c r="P34" s="17">
        <f t="shared" si="24"/>
        <v>10081</v>
      </c>
      <c r="Q34" s="17"/>
    </row>
    <row r="35" spans="1:17" x14ac:dyDescent="0.15">
      <c r="A35" s="1" t="s">
        <v>61</v>
      </c>
      <c r="B35" s="1">
        <f t="shared" ref="B35:B36" si="25">B5</f>
        <v>2015</v>
      </c>
      <c r="C35" s="38">
        <f>ROUND((SUM(B80:C85)/SUM(B65:C85)),2)</f>
        <v>0.12</v>
      </c>
      <c r="D35" s="205"/>
      <c r="E35" s="205"/>
      <c r="G35" s="1" t="s">
        <v>106</v>
      </c>
      <c r="H35" s="1">
        <f t="shared" si="22"/>
        <v>2025</v>
      </c>
      <c r="I35" s="17">
        <f>SUM(H82:I89)</f>
        <v>10422</v>
      </c>
      <c r="J35" s="12"/>
      <c r="K35" s="12"/>
      <c r="N35" s="1" t="s">
        <v>106</v>
      </c>
      <c r="O35" s="1">
        <f t="shared" si="23"/>
        <v>2025</v>
      </c>
      <c r="P35" s="17">
        <f t="shared" si="24"/>
        <v>10422</v>
      </c>
      <c r="Q35" s="17">
        <f>SUM(O82:P89)</f>
        <v>10422</v>
      </c>
    </row>
    <row r="36" spans="1:17" x14ac:dyDescent="0.15">
      <c r="A36" s="1" t="s">
        <v>62</v>
      </c>
      <c r="B36" s="1">
        <f t="shared" si="25"/>
        <v>2020</v>
      </c>
      <c r="C36" s="38">
        <f>ROUND((SUM(B104:C109)/SUM(B89:C109)),2)</f>
        <v>0.15</v>
      </c>
      <c r="D36" s="205"/>
      <c r="E36" s="205"/>
      <c r="G36" s="1" t="s">
        <v>107</v>
      </c>
      <c r="H36" s="1">
        <f t="shared" si="22"/>
        <v>2030</v>
      </c>
      <c r="I36" s="17">
        <f>SUM(H106:I113)</f>
        <v>10528</v>
      </c>
      <c r="J36" s="12"/>
      <c r="K36" s="12"/>
      <c r="N36" s="1" t="s">
        <v>107</v>
      </c>
      <c r="O36" s="1">
        <f t="shared" si="23"/>
        <v>2030</v>
      </c>
      <c r="P36" s="17">
        <f t="shared" si="24"/>
        <v>10528</v>
      </c>
      <c r="Q36" s="17">
        <f>SUM(O106:P113)</f>
        <v>10528</v>
      </c>
    </row>
    <row r="37" spans="1:17" x14ac:dyDescent="0.15">
      <c r="G37" s="1" t="s">
        <v>108</v>
      </c>
      <c r="H37" s="1">
        <f t="shared" si="22"/>
        <v>2035</v>
      </c>
      <c r="I37" s="17">
        <f>SUM(H130:I137)</f>
        <v>10398</v>
      </c>
      <c r="J37" s="12"/>
      <c r="K37" s="12"/>
      <c r="N37" s="1" t="s">
        <v>108</v>
      </c>
      <c r="O37" s="1">
        <f t="shared" si="23"/>
        <v>2035</v>
      </c>
      <c r="P37" s="17">
        <f t="shared" si="24"/>
        <v>10398</v>
      </c>
      <c r="Q37" s="17">
        <f>SUM(O130:P137)</f>
        <v>10398</v>
      </c>
    </row>
    <row r="38" spans="1:17" x14ac:dyDescent="0.15">
      <c r="A38" s="69" t="s">
        <v>113</v>
      </c>
      <c r="G38" s="1" t="s">
        <v>109</v>
      </c>
      <c r="H38" s="1">
        <f t="shared" si="22"/>
        <v>2040</v>
      </c>
      <c r="I38" s="17">
        <f>SUM(H154:I161)</f>
        <v>10749</v>
      </c>
      <c r="J38" s="12"/>
      <c r="K38" s="12"/>
      <c r="N38" s="1" t="s">
        <v>109</v>
      </c>
      <c r="O38" s="1">
        <f t="shared" si="23"/>
        <v>2040</v>
      </c>
      <c r="P38" s="17">
        <f t="shared" si="24"/>
        <v>10749</v>
      </c>
      <c r="Q38" s="17">
        <f>SUM(O154:P161)</f>
        <v>10749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3690</v>
      </c>
      <c r="J40" s="12"/>
      <c r="K40" s="12"/>
      <c r="N40" s="1" t="s">
        <v>58</v>
      </c>
      <c r="O40" s="1">
        <f>O4</f>
        <v>2010</v>
      </c>
      <c r="P40" s="17">
        <f>I40</f>
        <v>3690</v>
      </c>
      <c r="Q40" s="17"/>
    </row>
    <row r="41" spans="1:17" x14ac:dyDescent="0.15">
      <c r="A41" s="2" t="s">
        <v>0</v>
      </c>
      <c r="B41" s="17">
        <f>ROUND(VLOOKUP(B$39&amp;"_1",管理者用人口入力シート!A:X,D41,FALSE),0)</f>
        <v>866</v>
      </c>
      <c r="C41" s="17">
        <f>ROUND(VLOOKUP(B$39&amp;"_2",管理者用人口入力シート!A:X,D41,FALSE),0)</f>
        <v>815</v>
      </c>
      <c r="D41" s="2">
        <v>4</v>
      </c>
      <c r="G41" s="1" t="s">
        <v>57</v>
      </c>
      <c r="H41" s="1">
        <f t="shared" ref="H41:H46" si="26">H5</f>
        <v>2015</v>
      </c>
      <c r="I41" s="17">
        <f>C25</f>
        <v>4313</v>
      </c>
      <c r="J41" s="12"/>
      <c r="K41" s="12"/>
      <c r="N41" s="1" t="s">
        <v>57</v>
      </c>
      <c r="O41" s="1">
        <f t="shared" ref="O41:O46" si="27">O5</f>
        <v>2015</v>
      </c>
      <c r="P41" s="17">
        <f t="shared" ref="P41:P46" si="28">I41</f>
        <v>4313</v>
      </c>
      <c r="Q41" s="17"/>
    </row>
    <row r="42" spans="1:17" x14ac:dyDescent="0.15">
      <c r="A42" s="2" t="s">
        <v>1</v>
      </c>
      <c r="B42" s="17">
        <f>ROUND(VLOOKUP(B$39&amp;"_1",管理者用人口入力シート!A:X,D42,FALSE),0)</f>
        <v>811</v>
      </c>
      <c r="C42" s="17">
        <f>ROUND(VLOOKUP(B$39&amp;"_2",管理者用人口入力シート!A:X,D42,FALSE),0)</f>
        <v>765</v>
      </c>
      <c r="D42" s="2">
        <v>5</v>
      </c>
      <c r="G42" s="1" t="s">
        <v>62</v>
      </c>
      <c r="H42" s="1">
        <f t="shared" si="26"/>
        <v>2020</v>
      </c>
      <c r="I42" s="17">
        <f>C26</f>
        <v>5100</v>
      </c>
      <c r="J42" s="12"/>
      <c r="K42" s="12"/>
      <c r="N42" s="1" t="s">
        <v>62</v>
      </c>
      <c r="O42" s="1">
        <f t="shared" si="27"/>
        <v>2020</v>
      </c>
      <c r="P42" s="17">
        <f t="shared" si="28"/>
        <v>5100</v>
      </c>
      <c r="Q42" s="17"/>
    </row>
    <row r="43" spans="1:17" x14ac:dyDescent="0.15">
      <c r="A43" s="2" t="s">
        <v>2</v>
      </c>
      <c r="B43" s="17">
        <f>ROUND(VLOOKUP(B$39&amp;"_1",管理者用人口入力シート!A:X,D43,FALSE),0)</f>
        <v>838</v>
      </c>
      <c r="C43" s="17">
        <f>ROUND(VLOOKUP(B$39&amp;"_2",管理者用人口入力シート!A:X,D43,FALSE),0)</f>
        <v>725</v>
      </c>
      <c r="D43" s="2">
        <v>6</v>
      </c>
      <c r="G43" s="1" t="s">
        <v>106</v>
      </c>
      <c r="H43" s="1">
        <f t="shared" si="26"/>
        <v>2025</v>
      </c>
      <c r="I43" s="17">
        <f>SUM(H84:I89)</f>
        <v>6046</v>
      </c>
      <c r="J43" s="12"/>
      <c r="K43" s="12"/>
      <c r="N43" s="1" t="s">
        <v>106</v>
      </c>
      <c r="O43" s="1">
        <f t="shared" si="27"/>
        <v>2025</v>
      </c>
      <c r="P43" s="17">
        <f t="shared" si="28"/>
        <v>6046</v>
      </c>
      <c r="Q43" s="17">
        <f>SUM(O84:P89)</f>
        <v>6046</v>
      </c>
    </row>
    <row r="44" spans="1:17" x14ac:dyDescent="0.15">
      <c r="A44" s="2" t="s">
        <v>3</v>
      </c>
      <c r="B44" s="17">
        <f>ROUND(VLOOKUP(B$39&amp;"_1",管理者用人口入力シート!A:X,D44,FALSE),0)</f>
        <v>814</v>
      </c>
      <c r="C44" s="17">
        <f>ROUND(VLOOKUP(B$39&amp;"_2",管理者用人口入力シート!A:X,D44,FALSE),0)</f>
        <v>907</v>
      </c>
      <c r="D44" s="2">
        <v>7</v>
      </c>
      <c r="G44" s="1" t="s">
        <v>107</v>
      </c>
      <c r="H44" s="1">
        <f t="shared" si="26"/>
        <v>2030</v>
      </c>
      <c r="I44" s="17">
        <f>SUM(H108:I113)</f>
        <v>6458</v>
      </c>
      <c r="J44" s="12"/>
      <c r="K44" s="12"/>
      <c r="N44" s="1" t="s">
        <v>107</v>
      </c>
      <c r="O44" s="1">
        <f t="shared" si="27"/>
        <v>2030</v>
      </c>
      <c r="P44" s="17">
        <f t="shared" si="28"/>
        <v>6458</v>
      </c>
      <c r="Q44" s="17">
        <f>SUM(O108:P113)</f>
        <v>6458</v>
      </c>
    </row>
    <row r="45" spans="1:17" x14ac:dyDescent="0.15">
      <c r="A45" s="2" t="s">
        <v>4</v>
      </c>
      <c r="B45" s="17">
        <f>ROUND(VLOOKUP(B$39&amp;"_1",管理者用人口入力シート!A:X,D45,FALSE),0)</f>
        <v>779</v>
      </c>
      <c r="C45" s="17">
        <f>ROUND(VLOOKUP(B$39&amp;"_2",管理者用人口入力シート!A:X,D45,FALSE),0)</f>
        <v>975</v>
      </c>
      <c r="D45" s="2">
        <v>8</v>
      </c>
      <c r="G45" s="1" t="s">
        <v>108</v>
      </c>
      <c r="H45" s="1">
        <f t="shared" si="26"/>
        <v>2035</v>
      </c>
      <c r="I45" s="17">
        <f>SUM(H132:I137)</f>
        <v>6417</v>
      </c>
      <c r="J45" s="12"/>
      <c r="K45" s="12"/>
      <c r="N45" s="1" t="s">
        <v>108</v>
      </c>
      <c r="O45" s="1">
        <f t="shared" si="27"/>
        <v>2035</v>
      </c>
      <c r="P45" s="17">
        <f t="shared" si="28"/>
        <v>6417</v>
      </c>
      <c r="Q45" s="17">
        <f>SUM(O132:P137)</f>
        <v>6417</v>
      </c>
    </row>
    <row r="46" spans="1:17" x14ac:dyDescent="0.15">
      <c r="A46" s="2" t="s">
        <v>5</v>
      </c>
      <c r="B46" s="17">
        <f>ROUND(VLOOKUP(B$39&amp;"_1",管理者用人口入力シート!A:X,D46,FALSE),0)</f>
        <v>1059</v>
      </c>
      <c r="C46" s="17">
        <f>ROUND(VLOOKUP(B$39&amp;"_2",管理者用人口入力シート!A:X,D46,FALSE),0)</f>
        <v>1185</v>
      </c>
      <c r="D46" s="2">
        <v>9</v>
      </c>
      <c r="G46" s="1" t="s">
        <v>109</v>
      </c>
      <c r="H46" s="1">
        <f t="shared" si="26"/>
        <v>2040</v>
      </c>
      <c r="I46" s="17">
        <f>SUM(H156:I161)</f>
        <v>6223</v>
      </c>
      <c r="J46" s="12"/>
      <c r="K46" s="12"/>
      <c r="N46" s="1" t="s">
        <v>109</v>
      </c>
      <c r="O46" s="1">
        <f t="shared" si="27"/>
        <v>2040</v>
      </c>
      <c r="P46" s="17">
        <f t="shared" si="28"/>
        <v>6223</v>
      </c>
      <c r="Q46" s="17">
        <f>SUM(O156:P161)</f>
        <v>6223</v>
      </c>
    </row>
    <row r="47" spans="1:17" x14ac:dyDescent="0.15">
      <c r="A47" s="2" t="s">
        <v>6</v>
      </c>
      <c r="B47" s="17">
        <f>ROUND(VLOOKUP(B$39&amp;"_1",管理者用人口入力シート!A:X,D47,FALSE),0)</f>
        <v>1230</v>
      </c>
      <c r="C47" s="17">
        <f>ROUND(VLOOKUP(B$39&amp;"_2",管理者用人口入力シート!A:X,D47,FALSE),0)</f>
        <v>1303</v>
      </c>
      <c r="D47" s="2">
        <v>10</v>
      </c>
    </row>
    <row r="48" spans="1:17" x14ac:dyDescent="0.15">
      <c r="A48" s="2" t="s">
        <v>7</v>
      </c>
      <c r="B48" s="17">
        <f>ROUND(VLOOKUP(B$39&amp;"_1",管理者用人口入力シート!A:X,D48,FALSE),0)</f>
        <v>1334</v>
      </c>
      <c r="C48" s="17">
        <f>ROUND(VLOOKUP(B$39&amp;"_2",管理者用人口入力シート!A:X,D48,FALSE),0)</f>
        <v>1399</v>
      </c>
      <c r="D48" s="2">
        <v>11</v>
      </c>
      <c r="G48" s="69" t="s">
        <v>85</v>
      </c>
      <c r="N48" s="69" t="s">
        <v>85</v>
      </c>
    </row>
    <row r="49" spans="1:17" x14ac:dyDescent="0.15">
      <c r="A49" s="2" t="s">
        <v>8</v>
      </c>
      <c r="B49" s="17">
        <f>ROUND(VLOOKUP(B$39&amp;"_1",管理者用人口入力シート!A:X,D49,FALSE),0)</f>
        <v>1017</v>
      </c>
      <c r="C49" s="17">
        <f>ROUND(VLOOKUP(B$39&amp;"_2",管理者用人口入力シート!A:X,D49,FALSE),0)</f>
        <v>1127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1053</v>
      </c>
      <c r="C50" s="17">
        <f>ROUND(VLOOKUP(B$39&amp;"_2",管理者用人口入力シート!A:X,D50,FALSE),0)</f>
        <v>1116</v>
      </c>
      <c r="D50" s="2">
        <v>13</v>
      </c>
      <c r="G50" s="1" t="s">
        <v>58</v>
      </c>
      <c r="H50" s="1">
        <f>H4</f>
        <v>2010</v>
      </c>
      <c r="I50" s="38">
        <f>C30</f>
        <v>0.21</v>
      </c>
      <c r="J50" s="205"/>
      <c r="K50" s="205"/>
      <c r="N50" s="1" t="s">
        <v>58</v>
      </c>
      <c r="O50" s="1">
        <f>O4</f>
        <v>2010</v>
      </c>
      <c r="P50" s="38">
        <f t="shared" ref="P50:P56" si="29">I50</f>
        <v>0.21</v>
      </c>
      <c r="Q50" s="1"/>
    </row>
    <row r="51" spans="1:17" x14ac:dyDescent="0.15">
      <c r="A51" s="2" t="s">
        <v>10</v>
      </c>
      <c r="B51" s="17">
        <f>ROUND(VLOOKUP(B$39&amp;"_1",管理者用人口入力シート!A:X,D51,FALSE),0)</f>
        <v>1071</v>
      </c>
      <c r="C51" s="17">
        <f>ROUND(VLOOKUP(B$39&amp;"_2",管理者用人口入力シート!A:X,D51,FALSE),0)</f>
        <v>1194</v>
      </c>
      <c r="D51" s="2">
        <v>14</v>
      </c>
      <c r="G51" s="1" t="s">
        <v>57</v>
      </c>
      <c r="H51" s="1">
        <f t="shared" ref="H51:H56" si="30">H5</f>
        <v>2015</v>
      </c>
      <c r="I51" s="38">
        <f t="shared" ref="I51:I52" si="31">C31</f>
        <v>0.26</v>
      </c>
      <c r="J51" s="205"/>
      <c r="K51" s="205"/>
      <c r="N51" s="1" t="s">
        <v>57</v>
      </c>
      <c r="O51" s="1">
        <f t="shared" ref="O51:O56" si="32">O5</f>
        <v>2015</v>
      </c>
      <c r="P51" s="38">
        <f t="shared" si="29"/>
        <v>0.26</v>
      </c>
      <c r="Q51" s="1"/>
    </row>
    <row r="52" spans="1:17" x14ac:dyDescent="0.15">
      <c r="A52" s="2" t="s">
        <v>11</v>
      </c>
      <c r="B52" s="17">
        <f>ROUND(VLOOKUP(B$39&amp;"_1",管理者用人口入力シート!A:X,D52,FALSE),0)</f>
        <v>1155</v>
      </c>
      <c r="C52" s="17">
        <f>ROUND(VLOOKUP(B$39&amp;"_2",管理者用人口入力シート!A:X,D52,FALSE),0)</f>
        <v>1339</v>
      </c>
      <c r="D52" s="2">
        <v>15</v>
      </c>
      <c r="G52" s="1" t="s">
        <v>62</v>
      </c>
      <c r="H52" s="1">
        <f t="shared" si="30"/>
        <v>2020</v>
      </c>
      <c r="I52" s="38">
        <f t="shared" si="31"/>
        <v>0.28999999999999998</v>
      </c>
      <c r="J52" s="205"/>
      <c r="K52" s="205"/>
      <c r="N52" s="1" t="s">
        <v>62</v>
      </c>
      <c r="O52" s="1">
        <f t="shared" si="32"/>
        <v>2020</v>
      </c>
      <c r="P52" s="38">
        <f t="shared" si="29"/>
        <v>0.28999999999999998</v>
      </c>
      <c r="Q52" s="1"/>
    </row>
    <row r="53" spans="1:17" x14ac:dyDescent="0.15">
      <c r="A53" s="2" t="s">
        <v>12</v>
      </c>
      <c r="B53" s="17">
        <f>ROUND(VLOOKUP(B$39&amp;"_1",管理者用人口入力シート!A:X,D53,FALSE),0)</f>
        <v>1382</v>
      </c>
      <c r="C53" s="17">
        <f>ROUND(VLOOKUP(B$39&amp;"_2",管理者用人口入力シート!A:X,D53,FALSE),0)</f>
        <v>1455</v>
      </c>
      <c r="D53" s="2">
        <v>16</v>
      </c>
      <c r="G53" s="1" t="s">
        <v>106</v>
      </c>
      <c r="H53" s="1">
        <f t="shared" si="30"/>
        <v>2025</v>
      </c>
      <c r="I53" s="38">
        <f>ROUND((SUM(H82:I89)/SUM(H69:I89)),2)</f>
        <v>0.31</v>
      </c>
      <c r="J53" s="205"/>
      <c r="K53" s="205"/>
      <c r="L53" s="70"/>
      <c r="M53" s="70"/>
      <c r="N53" s="1" t="s">
        <v>106</v>
      </c>
      <c r="O53" s="1">
        <f t="shared" si="32"/>
        <v>2025</v>
      </c>
      <c r="P53" s="38">
        <f t="shared" si="29"/>
        <v>0.31</v>
      </c>
      <c r="Q53" s="38">
        <f>ROUND((SUM(O82:P89)/SUM(O69:P89)),2)</f>
        <v>0.31</v>
      </c>
    </row>
    <row r="54" spans="1:17" x14ac:dyDescent="0.15">
      <c r="A54" s="2" t="s">
        <v>13</v>
      </c>
      <c r="B54" s="17">
        <f>ROUND(VLOOKUP(B$39&amp;"_1",管理者用人口入力シート!A:X,D54,FALSE),0)</f>
        <v>945</v>
      </c>
      <c r="C54" s="17">
        <f>ROUND(VLOOKUP(B$39&amp;"_2",管理者用人口入力シート!A:X,D54,FALSE),0)</f>
        <v>1127</v>
      </c>
      <c r="D54" s="2">
        <v>17</v>
      </c>
      <c r="G54" s="1" t="s">
        <v>107</v>
      </c>
      <c r="H54" s="1">
        <f t="shared" si="30"/>
        <v>2030</v>
      </c>
      <c r="I54" s="38">
        <f>ROUND((SUM(H106:I113)/SUM(H93:I113)),2)</f>
        <v>0.32</v>
      </c>
      <c r="J54" s="205"/>
      <c r="K54" s="205"/>
      <c r="N54" s="1" t="s">
        <v>107</v>
      </c>
      <c r="O54" s="1">
        <f t="shared" si="32"/>
        <v>2030</v>
      </c>
      <c r="P54" s="38">
        <f t="shared" si="29"/>
        <v>0.32</v>
      </c>
      <c r="Q54" s="38">
        <f>ROUND((SUM(O106:P113)/SUM(O93:P113)),2)</f>
        <v>0.32</v>
      </c>
    </row>
    <row r="55" spans="1:17" x14ac:dyDescent="0.15">
      <c r="A55" s="2" t="s">
        <v>14</v>
      </c>
      <c r="B55" s="17">
        <f>ROUND(VLOOKUP(B$39&amp;"_1",管理者用人口入力シート!A:X,D55,FALSE),0)</f>
        <v>819</v>
      </c>
      <c r="C55" s="17">
        <f>ROUND(VLOOKUP(B$39&amp;"_2",管理者用人口入力シート!A:X,D55,FALSE),0)</f>
        <v>919</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618</v>
      </c>
      <c r="C56" s="17">
        <f>ROUND(VLOOKUP(B$39&amp;"_2",管理者用人口入力シート!A:X,D56,FALSE),0)</f>
        <v>929</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0.37</v>
      </c>
    </row>
    <row r="57" spans="1:17" x14ac:dyDescent="0.15">
      <c r="A57" s="2" t="s">
        <v>16</v>
      </c>
      <c r="B57" s="17">
        <f>ROUND(VLOOKUP(B$39&amp;"_1",管理者用人口入力シート!A:X,D57,FALSE),0)</f>
        <v>416</v>
      </c>
      <c r="C57" s="17">
        <f>ROUND(VLOOKUP(B$39&amp;"_2",管理者用人口入力シート!A:X,D57,FALSE),0)</f>
        <v>717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205</v>
      </c>
      <c r="C58" s="17">
        <f>ROUND(VLOOKUP(B$39&amp;"_2",管理者用人口入力シート!A:X,D58,FALSE),0)</f>
        <v>444</v>
      </c>
      <c r="D58" s="2">
        <v>21</v>
      </c>
      <c r="G58" s="1" t="s">
        <v>58</v>
      </c>
      <c r="H58" s="1">
        <f>H4</f>
        <v>2010</v>
      </c>
      <c r="I58" s="38">
        <f>C34</f>
        <v>0.1</v>
      </c>
      <c r="J58" s="205"/>
      <c r="K58" s="205"/>
      <c r="N58" s="1" t="s">
        <v>58</v>
      </c>
      <c r="O58" s="1">
        <f>O4</f>
        <v>2010</v>
      </c>
      <c r="P58" s="38">
        <f t="shared" ref="P58:P64" si="33">I58</f>
        <v>0.1</v>
      </c>
      <c r="Q58" s="1"/>
    </row>
    <row r="59" spans="1:17" x14ac:dyDescent="0.15">
      <c r="A59" s="2" t="s">
        <v>18</v>
      </c>
      <c r="B59" s="17">
        <f>ROUND(VLOOKUP(B$39&amp;"_1",管理者用人口入力シート!A:X,D59,FALSE),0)</f>
        <v>71</v>
      </c>
      <c r="C59" s="17">
        <f>ROUND(VLOOKUP(B$39&amp;"_2",管理者用人口入力シート!A:X,D59,FALSE),0)</f>
        <v>210</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15</v>
      </c>
      <c r="C60" s="17">
        <f>ROUND(VLOOKUP(B$39&amp;"_2",管理者用人口入力シート!A:X,D60,FALSE),0)</f>
        <v>53</v>
      </c>
      <c r="D60" s="2">
        <v>23</v>
      </c>
      <c r="G60" s="1" t="s">
        <v>62</v>
      </c>
      <c r="H60" s="1">
        <f t="shared" si="34"/>
        <v>2020</v>
      </c>
      <c r="I60" s="38">
        <f t="shared" si="35"/>
        <v>0.15</v>
      </c>
      <c r="J60" s="205"/>
      <c r="K60" s="205"/>
      <c r="N60" s="1" t="s">
        <v>62</v>
      </c>
      <c r="O60" s="1">
        <f t="shared" si="36"/>
        <v>2020</v>
      </c>
      <c r="P60" s="38">
        <f t="shared" si="33"/>
        <v>0.15</v>
      </c>
      <c r="Q60" s="1"/>
    </row>
    <row r="61" spans="1:17" x14ac:dyDescent="0.15">
      <c r="A61" s="2" t="s">
        <v>20</v>
      </c>
      <c r="B61" s="17">
        <f>ROUND(VLOOKUP(B$39&amp;"_1",管理者用人口入力シート!A:X,D61,FALSE),0)</f>
        <v>2</v>
      </c>
      <c r="C61" s="17">
        <f>ROUND(VLOOKUP(B$39&amp;"_2",管理者用人口入力シート!A:X,D61,FALSE),0)</f>
        <v>10</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v>
      </c>
      <c r="J62" s="205"/>
      <c r="K62" s="205"/>
      <c r="N62" s="1" t="s">
        <v>107</v>
      </c>
      <c r="O62" s="1">
        <f t="shared" si="36"/>
        <v>2030</v>
      </c>
      <c r="P62" s="38">
        <f t="shared" si="33"/>
        <v>0.2</v>
      </c>
      <c r="Q62" s="38">
        <f>ROUND((SUM(O108:P113)/SUM(O93:P113)),2)</f>
        <v>0.2</v>
      </c>
    </row>
    <row r="63" spans="1:17" x14ac:dyDescent="0.15">
      <c r="A63" s="2" t="s">
        <v>384</v>
      </c>
      <c r="B63" s="316">
        <f>管理者入力シート!B6</f>
        <v>2015</v>
      </c>
      <c r="C63" s="317"/>
      <c r="D63" s="2" t="s">
        <v>114</v>
      </c>
      <c r="G63" s="1" t="s">
        <v>108</v>
      </c>
      <c r="H63" s="1">
        <f t="shared" si="34"/>
        <v>2035</v>
      </c>
      <c r="I63" s="38">
        <f>ROUND((SUM(H132:I137)/SUM(H117:I137)),2)</f>
        <v>0.21</v>
      </c>
      <c r="J63" s="205"/>
      <c r="K63" s="205"/>
      <c r="N63" s="1" t="s">
        <v>108</v>
      </c>
      <c r="O63" s="1">
        <f t="shared" si="36"/>
        <v>2035</v>
      </c>
      <c r="P63" s="38">
        <f t="shared" si="33"/>
        <v>0.21</v>
      </c>
      <c r="Q63" s="38">
        <f>ROUND((SUM(O132:P137)/SUM(O117:P137)),2)</f>
        <v>0.21</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842</v>
      </c>
      <c r="C65" s="17">
        <f>ROUND(VLOOKUP(B$63&amp;"_2",管理者用人口入力シート!A:X,D65,FALSE),0)</f>
        <v>788</v>
      </c>
      <c r="D65" s="2">
        <v>4</v>
      </c>
    </row>
    <row r="66" spans="1:21" x14ac:dyDescent="0.15">
      <c r="A66" s="2" t="s">
        <v>1</v>
      </c>
      <c r="B66" s="17">
        <f>ROUND(VLOOKUP(B$63&amp;"_1",管理者用人口入力シート!A:X,D66,FALSE),0)</f>
        <v>806</v>
      </c>
      <c r="C66" s="17">
        <f>ROUND(VLOOKUP(B$63&amp;"_2",管理者用人口入力シート!A:X,D66,FALSE),0)</f>
        <v>769</v>
      </c>
      <c r="D66" s="2">
        <v>5</v>
      </c>
      <c r="G66" s="69" t="s">
        <v>113</v>
      </c>
      <c r="N66" s="69" t="s">
        <v>113</v>
      </c>
    </row>
    <row r="67" spans="1:21" x14ac:dyDescent="0.15">
      <c r="A67" s="2" t="s">
        <v>2</v>
      </c>
      <c r="B67" s="17">
        <f>ROUND(VLOOKUP(B$63&amp;"_1",管理者用人口入力シート!A:X,D67,FALSE),0)</f>
        <v>804</v>
      </c>
      <c r="C67" s="17">
        <f>ROUND(VLOOKUP(B$63&amp;"_2",管理者用人口入力シート!A:X,D67,FALSE),0)</f>
        <v>786</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819</v>
      </c>
      <c r="C68" s="17">
        <f>ROUND(VLOOKUP(B$63&amp;"_2",管理者用人口入力シート!A:X,D68,FALSE),0)</f>
        <v>888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707</v>
      </c>
      <c r="C69" s="17">
        <f>ROUND(VLOOKUP(B$63&amp;"_2",管理者用人口入力シート!A:X,D69,FALSE),0)</f>
        <v>774</v>
      </c>
      <c r="D69" s="2">
        <v>8</v>
      </c>
      <c r="G69" s="2" t="s">
        <v>0</v>
      </c>
      <c r="H69" s="17">
        <f>ROUND(VLOOKUP(H$67&amp;"_1",管理者用人口入力シート!BH:CE,J69,FALSE),0)</f>
        <v>624</v>
      </c>
      <c r="I69" s="17">
        <f>ROUND(VLOOKUP(H$67&amp;"_2",管理者用人口入力シート!BH:CE,J69,FALSE),0)</f>
        <v>599</v>
      </c>
      <c r="J69" s="2">
        <v>4</v>
      </c>
      <c r="K69" s="12"/>
      <c r="N69" s="2" t="s">
        <v>0</v>
      </c>
      <c r="O69" s="17">
        <f>ROUND(VLOOKUP(O$67&amp;"_1",管理者用人口入力シート!CO:DL,Q69,FALSE),0)</f>
        <v>625</v>
      </c>
      <c r="P69" s="17">
        <f>ROUND(VLOOKUP(O$67&amp;"_2",管理者用人口入力シート!CO:DL,Q69,FALSE),0)</f>
        <v>600</v>
      </c>
      <c r="Q69" s="2">
        <v>4</v>
      </c>
      <c r="U69" s="85"/>
    </row>
    <row r="70" spans="1:21" x14ac:dyDescent="0.15">
      <c r="A70" s="2" t="s">
        <v>5</v>
      </c>
      <c r="B70" s="17">
        <f>ROUND(VLOOKUP(B$63&amp;"_1",管理者用人口入力シート!A:X,D70,FALSE),0)</f>
        <v>896</v>
      </c>
      <c r="C70" s="17">
        <f>ROUND(VLOOKUP(B$63&amp;"_2",管理者用人口入力シート!A:X,D70,FALSE),0)</f>
        <v>952</v>
      </c>
      <c r="D70" s="2">
        <v>9</v>
      </c>
      <c r="G70" s="2" t="s">
        <v>1</v>
      </c>
      <c r="H70" s="17">
        <f>ROUND(VLOOKUP(H$67&amp;"_1",管理者用人口入力シート!BH:CE,J70,FALSE),0)</f>
        <v>671</v>
      </c>
      <c r="I70" s="17">
        <f>ROUND(VLOOKUP(H$67&amp;"_2",管理者用人口入力シート!BH:CE,J70,FALSE),0)</f>
        <v>659</v>
      </c>
      <c r="J70" s="2">
        <v>5</v>
      </c>
      <c r="K70" s="12"/>
      <c r="N70" s="2" t="s">
        <v>1</v>
      </c>
      <c r="O70" s="17">
        <f>ROUND(VLOOKUP(O$67&amp;"_1",管理者用人口入力シート!CO:DL,Q70,FALSE),0)</f>
        <v>671</v>
      </c>
      <c r="P70" s="17">
        <f>ROUND(VLOOKUP(O$67&amp;"_2",管理者用人口入力シート!CO:DL,Q70,FALSE),0)</f>
        <v>659</v>
      </c>
      <c r="Q70" s="2">
        <v>5</v>
      </c>
      <c r="U70" s="85"/>
    </row>
    <row r="71" spans="1:21" x14ac:dyDescent="0.15">
      <c r="A71" s="2" t="s">
        <v>6</v>
      </c>
      <c r="B71" s="17">
        <f>ROUND(VLOOKUP(B$63&amp;"_1",管理者用人口入力シート!A:X,D71,FALSE),0)</f>
        <v>1039</v>
      </c>
      <c r="C71" s="17">
        <f>ROUND(VLOOKUP(B$63&amp;"_2",管理者用人口入力シート!A:X,D71,FALSE),0)</f>
        <v>1117</v>
      </c>
      <c r="D71" s="2">
        <v>10</v>
      </c>
      <c r="G71" s="2" t="s">
        <v>2</v>
      </c>
      <c r="H71" s="17">
        <f>ROUND(VLOOKUP(H$67&amp;"_1",管理者用人口入力シート!BH:CE,J71,FALSE),0)</f>
        <v>775</v>
      </c>
      <c r="I71" s="17">
        <f>ROUND(VLOOKUP(H$67&amp;"_2",管理者用人口入力シート!BH:CE,J71,FALSE),0)</f>
        <v>766</v>
      </c>
      <c r="J71" s="2">
        <v>6</v>
      </c>
      <c r="K71" s="12"/>
      <c r="N71" s="2" t="s">
        <v>2</v>
      </c>
      <c r="O71" s="17">
        <f>ROUND(VLOOKUP(O$67&amp;"_1",管理者用人口入力シート!CO:DL,Q71,FALSE),0)</f>
        <v>776</v>
      </c>
      <c r="P71" s="17">
        <f>ROUND(VLOOKUP(O$67&amp;"_2",管理者用人口入力シート!CO:DL,Q71,FALSE),0)</f>
        <v>767</v>
      </c>
      <c r="Q71" s="2">
        <v>6</v>
      </c>
      <c r="U71" s="85"/>
    </row>
    <row r="72" spans="1:21" x14ac:dyDescent="0.15">
      <c r="A72" s="2" t="s">
        <v>7</v>
      </c>
      <c r="B72" s="17">
        <f>ROUND(VLOOKUP(B$63&amp;"_1",管理者用人口入力シート!A:X,D72,FALSE),0)</f>
        <v>1165</v>
      </c>
      <c r="C72" s="17">
        <f>ROUND(VLOOKUP(B$63&amp;"_2",管理者用人口入力シート!A:X,D72,FALSE),0)</f>
        <v>1242</v>
      </c>
      <c r="D72" s="2">
        <v>11</v>
      </c>
      <c r="G72" s="2" t="s">
        <v>3</v>
      </c>
      <c r="H72" s="17">
        <f>ROUND(VLOOKUP(H$67&amp;"_1",管理者用人口入力シート!BH:CE,J72,FALSE),0)</f>
        <v>796</v>
      </c>
      <c r="I72" s="17">
        <f>ROUND(VLOOKUP(H$67&amp;"_2",管理者用人口入力シート!BH:CE,J72,FALSE),0)</f>
        <v>871</v>
      </c>
      <c r="J72" s="2">
        <v>7</v>
      </c>
      <c r="K72" s="12"/>
      <c r="N72" s="2" t="s">
        <v>3</v>
      </c>
      <c r="O72" s="17">
        <f>ROUND(VLOOKUP(O$67&amp;"_1",管理者用人口入力シート!CO:DL,Q72,FALSE),0)</f>
        <v>796</v>
      </c>
      <c r="P72" s="17">
        <f>ROUND(VLOOKUP(O$67&amp;"_2",管理者用人口入力シート!CO:DL,Q72,FALSE),0)</f>
        <v>871</v>
      </c>
      <c r="Q72" s="2">
        <v>7</v>
      </c>
      <c r="U72" s="85"/>
    </row>
    <row r="73" spans="1:21" x14ac:dyDescent="0.15">
      <c r="A73" s="2" t="s">
        <v>8</v>
      </c>
      <c r="B73" s="17">
        <f>ROUND(VLOOKUP(B$63&amp;"_1",管理者用人口入力シート!A:X,D73,FALSE),0)</f>
        <v>1312</v>
      </c>
      <c r="C73" s="17">
        <f>ROUND(VLOOKUP(B$63&amp;"_2",管理者用人口入力シート!A:X,D73,FALSE),0)</f>
        <v>1396</v>
      </c>
      <c r="D73" s="2">
        <v>12</v>
      </c>
      <c r="G73" s="2" t="s">
        <v>4</v>
      </c>
      <c r="H73" s="17">
        <f>ROUND(VLOOKUP(H$67&amp;"_1",管理者用人口入力シート!BH:CE,J73,FALSE),0)</f>
        <v>672</v>
      </c>
      <c r="I73" s="17">
        <f>ROUND(VLOOKUP(H$67&amp;"_2",管理者用人口入力シート!BH:CE,J73,FALSE),0)</f>
        <v>650</v>
      </c>
      <c r="J73" s="2">
        <v>8</v>
      </c>
      <c r="K73" s="12"/>
      <c r="N73" s="2" t="s">
        <v>4</v>
      </c>
      <c r="O73" s="17">
        <f>ROUND(VLOOKUP(O$67&amp;"_1",管理者用人口入力シート!CO:DL,Q73,FALSE),0)</f>
        <v>672</v>
      </c>
      <c r="P73" s="17">
        <f>ROUND(VLOOKUP(O$67&amp;"_2",管理者用人口入力シート!CO:DL,Q73,FALSE),0)</f>
        <v>650</v>
      </c>
      <c r="Q73" s="2">
        <v>8</v>
      </c>
      <c r="U73" s="85"/>
    </row>
    <row r="74" spans="1:21" x14ac:dyDescent="0.15">
      <c r="A74" s="2" t="s">
        <v>9</v>
      </c>
      <c r="B74" s="17">
        <f>ROUND(VLOOKUP(B$63&amp;"_1",管理者用人口入力シート!A:X,D74,FALSE),0)</f>
        <v>990</v>
      </c>
      <c r="C74" s="17">
        <f>ROUND(VLOOKUP(B$63&amp;"_2",管理者用人口入力シート!A:X,D74,FALSE),0)</f>
        <v>1131</v>
      </c>
      <c r="D74" s="2">
        <v>13</v>
      </c>
      <c r="G74" s="2" t="s">
        <v>5</v>
      </c>
      <c r="H74" s="17">
        <f>ROUND(VLOOKUP(H$67&amp;"_1",管理者用人口入力シート!BH:CE,J74,FALSE),0)</f>
        <v>725</v>
      </c>
      <c r="I74" s="17">
        <f>ROUND(VLOOKUP(H$67&amp;"_2",管理者用人口入力シート!BH:CE,J74,FALSE),0)</f>
        <v>665</v>
      </c>
      <c r="J74" s="2">
        <v>9</v>
      </c>
      <c r="K74" s="12"/>
      <c r="N74" s="2" t="s">
        <v>5</v>
      </c>
      <c r="O74" s="17">
        <f>ROUND(VLOOKUP(O$67&amp;"_1",管理者用人口入力シート!CO:DL,Q74,FALSE),0)</f>
        <v>727</v>
      </c>
      <c r="P74" s="17">
        <f>ROUND(VLOOKUP(O$67&amp;"_2",管理者用人口入力シート!CO:DL,Q74,FALSE),0)</f>
        <v>667</v>
      </c>
      <c r="Q74" s="2">
        <v>9</v>
      </c>
      <c r="U74" s="85"/>
    </row>
    <row r="75" spans="1:21" x14ac:dyDescent="0.15">
      <c r="A75" s="2" t="s">
        <v>10</v>
      </c>
      <c r="B75" s="17">
        <f>ROUND(VLOOKUP(B$63&amp;"_1",管理者用人口入力シート!A:X,D75,FALSE),0)</f>
        <v>1051</v>
      </c>
      <c r="C75" s="17">
        <f>ROUND(VLOOKUP(B$63&amp;"_2",管理者用人口入力シート!A:X,D75,FALSE),0)</f>
        <v>1143</v>
      </c>
      <c r="D75" s="2">
        <v>14</v>
      </c>
      <c r="G75" s="2" t="s">
        <v>6</v>
      </c>
      <c r="H75" s="17">
        <f>ROUND(VLOOKUP(H$67&amp;"_1",管理者用人口入力シート!BH:CE,J75,FALSE),0)</f>
        <v>717</v>
      </c>
      <c r="I75" s="17">
        <f>ROUND(VLOOKUP(H$67&amp;"_2",管理者用人口入力シート!BH:CE,J75,FALSE),0)</f>
        <v>772</v>
      </c>
      <c r="J75" s="2">
        <v>10</v>
      </c>
      <c r="K75" s="12"/>
      <c r="N75" s="2" t="s">
        <v>6</v>
      </c>
      <c r="O75" s="17">
        <f>ROUND(VLOOKUP(O$67&amp;"_1",管理者用人口入力シート!CO:DL,Q75,FALSE),0)</f>
        <v>717</v>
      </c>
      <c r="P75" s="17">
        <f>ROUND(VLOOKUP(O$67&amp;"_2",管理者用人口入力シート!CO:DL,Q75,FALSE),0)</f>
        <v>772</v>
      </c>
      <c r="Q75" s="2">
        <v>10</v>
      </c>
      <c r="U75" s="85"/>
    </row>
    <row r="76" spans="1:21" x14ac:dyDescent="0.15">
      <c r="A76" s="2" t="s">
        <v>11</v>
      </c>
      <c r="B76" s="17">
        <f>ROUND(VLOOKUP(B$63&amp;"_1",管理者用人口入力シート!A:X,D76,FALSE),0)</f>
        <v>1057</v>
      </c>
      <c r="C76" s="17">
        <f>ROUND(VLOOKUP(B$63&amp;"_2",管理者用人口入力シート!A:X,D76,FALSE),0)</f>
        <v>1161</v>
      </c>
      <c r="D76" s="2">
        <v>15</v>
      </c>
      <c r="G76" s="2" t="s">
        <v>7</v>
      </c>
      <c r="H76" s="17">
        <f>ROUND(VLOOKUP(H$67&amp;"_1",管理者用人口入力シート!BH:CE,J76,FALSE),0)</f>
        <v>846</v>
      </c>
      <c r="I76" s="17">
        <f>ROUND(VLOOKUP(H$67&amp;"_2",管理者用人口入力シート!BH:CE,J76,FALSE),0)</f>
        <v>888</v>
      </c>
      <c r="J76" s="2">
        <v>11</v>
      </c>
      <c r="K76" s="12"/>
      <c r="N76" s="2" t="s">
        <v>7</v>
      </c>
      <c r="O76" s="17">
        <f>ROUND(VLOOKUP(O$67&amp;"_1",管理者用人口入力シート!CO:DL,Q76,FALSE),0)</f>
        <v>846</v>
      </c>
      <c r="P76" s="17">
        <f>ROUND(VLOOKUP(O$67&amp;"_2",管理者用人口入力シート!CO:DL,Q76,FALSE),0)</f>
        <v>888</v>
      </c>
      <c r="Q76" s="2">
        <v>11</v>
      </c>
      <c r="U76" s="85"/>
    </row>
    <row r="77" spans="1:21" x14ac:dyDescent="0.15">
      <c r="A77" s="2" t="s">
        <v>12</v>
      </c>
      <c r="B77" s="17">
        <f>ROUND(VLOOKUP(B$63&amp;"_1",管理者用人口入力シート!A:X,D77,FALSE),0)</f>
        <v>1172</v>
      </c>
      <c r="C77" s="17">
        <f>ROUND(VLOOKUP(B$63&amp;"_2",管理者用人口入力シート!A:X,D77,FALSE),0)</f>
        <v>1331</v>
      </c>
      <c r="D77" s="2">
        <v>16</v>
      </c>
      <c r="G77" s="2" t="s">
        <v>8</v>
      </c>
      <c r="H77" s="17">
        <f>ROUND(VLOOKUP(H$67&amp;"_1",管理者用人口入力シート!BH:CE,J77,FALSE),0)</f>
        <v>1053</v>
      </c>
      <c r="I77" s="17">
        <f>ROUND(VLOOKUP(H$67&amp;"_2",管理者用人口入力シート!BH:CE,J77,FALSE),0)</f>
        <v>1029</v>
      </c>
      <c r="J77" s="2">
        <v>12</v>
      </c>
      <c r="K77" s="12"/>
      <c r="N77" s="2" t="s">
        <v>8</v>
      </c>
      <c r="O77" s="17">
        <f>ROUND(VLOOKUP(O$67&amp;"_1",管理者用人口入力シート!CO:DL,Q77,FALSE),0)</f>
        <v>1053</v>
      </c>
      <c r="P77" s="17">
        <f>ROUND(VLOOKUP(O$67&amp;"_2",管理者用人口入力シート!CO:DL,Q77,FALSE),0)</f>
        <v>1030</v>
      </c>
      <c r="Q77" s="2">
        <v>12</v>
      </c>
      <c r="U77" s="85"/>
    </row>
    <row r="78" spans="1:21" x14ac:dyDescent="0.15">
      <c r="A78" s="2" t="s">
        <v>13</v>
      </c>
      <c r="B78" s="17">
        <f>ROUND(VLOOKUP(B$63&amp;"_1",管理者用人口入力シート!A:X,D78,FALSE),0)</f>
        <v>1272</v>
      </c>
      <c r="C78" s="17">
        <f>ROUND(VLOOKUP(B$63&amp;"_2",管理者用人口入力シート!A:X,D78,FALSE),0)</f>
        <v>1432</v>
      </c>
      <c r="D78" s="2">
        <v>17</v>
      </c>
      <c r="G78" s="2" t="s">
        <v>9</v>
      </c>
      <c r="H78" s="17">
        <f>ROUND(VLOOKUP(H$67&amp;"_1",管理者用人口入力シート!BH:CE,J78,FALSE),0)</f>
        <v>1209</v>
      </c>
      <c r="I78" s="17">
        <f>ROUND(VLOOKUP(H$67&amp;"_2",管理者用人口入力シート!BH:CE,J78,FALSE),0)</f>
        <v>1212</v>
      </c>
      <c r="J78" s="2">
        <v>13</v>
      </c>
      <c r="K78" s="12"/>
      <c r="N78" s="2" t="s">
        <v>9</v>
      </c>
      <c r="O78" s="17">
        <f>ROUND(VLOOKUP(O$67&amp;"_1",管理者用人口入力シート!CO:DL,Q78,FALSE),0)</f>
        <v>1209</v>
      </c>
      <c r="P78" s="17">
        <f>ROUND(VLOOKUP(O$67&amp;"_2",管理者用人口入力シート!CO:DL,Q78,FALSE),0)</f>
        <v>1212</v>
      </c>
      <c r="Q78" s="2">
        <v>13</v>
      </c>
      <c r="U78" s="85"/>
    </row>
    <row r="79" spans="1:21" x14ac:dyDescent="0.15">
      <c r="A79" s="2" t="s">
        <v>14</v>
      </c>
      <c r="B79" s="17">
        <f>ROUND(VLOOKUP(B$63&amp;"_1",管理者用人口入力シート!A:X,D79,FALSE),0)</f>
        <v>888</v>
      </c>
      <c r="C79" s="17">
        <f>ROUND(VLOOKUP(B$63&amp;"_2",管理者用人口入力シート!A:X,D79,FALSE),0)</f>
        <v>1093</v>
      </c>
      <c r="D79" s="2">
        <v>18</v>
      </c>
      <c r="G79" s="2" t="s">
        <v>10</v>
      </c>
      <c r="H79" s="17">
        <f>ROUND(VLOOKUP(H$67&amp;"_1",管理者用人口入力シート!BH:CE,J79,FALSE),0)</f>
        <v>1361</v>
      </c>
      <c r="I79" s="17">
        <f>ROUND(VLOOKUP(H$67&amp;"_2",管理者用人口入力シート!BH:CE,J79,FALSE),0)</f>
        <v>1426</v>
      </c>
      <c r="J79" s="2">
        <v>14</v>
      </c>
      <c r="K79" s="12"/>
      <c r="N79" s="2" t="s">
        <v>10</v>
      </c>
      <c r="O79" s="17">
        <f>ROUND(VLOOKUP(O$67&amp;"_1",管理者用人口入力シート!CO:DL,Q79,FALSE),0)</f>
        <v>1361</v>
      </c>
      <c r="P79" s="17">
        <f>ROUND(VLOOKUP(O$67&amp;"_2",管理者用人口入力シート!CO:DL,Q79,FALSE),0)</f>
        <v>1426</v>
      </c>
      <c r="Q79" s="2">
        <v>14</v>
      </c>
      <c r="U79" s="85"/>
    </row>
    <row r="80" spans="1:21" x14ac:dyDescent="0.15">
      <c r="A80" s="2" t="s">
        <v>15</v>
      </c>
      <c r="B80" s="17">
        <f>ROUND(VLOOKUP(B$63&amp;"_1",管理者用人口入力シート!A:X,D80,FALSE),0)</f>
        <v>763</v>
      </c>
      <c r="C80" s="17">
        <f>ROUND(VLOOKUP(B$63&amp;"_2",管理者用人口入力シート!A:X,D80,FALSE),0)</f>
        <v>865</v>
      </c>
      <c r="D80" s="2">
        <v>19</v>
      </c>
      <c r="G80" s="2" t="s">
        <v>11</v>
      </c>
      <c r="H80" s="17">
        <f>ROUND(VLOOKUP(H$67&amp;"_1",管理者用人口入力シート!BH:CE,J80,FALSE),0)</f>
        <v>986</v>
      </c>
      <c r="I80" s="17">
        <f>ROUND(VLOOKUP(H$67&amp;"_2",管理者用人口入力シート!BH:CE,J80,FALSE),0)</f>
        <v>1121</v>
      </c>
      <c r="J80" s="2">
        <v>15</v>
      </c>
      <c r="K80" s="12"/>
      <c r="N80" s="2" t="s">
        <v>11</v>
      </c>
      <c r="O80" s="17">
        <f>ROUND(VLOOKUP(O$67&amp;"_1",管理者用人口入力シート!CO:DL,Q80,FALSE),0)</f>
        <v>986</v>
      </c>
      <c r="P80" s="17">
        <f>ROUND(VLOOKUP(O$67&amp;"_2",管理者用人口入力シート!CO:DL,Q80,FALSE),0)</f>
        <v>1121</v>
      </c>
      <c r="Q80" s="2">
        <v>15</v>
      </c>
      <c r="U80" s="85"/>
    </row>
    <row r="81" spans="1:21" x14ac:dyDescent="0.15">
      <c r="A81" s="2" t="s">
        <v>16</v>
      </c>
      <c r="B81" s="17">
        <f>ROUND(VLOOKUP(B$63&amp;"_1",管理者用人口入力シート!A:X,D81,FALSE),0)</f>
        <v>506</v>
      </c>
      <c r="C81" s="17">
        <f>ROUND(VLOOKUP(B$63&amp;"_2",管理者用人口入力シート!A:X,D81,FALSE),0)</f>
        <v>858</v>
      </c>
      <c r="D81" s="2">
        <v>20</v>
      </c>
      <c r="G81" s="2" t="s">
        <v>12</v>
      </c>
      <c r="H81" s="17">
        <f>ROUND(VLOOKUP(H$67&amp;"_1",管理者用人口入力シート!BH:CE,J81,FALSE),0)</f>
        <v>1038</v>
      </c>
      <c r="I81" s="17">
        <f>ROUND(VLOOKUP(H$67&amp;"_2",管理者用人口入力シート!BH:CE,J81,FALSE),0)</f>
        <v>1131</v>
      </c>
      <c r="J81" s="2">
        <v>16</v>
      </c>
      <c r="K81" s="12"/>
      <c r="N81" s="2" t="s">
        <v>12</v>
      </c>
      <c r="O81" s="17">
        <f>ROUND(VLOOKUP(O$67&amp;"_1",管理者用人口入力シート!CO:DL,Q81,FALSE),0)</f>
        <v>1038</v>
      </c>
      <c r="P81" s="17">
        <f>ROUND(VLOOKUP(O$67&amp;"_2",管理者用人口入力シート!CO:DL,Q81,FALSE),0)</f>
        <v>1131</v>
      </c>
      <c r="Q81" s="2">
        <v>16</v>
      </c>
      <c r="U81" s="85"/>
    </row>
    <row r="82" spans="1:21" x14ac:dyDescent="0.15">
      <c r="A82" s="2" t="s">
        <v>17</v>
      </c>
      <c r="B82" s="17">
        <f>ROUND(VLOOKUP(B$63&amp;"_1",管理者用人口入力シート!A:X,D82,FALSE),0)</f>
        <v>282</v>
      </c>
      <c r="C82" s="17">
        <f>ROUND(VLOOKUP(B$63&amp;"_2",管理者用人口入力シート!A:X,D82,FALSE),0)</f>
        <v>558</v>
      </c>
      <c r="D82" s="2">
        <v>21</v>
      </c>
      <c r="G82" s="2" t="s">
        <v>13</v>
      </c>
      <c r="H82" s="17">
        <f>ROUND(VLOOKUP(H$67&amp;"_1",管理者用人口入力シート!BH:CE,J82,FALSE),0)</f>
        <v>997</v>
      </c>
      <c r="I82" s="17">
        <f>ROUND(VLOOKUP(H$67&amp;"_2",管理者用人口入力シート!BH:CE,J82,FALSE),0)</f>
        <v>1093</v>
      </c>
      <c r="J82" s="2">
        <v>17</v>
      </c>
      <c r="K82" s="12"/>
      <c r="N82" s="2" t="s">
        <v>13</v>
      </c>
      <c r="O82" s="17">
        <f>ROUND(VLOOKUP(O$67&amp;"_1",管理者用人口入力シート!CO:DL,Q82,FALSE),0)</f>
        <v>997</v>
      </c>
      <c r="P82" s="17">
        <f>ROUND(VLOOKUP(O$67&amp;"_2",管理者用人口入力シート!CO:DL,Q82,FALSE),0)</f>
        <v>1093</v>
      </c>
      <c r="Q82" s="2">
        <v>17</v>
      </c>
      <c r="U82" s="85"/>
    </row>
    <row r="83" spans="1:21" x14ac:dyDescent="0.15">
      <c r="A83" s="2" t="s">
        <v>18</v>
      </c>
      <c r="B83" s="17">
        <f>ROUND(VLOOKUP(B$63&amp;"_1",管理者用人口入力シート!A:X,D83,FALSE),0)</f>
        <v>85</v>
      </c>
      <c r="C83" s="17">
        <f>ROUND(VLOOKUP(B$63&amp;"_2",管理者用人口入力シート!A:X,D83,FALSE),0)</f>
        <v>279</v>
      </c>
      <c r="D83" s="2">
        <v>22</v>
      </c>
      <c r="G83" s="2" t="s">
        <v>14</v>
      </c>
      <c r="H83" s="17">
        <f>ROUND(VLOOKUP(H$67&amp;"_1",管理者用人口入力シート!BH:CE,J83,FALSE),0)</f>
        <v>1065</v>
      </c>
      <c r="I83" s="17">
        <f>ROUND(VLOOKUP(H$67&amp;"_2",管理者用人口入力シート!BH:CE,J83,FALSE),0)</f>
        <v>1221</v>
      </c>
      <c r="J83" s="2">
        <v>18</v>
      </c>
      <c r="K83" s="12"/>
      <c r="N83" s="2" t="s">
        <v>14</v>
      </c>
      <c r="O83" s="17">
        <f>ROUND(VLOOKUP(O$67&amp;"_1",管理者用人口入力シート!CO:DL,Q83,FALSE),0)</f>
        <v>1065</v>
      </c>
      <c r="P83" s="17">
        <f>ROUND(VLOOKUP(O$67&amp;"_2",管理者用人口入力シート!CO:DL,Q83,FALSE),0)</f>
        <v>1221</v>
      </c>
      <c r="Q83" s="2">
        <v>18</v>
      </c>
      <c r="U83" s="85"/>
    </row>
    <row r="84" spans="1:21" x14ac:dyDescent="0.15">
      <c r="A84" s="2" t="s">
        <v>19</v>
      </c>
      <c r="B84" s="17">
        <f>ROUND(VLOOKUP(B$63&amp;"_1",管理者用人口入力シート!A:X,D84,FALSE),0)</f>
        <v>19</v>
      </c>
      <c r="C84" s="17">
        <f>ROUND(VLOOKUP(B$63&amp;"_2",管理者用人口入力シート!A:X,D84,FALSE),0)</f>
        <v>86</v>
      </c>
      <c r="D84" s="2">
        <v>23</v>
      </c>
      <c r="G84" s="2" t="s">
        <v>15</v>
      </c>
      <c r="H84" s="17">
        <f>ROUND(VLOOKUP(H$67&amp;"_1",管理者用人口入力シート!BH:CE,J84,FALSE),0)</f>
        <v>1097</v>
      </c>
      <c r="I84" s="17">
        <f>ROUND(VLOOKUP(H$67&amp;"_2",管理者用人口入力シート!BH:CE,J84,FALSE),0)</f>
        <v>1311</v>
      </c>
      <c r="J84" s="2">
        <v>19</v>
      </c>
      <c r="K84" s="12"/>
      <c r="N84" s="2" t="s">
        <v>15</v>
      </c>
      <c r="O84" s="17">
        <f>ROUND(VLOOKUP(O$67&amp;"_1",管理者用人口入力シート!CO:DL,Q84,FALSE),0)</f>
        <v>1097</v>
      </c>
      <c r="P84" s="17">
        <f>ROUND(VLOOKUP(O$67&amp;"_2",管理者用人口入力シート!CO:DL,Q84,FALSE),0)</f>
        <v>1311</v>
      </c>
      <c r="Q84" s="2">
        <v>19</v>
      </c>
      <c r="U84" s="85"/>
    </row>
    <row r="85" spans="1:21" x14ac:dyDescent="0.15">
      <c r="A85" s="2" t="s">
        <v>20</v>
      </c>
      <c r="B85" s="17">
        <f>ROUND(VLOOKUP(B$63&amp;"_1",管理者用人口入力シート!A:X,D85,FALSE),0)</f>
        <v>0</v>
      </c>
      <c r="C85" s="17">
        <f>ROUND(VLOOKUP(B$63&amp;"_2",管理者用人口入力シート!A:X,D85,FALSE),0)</f>
        <v>12</v>
      </c>
      <c r="D85" s="2">
        <v>24</v>
      </c>
      <c r="G85" s="2" t="s">
        <v>16</v>
      </c>
      <c r="H85" s="17">
        <f>ROUND(VLOOKUP(H$67&amp;"_1",管理者用人口入力シート!BH:CE,J85,FALSE),0)</f>
        <v>641</v>
      </c>
      <c r="I85" s="17">
        <f>ROUND(VLOOKUP(H$67&amp;"_2",管理者用人口入力シート!BH:CE,J85,FALSE),0)</f>
        <v>977</v>
      </c>
      <c r="J85" s="2">
        <v>20</v>
      </c>
      <c r="K85" s="12"/>
      <c r="N85" s="2" t="s">
        <v>16</v>
      </c>
      <c r="O85" s="17">
        <f>ROUND(VLOOKUP(O$67&amp;"_1",管理者用人口入力シート!CO:DL,Q85,FALSE),0)</f>
        <v>641</v>
      </c>
      <c r="P85" s="17">
        <f>ROUND(VLOOKUP(O$67&amp;"_2",管理者用人口入力シート!CO:DL,Q85,FALSE),0)</f>
        <v>977</v>
      </c>
      <c r="Q85" s="2">
        <v>20</v>
      </c>
      <c r="U85" s="85"/>
    </row>
    <row r="86" spans="1:21" x14ac:dyDescent="0.15">
      <c r="G86" s="2" t="s">
        <v>17</v>
      </c>
      <c r="H86" s="17">
        <f>ROUND(VLOOKUP(H$67&amp;"_1",管理者用人口入力シート!BH:CE,J86,FALSE),0)</f>
        <v>431</v>
      </c>
      <c r="I86" s="17">
        <f>ROUND(VLOOKUP(H$67&amp;"_2",管理者用人口入力シート!BH:CE,J86,FALSE),0)</f>
        <v>685</v>
      </c>
      <c r="J86" s="2">
        <v>21</v>
      </c>
      <c r="K86" s="12"/>
      <c r="N86" s="2" t="s">
        <v>17</v>
      </c>
      <c r="O86" s="17">
        <f>ROUND(VLOOKUP(O$67&amp;"_1",管理者用人口入力シート!CO:DL,Q86,FALSE),0)</f>
        <v>431</v>
      </c>
      <c r="P86" s="17">
        <f>ROUND(VLOOKUP(O$67&amp;"_2",管理者用人口入力シート!CO:DL,Q86,FALSE),0)</f>
        <v>685</v>
      </c>
      <c r="Q86" s="2">
        <v>21</v>
      </c>
      <c r="U86" s="85"/>
    </row>
    <row r="87" spans="1:21" x14ac:dyDescent="0.15">
      <c r="A87" s="2" t="s">
        <v>62</v>
      </c>
      <c r="B87" s="316">
        <f>管理者入力シート!B5</f>
        <v>2020</v>
      </c>
      <c r="C87" s="317"/>
      <c r="D87" s="2" t="s">
        <v>114</v>
      </c>
      <c r="G87" s="2" t="s">
        <v>18</v>
      </c>
      <c r="H87" s="17">
        <f>ROUND(VLOOKUP(H$67&amp;"_1",管理者用人口入力シート!BH:CE,J87,FALSE),0)</f>
        <v>178</v>
      </c>
      <c r="I87" s="17">
        <f>ROUND(VLOOKUP(H$67&amp;"_2",管理者用人口入力シート!BH:CE,J87,FALSE),0)</f>
        <v>480</v>
      </c>
      <c r="J87" s="2">
        <v>22</v>
      </c>
      <c r="K87" s="12"/>
      <c r="N87" s="2" t="s">
        <v>18</v>
      </c>
      <c r="O87" s="17">
        <f>ROUND(VLOOKUP(O$67&amp;"_1",管理者用人口入力シート!CO:DL,Q87,FALSE),0)</f>
        <v>178</v>
      </c>
      <c r="P87" s="17">
        <f>ROUND(VLOOKUP(O$67&amp;"_2",管理者用人口入力シート!CO:DL,Q87,FALSE),0)</f>
        <v>480</v>
      </c>
      <c r="Q87" s="2">
        <v>22</v>
      </c>
      <c r="U87" s="85"/>
    </row>
    <row r="88" spans="1:21" x14ac:dyDescent="0.15">
      <c r="A88" s="2" t="s">
        <v>115</v>
      </c>
      <c r="B88" s="18" t="s">
        <v>21</v>
      </c>
      <c r="C88" s="18" t="s">
        <v>22</v>
      </c>
      <c r="G88" s="2" t="s">
        <v>19</v>
      </c>
      <c r="H88" s="17">
        <f>ROUND(VLOOKUP(H$67&amp;"_1",管理者用人口入力シート!BH:CE,J88,FALSE),0)</f>
        <v>45</v>
      </c>
      <c r="I88" s="17">
        <f>ROUND(VLOOKUP(H$67&amp;"_2",管理者用人口入力シート!BH:CE,J88,FALSE),0)</f>
        <v>173</v>
      </c>
      <c r="J88" s="2">
        <v>23</v>
      </c>
      <c r="K88" s="12"/>
      <c r="N88" s="2" t="s">
        <v>19</v>
      </c>
      <c r="O88" s="17">
        <f>ROUND(VLOOKUP(O$67&amp;"_1",管理者用人口入力シート!CO:DL,Q88,FALSE),0)</f>
        <v>45</v>
      </c>
      <c r="P88" s="17">
        <f>ROUND(VLOOKUP(O$67&amp;"_2",管理者用人口入力シート!CO:DL,Q88,FALSE),0)</f>
        <v>173</v>
      </c>
      <c r="Q88" s="2">
        <v>23</v>
      </c>
      <c r="U88" s="85"/>
    </row>
    <row r="89" spans="1:21" x14ac:dyDescent="0.15">
      <c r="A89" s="2" t="s">
        <v>0</v>
      </c>
      <c r="B89" s="17">
        <f>ROUND(VLOOKUP(B$87&amp;"_1",管理者用人口入力シート!A:X,D89,FALSE),0)</f>
        <v>724</v>
      </c>
      <c r="C89" s="17">
        <f>ROUND(VLOOKUP(B$87&amp;"_2",管理者用人口入力シート!A:X,D89,FALSE),0)</f>
        <v>694</v>
      </c>
      <c r="D89" s="2">
        <v>4</v>
      </c>
      <c r="G89" s="2" t="s">
        <v>20</v>
      </c>
      <c r="H89" s="17">
        <f>ROUND(VLOOKUP(H$67&amp;"_1",管理者用人口入力シート!BH:CE,J89,FALSE),0)</f>
        <v>0</v>
      </c>
      <c r="I89" s="17">
        <f>ROUND(VLOOKUP(H$67&amp;"_2",管理者用人口入力シート!BH:CE,J89,FALSE),0)</f>
        <v>28</v>
      </c>
      <c r="J89" s="2">
        <v>24</v>
      </c>
      <c r="K89" s="12"/>
      <c r="N89" s="2" t="s">
        <v>20</v>
      </c>
      <c r="O89" s="17">
        <f>ROUND(VLOOKUP(O$67&amp;"_1",管理者用人口入力シート!CO:DL,Q89,FALSE),0)</f>
        <v>0</v>
      </c>
      <c r="P89" s="17">
        <f>ROUND(VLOOKUP(O$67&amp;"_2",管理者用人口入力シート!CO:DL,Q89,FALSE),0)</f>
        <v>28</v>
      </c>
      <c r="Q89" s="2">
        <v>24</v>
      </c>
      <c r="U89" s="85"/>
    </row>
    <row r="90" spans="1:21" x14ac:dyDescent="0.15">
      <c r="A90" s="2" t="s">
        <v>1</v>
      </c>
      <c r="B90" s="17">
        <f>ROUND(VLOOKUP(B$87&amp;"_1",管理者用人口入力シート!A:X,D90,FALSE),0)</f>
        <v>777</v>
      </c>
      <c r="C90" s="17">
        <f>ROUND(VLOOKUP(B$87&amp;"_2",管理者用人口入力シート!A:X,D90,FALSE),0)</f>
        <v>753</v>
      </c>
      <c r="D90" s="2">
        <v>5</v>
      </c>
    </row>
    <row r="91" spans="1:21" x14ac:dyDescent="0.15">
      <c r="A91" s="2" t="s">
        <v>2</v>
      </c>
      <c r="B91" s="17">
        <f>ROUND(VLOOKUP(B$87&amp;"_1",管理者用人口入力シート!A:X,D91,FALSE),0)</f>
        <v>807</v>
      </c>
      <c r="C91" s="17">
        <f>ROUND(VLOOKUP(B$87&amp;"_2",管理者用人口入力シート!A:X,D91,FALSE),0)</f>
        <v>773</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801</v>
      </c>
      <c r="C92" s="17">
        <f>ROUND(VLOOKUP(B$87&amp;"_2",管理者用人口入力シート!A:X,D92,FALSE),0)</f>
        <v>815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663</v>
      </c>
      <c r="C93" s="17">
        <f>ROUND(VLOOKUP(B$87&amp;"_2",管理者用人口入力シート!A:X,D93,FALSE),0)</f>
        <v>662</v>
      </c>
      <c r="D93" s="2">
        <v>8</v>
      </c>
      <c r="G93" s="2" t="s">
        <v>0</v>
      </c>
      <c r="H93" s="17">
        <f>ROUND(VLOOKUP(H$91&amp;"_1",管理者用人口入力シート!BH:CE,J93,FALSE),0)</f>
        <v>571</v>
      </c>
      <c r="I93" s="17">
        <f>ROUND(VLOOKUP(H$91&amp;"_2",管理者用人口入力シート!BH:CE,J93,FALSE),0)</f>
        <v>547</v>
      </c>
      <c r="J93" s="2">
        <v>4</v>
      </c>
      <c r="K93" s="12"/>
      <c r="N93" s="2" t="s">
        <v>0</v>
      </c>
      <c r="O93" s="17">
        <f>ROUND(VLOOKUP(O$91&amp;"_1",管理者用人口入力シート!CO:DL,Q93,FALSE),0)</f>
        <v>573</v>
      </c>
      <c r="P93" s="17">
        <f>ROUND(VLOOKUP(O$91&amp;"_2",管理者用人口入力シート!CO:DL,Q93,FALSE),0)</f>
        <v>549</v>
      </c>
      <c r="Q93" s="2">
        <v>4</v>
      </c>
      <c r="T93" s="85"/>
    </row>
    <row r="94" spans="1:21" x14ac:dyDescent="0.15">
      <c r="A94" s="2" t="s">
        <v>5</v>
      </c>
      <c r="B94" s="17">
        <f>ROUND(VLOOKUP(B$87&amp;"_1",管理者用人口入力シート!A:X,D94,FALSE),0)</f>
        <v>735</v>
      </c>
      <c r="C94" s="17">
        <f>ROUND(VLOOKUP(B$87&amp;"_2",管理者用人口入力シート!A:X,D94,FALSE),0)</f>
        <v>801</v>
      </c>
      <c r="D94" s="2">
        <v>9</v>
      </c>
      <c r="G94" s="2" t="s">
        <v>1</v>
      </c>
      <c r="H94" s="17">
        <f>ROUND(VLOOKUP(H$91&amp;"_1",管理者用人口入力シート!BH:CE,J94,FALSE),0)</f>
        <v>579</v>
      </c>
      <c r="I94" s="17">
        <f>ROUND(VLOOKUP(H$91&amp;"_2",管理者用人口入力シート!BH:CE,J94,FALSE),0)</f>
        <v>569</v>
      </c>
      <c r="J94" s="2">
        <v>5</v>
      </c>
      <c r="K94" s="12"/>
      <c r="N94" s="2" t="s">
        <v>1</v>
      </c>
      <c r="O94" s="17">
        <f>ROUND(VLOOKUP(O$91&amp;"_1",管理者用人口入力シート!CO:DL,Q94,FALSE),0)</f>
        <v>580</v>
      </c>
      <c r="P94" s="17">
        <f>ROUND(VLOOKUP(O$91&amp;"_2",管理者用人口入力シート!CO:DL,Q94,FALSE),0)</f>
        <v>570</v>
      </c>
      <c r="Q94" s="2">
        <v>5</v>
      </c>
      <c r="T94" s="85"/>
    </row>
    <row r="95" spans="1:21" x14ac:dyDescent="0.15">
      <c r="A95" s="2" t="s">
        <v>6</v>
      </c>
      <c r="B95" s="17">
        <f>ROUND(VLOOKUP(B$87&amp;"_1",管理者用人口入力シート!A:X,D95,FALSE),0)</f>
        <v>867</v>
      </c>
      <c r="C95" s="17">
        <f>ROUND(VLOOKUP(B$87&amp;"_2",管理者用人口入力シート!A:X,D95,FALSE),0)</f>
        <v>940</v>
      </c>
      <c r="D95" s="2">
        <v>10</v>
      </c>
      <c r="G95" s="2" t="s">
        <v>2</v>
      </c>
      <c r="H95" s="17">
        <f>ROUND(VLOOKUP(H$91&amp;"_1",管理者用人口入力シート!BH:CE,J95,FALSE),0)</f>
        <v>668</v>
      </c>
      <c r="I95" s="17">
        <f>ROUND(VLOOKUP(H$91&amp;"_2",管理者用人口入力シート!BH:CE,J95,FALSE),0)</f>
        <v>670</v>
      </c>
      <c r="J95" s="2">
        <v>6</v>
      </c>
      <c r="K95" s="12"/>
      <c r="N95" s="2" t="s">
        <v>2</v>
      </c>
      <c r="O95" s="17">
        <f>ROUND(VLOOKUP(O$91&amp;"_1",管理者用人口入力シート!CO:DL,Q95,FALSE),0)</f>
        <v>669</v>
      </c>
      <c r="P95" s="17">
        <f>ROUND(VLOOKUP(O$91&amp;"_2",管理者用人口入力シート!CO:DL,Q95,FALSE),0)</f>
        <v>671</v>
      </c>
      <c r="Q95" s="2">
        <v>6</v>
      </c>
      <c r="T95" s="85"/>
    </row>
    <row r="96" spans="1:21" x14ac:dyDescent="0.15">
      <c r="A96" s="2" t="s">
        <v>7</v>
      </c>
      <c r="B96" s="17">
        <f>ROUND(VLOOKUP(B$87&amp;"_1",管理者用人口入力シート!A:X,D96,FALSE),0)</f>
        <v>1044</v>
      </c>
      <c r="C96" s="17">
        <f>ROUND(VLOOKUP(B$87&amp;"_2",管理者用人口入力シート!A:X,D96,FALSE),0)</f>
        <v>1046</v>
      </c>
      <c r="D96" s="2">
        <v>11</v>
      </c>
      <c r="G96" s="2" t="s">
        <v>3</v>
      </c>
      <c r="H96" s="17">
        <f>ROUND(VLOOKUP(H$91&amp;"_1",管理者用人口入力シート!BH:CE,J96,FALSE),0)</f>
        <v>764</v>
      </c>
      <c r="I96" s="17">
        <f>ROUND(VLOOKUP(H$91&amp;"_2",管理者用人口入力シート!BH:CE,J96,FALSE),0)</f>
        <v>863</v>
      </c>
      <c r="J96" s="2">
        <v>7</v>
      </c>
      <c r="K96" s="12"/>
      <c r="N96" s="2" t="s">
        <v>3</v>
      </c>
      <c r="O96" s="17">
        <f>ROUND(VLOOKUP(O$91&amp;"_1",管理者用人口入力シート!CO:DL,Q96,FALSE),0)</f>
        <v>765</v>
      </c>
      <c r="P96" s="17">
        <f>ROUND(VLOOKUP(O$91&amp;"_2",管理者用人口入力シート!CO:DL,Q96,FALSE),0)</f>
        <v>864</v>
      </c>
      <c r="Q96" s="2">
        <v>7</v>
      </c>
      <c r="T96" s="85"/>
    </row>
    <row r="97" spans="1:20" x14ac:dyDescent="0.15">
      <c r="A97" s="2" t="s">
        <v>8</v>
      </c>
      <c r="B97" s="17">
        <f>ROUND(VLOOKUP(B$87&amp;"_1",管理者用人口入力シート!A:X,D97,FALSE),0)</f>
        <v>1205</v>
      </c>
      <c r="C97" s="17">
        <f>ROUND(VLOOKUP(B$87&amp;"_2",管理者用人口入力シート!A:X,D97,FALSE),0)</f>
        <v>1205</v>
      </c>
      <c r="D97" s="2">
        <v>12</v>
      </c>
      <c r="G97" s="2" t="s">
        <v>4</v>
      </c>
      <c r="H97" s="17">
        <f>ROUND(VLOOKUP(H$91&amp;"_1",管理者用人口入力シート!BH:CE,J97,FALSE),0)</f>
        <v>668</v>
      </c>
      <c r="I97" s="17">
        <f>ROUND(VLOOKUP(H$91&amp;"_2",管理者用人口入力シート!BH:CE,J97,FALSE),0)</f>
        <v>695</v>
      </c>
      <c r="J97" s="2">
        <v>8</v>
      </c>
      <c r="K97" s="12"/>
      <c r="N97" s="2" t="s">
        <v>4</v>
      </c>
      <c r="O97" s="17">
        <f>ROUND(VLOOKUP(O$91&amp;"_1",管理者用人口入力シート!CO:DL,Q97,FALSE),0)</f>
        <v>668</v>
      </c>
      <c r="P97" s="17">
        <f>ROUND(VLOOKUP(O$91&amp;"_2",管理者用人口入力シート!CO:DL,Q97,FALSE),0)</f>
        <v>695</v>
      </c>
      <c r="Q97" s="2">
        <v>8</v>
      </c>
      <c r="T97" s="85"/>
    </row>
    <row r="98" spans="1:20" x14ac:dyDescent="0.15">
      <c r="A98" s="2" t="s">
        <v>9</v>
      </c>
      <c r="B98" s="17">
        <f>ROUND(VLOOKUP(B$87&amp;"_1",管理者用人口入力シート!A:X,D98,FALSE),0)</f>
        <v>1354</v>
      </c>
      <c r="C98" s="17">
        <f>ROUND(VLOOKUP(B$87&amp;"_2",管理者用人口入力シート!A:X,D98,FALSE),0)</f>
        <v>1408</v>
      </c>
      <c r="D98" s="2">
        <v>13</v>
      </c>
      <c r="G98" s="2" t="s">
        <v>5</v>
      </c>
      <c r="H98" s="17">
        <f>ROUND(VLOOKUP(H$91&amp;"_1",管理者用人口入力シート!BH:CE,J98,FALSE),0)</f>
        <v>734</v>
      </c>
      <c r="I98" s="17">
        <f>ROUND(VLOOKUP(H$91&amp;"_2",管理者用人口入力シート!BH:CE,J98,FALSE),0)</f>
        <v>654</v>
      </c>
      <c r="J98" s="2">
        <v>9</v>
      </c>
      <c r="K98" s="12"/>
      <c r="N98" s="2" t="s">
        <v>5</v>
      </c>
      <c r="O98" s="17">
        <f>ROUND(VLOOKUP(O$91&amp;"_1",管理者用人口入力シート!CO:DL,Q98,FALSE),0)</f>
        <v>736</v>
      </c>
      <c r="P98" s="17">
        <f>ROUND(VLOOKUP(O$91&amp;"_2",管理者用人口入力シート!CO:DL,Q98,FALSE),0)</f>
        <v>656</v>
      </c>
      <c r="Q98" s="2">
        <v>9</v>
      </c>
      <c r="T98" s="85"/>
    </row>
    <row r="99" spans="1:20" x14ac:dyDescent="0.15">
      <c r="A99" s="2" t="s">
        <v>10</v>
      </c>
      <c r="B99" s="17">
        <f>ROUND(VLOOKUP(B$87&amp;"_1",管理者用人口入力シート!A:X,D99,FALSE),0)</f>
        <v>1002</v>
      </c>
      <c r="C99" s="17">
        <f>ROUND(VLOOKUP(B$87&amp;"_2",管理者用人口入力シート!A:X,D99,FALSE),0)</f>
        <v>1134</v>
      </c>
      <c r="D99" s="2">
        <v>14</v>
      </c>
      <c r="G99" s="2" t="s">
        <v>6</v>
      </c>
      <c r="H99" s="17">
        <f>ROUND(VLOOKUP(H$91&amp;"_1",管理者用人口入力シート!BH:CE,J99,FALSE),0)</f>
        <v>707</v>
      </c>
      <c r="I99" s="17">
        <f>ROUND(VLOOKUP(H$91&amp;"_2",管理者用人口入力シート!BH:CE,J99,FALSE),0)</f>
        <v>642</v>
      </c>
      <c r="J99" s="2">
        <v>10</v>
      </c>
      <c r="K99" s="12"/>
      <c r="N99" s="2" t="s">
        <v>6</v>
      </c>
      <c r="O99" s="17">
        <f>ROUND(VLOOKUP(O$91&amp;"_1",管理者用人口入力シート!CO:DL,Q99,FALSE),0)</f>
        <v>709</v>
      </c>
      <c r="P99" s="17">
        <f>ROUND(VLOOKUP(O$91&amp;"_2",管理者用人口入力シート!CO:DL,Q99,FALSE),0)</f>
        <v>644</v>
      </c>
      <c r="Q99" s="2">
        <v>10</v>
      </c>
      <c r="T99" s="85"/>
    </row>
    <row r="100" spans="1:20" x14ac:dyDescent="0.15">
      <c r="A100" s="2" t="s">
        <v>11</v>
      </c>
      <c r="B100" s="17">
        <f>ROUND(VLOOKUP(B$87&amp;"_1",管理者用人口入力シート!A:X,D100,FALSE),0)</f>
        <v>1030</v>
      </c>
      <c r="C100" s="17">
        <f>ROUND(VLOOKUP(B$87&amp;"_2",管理者用人口入力シート!A:X,D100,FALSE),0)</f>
        <v>1148</v>
      </c>
      <c r="D100" s="2">
        <v>15</v>
      </c>
      <c r="G100" s="2" t="s">
        <v>7</v>
      </c>
      <c r="H100" s="17">
        <f>ROUND(VLOOKUP(H$91&amp;"_1",管理者用人口入力シート!BH:CE,J100,FALSE),0)</f>
        <v>699</v>
      </c>
      <c r="I100" s="17">
        <f>ROUND(VLOOKUP(H$91&amp;"_2",管理者用人口入力シート!BH:CE,J100,FALSE),0)</f>
        <v>730</v>
      </c>
      <c r="J100" s="2">
        <v>11</v>
      </c>
      <c r="K100" s="12"/>
      <c r="N100" s="2" t="s">
        <v>7</v>
      </c>
      <c r="O100" s="17">
        <f>ROUND(VLOOKUP(O$91&amp;"_1",管理者用人口入力シート!CO:DL,Q100,FALSE),0)</f>
        <v>699</v>
      </c>
      <c r="P100" s="17">
        <f>ROUND(VLOOKUP(O$91&amp;"_2",管理者用人口入力シート!CO:DL,Q100,FALSE),0)</f>
        <v>730</v>
      </c>
      <c r="Q100" s="2">
        <v>11</v>
      </c>
      <c r="T100" s="85"/>
    </row>
    <row r="101" spans="1:20" x14ac:dyDescent="0.15">
      <c r="A101" s="2" t="s">
        <v>12</v>
      </c>
      <c r="B101" s="17">
        <f>ROUND(VLOOKUP(B$87&amp;"_1",管理者用人口入力シート!A:X,D101,FALSE),0)</f>
        <v>1058</v>
      </c>
      <c r="C101" s="17">
        <f>ROUND(VLOOKUP(B$87&amp;"_2",管理者用人口入力シート!A:X,D101,FALSE),0)</f>
        <v>1133</v>
      </c>
      <c r="D101" s="2">
        <v>16</v>
      </c>
      <c r="G101" s="2" t="s">
        <v>8</v>
      </c>
      <c r="H101" s="17">
        <f>ROUND(VLOOKUP(H$91&amp;"_1",管理者用人口入力シート!BH:CE,J101,FALSE),0)</f>
        <v>853</v>
      </c>
      <c r="I101" s="17">
        <f>ROUND(VLOOKUP(H$91&amp;"_2",管理者用人口入力シート!BH:CE,J101,FALSE),0)</f>
        <v>874</v>
      </c>
      <c r="J101" s="2">
        <v>12</v>
      </c>
      <c r="K101" s="12"/>
      <c r="N101" s="2" t="s">
        <v>8</v>
      </c>
      <c r="O101" s="17">
        <f>ROUND(VLOOKUP(O$91&amp;"_1",管理者用人口入力シート!CO:DL,Q101,FALSE),0)</f>
        <v>853</v>
      </c>
      <c r="P101" s="17">
        <f>ROUND(VLOOKUP(O$91&amp;"_2",管理者用人口入力シート!CO:DL,Q101,FALSE),0)</f>
        <v>875</v>
      </c>
      <c r="Q101" s="2">
        <v>12</v>
      </c>
      <c r="T101" s="85"/>
    </row>
    <row r="102" spans="1:20" x14ac:dyDescent="0.15">
      <c r="A102" s="2" t="s">
        <v>13</v>
      </c>
      <c r="B102" s="17">
        <f>ROUND(VLOOKUP(B$87&amp;"_1",管理者用人口入力シート!A:X,D102,FALSE),0)</f>
        <v>1132</v>
      </c>
      <c r="C102" s="17">
        <f>ROUND(VLOOKUP(B$87&amp;"_2",管理者用人口入力シート!A:X,D102,FALSE),0)</f>
        <v>1258</v>
      </c>
      <c r="D102" s="2">
        <v>17</v>
      </c>
      <c r="G102" s="2" t="s">
        <v>9</v>
      </c>
      <c r="H102" s="17">
        <f>ROUND(VLOOKUP(H$91&amp;"_1",管理者用人口入力シート!BH:CE,J102,FALSE),0)</f>
        <v>1056</v>
      </c>
      <c r="I102" s="17">
        <f>ROUND(VLOOKUP(H$91&amp;"_2",管理者用人口入力シート!BH:CE,J102,FALSE),0)</f>
        <v>1036</v>
      </c>
      <c r="J102" s="2">
        <v>13</v>
      </c>
      <c r="K102" s="12"/>
      <c r="N102" s="2" t="s">
        <v>9</v>
      </c>
      <c r="O102" s="17">
        <f>ROUND(VLOOKUP(O$91&amp;"_1",管理者用人口入力シート!CO:DL,Q102,FALSE),0)</f>
        <v>1056</v>
      </c>
      <c r="P102" s="17">
        <f>ROUND(VLOOKUP(O$91&amp;"_2",管理者用人口入力シート!CO:DL,Q102,FALSE),0)</f>
        <v>1037</v>
      </c>
      <c r="Q102" s="2">
        <v>13</v>
      </c>
      <c r="T102" s="85"/>
    </row>
    <row r="103" spans="1:20" x14ac:dyDescent="0.15">
      <c r="A103" s="2" t="s">
        <v>14</v>
      </c>
      <c r="B103" s="17">
        <f>ROUND(VLOOKUP(B$87&amp;"_1",管理者用人口入力シート!A:X,D103,FALSE),0)</f>
        <v>1199</v>
      </c>
      <c r="C103" s="17">
        <f>ROUND(VLOOKUP(B$87&amp;"_2",管理者用人口入力シート!A:X,D103,FALSE),0)</f>
        <v>1392</v>
      </c>
      <c r="D103" s="2">
        <v>18</v>
      </c>
      <c r="G103" s="2" t="s">
        <v>10</v>
      </c>
      <c r="H103" s="17">
        <f>ROUND(VLOOKUP(H$91&amp;"_1",管理者用人口入力シート!BH:CE,J103,FALSE),0)</f>
        <v>1215</v>
      </c>
      <c r="I103" s="17">
        <f>ROUND(VLOOKUP(H$91&amp;"_2",管理者用人口入力シート!BH:CE,J103,FALSE),0)</f>
        <v>1228</v>
      </c>
      <c r="J103" s="2">
        <v>14</v>
      </c>
      <c r="K103" s="12"/>
      <c r="N103" s="2" t="s">
        <v>10</v>
      </c>
      <c r="O103" s="17">
        <f>ROUND(VLOOKUP(O$91&amp;"_1",管理者用人口入力シート!CO:DL,Q103,FALSE),0)</f>
        <v>1215</v>
      </c>
      <c r="P103" s="17">
        <f>ROUND(VLOOKUP(O$91&amp;"_2",管理者用人口入力シート!CO:DL,Q103,FALSE),0)</f>
        <v>1228</v>
      </c>
      <c r="Q103" s="2">
        <v>14</v>
      </c>
      <c r="T103" s="85"/>
    </row>
    <row r="104" spans="1:20" x14ac:dyDescent="0.15">
      <c r="A104" s="2" t="s">
        <v>15</v>
      </c>
      <c r="B104" s="17">
        <f>ROUND(VLOOKUP(B$87&amp;"_1",管理者用人口入力シート!A:X,D104,FALSE),0)</f>
        <v>798</v>
      </c>
      <c r="C104" s="17">
        <f>ROUND(VLOOKUP(B$87&amp;"_2",管理者用人口入力シート!A:X,D104,FALSE),0)</f>
        <v>1029</v>
      </c>
      <c r="D104" s="2">
        <v>19</v>
      </c>
      <c r="G104" s="2" t="s">
        <v>11</v>
      </c>
      <c r="H104" s="17">
        <f>ROUND(VLOOKUP(H$91&amp;"_1",管理者用人口入力シート!BH:CE,J104,FALSE),0)</f>
        <v>1339</v>
      </c>
      <c r="I104" s="17">
        <f>ROUND(VLOOKUP(H$91&amp;"_2",管理者用人口入力シート!BH:CE,J104,FALSE),0)</f>
        <v>1409</v>
      </c>
      <c r="J104" s="2">
        <v>15</v>
      </c>
      <c r="K104" s="12"/>
      <c r="N104" s="2" t="s">
        <v>11</v>
      </c>
      <c r="O104" s="17">
        <f>ROUND(VLOOKUP(O$91&amp;"_1",管理者用人口入力シート!CO:DL,Q104,FALSE),0)</f>
        <v>1339</v>
      </c>
      <c r="P104" s="17">
        <f>ROUND(VLOOKUP(O$91&amp;"_2",管理者用人口入力シート!CO:DL,Q104,FALSE),0)</f>
        <v>1409</v>
      </c>
      <c r="Q104" s="2">
        <v>15</v>
      </c>
      <c r="T104" s="85"/>
    </row>
    <row r="105" spans="1:20" x14ac:dyDescent="0.15">
      <c r="A105" s="2" t="s">
        <v>16</v>
      </c>
      <c r="B105" s="17">
        <f>ROUND(VLOOKUP(B$87&amp;"_1",管理者用人口入力シート!A:X,D105,FALSE),0)</f>
        <v>600</v>
      </c>
      <c r="C105" s="17">
        <f>ROUND(VLOOKUP(B$87&amp;"_2",管理者用人口入力シート!A:X,D105,FALSE),0)</f>
        <v>843</v>
      </c>
      <c r="D105" s="2">
        <v>20</v>
      </c>
      <c r="G105" s="2" t="s">
        <v>12</v>
      </c>
      <c r="H105" s="17">
        <f>ROUND(VLOOKUP(H$91&amp;"_1",管理者用人口入力シート!BH:CE,J105,FALSE),0)</f>
        <v>994</v>
      </c>
      <c r="I105" s="17">
        <f>ROUND(VLOOKUP(H$91&amp;"_2",管理者用人口入力シート!BH:CE,J105,FALSE),0)</f>
        <v>1103</v>
      </c>
      <c r="J105" s="2">
        <v>16</v>
      </c>
      <c r="K105" s="12"/>
      <c r="N105" s="2" t="s">
        <v>12</v>
      </c>
      <c r="O105" s="17">
        <f>ROUND(VLOOKUP(O$91&amp;"_1",管理者用人口入力シート!CO:DL,Q105,FALSE),0)</f>
        <v>994</v>
      </c>
      <c r="P105" s="17">
        <f>ROUND(VLOOKUP(O$91&amp;"_2",管理者用人口入力シート!CO:DL,Q105,FALSE),0)</f>
        <v>1103</v>
      </c>
      <c r="Q105" s="2">
        <v>16</v>
      </c>
      <c r="T105" s="85"/>
    </row>
    <row r="106" spans="1:20" x14ac:dyDescent="0.15">
      <c r="A106" s="2" t="s">
        <v>17</v>
      </c>
      <c r="B106" s="17">
        <f>ROUND(VLOOKUP(B$87&amp;"_1",管理者用人口入力シート!A:X,D106,FALSE),0)</f>
        <v>384</v>
      </c>
      <c r="C106" s="17">
        <f>ROUND(VLOOKUP(B$87&amp;"_2",管理者用人口入力シート!A:X,D106,FALSE),0)</f>
        <v>730</v>
      </c>
      <c r="D106" s="2">
        <v>21</v>
      </c>
      <c r="G106" s="2" t="s">
        <v>13</v>
      </c>
      <c r="H106" s="17">
        <f>ROUND(VLOOKUP(H$91&amp;"_1",管理者用人口入力シート!BH:CE,J106,FALSE),0)</f>
        <v>979</v>
      </c>
      <c r="I106" s="17">
        <f>ROUND(VLOOKUP(H$91&amp;"_2",管理者用人口入力シート!BH:CE,J106,FALSE),0)</f>
        <v>1091</v>
      </c>
      <c r="J106" s="2">
        <v>17</v>
      </c>
      <c r="K106" s="12"/>
      <c r="N106" s="2" t="s">
        <v>13</v>
      </c>
      <c r="O106" s="17">
        <f>ROUND(VLOOKUP(O$91&amp;"_1",管理者用人口入力シート!CO:DL,Q106,FALSE),0)</f>
        <v>979</v>
      </c>
      <c r="P106" s="17">
        <f>ROUND(VLOOKUP(O$91&amp;"_2",管理者用人口入力シート!CO:DL,Q106,FALSE),0)</f>
        <v>1091</v>
      </c>
      <c r="Q106" s="2">
        <v>17</v>
      </c>
      <c r="T106" s="85"/>
    </row>
    <row r="107" spans="1:20" x14ac:dyDescent="0.15">
      <c r="A107" s="2" t="s">
        <v>18</v>
      </c>
      <c r="B107" s="17">
        <f>ROUND(VLOOKUP(B$87&amp;"_1",管理者用人口入力シート!A:X,D107,FALSE),0)</f>
        <v>146</v>
      </c>
      <c r="C107" s="17">
        <f>ROUND(VLOOKUP(B$87&amp;"_2",管理者用人口入力シート!A:X,D107,FALSE),0)</f>
        <v>384</v>
      </c>
      <c r="D107" s="2">
        <v>22</v>
      </c>
      <c r="G107" s="2" t="s">
        <v>14</v>
      </c>
      <c r="H107" s="17">
        <f>ROUND(VLOOKUP(H$91&amp;"_1",管理者用人口入力シート!BH:CE,J107,FALSE),0)</f>
        <v>939</v>
      </c>
      <c r="I107" s="17">
        <f>ROUND(VLOOKUP(H$91&amp;"_2",管理者用人口入力シート!BH:CE,J107,FALSE),0)</f>
        <v>1061</v>
      </c>
      <c r="J107" s="2">
        <v>18</v>
      </c>
      <c r="K107" s="12"/>
      <c r="N107" s="2" t="s">
        <v>14</v>
      </c>
      <c r="O107" s="17">
        <f>ROUND(VLOOKUP(O$91&amp;"_1",管理者用人口入力シート!CO:DL,Q107,FALSE),0)</f>
        <v>939</v>
      </c>
      <c r="P107" s="17">
        <f>ROUND(VLOOKUP(O$91&amp;"_2",管理者用人口入力シート!CO:DL,Q107,FALSE),0)</f>
        <v>1061</v>
      </c>
      <c r="Q107" s="2">
        <v>18</v>
      </c>
      <c r="T107" s="85"/>
    </row>
    <row r="108" spans="1:20" x14ac:dyDescent="0.15">
      <c r="A108" s="2" t="s">
        <v>19</v>
      </c>
      <c r="B108" s="17">
        <f>ROUND(VLOOKUP(B$87&amp;"_1",管理者用人口入力シート!A:X,D108,FALSE),0)</f>
        <v>29</v>
      </c>
      <c r="C108" s="17">
        <f>ROUND(VLOOKUP(B$87&amp;"_2",管理者用人口入力シート!A:X,D108,FALSE),0)</f>
        <v>139</v>
      </c>
      <c r="D108" s="2">
        <v>23</v>
      </c>
      <c r="G108" s="2" t="s">
        <v>15</v>
      </c>
      <c r="H108" s="17">
        <f>ROUND(VLOOKUP(H$91&amp;"_1",管理者用人口入力シート!BH:CE,J108,FALSE),0)</f>
        <v>974</v>
      </c>
      <c r="I108" s="17">
        <f>ROUND(VLOOKUP(H$91&amp;"_2",管理者用人口入力シート!BH:CE,J108,FALSE),0)</f>
        <v>1150</v>
      </c>
      <c r="J108" s="2">
        <v>19</v>
      </c>
      <c r="K108" s="12"/>
      <c r="N108" s="2" t="s">
        <v>15</v>
      </c>
      <c r="O108" s="17">
        <f>ROUND(VLOOKUP(O$91&amp;"_1",管理者用人口入力シート!CO:DL,Q108,FALSE),0)</f>
        <v>974</v>
      </c>
      <c r="P108" s="17">
        <f>ROUND(VLOOKUP(O$91&amp;"_2",管理者用人口入力シート!CO:DL,Q108,FALSE),0)</f>
        <v>1150</v>
      </c>
      <c r="Q108" s="2">
        <v>19</v>
      </c>
      <c r="T108" s="85"/>
    </row>
    <row r="109" spans="1:20" x14ac:dyDescent="0.15">
      <c r="A109" s="2" t="s">
        <v>20</v>
      </c>
      <c r="B109" s="17">
        <f>ROUND(VLOOKUP(B$87&amp;"_1",管理者用人口入力シート!A:X,D109,FALSE),0)</f>
        <v>3</v>
      </c>
      <c r="C109" s="17">
        <f>ROUND(VLOOKUP(B$87&amp;"_2",管理者用人口入力シート!A:X,D109,FALSE),0)</f>
        <v>15</v>
      </c>
      <c r="D109" s="2">
        <v>24</v>
      </c>
      <c r="G109" s="2" t="s">
        <v>16</v>
      </c>
      <c r="H109" s="17">
        <f>ROUND(VLOOKUP(H$91&amp;"_1",管理者用人口入力シート!BH:CE,J109,FALSE),0)</f>
        <v>881</v>
      </c>
      <c r="I109" s="17">
        <f>ROUND(VLOOKUP(H$91&amp;"_2",管理者用人口入力シート!BH:CE,J109,FALSE),0)</f>
        <v>1243</v>
      </c>
      <c r="J109" s="2">
        <v>20</v>
      </c>
      <c r="K109" s="12"/>
      <c r="N109" s="2" t="s">
        <v>16</v>
      </c>
      <c r="O109" s="17">
        <f>ROUND(VLOOKUP(O$91&amp;"_1",管理者用人口入力シート!CO:DL,Q109,FALSE),0)</f>
        <v>881</v>
      </c>
      <c r="P109" s="17">
        <f>ROUND(VLOOKUP(O$91&amp;"_2",管理者用人口入力シート!CO:DL,Q109,FALSE),0)</f>
        <v>1243</v>
      </c>
      <c r="Q109" s="2">
        <v>20</v>
      </c>
      <c r="T109" s="85"/>
    </row>
    <row r="110" spans="1:20" x14ac:dyDescent="0.15">
      <c r="G110" s="2" t="s">
        <v>17</v>
      </c>
      <c r="H110" s="17">
        <f>ROUND(VLOOKUP(H$91&amp;"_1",管理者用人口入力シート!BH:CE,J110,FALSE),0)</f>
        <v>460</v>
      </c>
      <c r="I110" s="17">
        <f>ROUND(VLOOKUP(H$91&amp;"_2",管理者用人口入力シート!BH:CE,J110,FALSE),0)</f>
        <v>794</v>
      </c>
      <c r="J110" s="2">
        <v>21</v>
      </c>
      <c r="K110" s="12"/>
      <c r="N110" s="2" t="s">
        <v>17</v>
      </c>
      <c r="O110" s="17">
        <f>ROUND(VLOOKUP(O$91&amp;"_1",管理者用人口入力シート!CO:DL,Q110,FALSE),0)</f>
        <v>460</v>
      </c>
      <c r="P110" s="17">
        <f>ROUND(VLOOKUP(O$91&amp;"_2",管理者用人口入力シート!CO:DL,Q110,FALSE),0)</f>
        <v>794</v>
      </c>
      <c r="Q110" s="2">
        <v>21</v>
      </c>
      <c r="T110" s="85"/>
    </row>
    <row r="111" spans="1:20" x14ac:dyDescent="0.15">
      <c r="G111" s="2" t="s">
        <v>18</v>
      </c>
      <c r="H111" s="17">
        <f>ROUND(VLOOKUP(H$91&amp;"_1",管理者用人口入力シート!BH:CE,J111,FALSE),0)</f>
        <v>200</v>
      </c>
      <c r="I111" s="17">
        <f>ROUND(VLOOKUP(H$91&amp;"_2",管理者用人口入力シート!BH:CE,J111,FALSE),0)</f>
        <v>451</v>
      </c>
      <c r="J111" s="2">
        <v>22</v>
      </c>
      <c r="K111" s="12"/>
      <c r="N111" s="2" t="s">
        <v>18</v>
      </c>
      <c r="O111" s="17">
        <f>ROUND(VLOOKUP(O$91&amp;"_1",管理者用人口入力シート!CO:DL,Q111,FALSE),0)</f>
        <v>200</v>
      </c>
      <c r="P111" s="17">
        <f>ROUND(VLOOKUP(O$91&amp;"_2",管理者用人口入力シート!CO:DL,Q111,FALSE),0)</f>
        <v>451</v>
      </c>
      <c r="Q111" s="2">
        <v>22</v>
      </c>
      <c r="T111" s="85"/>
    </row>
    <row r="112" spans="1:20" x14ac:dyDescent="0.15">
      <c r="G112" s="2" t="s">
        <v>19</v>
      </c>
      <c r="H112" s="17">
        <f>ROUND(VLOOKUP(H$91&amp;"_1",管理者用人口入力シート!BH:CE,J112,FALSE),0)</f>
        <v>54</v>
      </c>
      <c r="I112" s="17">
        <f>ROUND(VLOOKUP(H$91&amp;"_2",管理者用人口入力シート!BH:CE,J112,FALSE),0)</f>
        <v>216</v>
      </c>
      <c r="J112" s="2">
        <v>23</v>
      </c>
      <c r="K112" s="12"/>
      <c r="N112" s="2" t="s">
        <v>19</v>
      </c>
      <c r="O112" s="17">
        <f>ROUND(VLOOKUP(O$91&amp;"_1",管理者用人口入力シート!CO:DL,Q112,FALSE),0)</f>
        <v>54</v>
      </c>
      <c r="P112" s="17">
        <f>ROUND(VLOOKUP(O$91&amp;"_2",管理者用人口入力シート!CO:DL,Q112,FALSE),0)</f>
        <v>216</v>
      </c>
      <c r="Q112" s="2">
        <v>23</v>
      </c>
      <c r="T112" s="85"/>
    </row>
    <row r="113" spans="7:20" x14ac:dyDescent="0.15">
      <c r="G113" s="2" t="s">
        <v>20</v>
      </c>
      <c r="H113" s="17">
        <f>ROUND(VLOOKUP(H$91&amp;"_1",管理者用人口入力シート!BH:CE,J113,FALSE),0)</f>
        <v>1</v>
      </c>
      <c r="I113" s="17">
        <f>ROUND(VLOOKUP(H$91&amp;"_2",管理者用人口入力シート!BH:CE,J113,FALSE),0)</f>
        <v>34</v>
      </c>
      <c r="J113" s="2">
        <v>24</v>
      </c>
      <c r="K113" s="12"/>
      <c r="N113" s="2" t="s">
        <v>20</v>
      </c>
      <c r="O113" s="17">
        <f>ROUND(VLOOKUP(O$91&amp;"_1",管理者用人口入力シート!CO:DL,Q113,FALSE),0)</f>
        <v>1</v>
      </c>
      <c r="P113" s="17">
        <f>ROUND(VLOOKUP(O$91&amp;"_2",管理者用人口入力シート!CO:DL,Q113,FALSE),0)</f>
        <v>34</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550</v>
      </c>
      <c r="I117" s="17">
        <f>ROUND(VLOOKUP(H$115&amp;"_2",管理者用人口入力シート!BH:CE,J117,FALSE),0)</f>
        <v>528</v>
      </c>
      <c r="J117" s="2">
        <v>4</v>
      </c>
      <c r="N117" s="2" t="s">
        <v>0</v>
      </c>
      <c r="O117" s="17">
        <f>ROUND(VLOOKUP(O$115&amp;"_1",管理者用人口入力シート!CO:DL,Q117,FALSE),0)</f>
        <v>553</v>
      </c>
      <c r="P117" s="17">
        <f>ROUND(VLOOKUP(O$115&amp;"_2",管理者用人口入力シート!CO:DL,Q117,FALSE),0)</f>
        <v>530</v>
      </c>
      <c r="Q117" s="2">
        <v>4</v>
      </c>
      <c r="T117" s="85"/>
    </row>
    <row r="118" spans="7:20" x14ac:dyDescent="0.15">
      <c r="G118" s="2" t="s">
        <v>1</v>
      </c>
      <c r="H118" s="17">
        <f>ROUND(VLOOKUP(H$115&amp;"_1",管理者用人口入力シート!BH:CE,J118,FALSE),0)</f>
        <v>529</v>
      </c>
      <c r="I118" s="17">
        <f>ROUND(VLOOKUP(H$115&amp;"_2",管理者用人口入力シート!BH:CE,J118,FALSE),0)</f>
        <v>520</v>
      </c>
      <c r="J118" s="2">
        <v>5</v>
      </c>
      <c r="N118" s="2" t="s">
        <v>1</v>
      </c>
      <c r="O118" s="17">
        <f>ROUND(VLOOKUP(O$115&amp;"_1",管理者用人口入力シート!CO:DL,Q118,FALSE),0)</f>
        <v>531</v>
      </c>
      <c r="P118" s="17">
        <f>ROUND(VLOOKUP(O$115&amp;"_2",管理者用人口入力シート!CO:DL,Q118,FALSE),0)</f>
        <v>522</v>
      </c>
      <c r="Q118" s="2">
        <v>5</v>
      </c>
      <c r="T118" s="85"/>
    </row>
    <row r="119" spans="7:20" x14ac:dyDescent="0.15">
      <c r="G119" s="2" t="s">
        <v>2</v>
      </c>
      <c r="H119" s="17">
        <f>ROUND(VLOOKUP(H$115&amp;"_1",管理者用人口入力シート!BH:CE,J119,FALSE),0)</f>
        <v>577</v>
      </c>
      <c r="I119" s="17">
        <f>ROUND(VLOOKUP(H$115&amp;"_2",管理者用人口入力シート!BH:CE,J119,FALSE),0)</f>
        <v>578</v>
      </c>
      <c r="J119" s="2">
        <v>6</v>
      </c>
      <c r="N119" s="2" t="s">
        <v>2</v>
      </c>
      <c r="O119" s="17">
        <f>ROUND(VLOOKUP(O$115&amp;"_1",管理者用人口入力シート!CO:DL,Q119,FALSE),0)</f>
        <v>579</v>
      </c>
      <c r="P119" s="17">
        <f>ROUND(VLOOKUP(O$115&amp;"_2",管理者用人口入力シート!CO:DL,Q119,FALSE),0)</f>
        <v>580</v>
      </c>
      <c r="Q119" s="2">
        <v>6</v>
      </c>
      <c r="T119" s="85"/>
    </row>
    <row r="120" spans="7:20" x14ac:dyDescent="0.15">
      <c r="G120" s="2" t="s">
        <v>3</v>
      </c>
      <c r="H120" s="17">
        <f>ROUND(VLOOKUP(H$115&amp;"_1",管理者用人口入力シート!BH:CE,J120,FALSE),0)</f>
        <v>659</v>
      </c>
      <c r="I120" s="17">
        <f>ROUND(VLOOKUP(H$115&amp;"_2",管理者用人口入力シート!BH:CE,J120,FALSE),0)</f>
        <v>755</v>
      </c>
      <c r="J120" s="2">
        <v>7</v>
      </c>
      <c r="N120" s="2" t="s">
        <v>3</v>
      </c>
      <c r="O120" s="17">
        <f>ROUND(VLOOKUP(O$115&amp;"_1",管理者用人口入力シート!CO:DL,Q120,FALSE),0)</f>
        <v>660</v>
      </c>
      <c r="P120" s="17">
        <f>ROUND(VLOOKUP(O$115&amp;"_2",管理者用人口入力シート!CO:DL,Q120,FALSE),0)</f>
        <v>756</v>
      </c>
      <c r="Q120" s="2">
        <v>7</v>
      </c>
      <c r="T120" s="85"/>
    </row>
    <row r="121" spans="7:20" x14ac:dyDescent="0.15">
      <c r="G121" s="2" t="s">
        <v>4</v>
      </c>
      <c r="H121" s="17">
        <f>ROUND(VLOOKUP(H$115&amp;"_1",管理者用人口入力シート!BH:CE,J121,FALSE),0)</f>
        <v>641</v>
      </c>
      <c r="I121" s="17">
        <f>ROUND(VLOOKUP(H$115&amp;"_2",管理者用人口入力シート!BH:CE,J121,FALSE),0)</f>
        <v>688</v>
      </c>
      <c r="J121" s="2">
        <v>8</v>
      </c>
      <c r="N121" s="2" t="s">
        <v>4</v>
      </c>
      <c r="O121" s="17">
        <f>ROUND(VLOOKUP(O$115&amp;"_1",管理者用人口入力シート!CO:DL,Q121,FALSE),0)</f>
        <v>642</v>
      </c>
      <c r="P121" s="17">
        <f>ROUND(VLOOKUP(O$115&amp;"_2",管理者用人口入力シート!CO:DL,Q121,FALSE),0)</f>
        <v>689</v>
      </c>
      <c r="Q121" s="2">
        <v>8</v>
      </c>
      <c r="T121" s="85"/>
    </row>
    <row r="122" spans="7:20" x14ac:dyDescent="0.15">
      <c r="G122" s="2" t="s">
        <v>5</v>
      </c>
      <c r="H122" s="17">
        <f>ROUND(VLOOKUP(H$115&amp;"_1",管理者用人口入力シート!BH:CE,J122,FALSE),0)</f>
        <v>731</v>
      </c>
      <c r="I122" s="17">
        <f>ROUND(VLOOKUP(H$115&amp;"_2",管理者用人口入力シート!BH:CE,J122,FALSE),0)</f>
        <v>699</v>
      </c>
      <c r="J122" s="2">
        <v>9</v>
      </c>
      <c r="N122" s="2" t="s">
        <v>5</v>
      </c>
      <c r="O122" s="17">
        <f>ROUND(VLOOKUP(O$115&amp;"_1",管理者用人口入力シート!CO:DL,Q122,FALSE),0)</f>
        <v>733</v>
      </c>
      <c r="P122" s="17">
        <f>ROUND(VLOOKUP(O$115&amp;"_2",管理者用人口入力シート!CO:DL,Q122,FALSE),0)</f>
        <v>701</v>
      </c>
      <c r="Q122" s="2">
        <v>9</v>
      </c>
      <c r="T122" s="85"/>
    </row>
    <row r="123" spans="7:20" x14ac:dyDescent="0.15">
      <c r="G123" s="2" t="s">
        <v>6</v>
      </c>
      <c r="H123" s="17">
        <f>ROUND(VLOOKUP(H$115&amp;"_1",管理者用人口入力シート!BH:CE,J123,FALSE),0)</f>
        <v>716</v>
      </c>
      <c r="I123" s="17">
        <f>ROUND(VLOOKUP(H$115&amp;"_2",管理者用人口入力シート!BH:CE,J123,FALSE),0)</f>
        <v>631</v>
      </c>
      <c r="J123" s="2">
        <v>10</v>
      </c>
      <c r="N123" s="2" t="s">
        <v>6</v>
      </c>
      <c r="O123" s="17">
        <f>ROUND(VLOOKUP(O$115&amp;"_1",管理者用人口入力シート!CO:DL,Q123,FALSE),0)</f>
        <v>718</v>
      </c>
      <c r="P123" s="17">
        <f>ROUND(VLOOKUP(O$115&amp;"_2",管理者用人口入力シート!CO:DL,Q123,FALSE),0)</f>
        <v>632</v>
      </c>
      <c r="Q123" s="2">
        <v>10</v>
      </c>
      <c r="T123" s="85"/>
    </row>
    <row r="124" spans="7:20" x14ac:dyDescent="0.15">
      <c r="G124" s="2" t="s">
        <v>7</v>
      </c>
      <c r="H124" s="17">
        <f>ROUND(VLOOKUP(H$115&amp;"_1",管理者用人口入力シート!BH:CE,J124,FALSE),0)</f>
        <v>690</v>
      </c>
      <c r="I124" s="17">
        <f>ROUND(VLOOKUP(H$115&amp;"_2",管理者用人口入力シート!BH:CE,J124,FALSE),0)</f>
        <v>607</v>
      </c>
      <c r="J124" s="2">
        <v>11</v>
      </c>
      <c r="N124" s="2" t="s">
        <v>7</v>
      </c>
      <c r="O124" s="17">
        <f>ROUND(VLOOKUP(O$115&amp;"_1",管理者用人口入力シート!CO:DL,Q124,FALSE),0)</f>
        <v>692</v>
      </c>
      <c r="P124" s="17">
        <f>ROUND(VLOOKUP(O$115&amp;"_2",管理者用人口入力シート!CO:DL,Q124,FALSE),0)</f>
        <v>608</v>
      </c>
      <c r="Q124" s="2">
        <v>11</v>
      </c>
      <c r="T124" s="85"/>
    </row>
    <row r="125" spans="7:20" x14ac:dyDescent="0.15">
      <c r="G125" s="2" t="s">
        <v>8</v>
      </c>
      <c r="H125" s="17">
        <f>ROUND(VLOOKUP(H$115&amp;"_1",管理者用人口入力シート!BH:CE,J125,FALSE),0)</f>
        <v>705</v>
      </c>
      <c r="I125" s="17">
        <f>ROUND(VLOOKUP(H$115&amp;"_2",管理者用人口入力シート!BH:CE,J125,FALSE),0)</f>
        <v>718</v>
      </c>
      <c r="J125" s="2">
        <v>12</v>
      </c>
      <c r="N125" s="2" t="s">
        <v>8</v>
      </c>
      <c r="O125" s="17">
        <f>ROUND(VLOOKUP(O$115&amp;"_1",管理者用人口入力シート!CO:DL,Q125,FALSE),0)</f>
        <v>705</v>
      </c>
      <c r="P125" s="17">
        <f>ROUND(VLOOKUP(O$115&amp;"_2",管理者用人口入力シート!CO:DL,Q125,FALSE),0)</f>
        <v>719</v>
      </c>
      <c r="Q125" s="2">
        <v>12</v>
      </c>
      <c r="T125" s="85"/>
    </row>
    <row r="126" spans="7:20" x14ac:dyDescent="0.15">
      <c r="G126" s="2" t="s">
        <v>9</v>
      </c>
      <c r="H126" s="17">
        <f>ROUND(VLOOKUP(H$115&amp;"_1",管理者用人口入力シート!BH:CE,J126,FALSE),0)</f>
        <v>856</v>
      </c>
      <c r="I126" s="17">
        <f>ROUND(VLOOKUP(H$115&amp;"_2",管理者用人口入力シート!BH:CE,J126,FALSE),0)</f>
        <v>879</v>
      </c>
      <c r="J126" s="2">
        <v>13</v>
      </c>
      <c r="N126" s="2" t="s">
        <v>9</v>
      </c>
      <c r="O126" s="17">
        <f>ROUND(VLOOKUP(O$115&amp;"_1",管理者用人口入力シート!CO:DL,Q126,FALSE),0)</f>
        <v>856</v>
      </c>
      <c r="P126" s="17">
        <f>ROUND(VLOOKUP(O$115&amp;"_2",管理者用人口入力シート!CO:DL,Q126,FALSE),0)</f>
        <v>880</v>
      </c>
      <c r="Q126" s="2">
        <v>13</v>
      </c>
      <c r="T126" s="85"/>
    </row>
    <row r="127" spans="7:20" x14ac:dyDescent="0.15">
      <c r="G127" s="2" t="s">
        <v>10</v>
      </c>
      <c r="H127" s="17">
        <f>ROUND(VLOOKUP(H$115&amp;"_1",管理者用人口入力シート!BH:CE,J127,FALSE),0)</f>
        <v>1061</v>
      </c>
      <c r="I127" s="17">
        <f>ROUND(VLOOKUP(H$115&amp;"_2",管理者用人口入力シート!BH:CE,J127,FALSE),0)</f>
        <v>1049</v>
      </c>
      <c r="J127" s="2">
        <v>14</v>
      </c>
      <c r="N127" s="2" t="s">
        <v>10</v>
      </c>
      <c r="O127" s="17">
        <f>ROUND(VLOOKUP(O$115&amp;"_1",管理者用人口入力シート!CO:DL,Q127,FALSE),0)</f>
        <v>1061</v>
      </c>
      <c r="P127" s="17">
        <f>ROUND(VLOOKUP(O$115&amp;"_2",管理者用人口入力シート!CO:DL,Q127,FALSE),0)</f>
        <v>1050</v>
      </c>
      <c r="Q127" s="2">
        <v>14</v>
      </c>
      <c r="T127" s="85"/>
    </row>
    <row r="128" spans="7:20" x14ac:dyDescent="0.15">
      <c r="G128" s="2" t="s">
        <v>11</v>
      </c>
      <c r="H128" s="17">
        <f>ROUND(VLOOKUP(H$115&amp;"_1",管理者用人口入力シート!BH:CE,J128,FALSE),0)</f>
        <v>1195</v>
      </c>
      <c r="I128" s="17">
        <f>ROUND(VLOOKUP(H$115&amp;"_2",管理者用人口入力シート!BH:CE,J128,FALSE),0)</f>
        <v>1214</v>
      </c>
      <c r="J128" s="2">
        <v>15</v>
      </c>
      <c r="N128" s="2" t="s">
        <v>11</v>
      </c>
      <c r="O128" s="17">
        <f>ROUND(VLOOKUP(O$115&amp;"_1",管理者用人口入力シート!CO:DL,Q128,FALSE),0)</f>
        <v>1195</v>
      </c>
      <c r="P128" s="17">
        <f>ROUND(VLOOKUP(O$115&amp;"_2",管理者用人口入力シート!CO:DL,Q128,FALSE),0)</f>
        <v>1214</v>
      </c>
      <c r="Q128" s="2">
        <v>15</v>
      </c>
      <c r="T128" s="85"/>
    </row>
    <row r="129" spans="7:20" x14ac:dyDescent="0.15">
      <c r="G129" s="2" t="s">
        <v>12</v>
      </c>
      <c r="H129" s="17">
        <f>ROUND(VLOOKUP(H$115&amp;"_1",管理者用人口入力シート!BH:CE,J129,FALSE),0)</f>
        <v>1349</v>
      </c>
      <c r="I129" s="17">
        <f>ROUND(VLOOKUP(H$115&amp;"_2",管理者用人口入力シート!BH:CE,J129,FALSE),0)</f>
        <v>1388</v>
      </c>
      <c r="J129" s="2">
        <v>16</v>
      </c>
      <c r="N129" s="2" t="s">
        <v>12</v>
      </c>
      <c r="O129" s="17">
        <f>ROUND(VLOOKUP(O$115&amp;"_1",管理者用人口入力シート!CO:DL,Q129,FALSE),0)</f>
        <v>1349</v>
      </c>
      <c r="P129" s="17">
        <f>ROUND(VLOOKUP(O$115&amp;"_2",管理者用人口入力シート!CO:DL,Q129,FALSE),0)</f>
        <v>1388</v>
      </c>
      <c r="Q129" s="2">
        <v>16</v>
      </c>
      <c r="T129" s="85"/>
    </row>
    <row r="130" spans="7:20" x14ac:dyDescent="0.15">
      <c r="G130" s="2" t="s">
        <v>13</v>
      </c>
      <c r="H130" s="17">
        <f>ROUND(VLOOKUP(H$115&amp;"_1",管理者用人口入力シート!BH:CE,J130,FALSE),0)</f>
        <v>937</v>
      </c>
      <c r="I130" s="17">
        <f>ROUND(VLOOKUP(H$115&amp;"_2",管理者用人口入力シート!BH:CE,J130,FALSE),0)</f>
        <v>1064</v>
      </c>
      <c r="J130" s="2">
        <v>17</v>
      </c>
      <c r="N130" s="2" t="s">
        <v>13</v>
      </c>
      <c r="O130" s="17">
        <f>ROUND(VLOOKUP(O$115&amp;"_1",管理者用人口入力シート!CO:DL,Q130,FALSE),0)</f>
        <v>937</v>
      </c>
      <c r="P130" s="17">
        <f>ROUND(VLOOKUP(O$115&amp;"_2",管理者用人口入力シート!CO:DL,Q130,FALSE),0)</f>
        <v>1064</v>
      </c>
      <c r="Q130" s="2">
        <v>17</v>
      </c>
      <c r="T130" s="85"/>
    </row>
    <row r="131" spans="7:20" x14ac:dyDescent="0.15">
      <c r="G131" s="2" t="s">
        <v>14</v>
      </c>
      <c r="H131" s="17">
        <f>ROUND(VLOOKUP(H$115&amp;"_1",管理者用人口入力シート!BH:CE,J131,FALSE),0)</f>
        <v>921</v>
      </c>
      <c r="I131" s="17">
        <f>ROUND(VLOOKUP(H$115&amp;"_2",管理者用人口入力シート!BH:CE,J131,FALSE),0)</f>
        <v>1059</v>
      </c>
      <c r="J131" s="2">
        <v>18</v>
      </c>
      <c r="N131" s="2" t="s">
        <v>14</v>
      </c>
      <c r="O131" s="17">
        <f>ROUND(VLOOKUP(O$115&amp;"_1",管理者用人口入力シート!CO:DL,Q131,FALSE),0)</f>
        <v>921</v>
      </c>
      <c r="P131" s="17">
        <f>ROUND(VLOOKUP(O$115&amp;"_2",管理者用人口入力シート!CO:DL,Q131,FALSE),0)</f>
        <v>1059</v>
      </c>
      <c r="Q131" s="2">
        <v>18</v>
      </c>
      <c r="T131" s="85"/>
    </row>
    <row r="132" spans="7:20" x14ac:dyDescent="0.15">
      <c r="G132" s="2" t="s">
        <v>15</v>
      </c>
      <c r="H132" s="17">
        <f>ROUND(VLOOKUP(H$115&amp;"_1",管理者用人口入力シート!BH:CE,J132,FALSE),0)</f>
        <v>858</v>
      </c>
      <c r="I132" s="17">
        <f>ROUND(VLOOKUP(H$115&amp;"_2",管理者用人口入力シート!BH:CE,J132,FALSE),0)</f>
        <v>999</v>
      </c>
      <c r="J132" s="2">
        <v>19</v>
      </c>
      <c r="N132" s="2" t="s">
        <v>15</v>
      </c>
      <c r="O132" s="17">
        <f>ROUND(VLOOKUP(O$115&amp;"_1",管理者用人口入力シート!CO:DL,Q132,FALSE),0)</f>
        <v>858</v>
      </c>
      <c r="P132" s="17">
        <f>ROUND(VLOOKUP(O$115&amp;"_2",管理者用人口入力シート!CO:DL,Q132,FALSE),0)</f>
        <v>999</v>
      </c>
      <c r="Q132" s="2">
        <v>19</v>
      </c>
      <c r="T132" s="85"/>
    </row>
    <row r="133" spans="7:20" x14ac:dyDescent="0.15">
      <c r="G133" s="2" t="s">
        <v>16</v>
      </c>
      <c r="H133" s="17">
        <f>ROUND(VLOOKUP(H$115&amp;"_1",管理者用人口入力シート!BH:CE,J133,FALSE),0)</f>
        <v>782</v>
      </c>
      <c r="I133" s="17">
        <f>ROUND(VLOOKUP(H$115&amp;"_2",管理者用人口入力シート!BH:CE,J133,FALSE),0)</f>
        <v>1091</v>
      </c>
      <c r="J133" s="2">
        <v>20</v>
      </c>
      <c r="N133" s="2" t="s">
        <v>16</v>
      </c>
      <c r="O133" s="17">
        <f>ROUND(VLOOKUP(O$115&amp;"_1",管理者用人口入力シート!CO:DL,Q133,FALSE),0)</f>
        <v>782</v>
      </c>
      <c r="P133" s="17">
        <f>ROUND(VLOOKUP(O$115&amp;"_2",管理者用人口入力シート!CO:DL,Q133,FALSE),0)</f>
        <v>1091</v>
      </c>
      <c r="Q133" s="2">
        <v>20</v>
      </c>
      <c r="T133" s="85"/>
    </row>
    <row r="134" spans="7:20" x14ac:dyDescent="0.15">
      <c r="G134" s="2" t="s">
        <v>17</v>
      </c>
      <c r="H134" s="17">
        <f>ROUND(VLOOKUP(H$115&amp;"_1",管理者用人口入力シート!BH:CE,J134,FALSE),0)</f>
        <v>632</v>
      </c>
      <c r="I134" s="17">
        <f>ROUND(VLOOKUP(H$115&amp;"_2",管理者用人口入力シート!BH:CE,J134,FALSE),0)</f>
        <v>1011</v>
      </c>
      <c r="J134" s="2">
        <v>21</v>
      </c>
      <c r="N134" s="2" t="s">
        <v>17</v>
      </c>
      <c r="O134" s="17">
        <f>ROUND(VLOOKUP(O$115&amp;"_1",管理者用人口入力シート!CO:DL,Q134,FALSE),0)</f>
        <v>632</v>
      </c>
      <c r="P134" s="17">
        <f>ROUND(VLOOKUP(O$115&amp;"_2",管理者用人口入力シート!CO:DL,Q134,FALSE),0)</f>
        <v>1011</v>
      </c>
      <c r="Q134" s="2">
        <v>21</v>
      </c>
      <c r="T134" s="85"/>
    </row>
    <row r="135" spans="7:20" x14ac:dyDescent="0.15">
      <c r="G135" s="2" t="s">
        <v>18</v>
      </c>
      <c r="H135" s="17">
        <f>ROUND(VLOOKUP(H$115&amp;"_1",管理者用人口入力シート!BH:CE,J135,FALSE),0)</f>
        <v>213</v>
      </c>
      <c r="I135" s="17">
        <f>ROUND(VLOOKUP(H$115&amp;"_2",管理者用人口入力シート!BH:CE,J135,FALSE),0)</f>
        <v>523</v>
      </c>
      <c r="J135" s="2">
        <v>22</v>
      </c>
      <c r="N135" s="2" t="s">
        <v>18</v>
      </c>
      <c r="O135" s="17">
        <f>ROUND(VLOOKUP(O$115&amp;"_1",管理者用人口入力シート!CO:DL,Q135,FALSE),0)</f>
        <v>213</v>
      </c>
      <c r="P135" s="17">
        <f>ROUND(VLOOKUP(O$115&amp;"_2",管理者用人口入力シート!CO:DL,Q135,FALSE),0)</f>
        <v>523</v>
      </c>
      <c r="Q135" s="2">
        <v>22</v>
      </c>
      <c r="T135" s="85"/>
    </row>
    <row r="136" spans="7:20" x14ac:dyDescent="0.15">
      <c r="G136" s="2" t="s">
        <v>19</v>
      </c>
      <c r="H136" s="17">
        <f>ROUND(VLOOKUP(H$115&amp;"_1",管理者用人口入力シート!BH:CE,J136,FALSE),0)</f>
        <v>61</v>
      </c>
      <c r="I136" s="17">
        <f>ROUND(VLOOKUP(H$115&amp;"_2",管理者用人口入力シート!BH:CE,J136,FALSE),0)</f>
        <v>203</v>
      </c>
      <c r="J136" s="2">
        <v>23</v>
      </c>
      <c r="N136" s="2" t="s">
        <v>19</v>
      </c>
      <c r="O136" s="17">
        <f>ROUND(VLOOKUP(O$115&amp;"_1",管理者用人口入力シート!CO:DL,Q136,FALSE),0)</f>
        <v>61</v>
      </c>
      <c r="P136" s="17">
        <f>ROUND(VLOOKUP(O$115&amp;"_2",管理者用人口入力シート!CO:DL,Q136,FALSE),0)</f>
        <v>203</v>
      </c>
      <c r="Q136" s="2">
        <v>23</v>
      </c>
      <c r="T136" s="85"/>
    </row>
    <row r="137" spans="7:20" x14ac:dyDescent="0.15">
      <c r="G137" s="2" t="s">
        <v>20</v>
      </c>
      <c r="H137" s="17">
        <f>ROUND(VLOOKUP(H$115&amp;"_1",管理者用人口入力シート!BH:CE,J137,FALSE),0)</f>
        <v>1</v>
      </c>
      <c r="I137" s="17">
        <f>ROUND(VLOOKUP(H$115&amp;"_2",管理者用人口入力シート!BH:CE,J137,FALSE),0)</f>
        <v>43</v>
      </c>
      <c r="J137" s="2">
        <v>24</v>
      </c>
      <c r="N137" s="2" t="s">
        <v>20</v>
      </c>
      <c r="O137" s="17">
        <f>ROUND(VLOOKUP(O$115&amp;"_1",管理者用人口入力シート!CO:DL,Q137,FALSE),0)</f>
        <v>1</v>
      </c>
      <c r="P137" s="17">
        <f>ROUND(VLOOKUP(O$115&amp;"_2",管理者用人口入力シート!CO:DL,Q137,FALSE),0)</f>
        <v>43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538</v>
      </c>
      <c r="I141" s="17">
        <f>ROUND(VLOOKUP(H$139&amp;"_2",管理者用人口入力シート!BH:CE,J141,FALSE),0)</f>
        <v>516</v>
      </c>
      <c r="J141" s="2">
        <v>4</v>
      </c>
      <c r="N141" s="2" t="s">
        <v>0</v>
      </c>
      <c r="O141" s="17">
        <f>ROUND(VLOOKUP(O$139&amp;"_1",管理者用人口入力シート!CO:DL,Q141,FALSE),0)</f>
        <v>540</v>
      </c>
      <c r="P141" s="17">
        <f>ROUND(VLOOKUP(O$139&amp;"_2",管理者用人口入力シート!CO:DL,Q141,FALSE),0)</f>
        <v>518</v>
      </c>
      <c r="Q141" s="2">
        <v>4</v>
      </c>
    </row>
    <row r="142" spans="7:20" x14ac:dyDescent="0.15">
      <c r="G142" s="2" t="s">
        <v>1</v>
      </c>
      <c r="H142" s="17">
        <f>ROUND(VLOOKUP(H$139&amp;"_1",管理者用人口入力シート!BH:CE,J142,FALSE),0)</f>
        <v>510</v>
      </c>
      <c r="I142" s="17">
        <f>ROUND(VLOOKUP(H$139&amp;"_2",管理者用人口入力シート!BH:CE,J142,FALSE),0)</f>
        <v>501</v>
      </c>
      <c r="J142" s="2">
        <v>5</v>
      </c>
      <c r="N142" s="2" t="s">
        <v>1</v>
      </c>
      <c r="O142" s="17">
        <f>ROUND(VLOOKUP(O$139&amp;"_1",管理者用人口入力シート!CO:DL,Q142,FALSE),0)</f>
        <v>512</v>
      </c>
      <c r="P142" s="17">
        <f>ROUND(VLOOKUP(O$139&amp;"_2",管理者用人口入力シート!CO:DL,Q142,FALSE),0)</f>
        <v>504</v>
      </c>
      <c r="Q142" s="2">
        <v>5</v>
      </c>
    </row>
    <row r="143" spans="7:20" x14ac:dyDescent="0.15">
      <c r="G143" s="2" t="s">
        <v>2</v>
      </c>
      <c r="H143" s="17">
        <f>ROUND(VLOOKUP(H$139&amp;"_1",管理者用人口入力シート!BH:CE,J143,FALSE),0)</f>
        <v>527</v>
      </c>
      <c r="I143" s="17">
        <f>ROUND(VLOOKUP(H$139&amp;"_2",管理者用人口入力シート!BH:CE,J143,FALSE),0)</f>
        <v>528</v>
      </c>
      <c r="J143" s="2">
        <v>6</v>
      </c>
      <c r="N143" s="2" t="s">
        <v>2</v>
      </c>
      <c r="O143" s="17">
        <f>ROUND(VLOOKUP(O$139&amp;"_1",管理者用人口入力シート!CO:DL,Q143,FALSE),0)</f>
        <v>530</v>
      </c>
      <c r="P143" s="17">
        <f>ROUND(VLOOKUP(O$139&amp;"_2",管理者用人口入力シート!CO:DL,Q143,FALSE),0)</f>
        <v>531</v>
      </c>
      <c r="Q143" s="2">
        <v>6</v>
      </c>
    </row>
    <row r="144" spans="7:20" x14ac:dyDescent="0.15">
      <c r="G144" s="2" t="s">
        <v>3</v>
      </c>
      <c r="H144" s="17">
        <f>ROUND(VLOOKUP(H$139&amp;"_1",管理者用人口入力シート!BH:CE,J144,FALSE),0)</f>
        <v>569</v>
      </c>
      <c r="I144" s="17">
        <f>ROUND(VLOOKUP(H$139&amp;"_2",管理者用人口入力シート!BH:CE,J144,FALSE),0)</f>
        <v>651</v>
      </c>
      <c r="J144" s="2">
        <v>7</v>
      </c>
      <c r="N144" s="2" t="s">
        <v>3</v>
      </c>
      <c r="O144" s="17">
        <f>ROUND(VLOOKUP(O$139&amp;"_1",管理者用人口入力シート!CO:DL,Q144,FALSE),0)</f>
        <v>571</v>
      </c>
      <c r="P144" s="17">
        <f>ROUND(VLOOKUP(O$139&amp;"_2",管理者用人口入力シート!CO:DL,Q144,FALSE),0)</f>
        <v>654</v>
      </c>
      <c r="Q144" s="2">
        <v>7</v>
      </c>
    </row>
    <row r="145" spans="7:17" x14ac:dyDescent="0.15">
      <c r="G145" s="2" t="s">
        <v>4</v>
      </c>
      <c r="H145" s="17">
        <f>ROUND(VLOOKUP(H$139&amp;"_1",管理者用人口入力シート!BH:CE,J145,FALSE),0)</f>
        <v>553</v>
      </c>
      <c r="I145" s="17">
        <f>ROUND(VLOOKUP(H$139&amp;"_2",管理者用人口入力シート!BH:CE,J145,FALSE),0)</f>
        <v>602</v>
      </c>
      <c r="J145" s="2">
        <v>8</v>
      </c>
      <c r="N145" s="2" t="s">
        <v>4</v>
      </c>
      <c r="O145" s="17">
        <f>ROUND(VLOOKUP(O$139&amp;"_1",管理者用人口入力シート!CO:DL,Q145,FALSE),0)</f>
        <v>554</v>
      </c>
      <c r="P145" s="17">
        <f>ROUND(VLOOKUP(O$139&amp;"_2",管理者用人口入力シート!CO:DL,Q145,FALSE),0)</f>
        <v>603</v>
      </c>
      <c r="Q145" s="2">
        <v>8</v>
      </c>
    </row>
    <row r="146" spans="7:17" x14ac:dyDescent="0.15">
      <c r="G146" s="2" t="s">
        <v>5</v>
      </c>
      <c r="H146" s="17">
        <f>ROUND(VLOOKUP(H$139&amp;"_1",管理者用人口入力シート!BH:CE,J146,FALSE),0)</f>
        <v>701</v>
      </c>
      <c r="I146" s="17">
        <f>ROUND(VLOOKUP(H$139&amp;"_2",管理者用人口入力シート!BH:CE,J146,FALSE),0)</f>
        <v>692</v>
      </c>
      <c r="J146" s="2">
        <v>9</v>
      </c>
      <c r="N146" s="2" t="s">
        <v>5</v>
      </c>
      <c r="O146" s="17">
        <f>ROUND(VLOOKUP(O$139&amp;"_1",管理者用人口入力シート!CO:DL,Q146,FALSE),0)</f>
        <v>704</v>
      </c>
      <c r="P146" s="17">
        <f>ROUND(VLOOKUP(O$139&amp;"_2",管理者用人口入力シート!CO:DL,Q146,FALSE),0)</f>
        <v>695</v>
      </c>
      <c r="Q146" s="2">
        <v>9</v>
      </c>
    </row>
    <row r="147" spans="7:17" x14ac:dyDescent="0.15">
      <c r="G147" s="2" t="s">
        <v>6</v>
      </c>
      <c r="H147" s="17">
        <f>ROUND(VLOOKUP(H$139&amp;"_1",管理者用人口入力シート!BH:CE,J147,FALSE),0)</f>
        <v>712</v>
      </c>
      <c r="I147" s="17">
        <f>ROUND(VLOOKUP(H$139&amp;"_2",管理者用人口入力シート!BH:CE,J147,FALSE),0)</f>
        <v>674</v>
      </c>
      <c r="J147" s="2">
        <v>10</v>
      </c>
      <c r="N147" s="2" t="s">
        <v>6</v>
      </c>
      <c r="O147" s="17">
        <f>ROUND(VLOOKUP(O$139&amp;"_1",管理者用人口入力シート!CO:DL,Q147,FALSE),0)</f>
        <v>714</v>
      </c>
      <c r="P147" s="17">
        <f>ROUND(VLOOKUP(O$139&amp;"_2",管理者用人口入力シート!CO:DL,Q147,FALSE),0)</f>
        <v>676</v>
      </c>
      <c r="Q147" s="2">
        <v>10</v>
      </c>
    </row>
    <row r="148" spans="7:17" x14ac:dyDescent="0.15">
      <c r="G148" s="2" t="s">
        <v>7</v>
      </c>
      <c r="H148" s="17">
        <f>ROUND(VLOOKUP(H$139&amp;"_1",管理者用人口入力シート!BH:CE,J148,FALSE),0)</f>
        <v>698</v>
      </c>
      <c r="I148" s="17">
        <f>ROUND(VLOOKUP(H$139&amp;"_2",管理者用人口入力シート!BH:CE,J148,FALSE),0)</f>
        <v>596</v>
      </c>
      <c r="J148" s="2">
        <v>11</v>
      </c>
      <c r="N148" s="2" t="s">
        <v>7</v>
      </c>
      <c r="O148" s="17">
        <f>ROUND(VLOOKUP(O$139&amp;"_1",管理者用人口入力シート!CO:DL,Q148,FALSE),0)</f>
        <v>700</v>
      </c>
      <c r="P148" s="17">
        <f>ROUND(VLOOKUP(O$139&amp;"_2",管理者用人口入力シート!CO:DL,Q148,FALSE),0)</f>
        <v>598</v>
      </c>
      <c r="Q148" s="2">
        <v>11</v>
      </c>
    </row>
    <row r="149" spans="7:17" x14ac:dyDescent="0.15">
      <c r="G149" s="2" t="s">
        <v>8</v>
      </c>
      <c r="H149" s="17">
        <f>ROUND(VLOOKUP(H$139&amp;"_1",管理者用人口入力シート!BH:CE,J149,FALSE),0)</f>
        <v>696</v>
      </c>
      <c r="I149" s="17">
        <f>ROUND(VLOOKUP(H$139&amp;"_2",管理者用人口入力シート!BH:CE,J149,FALSE),0)</f>
        <v>597</v>
      </c>
      <c r="J149" s="2">
        <v>12</v>
      </c>
      <c r="N149" s="2" t="s">
        <v>8</v>
      </c>
      <c r="O149" s="17">
        <f>ROUND(VLOOKUP(O$139&amp;"_1",管理者用人口入力シート!CO:DL,Q149,FALSE),0)</f>
        <v>698</v>
      </c>
      <c r="P149" s="17">
        <f>ROUND(VLOOKUP(O$139&amp;"_2",管理者用人口入力シート!CO:DL,Q149,FALSE),0)</f>
        <v>600</v>
      </c>
      <c r="Q149" s="2">
        <v>12</v>
      </c>
    </row>
    <row r="150" spans="7:17" x14ac:dyDescent="0.15">
      <c r="G150" s="2" t="s">
        <v>9</v>
      </c>
      <c r="H150" s="17">
        <f>ROUND(VLOOKUP(H$139&amp;"_1",管理者用人口入力シート!BH:CE,J150,FALSE),0)</f>
        <v>707</v>
      </c>
      <c r="I150" s="17">
        <f>ROUND(VLOOKUP(H$139&amp;"_2",管理者用人口入力シート!BH:CE,J150,FALSE),0)</f>
        <v>722</v>
      </c>
      <c r="J150" s="2">
        <v>13</v>
      </c>
      <c r="N150" s="2" t="s">
        <v>9</v>
      </c>
      <c r="O150" s="17">
        <f>ROUND(VLOOKUP(O$139&amp;"_1",管理者用人口入力シート!CO:DL,Q150,FALSE),0)</f>
        <v>707</v>
      </c>
      <c r="P150" s="17">
        <f>ROUND(VLOOKUP(O$139&amp;"_2",管理者用人口入力シート!CO:DL,Q150,FALSE),0)</f>
        <v>723</v>
      </c>
      <c r="Q150" s="2">
        <v>13</v>
      </c>
    </row>
    <row r="151" spans="7:17" x14ac:dyDescent="0.15">
      <c r="G151" s="2" t="s">
        <v>10</v>
      </c>
      <c r="H151" s="17">
        <f>ROUND(VLOOKUP(H$139&amp;"_1",管理者用人口入力シート!BH:CE,J151,FALSE),0)</f>
        <v>860</v>
      </c>
      <c r="I151" s="17">
        <f>ROUND(VLOOKUP(H$139&amp;"_2",管理者用人口入力シート!BH:CE,J151,FALSE),0)</f>
        <v>891</v>
      </c>
      <c r="J151" s="2">
        <v>14</v>
      </c>
      <c r="N151" s="2" t="s">
        <v>10</v>
      </c>
      <c r="O151" s="17">
        <f>ROUND(VLOOKUP(O$139&amp;"_1",管理者用人口入力シート!CO:DL,Q151,FALSE),0)</f>
        <v>860</v>
      </c>
      <c r="P151" s="17">
        <f>ROUND(VLOOKUP(O$139&amp;"_2",管理者用人口入力シート!CO:DL,Q151,FALSE),0)</f>
        <v>892</v>
      </c>
      <c r="Q151" s="2">
        <v>14</v>
      </c>
    </row>
    <row r="152" spans="7:17" x14ac:dyDescent="0.15">
      <c r="G152" s="2" t="s">
        <v>11</v>
      </c>
      <c r="H152" s="17">
        <f>ROUND(VLOOKUP(H$139&amp;"_1",管理者用人口入力シート!BH:CE,J152,FALSE),0)</f>
        <v>1044</v>
      </c>
      <c r="I152" s="17">
        <f>ROUND(VLOOKUP(H$139&amp;"_2",管理者用人口入力シート!BH:CE,J152,FALSE),0)</f>
        <v>1037</v>
      </c>
      <c r="J152" s="2">
        <v>15</v>
      </c>
      <c r="N152" s="2" t="s">
        <v>11</v>
      </c>
      <c r="O152" s="17">
        <f>ROUND(VLOOKUP(O$139&amp;"_1",管理者用人口入力シート!CO:DL,Q152,FALSE),0)</f>
        <v>1044</v>
      </c>
      <c r="P152" s="17">
        <f>ROUND(VLOOKUP(O$139&amp;"_2",管理者用人口入力シート!CO:DL,Q152,FALSE),0)</f>
        <v>1038</v>
      </c>
      <c r="Q152" s="2">
        <v>15</v>
      </c>
    </row>
    <row r="153" spans="7:17" x14ac:dyDescent="0.15">
      <c r="G153" s="2" t="s">
        <v>12</v>
      </c>
      <c r="H153" s="17">
        <f>ROUND(VLOOKUP(H$139&amp;"_1",管理者用人口入力シート!BH:CE,J153,FALSE),0)</f>
        <v>1204</v>
      </c>
      <c r="I153" s="17">
        <f>ROUND(VLOOKUP(H$139&amp;"_2",管理者用人口入力シート!BH:CE,J153,FALSE),0)</f>
        <v>1195</v>
      </c>
      <c r="J153" s="2">
        <v>16</v>
      </c>
      <c r="N153" s="2" t="s">
        <v>12</v>
      </c>
      <c r="O153" s="17">
        <f>ROUND(VLOOKUP(O$139&amp;"_1",管理者用人口入力シート!CO:DL,Q153,FALSE),0)</f>
        <v>1204</v>
      </c>
      <c r="P153" s="17">
        <f>ROUND(VLOOKUP(O$139&amp;"_2",管理者用人口入力シート!CO:DL,Q153,FALSE),0)</f>
        <v>1195</v>
      </c>
      <c r="Q153" s="2">
        <v>16</v>
      </c>
    </row>
    <row r="154" spans="7:17" x14ac:dyDescent="0.15">
      <c r="G154" s="2" t="s">
        <v>13</v>
      </c>
      <c r="H154" s="17">
        <f>ROUND(VLOOKUP(H$139&amp;"_1",管理者用人口入力シート!BH:CE,J154,FALSE),0)</f>
        <v>1272</v>
      </c>
      <c r="I154" s="17">
        <f>ROUND(VLOOKUP(H$139&amp;"_2",管理者用人口入力シート!BH:CE,J154,FALSE),0)</f>
        <v>1339</v>
      </c>
      <c r="J154" s="2">
        <v>17</v>
      </c>
      <c r="N154" s="2" t="s">
        <v>13</v>
      </c>
      <c r="O154" s="17">
        <f>ROUND(VLOOKUP(O$139&amp;"_1",管理者用人口入力シート!CO:DL,Q154,FALSE),0)</f>
        <v>1272</v>
      </c>
      <c r="P154" s="17">
        <f>ROUND(VLOOKUP(O$139&amp;"_2",管理者用人口入力シート!CO:DL,Q154,FALSE),0)</f>
        <v>1339</v>
      </c>
      <c r="Q154" s="2">
        <v>17</v>
      </c>
    </row>
    <row r="155" spans="7:17" x14ac:dyDescent="0.15">
      <c r="G155" s="2" t="s">
        <v>14</v>
      </c>
      <c r="H155" s="17">
        <f>ROUND(VLOOKUP(H$139&amp;"_1",管理者用人口入力シート!BH:CE,J155,FALSE),0)</f>
        <v>882</v>
      </c>
      <c r="I155" s="17">
        <f>ROUND(VLOOKUP(H$139&amp;"_2",管理者用人口入力シート!BH:CE,J155,FALSE),0)</f>
        <v>1033</v>
      </c>
      <c r="J155" s="2">
        <v>18</v>
      </c>
      <c r="N155" s="2" t="s">
        <v>14</v>
      </c>
      <c r="O155" s="17">
        <f>ROUND(VLOOKUP(O$139&amp;"_1",管理者用人口入力シート!CO:DL,Q155,FALSE),0)</f>
        <v>882</v>
      </c>
      <c r="P155" s="17">
        <f>ROUND(VLOOKUP(O$139&amp;"_2",管理者用人口入力シート!CO:DL,Q155,FALSE),0)</f>
        <v>1033</v>
      </c>
      <c r="Q155" s="2">
        <v>18</v>
      </c>
    </row>
    <row r="156" spans="7:17" x14ac:dyDescent="0.15">
      <c r="G156" s="2" t="s">
        <v>15</v>
      </c>
      <c r="H156" s="17">
        <f>ROUND(VLOOKUP(H$139&amp;"_1",管理者用人口入力シート!BH:CE,J156,FALSE),0)</f>
        <v>842</v>
      </c>
      <c r="I156" s="17">
        <f>ROUND(VLOOKUP(H$139&amp;"_2",管理者用人口入力シート!BH:CE,J156,FALSE),0)</f>
        <v>997</v>
      </c>
      <c r="J156" s="2">
        <v>19</v>
      </c>
      <c r="N156" s="2" t="s">
        <v>15</v>
      </c>
      <c r="O156" s="17">
        <f>ROUND(VLOOKUP(O$139&amp;"_1",管理者用人口入力シート!CO:DL,Q156,FALSE),0)</f>
        <v>842</v>
      </c>
      <c r="P156" s="17">
        <f>ROUND(VLOOKUP(O$139&amp;"_2",管理者用人口入力シート!CO:DL,Q156,FALSE),0)</f>
        <v>997</v>
      </c>
      <c r="Q156" s="2">
        <v>19</v>
      </c>
    </row>
    <row r="157" spans="7:17" x14ac:dyDescent="0.15">
      <c r="G157" s="2" t="s">
        <v>16</v>
      </c>
      <c r="H157" s="17">
        <f>ROUND(VLOOKUP(H$139&amp;"_1",管理者用人口入力シート!BH:CE,J157,FALSE),0)</f>
        <v>689</v>
      </c>
      <c r="I157" s="17">
        <f>ROUND(VLOOKUP(H$139&amp;"_2",管理者用人口入力シート!BH:CE,J157,FALSE),0)</f>
        <v>948</v>
      </c>
      <c r="J157" s="2">
        <v>20</v>
      </c>
      <c r="N157" s="2" t="s">
        <v>16</v>
      </c>
      <c r="O157" s="17">
        <f>ROUND(VLOOKUP(O$139&amp;"_1",管理者用人口入力シート!CO:DL,Q157,FALSE),0)</f>
        <v>689</v>
      </c>
      <c r="P157" s="17">
        <f>ROUND(VLOOKUP(O$139&amp;"_2",管理者用人口入力シート!CO:DL,Q157,FALSE),0)</f>
        <v>948</v>
      </c>
      <c r="Q157" s="2">
        <v>20</v>
      </c>
    </row>
    <row r="158" spans="7:17" x14ac:dyDescent="0.15">
      <c r="G158" s="2" t="s">
        <v>17</v>
      </c>
      <c r="H158" s="17">
        <f>ROUND(VLOOKUP(H$139&amp;"_1",管理者用人口入力シート!BH:CE,J158,FALSE),0)</f>
        <v>561</v>
      </c>
      <c r="I158" s="17">
        <f>ROUND(VLOOKUP(H$139&amp;"_2",管理者用人口入力シート!BH:CE,J158,FALSE),0)</f>
        <v>887</v>
      </c>
      <c r="J158" s="2">
        <v>21</v>
      </c>
      <c r="N158" s="2" t="s">
        <v>17</v>
      </c>
      <c r="O158" s="17">
        <f>ROUND(VLOOKUP(O$139&amp;"_1",管理者用人口入力シート!CO:DL,Q158,FALSE),0)</f>
        <v>561</v>
      </c>
      <c r="P158" s="17">
        <f>ROUND(VLOOKUP(O$139&amp;"_2",管理者用人口入力シート!CO:DL,Q158,FALSE),0)</f>
        <v>887</v>
      </c>
      <c r="Q158" s="2">
        <v>21</v>
      </c>
    </row>
    <row r="159" spans="7:17" x14ac:dyDescent="0.15">
      <c r="G159" s="2" t="s">
        <v>18</v>
      </c>
      <c r="H159" s="17">
        <f>ROUND(VLOOKUP(H$139&amp;"_1",管理者用人口入力シート!BH:CE,J159,FALSE),0)</f>
        <v>293</v>
      </c>
      <c r="I159" s="17">
        <f>ROUND(VLOOKUP(H$139&amp;"_2",管理者用人口入力シート!BH:CE,J159,FALSE),0)</f>
        <v>665</v>
      </c>
      <c r="J159" s="2">
        <v>22</v>
      </c>
      <c r="N159" s="2" t="s">
        <v>18</v>
      </c>
      <c r="O159" s="17">
        <f>ROUND(VLOOKUP(O$139&amp;"_1",管理者用人口入力シート!CO:DL,Q159,FALSE),0)</f>
        <v>293</v>
      </c>
      <c r="P159" s="17">
        <f>ROUND(VLOOKUP(O$139&amp;"_2",管理者用人口入力シート!CO:DL,Q159,FALSE),0)</f>
        <v>665</v>
      </c>
      <c r="Q159" s="2">
        <v>22</v>
      </c>
    </row>
    <row r="160" spans="7:17" x14ac:dyDescent="0.15">
      <c r="G160" s="2" t="s">
        <v>19</v>
      </c>
      <c r="H160" s="17">
        <f>ROUND(VLOOKUP(H$139&amp;"_1",管理者用人口入力シート!BH:CE,J160,FALSE),0)</f>
        <v>65</v>
      </c>
      <c r="I160" s="17">
        <f>ROUND(VLOOKUP(H$139&amp;"_2",管理者用人口入力シート!BH:CE,J160,FALSE),0)</f>
        <v>235</v>
      </c>
      <c r="J160" s="2">
        <v>23</v>
      </c>
      <c r="N160" s="2" t="s">
        <v>19</v>
      </c>
      <c r="O160" s="17">
        <f>ROUND(VLOOKUP(O$139&amp;"_1",管理者用人口入力シート!CO:DL,Q160,FALSE),0)</f>
        <v>65</v>
      </c>
      <c r="P160" s="17">
        <f>ROUND(VLOOKUP(O$139&amp;"_2",管理者用人口入力シート!CO:DL,Q160,FALSE),0)</f>
        <v>235</v>
      </c>
      <c r="Q160" s="2">
        <v>23</v>
      </c>
    </row>
    <row r="161" spans="7:17" x14ac:dyDescent="0.15">
      <c r="G161" s="2" t="s">
        <v>20</v>
      </c>
      <c r="H161" s="17">
        <f>ROUND(VLOOKUP(H$139&amp;"_1",管理者用人口入力シート!BH:CE,J161,FALSE),0)</f>
        <v>1</v>
      </c>
      <c r="I161" s="17">
        <f>ROUND(VLOOKUP(H$139&amp;"_2",管理者用人口入力シート!BH:CE,J161,FALSE),0)</f>
        <v>40</v>
      </c>
      <c r="J161" s="2">
        <v>24</v>
      </c>
      <c r="N161" s="2" t="s">
        <v>20</v>
      </c>
      <c r="O161" s="17">
        <f>ROUND(VLOOKUP(O$139&amp;"_1",管理者用人口入力シート!CO:DL,Q161,FALSE),0)</f>
        <v>1</v>
      </c>
      <c r="P161" s="17">
        <f>ROUND(VLOOKUP(O$139&amp;"_2",管理者用人口入力シート!CO:DL,Q161,FALSE),0)</f>
        <v>40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510</v>
      </c>
      <c r="I165" s="17">
        <f>ROUND(VLOOKUP(H$163&amp;"_2",管理者用人口入力シート!BH:CE,J165,FALSE),0)</f>
        <v>489</v>
      </c>
      <c r="J165" s="2">
        <v>4</v>
      </c>
      <c r="N165" s="2" t="s">
        <v>0</v>
      </c>
      <c r="O165" s="17">
        <f>ROUND(VLOOKUP(O$163&amp;"_1",管理者用人口入力シート!CO:DL,Q165,FALSE),0)</f>
        <v>513</v>
      </c>
      <c r="P165" s="17">
        <f>ROUND(VLOOKUP(O$163&amp;"_2",管理者用人口入力シート!CO:DL,Q165,FALSE),0)</f>
        <v>492</v>
      </c>
      <c r="Q165" s="2">
        <v>4</v>
      </c>
    </row>
    <row r="166" spans="7:17" x14ac:dyDescent="0.15">
      <c r="G166" s="2" t="s">
        <v>1</v>
      </c>
      <c r="H166" s="17">
        <f>ROUND(VLOOKUP(H$163&amp;"_1",管理者用人口入力シート!BH:CE,J166,FALSE),0)</f>
        <v>498</v>
      </c>
      <c r="I166" s="17">
        <f>ROUND(VLOOKUP(H$163&amp;"_2",管理者用人口入力シート!BH:CE,J166,FALSE),0)</f>
        <v>490</v>
      </c>
      <c r="J166" s="2">
        <v>5</v>
      </c>
      <c r="N166" s="2" t="s">
        <v>1</v>
      </c>
      <c r="O166" s="17">
        <f>ROUND(VLOOKUP(O$163&amp;"_1",管理者用人口入力シート!CO:DL,Q166,FALSE),0)</f>
        <v>501</v>
      </c>
      <c r="P166" s="17">
        <f>ROUND(VLOOKUP(O$163&amp;"_2",管理者用人口入力シート!CO:DL,Q166,FALSE),0)</f>
        <v>492</v>
      </c>
      <c r="Q166" s="2">
        <v>5</v>
      </c>
    </row>
    <row r="167" spans="7:17" x14ac:dyDescent="0.15">
      <c r="G167" s="2" t="s">
        <v>2</v>
      </c>
      <c r="H167" s="17">
        <f>ROUND(VLOOKUP(H$163&amp;"_1",管理者用人口入力シート!BH:CE,J167,FALSE),0)</f>
        <v>509</v>
      </c>
      <c r="I167" s="17">
        <f>ROUND(VLOOKUP(H$163&amp;"_2",管理者用人口入力シート!BH:CE,J167,FALSE),0)</f>
        <v>510</v>
      </c>
      <c r="J167" s="2">
        <v>6</v>
      </c>
      <c r="N167" s="2" t="s">
        <v>2</v>
      </c>
      <c r="O167" s="17">
        <f>ROUND(VLOOKUP(O$163&amp;"_1",管理者用人口入力シート!CO:DL,Q167,FALSE),0)</f>
        <v>512</v>
      </c>
      <c r="P167" s="17">
        <f>ROUND(VLOOKUP(O$163&amp;"_2",管理者用人口入力シート!CO:DL,Q167,FALSE),0)</f>
        <v>513</v>
      </c>
      <c r="Q167" s="2">
        <v>6</v>
      </c>
    </row>
    <row r="168" spans="7:17" x14ac:dyDescent="0.15">
      <c r="G168" s="2" t="s">
        <v>3</v>
      </c>
      <c r="H168" s="17">
        <f>ROUND(VLOOKUP(H$163&amp;"_1",管理者用人口入力シート!BH:CE,J168,FALSE),0)</f>
        <v>520</v>
      </c>
      <c r="I168" s="17">
        <f>ROUND(VLOOKUP(H$163&amp;"_2",管理者用人口入力シート!BH:CE,J168,FALSE),0)</f>
        <v>595</v>
      </c>
      <c r="J168" s="2">
        <v>7</v>
      </c>
      <c r="N168" s="2" t="s">
        <v>3</v>
      </c>
      <c r="O168" s="17">
        <f>ROUND(VLOOKUP(O$163&amp;"_1",管理者用人口入力シート!CO:DL,Q168,FALSE),0)</f>
        <v>523</v>
      </c>
      <c r="P168" s="17">
        <f>ROUND(VLOOKUP(O$163&amp;"_2",管理者用人口入力シート!CO:DL,Q168,FALSE),0)</f>
        <v>599</v>
      </c>
      <c r="Q168" s="2">
        <v>7</v>
      </c>
    </row>
    <row r="169" spans="7:17" x14ac:dyDescent="0.15">
      <c r="G169" s="2" t="s">
        <v>4</v>
      </c>
      <c r="H169" s="17">
        <f>ROUND(VLOOKUP(H$163&amp;"_1",管理者用人口入力シート!BH:CE,J169,FALSE),0)</f>
        <v>477</v>
      </c>
      <c r="I169" s="17">
        <f>ROUND(VLOOKUP(H$163&amp;"_2",管理者用人口入力シート!BH:CE,J169,FALSE),0)</f>
        <v>519</v>
      </c>
      <c r="J169" s="2">
        <v>8</v>
      </c>
      <c r="N169" s="2" t="s">
        <v>4</v>
      </c>
      <c r="O169" s="17">
        <f>ROUND(VLOOKUP(O$163&amp;"_1",管理者用人口入力シート!CO:DL,Q169,FALSE),0)</f>
        <v>479</v>
      </c>
      <c r="P169" s="17">
        <f>ROUND(VLOOKUP(O$163&amp;"_2",管理者用人口入力シート!CO:DL,Q169,FALSE),0)</f>
        <v>521</v>
      </c>
      <c r="Q169" s="2">
        <v>8</v>
      </c>
    </row>
    <row r="170" spans="7:17" x14ac:dyDescent="0.15">
      <c r="G170" s="2" t="s">
        <v>5</v>
      </c>
      <c r="H170" s="17">
        <f>ROUND(VLOOKUP(H$163&amp;"_1",管理者用人口入力シート!BH:CE,J170,FALSE),0)</f>
        <v>605</v>
      </c>
      <c r="I170" s="17">
        <f>ROUND(VLOOKUP(H$163&amp;"_2",管理者用人口入力シート!BH:CE,J170,FALSE),0)</f>
        <v>605</v>
      </c>
      <c r="J170" s="2">
        <v>9</v>
      </c>
      <c r="N170" s="2" t="s">
        <v>5</v>
      </c>
      <c r="O170" s="17">
        <f>ROUND(VLOOKUP(O$163&amp;"_1",管理者用人口入力シート!CO:DL,Q170,FALSE),0)</f>
        <v>608</v>
      </c>
      <c r="P170" s="17">
        <f>ROUND(VLOOKUP(O$163&amp;"_2",管理者用人口入力シート!CO:DL,Q170,FALSE),0)</f>
        <v>608</v>
      </c>
      <c r="Q170" s="2">
        <v>9</v>
      </c>
    </row>
    <row r="171" spans="7:17" x14ac:dyDescent="0.15">
      <c r="G171" s="2" t="s">
        <v>6</v>
      </c>
      <c r="H171" s="17">
        <f>ROUND(VLOOKUP(H$163&amp;"_1",管理者用人口入力シート!BH:CE,J171,FALSE),0)</f>
        <v>683</v>
      </c>
      <c r="I171" s="17">
        <f>ROUND(VLOOKUP(H$163&amp;"_2",管理者用人口入力シート!BH:CE,J171,FALSE),0)</f>
        <v>668</v>
      </c>
      <c r="J171" s="2">
        <v>10</v>
      </c>
      <c r="N171" s="2" t="s">
        <v>6</v>
      </c>
      <c r="O171" s="17">
        <f>ROUND(VLOOKUP(O$163&amp;"_1",管理者用人口入力シート!CO:DL,Q171,FALSE),0)</f>
        <v>686</v>
      </c>
      <c r="P171" s="17">
        <f>ROUND(VLOOKUP(O$163&amp;"_2",管理者用人口入力シート!CO:DL,Q171,FALSE),0)</f>
        <v>670</v>
      </c>
      <c r="Q171" s="2">
        <v>10</v>
      </c>
    </row>
    <row r="172" spans="7:17" x14ac:dyDescent="0.15">
      <c r="G172" s="2" t="s">
        <v>7</v>
      </c>
      <c r="H172" s="17">
        <f>ROUND(VLOOKUP(H$163&amp;"_1",管理者用人口入力シート!BH:CE,J172,FALSE),0)</f>
        <v>695</v>
      </c>
      <c r="I172" s="17">
        <f>ROUND(VLOOKUP(H$163&amp;"_2",管理者用人口入力シート!BH:CE,J172,FALSE),0)</f>
        <v>637</v>
      </c>
      <c r="J172" s="2">
        <v>11</v>
      </c>
      <c r="N172" s="2" t="s">
        <v>7</v>
      </c>
      <c r="O172" s="17">
        <f>ROUND(VLOOKUP(O$163&amp;"_1",管理者用人口入力シート!CO:DL,Q172,FALSE),0)</f>
        <v>697</v>
      </c>
      <c r="P172" s="17">
        <f>ROUND(VLOOKUP(O$163&amp;"_2",管理者用人口入力シート!CO:DL,Q172,FALSE),0)</f>
        <v>639</v>
      </c>
      <c r="Q172" s="2">
        <v>11</v>
      </c>
    </row>
    <row r="173" spans="7:17" x14ac:dyDescent="0.15">
      <c r="G173" s="2" t="s">
        <v>8</v>
      </c>
      <c r="H173" s="17">
        <f>ROUND(VLOOKUP(H$163&amp;"_1",管理者用人口入力シート!BH:CE,J173,FALSE),0)</f>
        <v>704</v>
      </c>
      <c r="I173" s="17">
        <f>ROUND(VLOOKUP(H$163&amp;"_2",管理者用人口入力シート!BH:CE,J173,FALSE),0)</f>
        <v>586</v>
      </c>
      <c r="J173" s="2">
        <v>12</v>
      </c>
      <c r="N173" s="2" t="s">
        <v>8</v>
      </c>
      <c r="O173" s="17">
        <f>ROUND(VLOOKUP(O$163&amp;"_1",管理者用人口入力シート!CO:DL,Q173,FALSE),0)</f>
        <v>706</v>
      </c>
      <c r="P173" s="17">
        <f>ROUND(VLOOKUP(O$163&amp;"_2",管理者用人口入力シート!CO:DL,Q173,FALSE),0)</f>
        <v>589</v>
      </c>
      <c r="Q173" s="2">
        <v>12</v>
      </c>
    </row>
    <row r="174" spans="7:17" x14ac:dyDescent="0.15">
      <c r="G174" s="2" t="s">
        <v>9</v>
      </c>
      <c r="H174" s="17">
        <f>ROUND(VLOOKUP(H$163&amp;"_1",管理者用人口入力シート!BH:CE,J174,FALSE),0)</f>
        <v>698</v>
      </c>
      <c r="I174" s="17">
        <f>ROUND(VLOOKUP(H$163&amp;"_2",管理者用人口入力シート!BH:CE,J174,FALSE),0)</f>
        <v>600</v>
      </c>
      <c r="J174" s="2">
        <v>13</v>
      </c>
      <c r="N174" s="2" t="s">
        <v>9</v>
      </c>
      <c r="O174" s="17">
        <f>ROUND(VLOOKUP(O$163&amp;"_1",管理者用人口入力シート!CO:DL,Q174,FALSE),0)</f>
        <v>700</v>
      </c>
      <c r="P174" s="17">
        <f>ROUND(VLOOKUP(O$163&amp;"_2",管理者用人口入力シート!CO:DL,Q174,FALSE),0)</f>
        <v>603</v>
      </c>
      <c r="Q174" s="2">
        <v>13</v>
      </c>
    </row>
    <row r="175" spans="7:17" x14ac:dyDescent="0.15">
      <c r="G175" s="2" t="s">
        <v>10</v>
      </c>
      <c r="H175" s="17">
        <f>ROUND(VLOOKUP(H$163&amp;"_1",管理者用人口入力シート!BH:CE,J175,FALSE),0)</f>
        <v>711</v>
      </c>
      <c r="I175" s="17">
        <f>ROUND(VLOOKUP(H$163&amp;"_2",管理者用人口入力シート!BH:CE,J175,FALSE),0)</f>
        <v>732</v>
      </c>
      <c r="J175" s="2">
        <v>14</v>
      </c>
      <c r="N175" s="2" t="s">
        <v>10</v>
      </c>
      <c r="O175" s="17">
        <f>ROUND(VLOOKUP(O$163&amp;"_1",管理者用人口入力シート!CO:DL,Q175,FALSE),0)</f>
        <v>711</v>
      </c>
      <c r="P175" s="17">
        <f>ROUND(VLOOKUP(O$163&amp;"_2",管理者用人口入力シート!CO:DL,Q175,FALSE),0)</f>
        <v>733</v>
      </c>
      <c r="Q175" s="2">
        <v>14</v>
      </c>
    </row>
    <row r="176" spans="7:17" x14ac:dyDescent="0.15">
      <c r="G176" s="2" t="s">
        <v>11</v>
      </c>
      <c r="H176" s="17">
        <f>ROUND(VLOOKUP(H$163&amp;"_1",管理者用人口入力シート!BH:CE,J176,FALSE),0)</f>
        <v>846</v>
      </c>
      <c r="I176" s="17">
        <f>ROUND(VLOOKUP(H$163&amp;"_2",管理者用人口入力シート!BH:CE,J176,FALSE),0)</f>
        <v>880</v>
      </c>
      <c r="J176" s="2">
        <v>15</v>
      </c>
      <c r="N176" s="2" t="s">
        <v>11</v>
      </c>
      <c r="O176" s="17">
        <f>ROUND(VLOOKUP(O$163&amp;"_1",管理者用人口入力シート!CO:DL,Q176,FALSE),0)</f>
        <v>846</v>
      </c>
      <c r="P176" s="17">
        <f>ROUND(VLOOKUP(O$163&amp;"_2",管理者用人口入力シート!CO:DL,Q176,FALSE),0)</f>
        <v>881</v>
      </c>
      <c r="Q176" s="2">
        <v>15</v>
      </c>
    </row>
    <row r="177" spans="7:17" x14ac:dyDescent="0.15">
      <c r="G177" s="2" t="s">
        <v>12</v>
      </c>
      <c r="H177" s="17">
        <f>ROUND(VLOOKUP(H$163&amp;"_1",管理者用人口入力シート!BH:CE,J177,FALSE),0)</f>
        <v>1052</v>
      </c>
      <c r="I177" s="17">
        <f>ROUND(VLOOKUP(H$163&amp;"_2",管理者用人口入力シート!BH:CE,J177,FALSE),0)</f>
        <v>1021</v>
      </c>
      <c r="J177" s="2">
        <v>16</v>
      </c>
      <c r="N177" s="2" t="s">
        <v>12</v>
      </c>
      <c r="O177" s="17">
        <f>ROUND(VLOOKUP(O$163&amp;"_1",管理者用人口入力シート!CO:DL,Q177,FALSE),0)</f>
        <v>1052</v>
      </c>
      <c r="P177" s="17">
        <f>ROUND(VLOOKUP(O$163&amp;"_2",管理者用人口入力シート!CO:DL,Q177,FALSE),0)</f>
        <v>1022</v>
      </c>
      <c r="Q177" s="2">
        <v>16</v>
      </c>
    </row>
    <row r="178" spans="7:17" x14ac:dyDescent="0.15">
      <c r="G178" s="2" t="s">
        <v>13</v>
      </c>
      <c r="H178" s="17">
        <f>ROUND(VLOOKUP(H$163&amp;"_1",管理者用人口入力シート!BH:CE,J178,FALSE),0)</f>
        <v>1135</v>
      </c>
      <c r="I178" s="17">
        <f>ROUND(VLOOKUP(H$163&amp;"_2",管理者用人口入力シート!BH:CE,J178,FALSE),0)</f>
        <v>1153</v>
      </c>
      <c r="J178" s="2">
        <v>17</v>
      </c>
      <c r="N178" s="2" t="s">
        <v>13</v>
      </c>
      <c r="O178" s="17">
        <f>ROUND(VLOOKUP(O$163&amp;"_1",管理者用人口入力シート!CO:DL,Q178,FALSE),0)</f>
        <v>1135</v>
      </c>
      <c r="P178" s="17">
        <f>ROUND(VLOOKUP(O$163&amp;"_2",管理者用人口入力シート!CO:DL,Q178,FALSE),0)</f>
        <v>1153</v>
      </c>
      <c r="Q178" s="2">
        <v>17</v>
      </c>
    </row>
    <row r="179" spans="7:17" x14ac:dyDescent="0.15">
      <c r="G179" s="2" t="s">
        <v>14</v>
      </c>
      <c r="H179" s="17">
        <f>ROUND(VLOOKUP(H$163&amp;"_1",管理者用人口入力シート!BH:CE,J179,FALSE),0)</f>
        <v>1198</v>
      </c>
      <c r="I179" s="17">
        <f>ROUND(VLOOKUP(H$163&amp;"_2",管理者用人口入力シート!BH:CE,J179,FALSE),0)</f>
        <v>1300</v>
      </c>
      <c r="J179" s="2">
        <v>18</v>
      </c>
      <c r="N179" s="2" t="s">
        <v>14</v>
      </c>
      <c r="O179" s="17">
        <f>ROUND(VLOOKUP(O$163&amp;"_1",管理者用人口入力シート!CO:DL,Q179,FALSE),0)</f>
        <v>1198</v>
      </c>
      <c r="P179" s="17">
        <f>ROUND(VLOOKUP(O$163&amp;"_2",管理者用人口入力シート!CO:DL,Q179,FALSE),0)</f>
        <v>1300</v>
      </c>
      <c r="Q179" s="2">
        <v>18</v>
      </c>
    </row>
    <row r="180" spans="7:17" x14ac:dyDescent="0.15">
      <c r="G180" s="2" t="s">
        <v>15</v>
      </c>
      <c r="H180" s="17">
        <f>ROUND(VLOOKUP(H$163&amp;"_1",管理者用人口入力シート!BH:CE,J180,FALSE),0)</f>
        <v>806</v>
      </c>
      <c r="I180" s="17">
        <f>ROUND(VLOOKUP(H$163&amp;"_2",管理者用人口入力シート!BH:CE,J180,FALSE),0)</f>
        <v>973</v>
      </c>
      <c r="J180" s="2">
        <v>19</v>
      </c>
      <c r="N180" s="2" t="s">
        <v>15</v>
      </c>
      <c r="O180" s="17">
        <f>ROUND(VLOOKUP(O$163&amp;"_1",管理者用人口入力シート!CO:DL,Q180,FALSE),0)</f>
        <v>806</v>
      </c>
      <c r="P180" s="17">
        <f>ROUND(VLOOKUP(O$163&amp;"_2",管理者用人口入力シート!CO:DL,Q180,FALSE),0)</f>
        <v>973</v>
      </c>
      <c r="Q180" s="2">
        <v>19</v>
      </c>
    </row>
    <row r="181" spans="7:17" x14ac:dyDescent="0.15">
      <c r="G181" s="2" t="s">
        <v>16</v>
      </c>
      <c r="H181" s="17">
        <f>ROUND(VLOOKUP(H$163&amp;"_1",管理者用人口入力シート!BH:CE,J181,FALSE),0)</f>
        <v>676</v>
      </c>
      <c r="I181" s="17">
        <f>ROUND(VLOOKUP(H$163&amp;"_2",管理者用人口入力シート!BH:CE,J181,FALSE),0)</f>
        <v>946</v>
      </c>
      <c r="J181" s="2">
        <v>20</v>
      </c>
      <c r="N181" s="2" t="s">
        <v>16</v>
      </c>
      <c r="O181" s="17">
        <f>ROUND(VLOOKUP(O$163&amp;"_1",管理者用人口入力シート!CO:DL,Q181,FALSE),0)</f>
        <v>676</v>
      </c>
      <c r="P181" s="17">
        <f>ROUND(VLOOKUP(O$163&amp;"_2",管理者用人口入力シート!CO:DL,Q181,FALSE),0)</f>
        <v>946</v>
      </c>
      <c r="Q181" s="2">
        <v>20</v>
      </c>
    </row>
    <row r="182" spans="7:17" x14ac:dyDescent="0.15">
      <c r="G182" s="2" t="s">
        <v>17</v>
      </c>
      <c r="H182" s="17">
        <f>ROUND(VLOOKUP(H$163&amp;"_1",管理者用人口入力シート!BH:CE,J182,FALSE),0)</f>
        <v>495</v>
      </c>
      <c r="I182" s="17">
        <f>ROUND(VLOOKUP(H$163&amp;"_2",管理者用人口入力シート!BH:CE,J182,FALSE),0)</f>
        <v>771</v>
      </c>
      <c r="J182" s="2">
        <v>21</v>
      </c>
      <c r="N182" s="2" t="s">
        <v>17</v>
      </c>
      <c r="O182" s="17">
        <f>ROUND(VLOOKUP(O$163&amp;"_1",管理者用人口入力シート!CO:DL,Q182,FALSE),0)</f>
        <v>495</v>
      </c>
      <c r="P182" s="17">
        <f>ROUND(VLOOKUP(O$163&amp;"_2",管理者用人口入力シート!CO:DL,Q182,FALSE),0)</f>
        <v>771</v>
      </c>
      <c r="Q182" s="2">
        <v>21</v>
      </c>
    </row>
    <row r="183" spans="7:17" x14ac:dyDescent="0.15">
      <c r="G183" s="2" t="s">
        <v>18</v>
      </c>
      <c r="H183" s="17">
        <f>ROUND(VLOOKUP(H$163&amp;"_1",管理者用人口入力シート!BH:CE,J183,FALSE),0)</f>
        <v>260</v>
      </c>
      <c r="I183" s="17">
        <f>ROUND(VLOOKUP(H$163&amp;"_2",管理者用人口入力シート!BH:CE,J183,FALSE),0)</f>
        <v>584</v>
      </c>
      <c r="J183" s="2">
        <v>22</v>
      </c>
      <c r="N183" s="2" t="s">
        <v>18</v>
      </c>
      <c r="O183" s="17">
        <f>ROUND(VLOOKUP(O$163&amp;"_1",管理者用人口入力シート!CO:DL,Q183,FALSE),0)</f>
        <v>260</v>
      </c>
      <c r="P183" s="17">
        <f>ROUND(VLOOKUP(O$163&amp;"_2",管理者用人口入力シート!CO:DL,Q183,FALSE),0)</f>
        <v>584</v>
      </c>
      <c r="Q183" s="2">
        <v>22</v>
      </c>
    </row>
    <row r="184" spans="7:17" x14ac:dyDescent="0.15">
      <c r="G184" s="2" t="s">
        <v>19</v>
      </c>
      <c r="H184" s="17">
        <f>ROUND(VLOOKUP(H$163&amp;"_1",管理者用人口入力シート!BH:CE,J184,FALSE),0)</f>
        <v>89</v>
      </c>
      <c r="I184" s="17">
        <f>ROUND(VLOOKUP(H$163&amp;"_2",管理者用人口入力シート!BH:CE,J184,FALSE),0)</f>
        <v>300</v>
      </c>
      <c r="J184" s="2">
        <v>23</v>
      </c>
      <c r="N184" s="2" t="s">
        <v>19</v>
      </c>
      <c r="O184" s="17">
        <f>ROUND(VLOOKUP(O$163&amp;"_1",管理者用人口入力シート!CO:DL,Q184,FALSE),0)</f>
        <v>89</v>
      </c>
      <c r="P184" s="17">
        <f>ROUND(VLOOKUP(O$163&amp;"_2",管理者用人口入力シート!CO:DL,Q184,FALSE),0)</f>
        <v>300</v>
      </c>
      <c r="Q184" s="2">
        <v>23</v>
      </c>
    </row>
    <row r="185" spans="7:17" x14ac:dyDescent="0.15">
      <c r="G185" s="2" t="s">
        <v>20</v>
      </c>
      <c r="H185" s="17">
        <f>ROUND(VLOOKUP(H$163&amp;"_1",管理者用人口入力シート!BH:CE,J185,FALSE),0)</f>
        <v>1</v>
      </c>
      <c r="I185" s="17">
        <f>ROUND(VLOOKUP(H$163&amp;"_2",管理者用人口入力シート!BH:CE,J185,FALSE),0)</f>
        <v>47</v>
      </c>
      <c r="J185" s="2">
        <v>24</v>
      </c>
      <c r="N185" s="2" t="s">
        <v>20</v>
      </c>
      <c r="O185" s="17">
        <f>ROUND(VLOOKUP(O$163&amp;"_1",管理者用人口入力シート!CO:DL,Q185,FALSE),0)</f>
        <v>1</v>
      </c>
      <c r="P185" s="17">
        <f>ROUND(VLOOKUP(O$163&amp;"_2",管理者用人口入力シート!CO:DL,Q185,FALSE),0)</f>
        <v>47</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464</v>
      </c>
      <c r="I189" s="17">
        <f>ROUND(VLOOKUP(H$187&amp;"_2",管理者用人口入力シート!BH:CE,J189,FALSE),0)</f>
        <v>445</v>
      </c>
      <c r="J189" s="2">
        <v>4</v>
      </c>
      <c r="N189" s="2" t="s">
        <v>0</v>
      </c>
      <c r="O189" s="17">
        <f>ROUND(VLOOKUP(O$187&amp;"_1",管理者用人口入力シート!CO:DL,Q189,FALSE),0)</f>
        <v>467</v>
      </c>
      <c r="P189" s="17">
        <f>ROUND(VLOOKUP(O$187&amp;"_2",管理者用人口入力シート!CO:DL,Q189,FALSE),0)</f>
        <v>448</v>
      </c>
      <c r="Q189" s="2">
        <v>4</v>
      </c>
    </row>
    <row r="190" spans="7:17" x14ac:dyDescent="0.15">
      <c r="G190" s="2" t="s">
        <v>1</v>
      </c>
      <c r="H190" s="17">
        <f>ROUND(VLOOKUP(H$187&amp;"_1",管理者用人口入力シート!BH:CE,J190,FALSE),0)</f>
        <v>472</v>
      </c>
      <c r="I190" s="17">
        <f>ROUND(VLOOKUP(H$187&amp;"_2",管理者用人口入力シート!BH:CE,J190,FALSE),0)</f>
        <v>464</v>
      </c>
      <c r="J190" s="2">
        <v>5</v>
      </c>
      <c r="N190" s="2" t="s">
        <v>1</v>
      </c>
      <c r="O190" s="17">
        <f>ROUND(VLOOKUP(O$187&amp;"_1",管理者用人口入力シート!CO:DL,Q190,FALSE),0)</f>
        <v>475</v>
      </c>
      <c r="P190" s="17">
        <f>ROUND(VLOOKUP(O$187&amp;"_2",管理者用人口入力シート!CO:DL,Q190,FALSE),0)</f>
        <v>467</v>
      </c>
      <c r="Q190" s="2">
        <v>5</v>
      </c>
    </row>
    <row r="191" spans="7:17" x14ac:dyDescent="0.15">
      <c r="G191" s="2" t="s">
        <v>2</v>
      </c>
      <c r="H191" s="17">
        <f>ROUND(VLOOKUP(H$187&amp;"_1",管理者用人口入力シート!BH:CE,J191,FALSE),0)</f>
        <v>497</v>
      </c>
      <c r="I191" s="17">
        <f>ROUND(VLOOKUP(H$187&amp;"_2",管理者用人口入力シート!BH:CE,J191,FALSE),0)</f>
        <v>498</v>
      </c>
      <c r="J191" s="2">
        <v>6</v>
      </c>
      <c r="N191" s="2" t="s">
        <v>2</v>
      </c>
      <c r="O191" s="17">
        <f>ROUND(VLOOKUP(O$187&amp;"_1",管理者用人口入力シート!CO:DL,Q191,FALSE),0)</f>
        <v>500</v>
      </c>
      <c r="P191" s="17">
        <f>ROUND(VLOOKUP(O$187&amp;"_2",管理者用人口入力シート!CO:DL,Q191,FALSE),0)</f>
        <v>501</v>
      </c>
      <c r="Q191" s="2">
        <v>6</v>
      </c>
    </row>
    <row r="192" spans="7:17" x14ac:dyDescent="0.15">
      <c r="G192" s="2" t="s">
        <v>3</v>
      </c>
      <c r="H192" s="17">
        <f>ROUND(VLOOKUP(H$187&amp;"_1",管理者用人口入力シート!BH:CE,J192,FALSE),0)</f>
        <v>502</v>
      </c>
      <c r="I192" s="17">
        <f>ROUND(VLOOKUP(H$187&amp;"_2",管理者用人口入力シート!BH:CE,J192,FALSE),0)</f>
        <v>574</v>
      </c>
      <c r="J192" s="2">
        <v>7</v>
      </c>
      <c r="N192" s="2" t="s">
        <v>3</v>
      </c>
      <c r="O192" s="17">
        <f>ROUND(VLOOKUP(O$187&amp;"_1",管理者用人口入力シート!CO:DL,Q192,FALSE),0)</f>
        <v>505</v>
      </c>
      <c r="P192" s="17">
        <f>ROUND(VLOOKUP(O$187&amp;"_2",管理者用人口入力シート!CO:DL,Q192,FALSE),0)</f>
        <v>578</v>
      </c>
      <c r="Q192" s="2">
        <v>7</v>
      </c>
    </row>
    <row r="193" spans="7:17" x14ac:dyDescent="0.15">
      <c r="G193" s="2" t="s">
        <v>4</v>
      </c>
      <c r="H193" s="17">
        <f>ROUND(VLOOKUP(H$187&amp;"_1",管理者用人口入力シート!BH:CE,J193,FALSE),0)</f>
        <v>436</v>
      </c>
      <c r="I193" s="17">
        <f>ROUND(VLOOKUP(H$187&amp;"_2",管理者用人口入力シート!BH:CE,J193,FALSE),0)</f>
        <v>475</v>
      </c>
      <c r="J193" s="2">
        <v>8</v>
      </c>
      <c r="N193" s="2" t="s">
        <v>4</v>
      </c>
      <c r="O193" s="17">
        <f>ROUND(VLOOKUP(O$187&amp;"_1",管理者用人口入力シート!CO:DL,Q193,FALSE),0)</f>
        <v>439</v>
      </c>
      <c r="P193" s="17">
        <f>ROUND(VLOOKUP(O$187&amp;"_2",管理者用人口入力シート!CO:DL,Q193,FALSE),0)</f>
        <v>477</v>
      </c>
      <c r="Q193" s="2">
        <v>8</v>
      </c>
    </row>
    <row r="194" spans="7:17" x14ac:dyDescent="0.15">
      <c r="G194" s="2" t="s">
        <v>5</v>
      </c>
      <c r="H194" s="17">
        <f>ROUND(VLOOKUP(H$187&amp;"_1",管理者用人口入力シート!BH:CE,J194,FALSE),0)</f>
        <v>522</v>
      </c>
      <c r="I194" s="17">
        <f>ROUND(VLOOKUP(H$187&amp;"_2",管理者用人口入力シート!BH:CE,J194,FALSE),0)</f>
        <v>522</v>
      </c>
      <c r="J194" s="2">
        <v>9</v>
      </c>
      <c r="N194" s="2" t="s">
        <v>5</v>
      </c>
      <c r="O194" s="17">
        <f>ROUND(VLOOKUP(O$187&amp;"_1",管理者用人口入力シート!CO:DL,Q194,FALSE),0)</f>
        <v>526</v>
      </c>
      <c r="P194" s="17">
        <f>ROUND(VLOOKUP(O$187&amp;"_2",管理者用人口入力シート!CO:DL,Q194,FALSE),0)</f>
        <v>526</v>
      </c>
      <c r="Q194" s="2">
        <v>9</v>
      </c>
    </row>
    <row r="195" spans="7:17" x14ac:dyDescent="0.15">
      <c r="G195" s="2" t="s">
        <v>6</v>
      </c>
      <c r="H195" s="17">
        <f>ROUND(VLOOKUP(H$187&amp;"_1",管理者用人口入力シート!BH:CE,J195,FALSE),0)</f>
        <v>589</v>
      </c>
      <c r="I195" s="17">
        <f>ROUND(VLOOKUP(H$187&amp;"_2",管理者用人口入力シート!BH:CE,J195,FALSE),0)</f>
        <v>584</v>
      </c>
      <c r="J195" s="2">
        <v>10</v>
      </c>
      <c r="N195" s="2" t="s">
        <v>6</v>
      </c>
      <c r="O195" s="17">
        <f>ROUND(VLOOKUP(O$187&amp;"_1",管理者用人口入力シート!CO:DL,Q195,FALSE),0)</f>
        <v>592</v>
      </c>
      <c r="P195" s="17">
        <f>ROUND(VLOOKUP(O$187&amp;"_2",管理者用人口入力シート!CO:DL,Q195,FALSE),0)</f>
        <v>587</v>
      </c>
      <c r="Q195" s="2">
        <v>10</v>
      </c>
    </row>
    <row r="196" spans="7:17" x14ac:dyDescent="0.15">
      <c r="G196" s="2" t="s">
        <v>7</v>
      </c>
      <c r="H196" s="17">
        <f>ROUND(VLOOKUP(H$187&amp;"_1",管理者用人口入力シート!BH:CE,J196,FALSE),0)</f>
        <v>667</v>
      </c>
      <c r="I196" s="17">
        <f>ROUND(VLOOKUP(H$187&amp;"_2",管理者用人口入力シート!BH:CE,J196,FALSE),0)</f>
        <v>631</v>
      </c>
      <c r="J196" s="2">
        <v>11</v>
      </c>
      <c r="N196" s="2" t="s">
        <v>7</v>
      </c>
      <c r="O196" s="17">
        <f>ROUND(VLOOKUP(O$187&amp;"_1",管理者用人口入力シート!CO:DL,Q196,FALSE),0)</f>
        <v>669</v>
      </c>
      <c r="P196" s="17">
        <f>ROUND(VLOOKUP(O$187&amp;"_2",管理者用人口入力シート!CO:DL,Q196,FALSE),0)</f>
        <v>633</v>
      </c>
      <c r="Q196" s="2">
        <v>11</v>
      </c>
    </row>
    <row r="197" spans="7:17" x14ac:dyDescent="0.15">
      <c r="G197" s="2" t="s">
        <v>8</v>
      </c>
      <c r="H197" s="17">
        <f>ROUND(VLOOKUP(H$187&amp;"_1",管理者用人口入力シート!BH:CE,J197,FALSE),0)</f>
        <v>701</v>
      </c>
      <c r="I197" s="17">
        <f>ROUND(VLOOKUP(H$187&amp;"_2",管理者用人口入力シート!BH:CE,J197,FALSE),0)</f>
        <v>627</v>
      </c>
      <c r="J197" s="2">
        <v>12</v>
      </c>
      <c r="N197" s="2" t="s">
        <v>8</v>
      </c>
      <c r="O197" s="17">
        <f>ROUND(VLOOKUP(O$187&amp;"_1",管理者用人口入力シート!CO:DL,Q197,FALSE),0)</f>
        <v>703</v>
      </c>
      <c r="P197" s="17">
        <f>ROUND(VLOOKUP(O$187&amp;"_2",管理者用人口入力シート!CO:DL,Q197,FALSE),0)</f>
        <v>629</v>
      </c>
      <c r="Q197" s="2">
        <v>12</v>
      </c>
    </row>
    <row r="198" spans="7:17" x14ac:dyDescent="0.15">
      <c r="G198" s="2" t="s">
        <v>9</v>
      </c>
      <c r="H198" s="17">
        <f>ROUND(VLOOKUP(H$187&amp;"_1",管理者用人口入力シート!BH:CE,J198,FALSE),0)</f>
        <v>706</v>
      </c>
      <c r="I198" s="17">
        <f>ROUND(VLOOKUP(H$187&amp;"_2",管理者用人口入力シート!BH:CE,J198,FALSE),0)</f>
        <v>590</v>
      </c>
      <c r="J198" s="2">
        <v>13</v>
      </c>
      <c r="N198" s="2" t="s">
        <v>9</v>
      </c>
      <c r="O198" s="17">
        <f>ROUND(VLOOKUP(O$187&amp;"_1",管理者用人口入力シート!CO:DL,Q198,FALSE),0)</f>
        <v>708</v>
      </c>
      <c r="P198" s="17">
        <f>ROUND(VLOOKUP(O$187&amp;"_2",管理者用人口入力シート!CO:DL,Q198,FALSE),0)</f>
        <v>593</v>
      </c>
      <c r="Q198" s="2">
        <v>13</v>
      </c>
    </row>
    <row r="199" spans="7:17" x14ac:dyDescent="0.15">
      <c r="G199" s="2" t="s">
        <v>10</v>
      </c>
      <c r="H199" s="17">
        <f>ROUND(VLOOKUP(H$187&amp;"_1",管理者用人口入力シート!BH:CE,J199,FALSE),0)</f>
        <v>701</v>
      </c>
      <c r="I199" s="17">
        <f>ROUND(VLOOKUP(H$187&amp;"_2",管理者用人口入力シート!BH:CE,J199,FALSE),0)</f>
        <v>608</v>
      </c>
      <c r="J199" s="2">
        <v>14</v>
      </c>
      <c r="N199" s="2" t="s">
        <v>10</v>
      </c>
      <c r="O199" s="17">
        <f>ROUND(VLOOKUP(O$187&amp;"_1",管理者用人口入力シート!CO:DL,Q199,FALSE),0)</f>
        <v>703</v>
      </c>
      <c r="P199" s="17">
        <f>ROUND(VLOOKUP(O$187&amp;"_2",管理者用人口入力シート!CO:DL,Q199,FALSE),0)</f>
        <v>611</v>
      </c>
      <c r="Q199" s="2">
        <v>14</v>
      </c>
    </row>
    <row r="200" spans="7:17" x14ac:dyDescent="0.15">
      <c r="G200" s="2" t="s">
        <v>11</v>
      </c>
      <c r="H200" s="17">
        <f>ROUND(VLOOKUP(H$187&amp;"_1",管理者用人口入力シート!BH:CE,J200,FALSE),0)</f>
        <v>699</v>
      </c>
      <c r="I200" s="17">
        <f>ROUND(VLOOKUP(H$187&amp;"_2",管理者用人口入力シート!BH:CE,J200,FALSE),0)</f>
        <v>723</v>
      </c>
      <c r="J200" s="2">
        <v>15</v>
      </c>
      <c r="N200" s="2" t="s">
        <v>11</v>
      </c>
      <c r="O200" s="17">
        <f>ROUND(VLOOKUP(O$187&amp;"_1",管理者用人口入力シート!CO:DL,Q200,FALSE),0)</f>
        <v>699</v>
      </c>
      <c r="P200" s="17">
        <f>ROUND(VLOOKUP(O$187&amp;"_2",管理者用人口入力シート!CO:DL,Q200,FALSE),0)</f>
        <v>724</v>
      </c>
      <c r="Q200" s="2">
        <v>15</v>
      </c>
    </row>
    <row r="201" spans="7:17" x14ac:dyDescent="0.15">
      <c r="G201" s="2" t="s">
        <v>12</v>
      </c>
      <c r="H201" s="17">
        <f>ROUND(VLOOKUP(H$187&amp;"_1",管理者用人口入力シート!BH:CE,J201,FALSE),0)</f>
        <v>852</v>
      </c>
      <c r="I201" s="17">
        <f>ROUND(VLOOKUP(H$187&amp;"_2",管理者用人口入力シート!BH:CE,J201,FALSE),0)</f>
        <v>867</v>
      </c>
      <c r="J201" s="2">
        <v>16</v>
      </c>
      <c r="N201" s="2" t="s">
        <v>12</v>
      </c>
      <c r="O201" s="17">
        <f>ROUND(VLOOKUP(O$187&amp;"_1",管理者用人口入力シート!CO:DL,Q201,FALSE),0)</f>
        <v>852</v>
      </c>
      <c r="P201" s="17">
        <f>ROUND(VLOOKUP(O$187&amp;"_2",管理者用人口入力シート!CO:DL,Q201,FALSE),0)</f>
        <v>868</v>
      </c>
      <c r="Q201" s="2">
        <v>16</v>
      </c>
    </row>
    <row r="202" spans="7:17" x14ac:dyDescent="0.15">
      <c r="G202" s="2" t="s">
        <v>13</v>
      </c>
      <c r="H202" s="17">
        <f>ROUND(VLOOKUP(H$187&amp;"_1",管理者用人口入力シート!BH:CE,J202,FALSE),0)</f>
        <v>992</v>
      </c>
      <c r="I202" s="17">
        <f>ROUND(VLOOKUP(H$187&amp;"_2",管理者用人口入力シート!BH:CE,J202,FALSE),0)</f>
        <v>985</v>
      </c>
      <c r="J202" s="2">
        <v>17</v>
      </c>
      <c r="N202" s="2" t="s">
        <v>13</v>
      </c>
      <c r="O202" s="17">
        <f>ROUND(VLOOKUP(O$187&amp;"_1",管理者用人口入力シート!CO:DL,Q202,FALSE),0)</f>
        <v>992</v>
      </c>
      <c r="P202" s="17">
        <f>ROUND(VLOOKUP(O$187&amp;"_2",管理者用人口入力シート!CO:DL,Q202,FALSE),0)</f>
        <v>986</v>
      </c>
      <c r="Q202" s="2">
        <v>17</v>
      </c>
    </row>
    <row r="203" spans="7:17" x14ac:dyDescent="0.15">
      <c r="G203" s="2" t="s">
        <v>14</v>
      </c>
      <c r="H203" s="17">
        <f>ROUND(VLOOKUP(H$187&amp;"_1",管理者用人口入力シート!BH:CE,J203,FALSE),0)</f>
        <v>1069</v>
      </c>
      <c r="I203" s="17">
        <f>ROUND(VLOOKUP(H$187&amp;"_2",管理者用人口入力シート!BH:CE,J203,FALSE),0)</f>
        <v>1119</v>
      </c>
      <c r="J203" s="2">
        <v>18</v>
      </c>
      <c r="N203" s="2" t="s">
        <v>14</v>
      </c>
      <c r="O203" s="17">
        <f>ROUND(VLOOKUP(O$187&amp;"_1",管理者用人口入力シート!CO:DL,Q203,FALSE),0)</f>
        <v>1069</v>
      </c>
      <c r="P203" s="17">
        <f>ROUND(VLOOKUP(O$187&amp;"_2",管理者用人口入力シート!CO:DL,Q203,FALSE),0)</f>
        <v>1119</v>
      </c>
      <c r="Q203" s="2">
        <v>18</v>
      </c>
    </row>
    <row r="204" spans="7:17" x14ac:dyDescent="0.15">
      <c r="G204" s="2" t="s">
        <v>15</v>
      </c>
      <c r="H204" s="17">
        <f>ROUND(VLOOKUP(H$187&amp;"_1",管理者用人口入力シート!BH:CE,J204,FALSE),0)</f>
        <v>1095</v>
      </c>
      <c r="I204" s="17">
        <f>ROUND(VLOOKUP(H$187&amp;"_2",管理者用人口入力シート!BH:CE,J204,FALSE),0)</f>
        <v>1224</v>
      </c>
      <c r="J204" s="2">
        <v>19</v>
      </c>
      <c r="N204" s="2" t="s">
        <v>15</v>
      </c>
      <c r="O204" s="17">
        <f>ROUND(VLOOKUP(O$187&amp;"_1",管理者用人口入力シート!CO:DL,Q204,FALSE),0)</f>
        <v>1095</v>
      </c>
      <c r="P204" s="17">
        <f>ROUND(VLOOKUP(O$187&amp;"_2",管理者用人口入力シート!CO:DL,Q204,FALSE),0)</f>
        <v>1224</v>
      </c>
      <c r="Q204" s="2">
        <v>19</v>
      </c>
    </row>
    <row r="205" spans="7:17" x14ac:dyDescent="0.15">
      <c r="G205" s="2" t="s">
        <v>16</v>
      </c>
      <c r="H205" s="17">
        <f>ROUND(VLOOKUP(H$187&amp;"_1",管理者用人口入力シート!BH:CE,J205,FALSE),0)</f>
        <v>648</v>
      </c>
      <c r="I205" s="17">
        <f>ROUND(VLOOKUP(H$187&amp;"_2",管理者用人口入力シート!BH:CE,J205,FALSE),0)</f>
        <v>923</v>
      </c>
      <c r="J205" s="2">
        <v>20</v>
      </c>
      <c r="N205" s="2" t="s">
        <v>16</v>
      </c>
      <c r="O205" s="17">
        <f>ROUND(VLOOKUP(O$187&amp;"_1",管理者用人口入力シート!CO:DL,Q205,FALSE),0)</f>
        <v>648</v>
      </c>
      <c r="P205" s="17">
        <f>ROUND(VLOOKUP(O$187&amp;"_2",管理者用人口入力シート!CO:DL,Q205,FALSE),0)</f>
        <v>923</v>
      </c>
      <c r="Q205" s="2">
        <v>20</v>
      </c>
    </row>
    <row r="206" spans="7:17" x14ac:dyDescent="0.15">
      <c r="G206" s="2" t="s">
        <v>17</v>
      </c>
      <c r="H206" s="17">
        <f>ROUND(VLOOKUP(H$187&amp;"_1",管理者用人口入力シート!BH:CE,J206,FALSE),0)</f>
        <v>486</v>
      </c>
      <c r="I206" s="17">
        <f>ROUND(VLOOKUP(H$187&amp;"_2",管理者用人口入力シート!BH:CE,J206,FALSE),0)</f>
        <v>769</v>
      </c>
      <c r="J206" s="2">
        <v>21</v>
      </c>
      <c r="N206" s="2" t="s">
        <v>17</v>
      </c>
      <c r="O206" s="17">
        <f>ROUND(VLOOKUP(O$187&amp;"_1",管理者用人口入力シート!CO:DL,Q206,FALSE),0)</f>
        <v>486</v>
      </c>
      <c r="P206" s="17">
        <f>ROUND(VLOOKUP(O$187&amp;"_2",管理者用人口入力シート!CO:DL,Q206,FALSE),0)</f>
        <v>769</v>
      </c>
      <c r="Q206" s="2">
        <v>21</v>
      </c>
    </row>
    <row r="207" spans="7:17" x14ac:dyDescent="0.15">
      <c r="G207" s="2" t="s">
        <v>18</v>
      </c>
      <c r="H207" s="17">
        <f>ROUND(VLOOKUP(H$187&amp;"_1",管理者用人口入力シート!BH:CE,J207,FALSE),0)</f>
        <v>229</v>
      </c>
      <c r="I207" s="17">
        <f>ROUND(VLOOKUP(H$187&amp;"_2",管理者用人口入力シート!BH:CE,J207,FALSE),0)</f>
        <v>507</v>
      </c>
      <c r="J207" s="2">
        <v>22</v>
      </c>
      <c r="N207" s="2" t="s">
        <v>18</v>
      </c>
      <c r="O207" s="17">
        <f>ROUND(VLOOKUP(O$187&amp;"_1",管理者用人口入力シート!CO:DL,Q207,FALSE),0)</f>
        <v>229</v>
      </c>
      <c r="P207" s="17">
        <f>ROUND(VLOOKUP(O$187&amp;"_2",管理者用人口入力シート!CO:DL,Q207,FALSE),0)</f>
        <v>507</v>
      </c>
      <c r="Q207" s="2">
        <v>22</v>
      </c>
    </row>
    <row r="208" spans="7:17" x14ac:dyDescent="0.15">
      <c r="G208" s="2" t="s">
        <v>19</v>
      </c>
      <c r="H208" s="17">
        <f>ROUND(VLOOKUP(H$187&amp;"_1",管理者用人口入力シート!BH:CE,J208,FALSE),0)</f>
        <v>79</v>
      </c>
      <c r="I208" s="17">
        <f>ROUND(VLOOKUP(H$187&amp;"_2",管理者用人口入力シート!BH:CE,J208,FALSE),0)</f>
        <v>263</v>
      </c>
      <c r="J208" s="2">
        <v>23</v>
      </c>
      <c r="N208" s="2" t="s">
        <v>19</v>
      </c>
      <c r="O208" s="17">
        <f>ROUND(VLOOKUP(O$187&amp;"_1",管理者用人口入力シート!CO:DL,Q208,FALSE),0)</f>
        <v>79</v>
      </c>
      <c r="P208" s="17">
        <f>ROUND(VLOOKUP(O$187&amp;"_2",管理者用人口入力シート!CO:DL,Q208,FALSE),0)</f>
        <v>263</v>
      </c>
      <c r="Q208" s="2">
        <v>23</v>
      </c>
    </row>
    <row r="209" spans="7:17" x14ac:dyDescent="0.15">
      <c r="G209" s="2" t="s">
        <v>20</v>
      </c>
      <c r="H209" s="17">
        <f>ROUND(VLOOKUP(H$187&amp;"_1",管理者用人口入力シート!BH:CE,J209,FALSE),0)</f>
        <v>1</v>
      </c>
      <c r="I209" s="17">
        <f>ROUND(VLOOKUP(H$187&amp;"_2",管理者用人口入力シート!BH:CE,J209,FALSE),0)</f>
        <v>59</v>
      </c>
      <c r="J209" s="2">
        <v>24</v>
      </c>
      <c r="N209" s="2" t="s">
        <v>20</v>
      </c>
      <c r="O209" s="17">
        <f>ROUND(VLOOKUP(O$187&amp;"_1",管理者用人口入力シート!CO:DL,Q209,FALSE),0)</f>
        <v>1</v>
      </c>
      <c r="P209" s="17">
        <f>ROUND(VLOOKUP(O$187&amp;"_2",管理者用人口入力シート!CO:DL,Q209,FALSE),0)</f>
        <v>59</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1118</v>
      </c>
      <c r="P214" s="17">
        <f>O93+P93</f>
        <v>1122</v>
      </c>
      <c r="Q214" s="2">
        <v>4</v>
      </c>
    </row>
    <row r="215" spans="7:17" x14ac:dyDescent="0.15">
      <c r="N215" s="2" t="s">
        <v>1</v>
      </c>
      <c r="O215" s="17">
        <f t="shared" ref="O215:O233" si="37">H94+I94</f>
        <v>1148</v>
      </c>
      <c r="P215" s="17">
        <f t="shared" ref="P215:P233" si="38">O94+P94</f>
        <v>1150</v>
      </c>
      <c r="Q215" s="2">
        <v>5</v>
      </c>
    </row>
    <row r="216" spans="7:17" x14ac:dyDescent="0.15">
      <c r="N216" s="2" t="s">
        <v>2</v>
      </c>
      <c r="O216" s="17">
        <f t="shared" si="37"/>
        <v>1338</v>
      </c>
      <c r="P216" s="17">
        <f t="shared" si="38"/>
        <v>1340</v>
      </c>
      <c r="Q216" s="2">
        <v>6</v>
      </c>
    </row>
    <row r="217" spans="7:17" x14ac:dyDescent="0.15">
      <c r="N217" s="2" t="s">
        <v>3</v>
      </c>
      <c r="O217" s="17">
        <f t="shared" si="37"/>
        <v>1627</v>
      </c>
      <c r="P217" s="17">
        <f t="shared" si="38"/>
        <v>1629</v>
      </c>
      <c r="Q217" s="2">
        <v>7</v>
      </c>
    </row>
    <row r="218" spans="7:17" x14ac:dyDescent="0.15">
      <c r="N218" s="2" t="s">
        <v>4</v>
      </c>
      <c r="O218" s="17">
        <f t="shared" si="37"/>
        <v>1363</v>
      </c>
      <c r="P218" s="17">
        <f t="shared" si="38"/>
        <v>1363</v>
      </c>
      <c r="Q218" s="2">
        <v>8</v>
      </c>
    </row>
    <row r="219" spans="7:17" x14ac:dyDescent="0.15">
      <c r="N219" s="2" t="s">
        <v>5</v>
      </c>
      <c r="O219" s="17">
        <f t="shared" si="37"/>
        <v>1388</v>
      </c>
      <c r="P219" s="17">
        <f t="shared" si="38"/>
        <v>1392</v>
      </c>
      <c r="Q219" s="2">
        <v>9</v>
      </c>
    </row>
    <row r="220" spans="7:17" x14ac:dyDescent="0.15">
      <c r="N220" s="2" t="s">
        <v>6</v>
      </c>
      <c r="O220" s="17">
        <f t="shared" si="37"/>
        <v>1349</v>
      </c>
      <c r="P220" s="17">
        <f t="shared" si="38"/>
        <v>1353</v>
      </c>
      <c r="Q220" s="2">
        <v>10</v>
      </c>
    </row>
    <row r="221" spans="7:17" x14ac:dyDescent="0.15">
      <c r="N221" s="2" t="s">
        <v>7</v>
      </c>
      <c r="O221" s="17">
        <f t="shared" si="37"/>
        <v>1429</v>
      </c>
      <c r="P221" s="17">
        <f t="shared" si="38"/>
        <v>1429</v>
      </c>
      <c r="Q221" s="2">
        <v>11</v>
      </c>
    </row>
    <row r="222" spans="7:17" x14ac:dyDescent="0.15">
      <c r="N222" s="2" t="s">
        <v>8</v>
      </c>
      <c r="O222" s="17">
        <f t="shared" si="37"/>
        <v>1727</v>
      </c>
      <c r="P222" s="17">
        <f t="shared" si="38"/>
        <v>1728</v>
      </c>
      <c r="Q222" s="2">
        <v>12</v>
      </c>
    </row>
    <row r="223" spans="7:17" x14ac:dyDescent="0.15">
      <c r="N223" s="2" t="s">
        <v>9</v>
      </c>
      <c r="O223" s="17">
        <f t="shared" si="37"/>
        <v>2092</v>
      </c>
      <c r="P223" s="17">
        <f t="shared" si="38"/>
        <v>2093</v>
      </c>
      <c r="Q223" s="2">
        <v>13</v>
      </c>
    </row>
    <row r="224" spans="7:17" x14ac:dyDescent="0.15">
      <c r="N224" s="2" t="s">
        <v>10</v>
      </c>
      <c r="O224" s="17">
        <f t="shared" si="37"/>
        <v>2443</v>
      </c>
      <c r="P224" s="17">
        <f t="shared" si="38"/>
        <v>2443</v>
      </c>
      <c r="Q224" s="2">
        <v>14</v>
      </c>
    </row>
    <row r="225" spans="14:17" x14ac:dyDescent="0.15">
      <c r="N225" s="2" t="s">
        <v>11</v>
      </c>
      <c r="O225" s="17">
        <f t="shared" si="37"/>
        <v>2748</v>
      </c>
      <c r="P225" s="17">
        <f t="shared" si="38"/>
        <v>2748</v>
      </c>
      <c r="Q225" s="2">
        <v>15</v>
      </c>
    </row>
    <row r="226" spans="14:17" x14ac:dyDescent="0.15">
      <c r="N226" s="2" t="s">
        <v>12</v>
      </c>
      <c r="O226" s="17">
        <f t="shared" si="37"/>
        <v>2097</v>
      </c>
      <c r="P226" s="17">
        <f t="shared" si="38"/>
        <v>2097</v>
      </c>
      <c r="Q226" s="2">
        <v>16</v>
      </c>
    </row>
    <row r="227" spans="14:17" x14ac:dyDescent="0.15">
      <c r="N227" s="2" t="s">
        <v>13</v>
      </c>
      <c r="O227" s="17">
        <f t="shared" si="37"/>
        <v>2070</v>
      </c>
      <c r="P227" s="17">
        <f t="shared" si="38"/>
        <v>2070</v>
      </c>
      <c r="Q227" s="2">
        <v>17</v>
      </c>
    </row>
    <row r="228" spans="14:17" x14ac:dyDescent="0.15">
      <c r="N228" s="2" t="s">
        <v>14</v>
      </c>
      <c r="O228" s="17">
        <f t="shared" si="37"/>
        <v>2000</v>
      </c>
      <c r="P228" s="17">
        <f t="shared" si="38"/>
        <v>2000</v>
      </c>
      <c r="Q228" s="2">
        <v>18</v>
      </c>
    </row>
    <row r="229" spans="14:17" x14ac:dyDescent="0.15">
      <c r="N229" s="2" t="s">
        <v>15</v>
      </c>
      <c r="O229" s="17">
        <f t="shared" si="37"/>
        <v>2124</v>
      </c>
      <c r="P229" s="17">
        <f t="shared" si="38"/>
        <v>2124</v>
      </c>
      <c r="Q229" s="2">
        <v>19</v>
      </c>
    </row>
    <row r="230" spans="14:17" x14ac:dyDescent="0.15">
      <c r="N230" s="2" t="s">
        <v>16</v>
      </c>
      <c r="O230" s="17">
        <f t="shared" si="37"/>
        <v>2124</v>
      </c>
      <c r="P230" s="17">
        <f t="shared" si="38"/>
        <v>2124</v>
      </c>
      <c r="Q230" s="2">
        <v>20</v>
      </c>
    </row>
    <row r="231" spans="14:17" x14ac:dyDescent="0.15">
      <c r="N231" s="2" t="s">
        <v>17</v>
      </c>
      <c r="O231" s="17">
        <f t="shared" si="37"/>
        <v>1254</v>
      </c>
      <c r="P231" s="17">
        <f t="shared" si="38"/>
        <v>1254</v>
      </c>
      <c r="Q231" s="2">
        <v>21</v>
      </c>
    </row>
    <row r="232" spans="14:17" x14ac:dyDescent="0.15">
      <c r="N232" s="2" t="s">
        <v>18</v>
      </c>
      <c r="O232" s="17">
        <f t="shared" si="37"/>
        <v>651</v>
      </c>
      <c r="P232" s="17">
        <f t="shared" si="38"/>
        <v>651</v>
      </c>
      <c r="Q232" s="2">
        <v>22</v>
      </c>
    </row>
    <row r="233" spans="14:17" x14ac:dyDescent="0.15">
      <c r="N233" s="2" t="s">
        <v>19</v>
      </c>
      <c r="O233" s="17">
        <f t="shared" si="37"/>
        <v>270</v>
      </c>
      <c r="P233" s="17">
        <f t="shared" si="38"/>
        <v>270</v>
      </c>
      <c r="Q233" s="2">
        <v>23</v>
      </c>
    </row>
    <row r="234" spans="14:17" x14ac:dyDescent="0.15">
      <c r="N234" s="2" t="s">
        <v>20</v>
      </c>
      <c r="O234" s="17">
        <f>H113+I113</f>
        <v>35</v>
      </c>
      <c r="P234" s="17">
        <f>O113+P113</f>
        <v>35</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1054</v>
      </c>
      <c r="P238" s="17">
        <f>O141+P141</f>
        <v>1058</v>
      </c>
      <c r="Q238" s="2">
        <v>4</v>
      </c>
    </row>
    <row r="239" spans="14:17" x14ac:dyDescent="0.15">
      <c r="N239" s="2" t="s">
        <v>1</v>
      </c>
      <c r="O239" s="17">
        <f t="shared" ref="O239:O257" si="39">H142+I142</f>
        <v>1011</v>
      </c>
      <c r="P239" s="17">
        <f t="shared" ref="P239:P257" si="40">O142+P142</f>
        <v>1016</v>
      </c>
      <c r="Q239" s="2">
        <v>5</v>
      </c>
    </row>
    <row r="240" spans="14:17" x14ac:dyDescent="0.15">
      <c r="N240" s="2" t="s">
        <v>2</v>
      </c>
      <c r="O240" s="17">
        <f t="shared" si="39"/>
        <v>1055</v>
      </c>
      <c r="P240" s="17">
        <f t="shared" si="40"/>
        <v>1061</v>
      </c>
      <c r="Q240" s="2">
        <v>6</v>
      </c>
    </row>
    <row r="241" spans="14:17" x14ac:dyDescent="0.15">
      <c r="N241" s="2" t="s">
        <v>3</v>
      </c>
      <c r="O241" s="17">
        <f t="shared" si="39"/>
        <v>1220</v>
      </c>
      <c r="P241" s="17">
        <f t="shared" si="40"/>
        <v>1225</v>
      </c>
      <c r="Q241" s="2">
        <v>7</v>
      </c>
    </row>
    <row r="242" spans="14:17" x14ac:dyDescent="0.15">
      <c r="N242" s="2" t="s">
        <v>4</v>
      </c>
      <c r="O242" s="17">
        <f t="shared" si="39"/>
        <v>1155</v>
      </c>
      <c r="P242" s="17">
        <f t="shared" si="40"/>
        <v>1157</v>
      </c>
      <c r="Q242" s="2">
        <v>8</v>
      </c>
    </row>
    <row r="243" spans="14:17" x14ac:dyDescent="0.15">
      <c r="N243" s="2" t="s">
        <v>5</v>
      </c>
      <c r="O243" s="17">
        <f t="shared" si="39"/>
        <v>1393</v>
      </c>
      <c r="P243" s="17">
        <f t="shared" si="40"/>
        <v>1399</v>
      </c>
      <c r="Q243" s="2">
        <v>9</v>
      </c>
    </row>
    <row r="244" spans="14:17" x14ac:dyDescent="0.15">
      <c r="N244" s="2" t="s">
        <v>6</v>
      </c>
      <c r="O244" s="17">
        <f t="shared" si="39"/>
        <v>1386</v>
      </c>
      <c r="P244" s="17">
        <f t="shared" si="40"/>
        <v>1390</v>
      </c>
      <c r="Q244" s="2">
        <v>10</v>
      </c>
    </row>
    <row r="245" spans="14:17" x14ac:dyDescent="0.15">
      <c r="N245" s="2" t="s">
        <v>7</v>
      </c>
      <c r="O245" s="17">
        <f t="shared" si="39"/>
        <v>1294</v>
      </c>
      <c r="P245" s="17">
        <f t="shared" si="40"/>
        <v>1298</v>
      </c>
      <c r="Q245" s="2">
        <v>11</v>
      </c>
    </row>
    <row r="246" spans="14:17" x14ac:dyDescent="0.15">
      <c r="N246" s="2" t="s">
        <v>8</v>
      </c>
      <c r="O246" s="17">
        <f t="shared" si="39"/>
        <v>1293</v>
      </c>
      <c r="P246" s="17">
        <f t="shared" si="40"/>
        <v>1298</v>
      </c>
      <c r="Q246" s="2">
        <v>12</v>
      </c>
    </row>
    <row r="247" spans="14:17" x14ac:dyDescent="0.15">
      <c r="N247" s="2" t="s">
        <v>9</v>
      </c>
      <c r="O247" s="17">
        <f t="shared" si="39"/>
        <v>1429</v>
      </c>
      <c r="P247" s="17">
        <f t="shared" si="40"/>
        <v>1430</v>
      </c>
      <c r="Q247" s="2">
        <v>13</v>
      </c>
    </row>
    <row r="248" spans="14:17" x14ac:dyDescent="0.15">
      <c r="N248" s="2" t="s">
        <v>10</v>
      </c>
      <c r="O248" s="17">
        <f t="shared" si="39"/>
        <v>1751</v>
      </c>
      <c r="P248" s="17">
        <f t="shared" si="40"/>
        <v>1752</v>
      </c>
      <c r="Q248" s="2">
        <v>14</v>
      </c>
    </row>
    <row r="249" spans="14:17" x14ac:dyDescent="0.15">
      <c r="N249" s="2" t="s">
        <v>11</v>
      </c>
      <c r="O249" s="17">
        <f t="shared" si="39"/>
        <v>2081</v>
      </c>
      <c r="P249" s="17">
        <f t="shared" si="40"/>
        <v>2082</v>
      </c>
      <c r="Q249" s="2">
        <v>15</v>
      </c>
    </row>
    <row r="250" spans="14:17" x14ac:dyDescent="0.15">
      <c r="N250" s="2" t="s">
        <v>12</v>
      </c>
      <c r="O250" s="17">
        <f t="shared" si="39"/>
        <v>2399</v>
      </c>
      <c r="P250" s="17">
        <f t="shared" si="40"/>
        <v>2399</v>
      </c>
      <c r="Q250" s="2">
        <v>16</v>
      </c>
    </row>
    <row r="251" spans="14:17" x14ac:dyDescent="0.15">
      <c r="N251" s="2" t="s">
        <v>13</v>
      </c>
      <c r="O251" s="17">
        <f t="shared" si="39"/>
        <v>2611</v>
      </c>
      <c r="P251" s="17">
        <f t="shared" si="40"/>
        <v>2611</v>
      </c>
      <c r="Q251" s="2">
        <v>17</v>
      </c>
    </row>
    <row r="252" spans="14:17" x14ac:dyDescent="0.15">
      <c r="N252" s="2" t="s">
        <v>14</v>
      </c>
      <c r="O252" s="17">
        <f t="shared" si="39"/>
        <v>1915</v>
      </c>
      <c r="P252" s="17">
        <f t="shared" si="40"/>
        <v>1915</v>
      </c>
      <c r="Q252" s="2">
        <v>18</v>
      </c>
    </row>
    <row r="253" spans="14:17" x14ac:dyDescent="0.15">
      <c r="N253" s="2" t="s">
        <v>15</v>
      </c>
      <c r="O253" s="17">
        <f t="shared" si="39"/>
        <v>1839</v>
      </c>
      <c r="P253" s="17">
        <f t="shared" si="40"/>
        <v>1839</v>
      </c>
      <c r="Q253" s="2">
        <v>19</v>
      </c>
    </row>
    <row r="254" spans="14:17" x14ac:dyDescent="0.15">
      <c r="N254" s="2" t="s">
        <v>16</v>
      </c>
      <c r="O254" s="17">
        <f t="shared" si="39"/>
        <v>1637</v>
      </c>
      <c r="P254" s="17">
        <f t="shared" si="40"/>
        <v>1637</v>
      </c>
      <c r="Q254" s="2">
        <v>20</v>
      </c>
    </row>
    <row r="255" spans="14:17" x14ac:dyDescent="0.15">
      <c r="N255" s="2" t="s">
        <v>17</v>
      </c>
      <c r="O255" s="17">
        <f t="shared" si="39"/>
        <v>1448</v>
      </c>
      <c r="P255" s="17">
        <f t="shared" si="40"/>
        <v>1448</v>
      </c>
      <c r="Q255" s="2">
        <v>21</v>
      </c>
    </row>
    <row r="256" spans="14:17" x14ac:dyDescent="0.15">
      <c r="N256" s="2" t="s">
        <v>18</v>
      </c>
      <c r="O256" s="17">
        <f t="shared" si="39"/>
        <v>958</v>
      </c>
      <c r="P256" s="17">
        <f t="shared" si="40"/>
        <v>958</v>
      </c>
      <c r="Q256" s="2">
        <v>22</v>
      </c>
    </row>
    <row r="257" spans="14:17" x14ac:dyDescent="0.15">
      <c r="N257" s="2" t="s">
        <v>19</v>
      </c>
      <c r="O257" s="17">
        <f t="shared" si="39"/>
        <v>300</v>
      </c>
      <c r="P257" s="17">
        <f t="shared" si="40"/>
        <v>300</v>
      </c>
      <c r="Q257" s="2">
        <v>23</v>
      </c>
    </row>
    <row r="258" spans="14:17" x14ac:dyDescent="0.15">
      <c r="N258" s="2" t="s">
        <v>20</v>
      </c>
      <c r="O258" s="17">
        <f>H161+I161</f>
        <v>41</v>
      </c>
      <c r="P258" s="17">
        <f>O161+P161</f>
        <v>41</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2019-03-15T05:21:46Z</cp:lastPrinted>
  <dcterms:created xsi:type="dcterms:W3CDTF">2018-08-17T00:57:13Z</dcterms:created>
  <dcterms:modified xsi:type="dcterms:W3CDTF">2023-03-06T06:02:51Z</dcterms:modified>
</cp:coreProperties>
</file>