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mn7Zq+LPhbwGTazeJqUsUaFhYFsykuG5wG7CleOzqPzLPIUHxkQ2R6RFVIGWxOQ1DXpJqJUGWtHd3s+/W7fqdw==" workbookSaltValue="Y7vqN7xK3i/5lWtI0AWfE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AV8" i="17" s="1"/>
  <c r="BU4" i="17" s="1"/>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W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B8" i="17"/>
  <c r="CA4" i="17" s="1"/>
  <c r="EP4" i="17" s="1"/>
  <c r="AT8" i="17"/>
  <c r="BS4" i="17" s="1"/>
  <c r="BT7"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AZ8" i="17"/>
  <c r="BY4" i="17" s="1"/>
  <c r="AO8" i="17"/>
  <c r="BN4" i="17" s="1"/>
  <c r="O38" i="18"/>
  <c r="A111" i="21" s="1"/>
  <c r="BE8" i="17"/>
  <c r="CD4" i="17" s="1"/>
  <c r="CD5" i="17" s="1"/>
  <c r="I60" i="18"/>
  <c r="P60" i="18" s="1"/>
  <c r="DK3" i="17"/>
  <c r="DL6" i="17" s="1"/>
  <c r="ES3" i="17"/>
  <c r="EJ4" i="17"/>
  <c r="DB4"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U7" i="17"/>
  <c r="BX6" i="17"/>
  <c r="BP6" i="17"/>
  <c r="BT6" i="17"/>
  <c r="O42" i="18"/>
  <c r="O60" i="18"/>
  <c r="O52" i="18"/>
  <c r="O24" i="18"/>
  <c r="O34" i="18"/>
  <c r="O16" i="18"/>
  <c r="BQ5" i="17" l="1"/>
  <c r="CC5" i="17"/>
  <c r="DJ4" i="17"/>
  <c r="DK7" i="17" s="1"/>
  <c r="DL10" i="17" s="1"/>
  <c r="P137" i="18" s="1"/>
  <c r="BZ7" i="17"/>
  <c r="CA10" i="17" s="1"/>
  <c r="CB13" i="17" s="1"/>
  <c r="CA5" i="17"/>
  <c r="DH4" i="17"/>
  <c r="DI7" i="17" s="1"/>
  <c r="DJ10" i="17" s="1"/>
  <c r="EQ4" i="17"/>
  <c r="ER7" i="17" s="1"/>
  <c r="EH4" i="17"/>
  <c r="EI7" i="17" s="1"/>
  <c r="CZ4" i="17"/>
  <c r="DA7" i="17" s="1"/>
  <c r="BS7" i="17"/>
  <c r="BS8" i="17" s="1"/>
  <c r="O75" i="18"/>
  <c r="BS5" i="17"/>
  <c r="DG4" i="17"/>
  <c r="DG5" i="17"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I77" i="18"/>
  <c r="I75" i="18"/>
  <c r="I81" i="18"/>
  <c r="I82" i="18"/>
  <c r="I86" i="18"/>
  <c r="I80" i="18"/>
  <c r="CE9" i="17"/>
  <c r="H137" i="18" s="1"/>
  <c r="H88"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DA8" i="17"/>
  <c r="BS9" i="17"/>
  <c r="H125" i="18" s="1"/>
  <c r="DI6" i="17"/>
  <c r="O86" i="18" s="1"/>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J5" i="17" l="1"/>
  <c r="EQ5" i="17"/>
  <c r="BT10" i="17"/>
  <c r="BU13" i="17" s="1"/>
  <c r="I151" i="18" s="1"/>
  <c r="I101" i="18"/>
  <c r="CJ5" i="17"/>
  <c r="BZ8" i="17"/>
  <c r="EH5" i="17"/>
  <c r="EQ21" i="17"/>
  <c r="EQ22" i="17" s="1"/>
  <c r="EH21" i="17"/>
  <c r="EH22" i="17" s="1"/>
  <c r="P87" i="18"/>
  <c r="DH5" i="17"/>
  <c r="BS10" i="17"/>
  <c r="BT13" i="17" s="1"/>
  <c r="I150" i="18" s="1"/>
  <c r="CD10" i="17"/>
  <c r="CE13" i="17" s="1"/>
  <c r="I113" i="18" s="1"/>
  <c r="O234" i="18" s="1"/>
  <c r="P84" i="18"/>
  <c r="EV4" i="17"/>
  <c r="DH7" i="17"/>
  <c r="P85" i="18" s="1"/>
  <c r="CM5" i="17"/>
  <c r="DK5"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BU12" i="17"/>
  <c r="H151" i="18" s="1"/>
  <c r="BR12" i="17"/>
  <c r="H148" i="18" s="1"/>
  <c r="DE9" i="17"/>
  <c r="O130" i="18" s="1"/>
  <c r="DD8" i="17"/>
  <c r="BU11" i="17"/>
  <c r="BV12" i="17"/>
  <c r="H152" i="18" s="1"/>
  <c r="O249" i="18" s="1"/>
  <c r="O248" i="18" l="1"/>
  <c r="DP7" i="17"/>
  <c r="BT11" i="17"/>
  <c r="I126" i="18"/>
  <c r="BU16" i="17"/>
  <c r="I175" i="18" s="1"/>
  <c r="BV16" i="17"/>
  <c r="DE13" i="17"/>
  <c r="DF16" i="17" s="1"/>
  <c r="DG19" i="17" s="1"/>
  <c r="P204" i="18" s="1"/>
  <c r="CD11" i="17"/>
  <c r="I136" i="18"/>
  <c r="O247" i="18"/>
  <c r="DQ7" i="17"/>
  <c r="EY21" i="17"/>
  <c r="DH8" i="17"/>
  <c r="DP8" i="17" s="1"/>
  <c r="DI10" i="17"/>
  <c r="DP10" i="17" s="1"/>
  <c r="EX21" i="17"/>
  <c r="I125" i="18"/>
  <c r="I135" i="18"/>
  <c r="CE14" i="17"/>
  <c r="I161" i="18"/>
  <c r="O258" i="18" s="1"/>
  <c r="DQ5" i="17"/>
  <c r="EO8" i="17"/>
  <c r="ET8" i="17"/>
  <c r="O256" i="18"/>
  <c r="BZ11" i="17"/>
  <c r="DP5" i="17"/>
  <c r="EO10" i="17"/>
  <c r="EO27" i="17" s="1"/>
  <c r="EO28" i="17" s="1"/>
  <c r="CI8" i="17"/>
  <c r="O257" i="18"/>
  <c r="DT5"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P224" i="18" s="1"/>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82"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179" i="18" l="1"/>
  <c r="P154" i="18"/>
  <c r="BV19" i="17"/>
  <c r="I200" i="18" s="1"/>
  <c r="DQ10" i="17"/>
  <c r="DJ13" i="17"/>
  <c r="DK16" i="17" s="1"/>
  <c r="P184" i="18" s="1"/>
  <c r="P134" i="18"/>
  <c r="Q45" i="18" s="1"/>
  <c r="DQ8" i="17"/>
  <c r="EO11" i="17"/>
  <c r="CJ11" i="17"/>
  <c r="I45" i="18"/>
  <c r="P45" i="18" s="1"/>
  <c r="P250" i="18"/>
  <c r="CI11" i="17"/>
  <c r="EY8" i="17"/>
  <c r="CK5" i="17"/>
  <c r="P226" i="18"/>
  <c r="DB16" i="17"/>
  <c r="DC19" i="17" s="1"/>
  <c r="P200" i="18" s="1"/>
  <c r="P249" i="18"/>
  <c r="P248" i="18"/>
  <c r="BL8" i="17"/>
  <c r="CG8" i="17" s="1"/>
  <c r="I18" i="18" s="1"/>
  <c r="EC11" i="17"/>
  <c r="CF7" i="17"/>
  <c r="CL7" i="17" s="1"/>
  <c r="CI16" i="17"/>
  <c r="EX8" i="17"/>
  <c r="CC19" i="17"/>
  <c r="I207" i="18" s="1"/>
  <c r="CG7" i="17"/>
  <c r="EP13" i="17"/>
  <c r="EP30" i="17" s="1"/>
  <c r="P150" i="18"/>
  <c r="P247" i="18" s="1"/>
  <c r="DE14" i="17"/>
  <c r="CL4" i="17"/>
  <c r="CJ16" i="17"/>
  <c r="CR5" i="17"/>
  <c r="DM5" i="17" s="1"/>
  <c r="DR5" i="17" s="1"/>
  <c r="CS7" i="17"/>
  <c r="P70" i="18" s="1"/>
  <c r="I94" i="18"/>
  <c r="P69" i="18"/>
  <c r="I93" i="18"/>
  <c r="O214" i="18" s="1"/>
  <c r="CK4" i="17"/>
  <c r="DP13" i="17"/>
  <c r="BK8" i="17"/>
  <c r="ED13" i="17"/>
  <c r="ED30" i="17" s="1"/>
  <c r="CW14" i="17"/>
  <c r="P223" i="18"/>
  <c r="P252" i="18"/>
  <c r="P225" i="18"/>
  <c r="O221" i="18"/>
  <c r="I37" i="18"/>
  <c r="P37" i="18" s="1"/>
  <c r="CM13" i="17"/>
  <c r="DT13" i="17"/>
  <c r="CR12" i="17" s="1"/>
  <c r="O141" i="18" s="1"/>
  <c r="DL19" i="17"/>
  <c r="P209" i="18" s="1"/>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DG14" i="17"/>
  <c r="CZ14" i="17"/>
  <c r="O111" i="18"/>
  <c r="O159" i="18"/>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Q13" i="17" l="1"/>
  <c r="EY11" i="17"/>
  <c r="P175" i="18"/>
  <c r="DJ14" i="17"/>
  <c r="DP14" i="17" s="1"/>
  <c r="P159" i="18"/>
  <c r="DJ19" i="17"/>
  <c r="P207" i="18" s="1"/>
  <c r="Q37" i="18"/>
  <c r="H142" i="18"/>
  <c r="DB17" i="17"/>
  <c r="DC20" i="17"/>
  <c r="EP31" i="17"/>
  <c r="EP14" i="17"/>
  <c r="EY30" i="17"/>
  <c r="CF8" i="17"/>
  <c r="CL8" i="17" s="1"/>
  <c r="ED14" i="17"/>
  <c r="EX30" i="17"/>
  <c r="DS5" i="17"/>
  <c r="CS8" i="17"/>
  <c r="DM8" i="17" s="1"/>
  <c r="DR8" i="17" s="1"/>
  <c r="DN7" i="17"/>
  <c r="CK7" i="17"/>
  <c r="CI19" i="17"/>
  <c r="CJ19" i="17"/>
  <c r="O215" i="18"/>
  <c r="Q53" i="18"/>
  <c r="T7" i="18"/>
  <c r="U7" i="18" s="1"/>
  <c r="DM7" i="17"/>
  <c r="DS7" i="17" s="1"/>
  <c r="CT10" i="17"/>
  <c r="CU13" i="17" s="1"/>
  <c r="P144"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CF12" i="17"/>
  <c r="CK12" i="17" s="1"/>
  <c r="BN14" i="17"/>
  <c r="CG11" i="17"/>
  <c r="I19" i="18" s="1"/>
  <c r="P19" i="18" s="1"/>
  <c r="P46" i="18"/>
  <c r="P38" i="18"/>
  <c r="BM14" i="17"/>
  <c r="CH12" i="17"/>
  <c r="DO9" i="17"/>
  <c r="CH13" i="17"/>
  <c r="CG12" i="17"/>
  <c r="DM9" i="17"/>
  <c r="P18" i="18"/>
  <c r="DN9" i="17"/>
  <c r="DQ14" i="17" l="1"/>
  <c r="EX31" i="17"/>
  <c r="DW10" i="17"/>
  <c r="DW16" i="17" s="1"/>
  <c r="DW8" i="17"/>
  <c r="DW9" i="17" s="1"/>
  <c r="DW17" i="17" s="1"/>
  <c r="DX1" i="17" s="1"/>
  <c r="EY14" i="17"/>
  <c r="CK8" i="17"/>
  <c r="DN8" i="17"/>
  <c r="Q18" i="18" s="1"/>
  <c r="CV16" i="17"/>
  <c r="DT16" i="17" s="1"/>
  <c r="CR15" i="17" s="1"/>
  <c r="O165" i="18" s="1"/>
  <c r="DO10" i="17"/>
  <c r="DN10" i="17"/>
  <c r="CT11" i="17"/>
  <c r="DN11" i="17" s="1"/>
  <c r="Q19" i="18" s="1"/>
  <c r="DM10" i="17"/>
  <c r="DR10" i="17" s="1"/>
  <c r="P119" i="18"/>
  <c r="Q63" i="18" s="1"/>
  <c r="H167" i="18"/>
  <c r="DR7" i="17"/>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M11" i="17" l="1"/>
  <c r="DO11" i="17"/>
  <c r="Q27" i="18" s="1"/>
  <c r="CV17" i="17"/>
  <c r="DT17" i="17" s="1"/>
  <c r="EG3" i="17"/>
  <c r="EE13" i="17"/>
  <c r="EE30" i="17" s="1"/>
  <c r="EF3" i="17"/>
  <c r="EE12" i="17"/>
  <c r="EF4" i="17"/>
  <c r="C37" i="21"/>
  <c r="EG4" i="17"/>
  <c r="EE6" i="17"/>
  <c r="EE3" i="17"/>
  <c r="EE10" i="17"/>
  <c r="EE9" i="17"/>
  <c r="EE4" i="17"/>
  <c r="EE7" i="17"/>
  <c r="DX18" i="17"/>
  <c r="DS10" i="17"/>
  <c r="T9" i="18"/>
  <c r="U9" i="18" s="1"/>
  <c r="Q55" i="18"/>
  <c r="P166" i="18"/>
  <c r="CT19" i="17"/>
  <c r="DO19" i="17" s="1"/>
  <c r="DR13" i="17"/>
  <c r="CS17" i="17"/>
  <c r="CL13" i="17"/>
  <c r="BN19" i="17"/>
  <c r="BN20" i="17" s="1"/>
  <c r="I56" i="18"/>
  <c r="E74" i="19" s="1"/>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F7" i="17" l="1"/>
  <c r="FB4" i="17"/>
  <c r="EU4" i="17"/>
  <c r="EE21" i="17"/>
  <c r="EF9" i="17"/>
  <c r="EE23" i="17"/>
  <c r="EE8" i="17"/>
  <c r="CL14" i="17"/>
  <c r="EF12" i="17"/>
  <c r="EE26" i="17"/>
  <c r="EE11" i="17"/>
  <c r="EG21" i="17"/>
  <c r="EH7" i="17"/>
  <c r="EG6" i="17"/>
  <c r="EF20" i="17"/>
  <c r="EF5" i="17"/>
  <c r="EF13" i="17"/>
  <c r="EE27" i="17"/>
  <c r="D38" i="21"/>
  <c r="C39" i="21"/>
  <c r="D37" i="21"/>
  <c r="C38" i="21"/>
  <c r="D39" i="21"/>
  <c r="EE29" i="17"/>
  <c r="EE31" i="17" s="1"/>
  <c r="EE14" i="17"/>
  <c r="EE24" i="17"/>
  <c r="EF10" i="17"/>
  <c r="EF6" i="17"/>
  <c r="EU3" i="17"/>
  <c r="EE5" i="17"/>
  <c r="FB3" i="17"/>
  <c r="EE20" i="17"/>
  <c r="EF21" i="17"/>
  <c r="EG7" i="17"/>
  <c r="EH6" i="17"/>
  <c r="EG20" i="17"/>
  <c r="EG22" i="17" s="1"/>
  <c r="EG5" i="17"/>
  <c r="DN17" i="17"/>
  <c r="P191" i="18"/>
  <c r="P56" i="18"/>
  <c r="E116" i="21" s="1"/>
  <c r="BK18" i="17"/>
  <c r="H189" i="18" s="1"/>
  <c r="G71" i="19"/>
  <c r="E75" i="19"/>
  <c r="C12" i="19"/>
  <c r="I192" i="18"/>
  <c r="CT20" i="17"/>
  <c r="DN20" i="17" s="1"/>
  <c r="G70" i="19"/>
  <c r="Q10" i="18"/>
  <c r="K10" i="18"/>
  <c r="R10" i="18" s="1"/>
  <c r="C83" i="21"/>
  <c r="CG17" i="17"/>
  <c r="P20" i="18"/>
  <c r="DS15" i="17"/>
  <c r="CV20" i="17"/>
  <c r="DT20" i="17" s="1"/>
  <c r="CH19" i="17"/>
  <c r="H191" i="18"/>
  <c r="BM20" i="17"/>
  <c r="CH20" i="17" s="1"/>
  <c r="CH18" i="17"/>
  <c r="CH17" i="17"/>
  <c r="C82" i="21"/>
  <c r="D6" i="19"/>
  <c r="D7" i="19" s="1"/>
  <c r="R8" i="18"/>
  <c r="P193" i="18"/>
  <c r="DM19" i="17"/>
  <c r="DS19" i="17" s="1"/>
  <c r="P189" i="18"/>
  <c r="CR18" i="17"/>
  <c r="CR20" i="17" s="1"/>
  <c r="DN19" i="17"/>
  <c r="P190" i="18"/>
  <c r="DM17" i="17"/>
  <c r="DR17" i="17" s="1"/>
  <c r="E117" i="21"/>
  <c r="G113" i="21"/>
  <c r="O192" i="18"/>
  <c r="CU20" i="17"/>
  <c r="DO18" i="17"/>
  <c r="DO17" i="17"/>
  <c r="G112" i="21"/>
  <c r="DR16" i="17"/>
  <c r="BL18" i="17"/>
  <c r="BK17" i="17"/>
  <c r="CF17" i="17" s="1"/>
  <c r="CF15" i="17"/>
  <c r="CM20" i="17"/>
  <c r="CF16" i="17"/>
  <c r="BL19" i="17"/>
  <c r="DR14" i="17"/>
  <c r="DS14" i="17"/>
  <c r="EG8" i="17" l="1"/>
  <c r="EH10" i="17"/>
  <c r="EG24" i="17"/>
  <c r="EG25" i="17" s="1"/>
  <c r="FB5" i="17"/>
  <c r="EU5" i="17"/>
  <c r="EG23" i="17"/>
  <c r="FB23" i="17" s="1"/>
  <c r="EH9" i="17"/>
  <c r="EZ4" i="17"/>
  <c r="FA4" i="17"/>
  <c r="FB20" i="17"/>
  <c r="EE22" i="17"/>
  <c r="EU20" i="17"/>
  <c r="EF23" i="17"/>
  <c r="EG9" i="17"/>
  <c r="EF8" i="17"/>
  <c r="FB8" i="17" s="1"/>
  <c r="EF26" i="17"/>
  <c r="EG12" i="17"/>
  <c r="FB12" i="17" s="1"/>
  <c r="EF11" i="17"/>
  <c r="FB9" i="17"/>
  <c r="EF24" i="17"/>
  <c r="EG10" i="17"/>
  <c r="FB10" i="17" s="1"/>
  <c r="FB7" i="17"/>
  <c r="EE28" i="17"/>
  <c r="FB6" i="17"/>
  <c r="EZ3" i="17"/>
  <c r="FA3" i="17"/>
  <c r="EF30" i="17"/>
  <c r="EI10" i="17"/>
  <c r="EH24" i="17"/>
  <c r="EF29" i="17"/>
  <c r="EF14" i="17"/>
  <c r="EE25" i="17"/>
  <c r="EI9" i="17"/>
  <c r="EH23" i="17"/>
  <c r="EH8" i="17"/>
  <c r="EF27" i="17"/>
  <c r="EG13" i="17"/>
  <c r="EG30" i="17" s="1"/>
  <c r="EF22" i="17"/>
  <c r="FB21" i="17"/>
  <c r="EU21" i="17"/>
  <c r="D46" i="21"/>
  <c r="D10" i="19"/>
  <c r="D47" i="21" s="1"/>
  <c r="BK20" i="17"/>
  <c r="DO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30" i="17" l="1"/>
  <c r="EF31" i="17"/>
  <c r="FB13" i="17"/>
  <c r="DZ13" i="17" s="1"/>
  <c r="DZ30" i="17" s="1"/>
  <c r="FB24" i="17"/>
  <c r="EH25" i="17"/>
  <c r="EF25" i="17"/>
  <c r="FB25" i="17" s="1"/>
  <c r="EJ13" i="17"/>
  <c r="EJ30" i="17" s="1"/>
  <c r="EI27" i="17"/>
  <c r="DZ6" i="17"/>
  <c r="DZ7" i="17"/>
  <c r="EG26" i="17"/>
  <c r="EH12" i="17"/>
  <c r="EG11" i="17"/>
  <c r="FB11" i="17" s="1"/>
  <c r="EH11" i="17"/>
  <c r="EI13" i="17"/>
  <c r="EH27" i="17"/>
  <c r="FA21" i="17"/>
  <c r="EZ21" i="17"/>
  <c r="DZ9" i="17"/>
  <c r="DZ10" i="17"/>
  <c r="EH13" i="17"/>
  <c r="EH30" i="17" s="1"/>
  <c r="EG27" i="17"/>
  <c r="FB27" i="17" s="1"/>
  <c r="EG14" i="17"/>
  <c r="FB14" i="17" s="1"/>
  <c r="EG29" i="17"/>
  <c r="FA5" i="17"/>
  <c r="EZ5" i="17"/>
  <c r="EU22" i="17"/>
  <c r="FB22" i="17"/>
  <c r="EI12" i="17"/>
  <c r="EI29" i="17" s="1"/>
  <c r="EH26" i="17"/>
  <c r="D11" i="19"/>
  <c r="EJ12" i="17"/>
  <c r="EI26" i="17"/>
  <c r="EI11" i="17"/>
  <c r="EF28" i="17"/>
  <c r="FA20" i="17"/>
  <c r="EZ20" i="17"/>
  <c r="CK18" i="17"/>
  <c r="DS20" i="17"/>
  <c r="DS18" i="17"/>
  <c r="CK19" i="17"/>
  <c r="CL19" i="17"/>
  <c r="CF20" i="17"/>
  <c r="DZ12" i="17" l="1"/>
  <c r="EI28" i="17"/>
  <c r="EA10" i="17"/>
  <c r="EU10" i="17" s="1"/>
  <c r="DZ24" i="17"/>
  <c r="EU24" i="17" s="1"/>
  <c r="EU7" i="17"/>
  <c r="EJ14" i="17"/>
  <c r="EJ29" i="17"/>
  <c r="EJ31" i="17" s="1"/>
  <c r="DZ27" i="17"/>
  <c r="EA13" i="17"/>
  <c r="EH29" i="17"/>
  <c r="EH31" i="17" s="1"/>
  <c r="EH14" i="17"/>
  <c r="EA12" i="17"/>
  <c r="DZ26" i="17"/>
  <c r="DZ11" i="17"/>
  <c r="EI14" i="17"/>
  <c r="EI30" i="17"/>
  <c r="EI31" i="17" s="1"/>
  <c r="EG28" i="17"/>
  <c r="FB28" i="17" s="1"/>
  <c r="FB26" i="17"/>
  <c r="EH28" i="17"/>
  <c r="EA9" i="17"/>
  <c r="DZ23" i="17"/>
  <c r="EU6" i="17"/>
  <c r="DZ8" i="17"/>
  <c r="EU8" i="17" s="1"/>
  <c r="EZ22" i="17"/>
  <c r="H36" i="21"/>
  <c r="FA22" i="17"/>
  <c r="FB29" i="17"/>
  <c r="EG31" i="17"/>
  <c r="FB31" i="17" s="1"/>
  <c r="DZ14" i="17"/>
  <c r="DZ29" i="17"/>
  <c r="DZ31" i="17" s="1"/>
  <c r="CK20" i="17"/>
  <c r="CL20" i="17"/>
  <c r="EU9" i="17" l="1"/>
  <c r="EV9" i="17"/>
  <c r="EA26" i="17"/>
  <c r="EU26" i="17" s="1"/>
  <c r="EA11" i="17"/>
  <c r="EV11" i="17" s="1"/>
  <c r="EB12" i="17"/>
  <c r="EA14" i="17"/>
  <c r="EA29" i="17"/>
  <c r="EU12" i="17"/>
  <c r="EV12" i="17"/>
  <c r="FA8" i="17"/>
  <c r="EZ8" i="17"/>
  <c r="EZ7" i="17"/>
  <c r="FA7" i="17"/>
  <c r="EZ6" i="17"/>
  <c r="FA6" i="17"/>
  <c r="EU11" i="17"/>
  <c r="FA24" i="17"/>
  <c r="EZ24" i="17"/>
  <c r="FA10" i="17"/>
  <c r="EZ10" i="17"/>
  <c r="EA30" i="17"/>
  <c r="EU23" i="17"/>
  <c r="DZ25" i="17"/>
  <c r="EU25" i="17" s="1"/>
  <c r="DZ28" i="17"/>
  <c r="EB13" i="17"/>
  <c r="EV10" i="17"/>
  <c r="EA27" i="17"/>
  <c r="EV27" i="17" s="1"/>
  <c r="EZ23" i="17" l="1"/>
  <c r="FA23" i="17"/>
  <c r="FA12" i="17"/>
  <c r="EZ12" i="17"/>
  <c r="FA26" i="17"/>
  <c r="EZ26" i="17"/>
  <c r="EA31" i="17"/>
  <c r="EV13" i="17"/>
  <c r="EW13" i="17"/>
  <c r="EB30" i="17"/>
  <c r="EW30" i="17" s="1"/>
  <c r="FA11" i="17"/>
  <c r="EZ11" i="17"/>
  <c r="EU13" i="17"/>
  <c r="EV26" i="17"/>
  <c r="EA28" i="17"/>
  <c r="EV28" i="17" s="1"/>
  <c r="H37" i="21"/>
  <c r="EZ25" i="17"/>
  <c r="FA25" i="17"/>
  <c r="EU27" i="17"/>
  <c r="EB14" i="17"/>
  <c r="EW14" i="17" s="1"/>
  <c r="EW12" i="17"/>
  <c r="EB29" i="17"/>
  <c r="EV29" i="17" s="1"/>
  <c r="EZ9" i="17"/>
  <c r="FA9" i="17"/>
  <c r="EV14" i="17" l="1"/>
  <c r="EZ27" i="17"/>
  <c r="FA27" i="17"/>
  <c r="EU28" i="17"/>
  <c r="EU14" i="17"/>
  <c r="EU30" i="17"/>
  <c r="EZ13" i="17"/>
  <c r="FA13" i="17"/>
  <c r="EW29" i="17"/>
  <c r="EB31" i="17"/>
  <c r="EW31" i="17" s="1"/>
  <c r="EV30" i="17"/>
  <c r="EU29" i="17"/>
  <c r="EZ14" i="17" l="1"/>
  <c r="FA14" i="17"/>
  <c r="EZ30" i="17"/>
  <c r="FA30" i="17"/>
  <c r="EZ28" i="17"/>
  <c r="H38" i="21"/>
  <c r="FA28" i="17"/>
  <c r="EV31" i="17"/>
  <c r="EZ29" i="17"/>
  <c r="FA29" i="17"/>
  <c r="EU31" i="17"/>
  <c r="EZ31" i="17" l="1"/>
  <c r="FA31" i="17"/>
  <c r="H39" i="21"/>
</calcChain>
</file>

<file path=xl/sharedStrings.xml><?xml version="1.0" encoding="utf-8"?>
<sst xmlns="http://schemas.openxmlformats.org/spreadsheetml/2006/main" count="1405" uniqueCount="475">
  <si>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</si>
  <si>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</si>
  <si>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</si>
  <si>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</si>
  <si>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</si>
  <si>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</si>
  <si>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</si>
  <si>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</si>
  <si>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</si>
  <si>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</si>
  <si>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</si>
  <si>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</si>
  <si>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</si>
  <si>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</si>
  <si>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</si>
  <si>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</si>
  <si>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</si>
  <si>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</si>
  <si>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</si>
  <si>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</si>
  <si>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</si>
  <si>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</si>
  <si>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</si>
  <si>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</si>
  <si>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</si>
  <si>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</si>
  <si>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</si>
  <si>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</si>
  <si>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</si>
  <si>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</si>
  <si>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</si>
  <si>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</si>
  <si>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</si>
  <si>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</si>
  <si>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</si>
  <si>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</si>
  <si>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</si>
  <si>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</si>
  <si>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</si>
  <si>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</si>
  <si>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</si>
  <si>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</si>
  <si>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</si>
  <si>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</si>
  <si>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</si>
  <si>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</si>
  <si>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</si>
  <si>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</si>
  <si>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</si>
  <si>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</si>
  <si>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</si>
  <si>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</si>
  <si>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</si>
  <si>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</si>
  <si>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</si>
  <si>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</si>
  <si>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</si>
  <si>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</si>
  <si>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</si>
  <si>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</si>
  <si>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</si>
  <si>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</si>
  <si>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</si>
  <si>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</si>
  <si>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</si>
  <si>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</si>
  <si>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</si>
  <si>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</si>
  <si>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</si>
  <si>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</si>
  <si>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</si>
  <si>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</si>
  <si>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</si>
  <si>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</si>
  <si>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</si>
  <si>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</si>
  <si>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</si>
  <si>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</si>
  <si>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</si>
  <si>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</si>
  <si>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</si>
  <si>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</si>
  <si>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</si>
  <si>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</si>
  <si>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</si>
  <si>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</si>
  <si>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</si>
  <si>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</si>
  <si>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</si>
  <si>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</si>
  <si>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</si>
  <si>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</si>
  <si>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</si>
  <si>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</si>
  <si>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</si>
  <si>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</si>
  <si>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</si>
  <si>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</si>
  <si>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</si>
  <si>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</si>
  <si>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</si>
  <si>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</si>
  <si>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</si>
  <si>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</si>
  <si>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</si>
  <si>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</si>
  <si>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</si>
  <si>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</si>
  <si>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</si>
  <si>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</si>
  <si>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</si>
  <si>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</si>
  <si>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</si>
  <si>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</si>
  <si>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</si>
  <si>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</si>
  <si>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</si>
  <si>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</si>
  <si>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</si>
  <si>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</si>
  <si>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</si>
  <si>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</si>
  <si>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</si>
  <si>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</si>
  <si>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</si>
  <si>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</si>
  <si>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</si>
  <si>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</si>
  <si>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</si>
  <si>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</si>
  <si>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</si>
  <si>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</si>
  <si>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</si>
  <si>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</si>
  <si>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</si>
  <si>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</si>
  <si>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</si>
  <si>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</si>
  <si>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</si>
  <si>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</si>
  <si>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</si>
  <si>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</si>
  <si>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</si>
  <si>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</si>
  <si>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</si>
  <si>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</si>
  <si>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</si>
  <si>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</si>
  <si>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</si>
  <si>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</si>
  <si>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</si>
  <si>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</si>
  <si>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</si>
  <si>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</si>
  <si>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</si>
  <si>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</si>
  <si>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</si>
  <si>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</si>
  <si>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</si>
  <si>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</si>
  <si>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</si>
  <si>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</si>
  <si>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</si>
  <si>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</si>
  <si>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</si>
  <si>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</si>
  <si>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</si>
  <si>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</si>
  <si>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</si>
  <si>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</si>
  <si>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</si>
  <si>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</si>
  <si>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</si>
  <si>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</si>
  <si>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</si>
  <si>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</si>
  <si>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</si>
  <si>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</si>
  <si>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</si>
  <si>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</si>
  <si>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</si>
  <si>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</si>
  <si>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</si>
  <si>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</si>
  <si>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</si>
  <si>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</si>
  <si>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</si>
  <si>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</si>
  <si>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</si>
  <si>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</si>
  <si>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</si>
  <si>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</si>
  <si>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</si>
  <si>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</si>
  <si>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</si>
  <si>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</si>
  <si>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</si>
  <si>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</si>
  <si>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</si>
  <si>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</si>
  <si>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</si>
  <si>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</si>
  <si>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</si>
  <si>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</si>
  <si>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</si>
  <si>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</si>
  <si>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</si>
  <si>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</si>
  <si>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</si>
  <si>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</si>
  <si>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</si>
  <si>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</si>
  <si>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</si>
  <si>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</si>
  <si>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</si>
  <si>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</si>
  <si>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</si>
  <si>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</si>
  <si>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</si>
  <si>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</si>
  <si>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</si>
  <si>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</si>
  <si>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</si>
  <si>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</si>
  <si>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</si>
  <si>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</si>
  <si>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</si>
  <si>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</si>
  <si>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</si>
  <si>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</si>
  <si>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</si>
  <si>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</si>
  <si>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</si>
  <si>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</si>
  <si>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</si>
  <si>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</si>
  <si>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</si>
  <si>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</si>
  <si>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</si>
  <si>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</si>
  <si>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</si>
  <si>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</si>
  <si>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</si>
  <si>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</si>
  <si>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</si>
  <si>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</si>
  <si>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</si>
  <si>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</si>
  <si>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</si>
  <si>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</si>
  <si>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</si>
  <si>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</si>
  <si>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</si>
  <si>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</si>
  <si>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</si>
  <si>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</si>
  <si>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</si>
  <si>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</si>
  <si>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</si>
  <si>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</si>
  <si>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</si>
  <si>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</si>
  <si>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</si>
  <si>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</si>
  <si>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</si>
  <si>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</si>
  <si>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</si>
  <si>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</si>
  <si>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</si>
  <si>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</si>
  <si>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</si>
  <si>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</si>
  <si>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</si>
  <si>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</si>
  <si>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</si>
  <si>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</si>
  <si>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</si>
  <si>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</si>
  <si>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</si>
  <si>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</si>
  <si>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</si>
  <si>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</si>
  <si>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</si>
  <si>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</si>
  <si>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</si>
  <si>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</si>
  <si>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</si>
  <si>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</si>
  <si>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</si>
  <si>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</si>
  <si>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</si>
  <si>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</si>
  <si>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</si>
  <si>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</si>
  <si>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</si>
  <si>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</si>
  <si>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</si>
  <si>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</si>
  <si>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</si>
  <si>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</si>
  <si>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</si>
  <si>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</si>
  <si>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</si>
  <si>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</si>
  <si>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</si>
  <si>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</si>
  <si>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</si>
  <si>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</si>
  <si>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</si>
  <si>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</si>
  <si>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</si>
  <si>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</si>
  <si>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</si>
  <si>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</si>
  <si>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</si>
  <si>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</si>
  <si>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</si>
  <si>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</si>
  <si>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</si>
  <si>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</si>
  <si>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</si>
  <si>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</si>
  <si>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</si>
  <si>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</si>
  <si>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</si>
  <si>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</si>
  <si>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</si>
  <si>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</si>
  <si>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</si>
  <si>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</si>
  <si>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</si>
  <si>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</si>
  <si>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</si>
  <si>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</si>
  <si>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</si>
  <si>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</si>
  <si>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</si>
  <si>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</si>
  <si>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</si>
  <si>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</si>
  <si>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</si>
  <si>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</si>
  <si>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</si>
  <si>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</si>
  <si>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</si>
  <si>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</si>
  <si>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</si>
  <si>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</si>
  <si>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</si>
  <si>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</si>
  <si>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</si>
  <si>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</si>
  <si>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</si>
  <si>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</si>
  <si>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</si>
  <si>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</si>
  <si>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</si>
  <si>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</si>
  <si>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</si>
  <si>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</si>
  <si>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</si>
  <si>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</si>
  <si>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</si>
  <si>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</si>
  <si>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</si>
  <si>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</si>
  <si>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</si>
  <si>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</si>
  <si>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</si>
  <si>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</si>
  <si>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</si>
  <si>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</si>
  <si>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</si>
  <si>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</si>
  <si>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</si>
  <si>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</si>
  <si>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</si>
  <si>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</si>
  <si>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</si>
  <si>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</si>
  <si>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</si>
  <si>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</si>
  <si>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</si>
  <si>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</si>
  <si>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</si>
  <si>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</si>
  <si>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</si>
  <si>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</si>
  <si>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</si>
  <si>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</si>
  <si>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</si>
  <si>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</si>
  <si>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</si>
  <si>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</si>
  <si>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</si>
  <si>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</si>
  <si>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</si>
  <si>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</si>
  <si>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</si>
  <si>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</si>
  <si>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</si>
  <si>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</si>
  <si>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</si>
  <si>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</si>
  <si>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</si>
  <si>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</si>
  <si>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</si>
  <si>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</si>
  <si>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</si>
  <si>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</si>
  <si>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</si>
  <si>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</si>
  <si>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</si>
  <si>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</si>
  <si>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</si>
  <si>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</si>
  <si>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</si>
  <si>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</si>
  <si>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</si>
  <si>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</si>
  <si>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</si>
  <si>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</si>
  <si>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</si>
  <si>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</si>
  <si>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</si>
  <si>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</si>
  <si>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</si>
  <si>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</si>
  <si>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</si>
  <si>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</si>
  <si>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</si>
  <si>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</si>
  <si>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</si>
  <si>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</si>
  <si>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</si>
  <si>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</si>
  <si>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</si>
  <si>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</si>
  <si>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</si>
  <si>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</si>
  <si>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</si>
  <si>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</si>
  <si>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</si>
  <si>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</si>
  <si>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</si>
  <si>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</si>
  <si>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</si>
  <si>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</si>
  <si>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</si>
  <si>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</si>
  <si>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</si>
  <si>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</si>
  <si>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</si>
  <si>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</si>
  <si>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</si>
  <si>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</si>
  <si>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</si>
  <si>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</si>
  <si>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</si>
  <si>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</si>
  <si>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</si>
  <si>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</si>
  <si>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</si>
  <si>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</si>
  <si>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</si>
  <si>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</si>
  <si>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</si>
  <si>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</si>
  <si>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</si>
  <si>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</si>
  <si>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</si>
  <si>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</si>
  <si>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</si>
  <si>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 eb="3">
      <t>ショウライ</t>
    </rPh>
    <rPh sb="3" eb="5">
      <t>ヨソク</t>
    </rPh>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</si>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</sst>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187" fontId="32" fillId="5" borderId="0" xfId="0" applyNumberFormat="1" applyFont="1" applyFill="1" applyAlignment="1">
      <alignment horizontal="center"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1506</c:v>
                </c:pt>
                <c:pt idx="1">
                  <c:v>1477</c:v>
                </c:pt>
                <c:pt idx="2">
                  <c:v>1502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5712336"/>
        <c:axId val="391902664"/>
      </c:barChart>
      <c:catAx>
        <c:axId val="385712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2664"/>
        <c:crosses val="autoZero"/>
        <c:auto val="1"/>
        <c:lblAlgn val="ctr"/>
        <c:lblOffset val="100"/>
        <c:noMultiLvlLbl val="0"/>
      </c:catAx>
      <c:valAx>
        <c:axId val="39190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71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802</c:v>
                </c:pt>
                <c:pt idx="1">
                  <c:v>728</c:v>
                </c:pt>
                <c:pt idx="2">
                  <c:v>718</c:v>
                </c:pt>
                <c:pt idx="3">
                  <c:v>735</c:v>
                </c:pt>
                <c:pt idx="4">
                  <c:v>713</c:v>
                </c:pt>
                <c:pt idx="5">
                  <c:v>643</c:v>
                </c:pt>
                <c:pt idx="6">
                  <c:v>584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2659944"/>
        <c:axId val="392663080"/>
      </c:barChart>
      <c:catAx>
        <c:axId val="392659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3080"/>
        <c:crosses val="autoZero"/>
        <c:auto val="1"/>
        <c:lblAlgn val="ctr"/>
        <c:lblOffset val="100"/>
        <c:noMultiLvlLbl val="0"/>
      </c:catAx>
      <c:valAx>
        <c:axId val="392663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59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0.23</c:v>
                </c:pt>
                <c:pt idx="1">
                  <c:v>0.26</c:v>
                </c:pt>
                <c:pt idx="2">
                  <c:v>0.28000000000000003</c:v>
                </c:pt>
                <c:pt idx="3">
                  <c:v>0.3</c:v>
                </c:pt>
                <c:pt idx="4">
                  <c:v>0.31</c:v>
                </c:pt>
                <c:pt idx="5">
                  <c:v>0.33</c:v>
                </c:pt>
                <c:pt idx="6">
                  <c:v>0.35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2660728"/>
        <c:axId val="392661512"/>
      </c:barChart>
      <c:catAx>
        <c:axId val="392660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1512"/>
        <c:crosses val="autoZero"/>
        <c:auto val="1"/>
        <c:lblAlgn val="ctr"/>
        <c:lblOffset val="100"/>
        <c:noMultiLvlLbl val="0"/>
      </c:catAx>
      <c:valAx>
        <c:axId val="392661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07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0.12</c:v>
                </c:pt>
                <c:pt idx="1">
                  <c:v>0.13</c:v>
                </c:pt>
                <c:pt idx="2">
                  <c:v>0.15</c:v>
                </c:pt>
                <c:pt idx="3">
                  <c:v>0.17</c:v>
                </c:pt>
                <c:pt idx="4">
                  <c:v>0.18</c:v>
                </c:pt>
                <c:pt idx="5">
                  <c:v>0.19</c:v>
                </c:pt>
                <c:pt idx="6">
                  <c:v>0.2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1906584"/>
        <c:axId val="391899136"/>
      </c:barChart>
      <c:catAx>
        <c:axId val="391906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899136"/>
        <c:crosses val="autoZero"/>
        <c:auto val="1"/>
        <c:lblAlgn val="ctr"/>
        <c:lblOffset val="100"/>
        <c:noMultiLvlLbl val="0"/>
      </c:catAx>
      <c:valAx>
        <c:axId val="391899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6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2.2873809283071174E-4"/>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1A9-4884-9FFF-C03707A2E09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452</c:v>
                </c:pt>
                <c:pt idx="1">
                  <c:v>525</c:v>
                </c:pt>
                <c:pt idx="2">
                  <c:v>598</c:v>
                </c:pt>
                <c:pt idx="3">
                  <c:v>558</c:v>
                </c:pt>
                <c:pt idx="4">
                  <c:v>368</c:v>
                </c:pt>
                <c:pt idx="5">
                  <c:v>410</c:v>
                </c:pt>
                <c:pt idx="6">
                  <c:v>536</c:v>
                </c:pt>
                <c:pt idx="7">
                  <c:v>625</c:v>
                </c:pt>
                <c:pt idx="8">
                  <c:v>617</c:v>
                </c:pt>
                <c:pt idx="9">
                  <c:v>715</c:v>
                </c:pt>
                <c:pt idx="10">
                  <c:v>817</c:v>
                </c:pt>
                <c:pt idx="11">
                  <c:v>843</c:v>
                </c:pt>
                <c:pt idx="12">
                  <c:v>754</c:v>
                </c:pt>
                <c:pt idx="13">
                  <c:v>778</c:v>
                </c:pt>
                <c:pt idx="14">
                  <c:v>679</c:v>
                </c:pt>
                <c:pt idx="15">
                  <c:v>645</c:v>
                </c:pt>
                <c:pt idx="16">
                  <c:v>525</c:v>
                </c:pt>
                <c:pt idx="17">
                  <c:v>320</c:v>
                </c:pt>
                <c:pt idx="18">
                  <c:v>132</c:v>
                </c:pt>
                <c:pt idx="19">
                  <c:v>27</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5539824"/>
        <c:axId val="45554139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460</c:v>
                </c:pt>
                <c:pt idx="1">
                  <c:v>518</c:v>
                </c:pt>
                <c:pt idx="2">
                  <c:v>609</c:v>
                </c:pt>
                <c:pt idx="3">
                  <c:v>592</c:v>
                </c:pt>
                <c:pt idx="4">
                  <c:v>438</c:v>
                </c:pt>
                <c:pt idx="5">
                  <c:v>447</c:v>
                </c:pt>
                <c:pt idx="6">
                  <c:v>538</c:v>
                </c:pt>
                <c:pt idx="7">
                  <c:v>612</c:v>
                </c:pt>
                <c:pt idx="8">
                  <c:v>721</c:v>
                </c:pt>
                <c:pt idx="9">
                  <c:v>865</c:v>
                </c:pt>
                <c:pt idx="10">
                  <c:v>905</c:v>
                </c:pt>
                <c:pt idx="11">
                  <c:v>946</c:v>
                </c:pt>
                <c:pt idx="12">
                  <c:v>925</c:v>
                </c:pt>
                <c:pt idx="13">
                  <c:v>853</c:v>
                </c:pt>
                <c:pt idx="14">
                  <c:v>829</c:v>
                </c:pt>
                <c:pt idx="15">
                  <c:v>804</c:v>
                </c:pt>
                <c:pt idx="16">
                  <c:v>811</c:v>
                </c:pt>
                <c:pt idx="17">
                  <c:v>539</c:v>
                </c:pt>
                <c:pt idx="18">
                  <c:v>342</c:v>
                </c:pt>
                <c:pt idx="19">
                  <c:v>126</c:v>
                </c:pt>
                <c:pt idx="20">
                  <c:v>27</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5536296"/>
        <c:axId val="455541784"/>
      </c:barChart>
      <c:catAx>
        <c:axId val="4555398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541392"/>
        <c:crosses val="autoZero"/>
        <c:auto val="1"/>
        <c:lblAlgn val="ctr"/>
        <c:lblOffset val="100"/>
        <c:noMultiLvlLbl val="0"/>
      </c:catAx>
      <c:valAx>
        <c:axId val="45554139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539824"/>
        <c:crosses val="autoZero"/>
        <c:crossBetween val="between"/>
        <c:majorUnit val="1000"/>
      </c:valAx>
      <c:valAx>
        <c:axId val="45554178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536296"/>
        <c:crosses val="max"/>
        <c:crossBetween val="between"/>
        <c:majorUnit val="1000"/>
      </c:valAx>
      <c:catAx>
        <c:axId val="455536296"/>
        <c:scaling>
          <c:orientation val="minMax"/>
        </c:scaling>
        <c:delete val="1"/>
        <c:axPos val="l"/>
        <c:numFmt formatCode="General" sourceLinked="1"/>
        <c:majorTickMark val="out"/>
        <c:minorTickMark val="none"/>
        <c:tickLblPos val="nextTo"/>
        <c:crossAx val="4555417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0067106270309095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3DF-47AC-8A11-7D3F8071F1A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429</c:v>
                </c:pt>
                <c:pt idx="1">
                  <c:v>468</c:v>
                </c:pt>
                <c:pt idx="2">
                  <c:v>485</c:v>
                </c:pt>
                <c:pt idx="3">
                  <c:v>459</c:v>
                </c:pt>
                <c:pt idx="4">
                  <c:v>347</c:v>
                </c:pt>
                <c:pt idx="5">
                  <c:v>441</c:v>
                </c:pt>
                <c:pt idx="6">
                  <c:v>490</c:v>
                </c:pt>
                <c:pt idx="7">
                  <c:v>474</c:v>
                </c:pt>
                <c:pt idx="8">
                  <c:v>576</c:v>
                </c:pt>
                <c:pt idx="9">
                  <c:v>640</c:v>
                </c:pt>
                <c:pt idx="10">
                  <c:v>595</c:v>
                </c:pt>
                <c:pt idx="11">
                  <c:v>685</c:v>
                </c:pt>
                <c:pt idx="12">
                  <c:v>807</c:v>
                </c:pt>
                <c:pt idx="13">
                  <c:v>806</c:v>
                </c:pt>
                <c:pt idx="14">
                  <c:v>681</c:v>
                </c:pt>
                <c:pt idx="15">
                  <c:v>662</c:v>
                </c:pt>
                <c:pt idx="16">
                  <c:v>485</c:v>
                </c:pt>
                <c:pt idx="17">
                  <c:v>376</c:v>
                </c:pt>
                <c:pt idx="18">
                  <c:v>167</c:v>
                </c:pt>
                <c:pt idx="19">
                  <c:v>25</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5536688"/>
        <c:axId val="45554374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436</c:v>
                </c:pt>
                <c:pt idx="1">
                  <c:v>462</c:v>
                </c:pt>
                <c:pt idx="2">
                  <c:v>494</c:v>
                </c:pt>
                <c:pt idx="3">
                  <c:v>504</c:v>
                </c:pt>
                <c:pt idx="4">
                  <c:v>427</c:v>
                </c:pt>
                <c:pt idx="5">
                  <c:v>476</c:v>
                </c:pt>
                <c:pt idx="6">
                  <c:v>518</c:v>
                </c:pt>
                <c:pt idx="7">
                  <c:v>511</c:v>
                </c:pt>
                <c:pt idx="8">
                  <c:v>570</c:v>
                </c:pt>
                <c:pt idx="9">
                  <c:v>631</c:v>
                </c:pt>
                <c:pt idx="10">
                  <c:v>718</c:v>
                </c:pt>
                <c:pt idx="11">
                  <c:v>834</c:v>
                </c:pt>
                <c:pt idx="12">
                  <c:v>888</c:v>
                </c:pt>
                <c:pt idx="13">
                  <c:v>929</c:v>
                </c:pt>
                <c:pt idx="14">
                  <c:v>882</c:v>
                </c:pt>
                <c:pt idx="15">
                  <c:v>766</c:v>
                </c:pt>
                <c:pt idx="16">
                  <c:v>713</c:v>
                </c:pt>
                <c:pt idx="17">
                  <c:v>591</c:v>
                </c:pt>
                <c:pt idx="18">
                  <c:v>421</c:v>
                </c:pt>
                <c:pt idx="19">
                  <c:v>131</c:v>
                </c:pt>
                <c:pt idx="20">
                  <c:v>32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5541000"/>
        <c:axId val="455540608"/>
      </c:barChart>
      <c:catAx>
        <c:axId val="455536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543744"/>
        <c:crosses val="autoZero"/>
        <c:auto val="1"/>
        <c:lblAlgn val="ctr"/>
        <c:lblOffset val="100"/>
        <c:noMultiLvlLbl val="0"/>
      </c:catAx>
      <c:valAx>
        <c:axId val="45554374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536688"/>
        <c:crosses val="autoZero"/>
        <c:crossBetween val="between"/>
        <c:majorUnit val="1000"/>
      </c:valAx>
      <c:valAx>
        <c:axId val="45554060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541000"/>
        <c:crosses val="max"/>
        <c:crossBetween val="between"/>
        <c:majorUnit val="1000"/>
      </c:valAx>
      <c:catAx>
        <c:axId val="455541000"/>
        <c:scaling>
          <c:orientation val="minMax"/>
        </c:scaling>
        <c:delete val="1"/>
        <c:axPos val="l"/>
        <c:numFmt formatCode="General" sourceLinked="1"/>
        <c:majorTickMark val="out"/>
        <c:minorTickMark val="none"/>
        <c:tickLblPos val="nextTo"/>
        <c:crossAx val="4555406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25260</c:v>
                </c:pt>
                <c:pt idx="1">
                  <c:v>25055</c:v>
                </c:pt>
                <c:pt idx="2">
                  <c:v>25127</c:v>
                </c:pt>
                <c:pt idx="3">
                  <c:v>24598</c:v>
                </c:pt>
                <c:pt idx="4">
                  <c:v>23831</c:v>
                </c:pt>
                <c:pt idx="5">
                  <c:v>22963</c:v>
                </c:pt>
                <c:pt idx="6">
                  <c:v>22032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2F7-4542-8087-2CB105C857C5}"/>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2F7-4542-8087-2CB105C857C5}"/>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2F7-4542-8087-2CB105C857C5}"/>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2F7-4542-8087-2CB105C857C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24607</c:v>
                </c:pt>
                <c:pt idx="4" formatCode="#,##0_);[Red]\(#,##0\)">
                  <c:v>23851</c:v>
                </c:pt>
                <c:pt idx="5" formatCode="#,##0_);[Red]\(#,##0\)">
                  <c:v>22996</c:v>
                </c:pt>
                <c:pt idx="6" formatCode="#,##0_);[Red]\(#,##0\)">
                  <c:v>22078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5538256"/>
        <c:axId val="455537472"/>
      </c:barChart>
      <c:catAx>
        <c:axId val="455538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537472"/>
        <c:crosses val="autoZero"/>
        <c:auto val="1"/>
        <c:lblAlgn val="ctr"/>
        <c:lblOffset val="100"/>
        <c:noMultiLvlLbl val="0"/>
      </c:catAx>
      <c:valAx>
        <c:axId val="455537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53825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1506</c:v>
                </c:pt>
                <c:pt idx="1">
                  <c:v>1477</c:v>
                </c:pt>
                <c:pt idx="2">
                  <c:v>1502</c:v>
                </c:pt>
                <c:pt idx="3">
                  <c:v>1472</c:v>
                </c:pt>
                <c:pt idx="4">
                  <c:v>1350</c:v>
                </c:pt>
                <c:pt idx="5">
                  <c:v>1213</c:v>
                </c:pt>
                <c:pt idx="6">
                  <c:v>1145</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1473</c:v>
                </c:pt>
                <c:pt idx="4">
                  <c:v>1352</c:v>
                </c:pt>
                <c:pt idx="5">
                  <c:v>1218</c:v>
                </c:pt>
                <c:pt idx="6">
                  <c:v>1152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5538648"/>
        <c:axId val="455539432"/>
      </c:barChart>
      <c:catAx>
        <c:axId val="455538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539432"/>
        <c:crosses val="autoZero"/>
        <c:auto val="1"/>
        <c:lblAlgn val="ctr"/>
        <c:lblOffset val="100"/>
        <c:noMultiLvlLbl val="0"/>
      </c:catAx>
      <c:valAx>
        <c:axId val="4555394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538648"/>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0.23</c:v>
                </c:pt>
                <c:pt idx="1">
                  <c:v>0.26</c:v>
                </c:pt>
                <c:pt idx="2">
                  <c:v>0.28000000000000003</c:v>
                </c:pt>
                <c:pt idx="3">
                  <c:v>0.3</c:v>
                </c:pt>
                <c:pt idx="4">
                  <c:v>0.31</c:v>
                </c:pt>
                <c:pt idx="5">
                  <c:v>0.33</c:v>
                </c:pt>
                <c:pt idx="6">
                  <c:v>0.35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5F3-4EC9-80BB-4FDB8348138D}"/>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5F3-4EC9-80BB-4FDB8348138D}"/>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5F3-4EC9-80BB-4FDB8348138D}"/>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5F3-4EC9-80BB-4FDB8348138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c:v>
                </c:pt>
                <c:pt idx="4" formatCode="0%">
                  <c:v>0.31</c:v>
                </c:pt>
                <c:pt idx="5" formatCode="0%">
                  <c:v>0.33</c:v>
                </c:pt>
                <c:pt idx="6" formatCode="0%">
                  <c:v>0.35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5542960"/>
        <c:axId val="455543352"/>
      </c:barChart>
      <c:catAx>
        <c:axId val="455542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543352"/>
        <c:crosses val="autoZero"/>
        <c:auto val="1"/>
        <c:lblAlgn val="ctr"/>
        <c:lblOffset val="100"/>
        <c:noMultiLvlLbl val="0"/>
      </c:catAx>
      <c:valAx>
        <c:axId val="455543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5429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0.12</c:v>
                </c:pt>
                <c:pt idx="1">
                  <c:v>0.13</c:v>
                </c:pt>
                <c:pt idx="2">
                  <c:v>0.15</c:v>
                </c:pt>
                <c:pt idx="3">
                  <c:v>0.17</c:v>
                </c:pt>
                <c:pt idx="4">
                  <c:v>0.18</c:v>
                </c:pt>
                <c:pt idx="5">
                  <c:v>0.19</c:v>
                </c:pt>
                <c:pt idx="6">
                  <c:v>0.2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020-40CB-8574-4F1383B47B9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020-40CB-8574-4F1383B47B90}"/>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020-40CB-8574-4F1383B47B90}"/>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020-40CB-8574-4F1383B47B9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0.17</c:v>
                </c:pt>
                <c:pt idx="4" formatCode="0%">
                  <c:v>0.18</c:v>
                </c:pt>
                <c:pt idx="5" formatCode="0%">
                  <c:v>0.19</c:v>
                </c:pt>
                <c:pt idx="6" formatCode="0%">
                  <c:v>0.2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5542568"/>
        <c:axId val="388936120"/>
      </c:barChart>
      <c:catAx>
        <c:axId val="455542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36120"/>
        <c:crosses val="autoZero"/>
        <c:auto val="1"/>
        <c:lblAlgn val="ctr"/>
        <c:lblOffset val="100"/>
        <c:noMultiLvlLbl val="0"/>
      </c:catAx>
      <c:valAx>
        <c:axId val="388936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54256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802</c:v>
                </c:pt>
                <c:pt idx="1">
                  <c:v>728</c:v>
                </c:pt>
                <c:pt idx="2">
                  <c:v>718</c:v>
                </c:pt>
                <c:pt idx="3">
                  <c:v>735</c:v>
                </c:pt>
                <c:pt idx="4">
                  <c:v>713</c:v>
                </c:pt>
                <c:pt idx="5">
                  <c:v>643</c:v>
                </c:pt>
                <c:pt idx="6">
                  <c:v>584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735</c:v>
                </c:pt>
                <c:pt idx="4">
                  <c:v>714</c:v>
                </c:pt>
                <c:pt idx="5">
                  <c:v>645</c:v>
                </c:pt>
                <c:pt idx="6">
                  <c:v>587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88934160"/>
        <c:axId val="388934552"/>
      </c:barChart>
      <c:catAx>
        <c:axId val="388934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34552"/>
        <c:crosses val="autoZero"/>
        <c:auto val="1"/>
        <c:lblAlgn val="ctr"/>
        <c:lblOffset val="100"/>
        <c:noMultiLvlLbl val="0"/>
      </c:catAx>
      <c:valAx>
        <c:axId val="388934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341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802</c:v>
                </c:pt>
                <c:pt idx="1">
                  <c:v>728</c:v>
                </c:pt>
                <c:pt idx="2">
                  <c:v>718</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1905408"/>
        <c:axId val="391903056"/>
      </c:barChart>
      <c:catAx>
        <c:axId val="391905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3056"/>
        <c:crosses val="autoZero"/>
        <c:auto val="1"/>
        <c:lblAlgn val="ctr"/>
        <c:lblOffset val="100"/>
        <c:noMultiLvlLbl val="0"/>
      </c:catAx>
      <c:valAx>
        <c:axId val="391903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5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077287050930381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BCA-4524-B503-4446D028DBE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454</c:v>
                </c:pt>
                <c:pt idx="1">
                  <c:v>526</c:v>
                </c:pt>
                <c:pt idx="2">
                  <c:v>599</c:v>
                </c:pt>
                <c:pt idx="3">
                  <c:v>559</c:v>
                </c:pt>
                <c:pt idx="4">
                  <c:v>368</c:v>
                </c:pt>
                <c:pt idx="5">
                  <c:v>412</c:v>
                </c:pt>
                <c:pt idx="6">
                  <c:v>538</c:v>
                </c:pt>
                <c:pt idx="7">
                  <c:v>625</c:v>
                </c:pt>
                <c:pt idx="8">
                  <c:v>617</c:v>
                </c:pt>
                <c:pt idx="9">
                  <c:v>715</c:v>
                </c:pt>
                <c:pt idx="10">
                  <c:v>817</c:v>
                </c:pt>
                <c:pt idx="11">
                  <c:v>843</c:v>
                </c:pt>
                <c:pt idx="12">
                  <c:v>754</c:v>
                </c:pt>
                <c:pt idx="13">
                  <c:v>778</c:v>
                </c:pt>
                <c:pt idx="14">
                  <c:v>679</c:v>
                </c:pt>
                <c:pt idx="15">
                  <c:v>645</c:v>
                </c:pt>
                <c:pt idx="16">
                  <c:v>525</c:v>
                </c:pt>
                <c:pt idx="17">
                  <c:v>320</c:v>
                </c:pt>
                <c:pt idx="18">
                  <c:v>132</c:v>
                </c:pt>
                <c:pt idx="19">
                  <c:v>27</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88933768"/>
        <c:axId val="38893220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462</c:v>
                </c:pt>
                <c:pt idx="1">
                  <c:v>519</c:v>
                </c:pt>
                <c:pt idx="2">
                  <c:v>610</c:v>
                </c:pt>
                <c:pt idx="3">
                  <c:v>593</c:v>
                </c:pt>
                <c:pt idx="4">
                  <c:v>438</c:v>
                </c:pt>
                <c:pt idx="5">
                  <c:v>449</c:v>
                </c:pt>
                <c:pt idx="6">
                  <c:v>540</c:v>
                </c:pt>
                <c:pt idx="7">
                  <c:v>612</c:v>
                </c:pt>
                <c:pt idx="8">
                  <c:v>722</c:v>
                </c:pt>
                <c:pt idx="9">
                  <c:v>866</c:v>
                </c:pt>
                <c:pt idx="10">
                  <c:v>905</c:v>
                </c:pt>
                <c:pt idx="11">
                  <c:v>946</c:v>
                </c:pt>
                <c:pt idx="12">
                  <c:v>925</c:v>
                </c:pt>
                <c:pt idx="13">
                  <c:v>853</c:v>
                </c:pt>
                <c:pt idx="14">
                  <c:v>829</c:v>
                </c:pt>
                <c:pt idx="15">
                  <c:v>804</c:v>
                </c:pt>
                <c:pt idx="16">
                  <c:v>811</c:v>
                </c:pt>
                <c:pt idx="17">
                  <c:v>539</c:v>
                </c:pt>
                <c:pt idx="18">
                  <c:v>342</c:v>
                </c:pt>
                <c:pt idx="19">
                  <c:v>126</c:v>
                </c:pt>
                <c:pt idx="20">
                  <c:v>27</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88936904"/>
        <c:axId val="388936512"/>
      </c:barChart>
      <c:catAx>
        <c:axId val="388933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32200"/>
        <c:crosses val="autoZero"/>
        <c:auto val="1"/>
        <c:lblAlgn val="ctr"/>
        <c:lblOffset val="100"/>
        <c:noMultiLvlLbl val="0"/>
      </c:catAx>
      <c:valAx>
        <c:axId val="38893220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33768"/>
        <c:crosses val="autoZero"/>
        <c:crossBetween val="between"/>
        <c:majorUnit val="1000"/>
      </c:valAx>
      <c:valAx>
        <c:axId val="38893651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36904"/>
        <c:crosses val="max"/>
        <c:crossBetween val="between"/>
        <c:majorUnit val="1000"/>
      </c:valAx>
      <c:catAx>
        <c:axId val="388936904"/>
        <c:scaling>
          <c:orientation val="minMax"/>
        </c:scaling>
        <c:delete val="1"/>
        <c:axPos val="l"/>
        <c:numFmt formatCode="General" sourceLinked="1"/>
        <c:majorTickMark val="out"/>
        <c:minorTickMark val="none"/>
        <c:tickLblPos val="nextTo"/>
        <c:crossAx val="388936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3.853071131352924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144-423E-9D22-BF7BB7B0412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432</c:v>
                </c:pt>
                <c:pt idx="1">
                  <c:v>471</c:v>
                </c:pt>
                <c:pt idx="2">
                  <c:v>488</c:v>
                </c:pt>
                <c:pt idx="3">
                  <c:v>461</c:v>
                </c:pt>
                <c:pt idx="4">
                  <c:v>348</c:v>
                </c:pt>
                <c:pt idx="5">
                  <c:v>444</c:v>
                </c:pt>
                <c:pt idx="6">
                  <c:v>492</c:v>
                </c:pt>
                <c:pt idx="7">
                  <c:v>476</c:v>
                </c:pt>
                <c:pt idx="8">
                  <c:v>579</c:v>
                </c:pt>
                <c:pt idx="9">
                  <c:v>640</c:v>
                </c:pt>
                <c:pt idx="10">
                  <c:v>595</c:v>
                </c:pt>
                <c:pt idx="11">
                  <c:v>685</c:v>
                </c:pt>
                <c:pt idx="12">
                  <c:v>807</c:v>
                </c:pt>
                <c:pt idx="13">
                  <c:v>806</c:v>
                </c:pt>
                <c:pt idx="14">
                  <c:v>681</c:v>
                </c:pt>
                <c:pt idx="15">
                  <c:v>662</c:v>
                </c:pt>
                <c:pt idx="16">
                  <c:v>485</c:v>
                </c:pt>
                <c:pt idx="17">
                  <c:v>376</c:v>
                </c:pt>
                <c:pt idx="18">
                  <c:v>167</c:v>
                </c:pt>
                <c:pt idx="19">
                  <c:v>25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8932984"/>
        <c:axId val="38893494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439</c:v>
                </c:pt>
                <c:pt idx="1">
                  <c:v>465</c:v>
                </c:pt>
                <c:pt idx="2">
                  <c:v>497</c:v>
                </c:pt>
                <c:pt idx="3">
                  <c:v>506</c:v>
                </c:pt>
                <c:pt idx="4">
                  <c:v>427</c:v>
                </c:pt>
                <c:pt idx="5">
                  <c:v>479</c:v>
                </c:pt>
                <c:pt idx="6">
                  <c:v>520</c:v>
                </c:pt>
                <c:pt idx="7">
                  <c:v>513</c:v>
                </c:pt>
                <c:pt idx="8">
                  <c:v>573</c:v>
                </c:pt>
                <c:pt idx="9">
                  <c:v>632</c:v>
                </c:pt>
                <c:pt idx="10">
                  <c:v>719</c:v>
                </c:pt>
                <c:pt idx="11">
                  <c:v>835</c:v>
                </c:pt>
                <c:pt idx="12">
                  <c:v>888</c:v>
                </c:pt>
                <c:pt idx="13">
                  <c:v>929</c:v>
                </c:pt>
                <c:pt idx="14">
                  <c:v>882</c:v>
                </c:pt>
                <c:pt idx="15">
                  <c:v>766</c:v>
                </c:pt>
                <c:pt idx="16">
                  <c:v>713</c:v>
                </c:pt>
                <c:pt idx="17">
                  <c:v>591</c:v>
                </c:pt>
                <c:pt idx="18">
                  <c:v>421</c:v>
                </c:pt>
                <c:pt idx="19">
                  <c:v>131</c:v>
                </c:pt>
                <c:pt idx="20">
                  <c:v>32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8933376"/>
        <c:axId val="388935336"/>
      </c:barChart>
      <c:catAx>
        <c:axId val="388932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34944"/>
        <c:crosses val="autoZero"/>
        <c:auto val="1"/>
        <c:lblAlgn val="ctr"/>
        <c:lblOffset val="100"/>
        <c:noMultiLvlLbl val="0"/>
      </c:catAx>
      <c:valAx>
        <c:axId val="38893494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32984"/>
        <c:crosses val="autoZero"/>
        <c:crossBetween val="between"/>
        <c:majorUnit val="1000"/>
      </c:valAx>
      <c:valAx>
        <c:axId val="38893533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33376"/>
        <c:crosses val="max"/>
        <c:crossBetween val="between"/>
        <c:majorUnit val="1000"/>
      </c:valAx>
      <c:catAx>
        <c:axId val="388933376"/>
        <c:scaling>
          <c:orientation val="minMax"/>
        </c:scaling>
        <c:delete val="1"/>
        <c:axPos val="l"/>
        <c:numFmt formatCode="General" sourceLinked="1"/>
        <c:majorTickMark val="out"/>
        <c:minorTickMark val="none"/>
        <c:tickLblPos val="nextTo"/>
        <c:crossAx val="388935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912</c:v>
                </c:pt>
                <c:pt idx="1">
                  <c:v>1043</c:v>
                </c:pt>
                <c:pt idx="2">
                  <c:v>1207</c:v>
                </c:pt>
                <c:pt idx="3">
                  <c:v>1150</c:v>
                </c:pt>
                <c:pt idx="4">
                  <c:v>806</c:v>
                </c:pt>
                <c:pt idx="5">
                  <c:v>857</c:v>
                </c:pt>
                <c:pt idx="6">
                  <c:v>1074</c:v>
                </c:pt>
                <c:pt idx="7">
                  <c:v>1237</c:v>
                </c:pt>
                <c:pt idx="8">
                  <c:v>1338</c:v>
                </c:pt>
                <c:pt idx="9">
                  <c:v>1580</c:v>
                </c:pt>
                <c:pt idx="10">
                  <c:v>1722</c:v>
                </c:pt>
                <c:pt idx="11">
                  <c:v>1789</c:v>
                </c:pt>
                <c:pt idx="12">
                  <c:v>1679</c:v>
                </c:pt>
                <c:pt idx="13">
                  <c:v>1631</c:v>
                </c:pt>
                <c:pt idx="14">
                  <c:v>1508</c:v>
                </c:pt>
                <c:pt idx="15">
                  <c:v>1449</c:v>
                </c:pt>
                <c:pt idx="16">
                  <c:v>1336</c:v>
                </c:pt>
                <c:pt idx="17">
                  <c:v>859</c:v>
                </c:pt>
                <c:pt idx="18">
                  <c:v>474</c:v>
                </c:pt>
                <c:pt idx="19">
                  <c:v>153</c:v>
                </c:pt>
                <c:pt idx="20">
                  <c:v>27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8935728"/>
        <c:axId val="38893063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916</c:v>
                </c:pt>
                <c:pt idx="1">
                  <c:v>1045</c:v>
                </c:pt>
                <c:pt idx="2">
                  <c:v>1209</c:v>
                </c:pt>
                <c:pt idx="3">
                  <c:v>1152</c:v>
                </c:pt>
                <c:pt idx="4">
                  <c:v>806</c:v>
                </c:pt>
                <c:pt idx="5">
                  <c:v>861</c:v>
                </c:pt>
                <c:pt idx="6">
                  <c:v>1078</c:v>
                </c:pt>
                <c:pt idx="7">
                  <c:v>1237</c:v>
                </c:pt>
                <c:pt idx="8">
                  <c:v>1339</c:v>
                </c:pt>
                <c:pt idx="9">
                  <c:v>1581</c:v>
                </c:pt>
                <c:pt idx="10">
                  <c:v>1722</c:v>
                </c:pt>
                <c:pt idx="11">
                  <c:v>1789</c:v>
                </c:pt>
                <c:pt idx="12">
                  <c:v>1679</c:v>
                </c:pt>
                <c:pt idx="13">
                  <c:v>1631</c:v>
                </c:pt>
                <c:pt idx="14">
                  <c:v>1508</c:v>
                </c:pt>
                <c:pt idx="15">
                  <c:v>1449</c:v>
                </c:pt>
                <c:pt idx="16">
                  <c:v>1336</c:v>
                </c:pt>
                <c:pt idx="17">
                  <c:v>859</c:v>
                </c:pt>
                <c:pt idx="18">
                  <c:v>474</c:v>
                </c:pt>
                <c:pt idx="19">
                  <c:v>153</c:v>
                </c:pt>
                <c:pt idx="20">
                  <c:v>27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8937688"/>
        <c:axId val="388937296"/>
      </c:barChart>
      <c:catAx>
        <c:axId val="3889357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30632"/>
        <c:crosses val="autoZero"/>
        <c:auto val="1"/>
        <c:lblAlgn val="ctr"/>
        <c:lblOffset val="100"/>
        <c:noMultiLvlLbl val="0"/>
      </c:catAx>
      <c:valAx>
        <c:axId val="388930632"/>
        <c:scaling>
          <c:orientation val="maxMin"/>
          <c:max val="3000"/>
          <c:min val="-4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35728"/>
        <c:crosses val="autoZero"/>
        <c:crossBetween val="between"/>
        <c:majorUnit val="1500"/>
      </c:valAx>
      <c:valAx>
        <c:axId val="388937296"/>
        <c:scaling>
          <c:orientation val="minMax"/>
          <c:max val="3000"/>
          <c:min val="-4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37688"/>
        <c:crosses val="max"/>
        <c:crossBetween val="between"/>
        <c:majorUnit val="1500"/>
      </c:valAx>
      <c:catAx>
        <c:axId val="388937688"/>
        <c:scaling>
          <c:orientation val="minMax"/>
        </c:scaling>
        <c:delete val="1"/>
        <c:axPos val="l"/>
        <c:numFmt formatCode="General" sourceLinked="1"/>
        <c:majorTickMark val="out"/>
        <c:minorTickMark val="none"/>
        <c:tickLblPos val="nextTo"/>
        <c:crossAx val="38893729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865</c:v>
                </c:pt>
                <c:pt idx="1">
                  <c:v>930</c:v>
                </c:pt>
                <c:pt idx="2">
                  <c:v>979</c:v>
                </c:pt>
                <c:pt idx="3">
                  <c:v>963</c:v>
                </c:pt>
                <c:pt idx="4">
                  <c:v>774</c:v>
                </c:pt>
                <c:pt idx="5">
                  <c:v>917</c:v>
                </c:pt>
                <c:pt idx="6">
                  <c:v>1008</c:v>
                </c:pt>
                <c:pt idx="7">
                  <c:v>985</c:v>
                </c:pt>
                <c:pt idx="8">
                  <c:v>1146</c:v>
                </c:pt>
                <c:pt idx="9">
                  <c:v>1271</c:v>
                </c:pt>
                <c:pt idx="10">
                  <c:v>1313</c:v>
                </c:pt>
                <c:pt idx="11">
                  <c:v>1519</c:v>
                </c:pt>
                <c:pt idx="12">
                  <c:v>1695</c:v>
                </c:pt>
                <c:pt idx="13">
                  <c:v>1735</c:v>
                </c:pt>
                <c:pt idx="14">
                  <c:v>1563</c:v>
                </c:pt>
                <c:pt idx="15">
                  <c:v>1428</c:v>
                </c:pt>
                <c:pt idx="16">
                  <c:v>1198</c:v>
                </c:pt>
                <c:pt idx="17">
                  <c:v>967</c:v>
                </c:pt>
                <c:pt idx="18">
                  <c:v>588</c:v>
                </c:pt>
                <c:pt idx="19">
                  <c:v>156</c:v>
                </c:pt>
                <c:pt idx="20">
                  <c:v>32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087376"/>
        <c:axId val="45608659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871</c:v>
                </c:pt>
                <c:pt idx="1">
                  <c:v>936</c:v>
                </c:pt>
                <c:pt idx="2">
                  <c:v>985</c:v>
                </c:pt>
                <c:pt idx="3">
                  <c:v>967</c:v>
                </c:pt>
                <c:pt idx="4">
                  <c:v>775</c:v>
                </c:pt>
                <c:pt idx="5">
                  <c:v>923</c:v>
                </c:pt>
                <c:pt idx="6">
                  <c:v>1012</c:v>
                </c:pt>
                <c:pt idx="7">
                  <c:v>989</c:v>
                </c:pt>
                <c:pt idx="8">
                  <c:v>1152</c:v>
                </c:pt>
                <c:pt idx="9">
                  <c:v>1272</c:v>
                </c:pt>
                <c:pt idx="10">
                  <c:v>1314</c:v>
                </c:pt>
                <c:pt idx="11">
                  <c:v>1520</c:v>
                </c:pt>
                <c:pt idx="12">
                  <c:v>1695</c:v>
                </c:pt>
                <c:pt idx="13">
                  <c:v>1735</c:v>
                </c:pt>
                <c:pt idx="14">
                  <c:v>1563</c:v>
                </c:pt>
                <c:pt idx="15">
                  <c:v>1428</c:v>
                </c:pt>
                <c:pt idx="16">
                  <c:v>1198</c:v>
                </c:pt>
                <c:pt idx="17">
                  <c:v>967</c:v>
                </c:pt>
                <c:pt idx="18">
                  <c:v>588</c:v>
                </c:pt>
                <c:pt idx="19">
                  <c:v>156</c:v>
                </c:pt>
                <c:pt idx="20">
                  <c:v>32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088160"/>
        <c:axId val="456088552"/>
      </c:barChart>
      <c:catAx>
        <c:axId val="4560873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86592"/>
        <c:crosses val="autoZero"/>
        <c:auto val="1"/>
        <c:lblAlgn val="ctr"/>
        <c:lblOffset val="100"/>
        <c:noMultiLvlLbl val="0"/>
      </c:catAx>
      <c:valAx>
        <c:axId val="456086592"/>
        <c:scaling>
          <c:orientation val="maxMin"/>
          <c:max val="3000"/>
          <c:min val="-4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87376"/>
        <c:crosses val="autoZero"/>
        <c:crossBetween val="between"/>
        <c:majorUnit val="1500"/>
      </c:valAx>
      <c:valAx>
        <c:axId val="456088552"/>
        <c:scaling>
          <c:orientation val="minMax"/>
          <c:max val="3000"/>
          <c:min val="-4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88160"/>
        <c:crosses val="max"/>
        <c:crossBetween val="between"/>
        <c:majorUnit val="1500"/>
      </c:valAx>
      <c:catAx>
        <c:axId val="456088160"/>
        <c:scaling>
          <c:orientation val="minMax"/>
        </c:scaling>
        <c:delete val="1"/>
        <c:axPos val="l"/>
        <c:numFmt formatCode="General" sourceLinked="1"/>
        <c:majorTickMark val="out"/>
        <c:minorTickMark val="none"/>
        <c:tickLblPos val="nextTo"/>
        <c:crossAx val="45608855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大宮地域自治区</c:v>
                </c:pt>
              </c:strCache>
            </c:strRef>
          </c:cat>
          <c:val>
            <c:numRef>
              <c:f>管理者用地域特徴シート!$H$3:$H$5</c:f>
              <c:numCache>
                <c:formatCode>0.0%</c:formatCode>
                <c:ptCount val="3"/>
                <c:pt idx="0">
                  <c:v>0.46108733927332846</c:v>
                </c:pt>
                <c:pt idx="1">
                  <c:v>0.38017324874035541</c:v>
                </c:pt>
                <c:pt idx="2">
                  <c:v>0.38831495789565068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6081888"/>
        <c:axId val="456082672"/>
      </c:barChart>
      <c:catAx>
        <c:axId val="456081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82672"/>
        <c:crosses val="autoZero"/>
        <c:auto val="1"/>
        <c:lblAlgn val="ctr"/>
        <c:lblOffset val="100"/>
        <c:noMultiLvlLbl val="0"/>
      </c:catAx>
      <c:valAx>
        <c:axId val="4560826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818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大宮地域自治区</c:v>
                </c:pt>
              </c:strCache>
            </c:strRef>
          </c:cat>
          <c:val>
            <c:numRef>
              <c:f>管理者用地域特徴シート!$J$3:$J$5</c:f>
              <c:numCache>
                <c:formatCode>0.0%</c:formatCode>
                <c:ptCount val="3"/>
                <c:pt idx="0">
                  <c:v>0.15075281438403673</c:v>
                </c:pt>
                <c:pt idx="1">
                  <c:v>0.12415252853924759</c:v>
                </c:pt>
                <c:pt idx="2">
                  <c:v>0.13004601093844953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6084632"/>
        <c:axId val="456081496"/>
      </c:barChart>
      <c:catAx>
        <c:axId val="456084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81496"/>
        <c:crosses val="autoZero"/>
        <c:auto val="1"/>
        <c:lblAlgn val="ctr"/>
        <c:lblOffset val="100"/>
        <c:noMultiLvlLbl val="0"/>
      </c:catAx>
      <c:valAx>
        <c:axId val="4560814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84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大宮地域自治区</c:v>
                </c:pt>
              </c:strCache>
            </c:strRef>
          </c:cat>
          <c:val>
            <c:numRef>
              <c:f>管理者用地域特徴シート!$P$3:$P$5</c:f>
              <c:numCache>
                <c:formatCode>0.0%</c:formatCode>
                <c:ptCount val="3"/>
                <c:pt idx="0">
                  <c:v>0.34758352842621743</c:v>
                </c:pt>
                <c:pt idx="1">
                  <c:v>0.36739016143459768</c:v>
                </c:pt>
                <c:pt idx="2">
                  <c:v>0.38791834135858966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6085416"/>
        <c:axId val="456088944"/>
      </c:barChart>
      <c:catAx>
        <c:axId val="456085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88944"/>
        <c:crosses val="autoZero"/>
        <c:auto val="1"/>
        <c:lblAlgn val="ctr"/>
        <c:lblOffset val="100"/>
        <c:noMultiLvlLbl val="0"/>
      </c:catAx>
      <c:valAx>
        <c:axId val="4560889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85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大宮地域自治区</c:v>
                </c:pt>
              </c:strCache>
            </c:strRef>
          </c:cat>
          <c:val>
            <c:numRef>
              <c:f>管理者用地域特徴シート!$AO$3:$AO$5</c:f>
              <c:numCache>
                <c:formatCode>0.0%</c:formatCode>
                <c:ptCount val="3"/>
                <c:pt idx="0">
                  <c:v>0.5259093009439566</c:v>
                </c:pt>
                <c:pt idx="1">
                  <c:v>0.52382956571820971</c:v>
                </c:pt>
                <c:pt idx="2">
                  <c:v>0.53937867338371115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6086984"/>
        <c:axId val="456084240"/>
      </c:barChart>
      <c:catAx>
        <c:axId val="4560869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84240"/>
        <c:crosses val="autoZero"/>
        <c:auto val="1"/>
        <c:lblAlgn val="ctr"/>
        <c:lblOffset val="100"/>
        <c:noMultiLvlLbl val="0"/>
      </c:catAx>
      <c:valAx>
        <c:axId val="4560842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869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大宮地域自治区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2.495370778590953E-2</c:v>
                </c:pt>
                <c:pt idx="1">
                  <c:v>1.1462833965258795E-3</c:v>
                </c:pt>
                <c:pt idx="2">
                  <c:v>8.8175645886606123E-5</c:v>
                </c:pt>
                <c:pt idx="3">
                  <c:v>6.62199100608412E-2</c:v>
                </c:pt>
                <c:pt idx="4">
                  <c:v>6.6043558769067978E-2</c:v>
                </c:pt>
                <c:pt idx="5">
                  <c:v>1.0140199276959704E-2</c:v>
                </c:pt>
                <c:pt idx="6">
                  <c:v>2.9627017017899656E-2</c:v>
                </c:pt>
                <c:pt idx="7">
                  <c:v>3.3506745436910325E-2</c:v>
                </c:pt>
                <c:pt idx="8">
                  <c:v>0.17194250947888193</c:v>
                </c:pt>
                <c:pt idx="9">
                  <c:v>3.6945595626487963E-2</c:v>
                </c:pt>
                <c:pt idx="10">
                  <c:v>2.204391147165153E-2</c:v>
                </c:pt>
                <c:pt idx="11">
                  <c:v>3.4741204479322808E-2</c:v>
                </c:pt>
                <c:pt idx="12">
                  <c:v>5.5197954325015432E-2</c:v>
                </c:pt>
                <c:pt idx="13">
                  <c:v>3.8003703377127239E-2</c:v>
                </c:pt>
                <c:pt idx="14">
                  <c:v>7.6007406754254478E-2</c:v>
                </c:pt>
                <c:pt idx="15">
                  <c:v>0.178643858566264</c:v>
                </c:pt>
                <c:pt idx="16">
                  <c:v>7.5831055462481263E-3</c:v>
                </c:pt>
                <c:pt idx="17">
                  <c:v>6.8777003791552771E-2</c:v>
                </c:pt>
                <c:pt idx="18">
                  <c:v>5.2464509302530639E-2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6087768"/>
        <c:axId val="456085808"/>
      </c:barChart>
      <c:catAx>
        <c:axId val="456087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85808"/>
        <c:crosses val="autoZero"/>
        <c:auto val="1"/>
        <c:lblAlgn val="ctr"/>
        <c:lblOffset val="100"/>
        <c:noMultiLvlLbl val="0"/>
      </c:catAx>
      <c:valAx>
        <c:axId val="45608580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87768"/>
        <c:crosses val="autoZero"/>
        <c:crossBetween val="between"/>
      </c:valAx>
      <c:spPr>
        <a:noFill/>
        <a:ln>
          <a:noFill/>
        </a:ln>
        <a:effectLst/>
      </c:spPr>
    </c:plotArea>
    <c:legend>
      <c:legendPos val="b"/>
      <c:layout>
        <c:manualLayout>
          <c:xMode val="edge"/>
          <c:yMode val="edge"/>
          <c:x val="0.56646881815829364"/>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大宮地域自治区</c:v>
                </c:pt>
              </c:strCache>
            </c:strRef>
          </c:cat>
          <c:val>
            <c:numRef>
              <c:f>管理者用地域特徴シート!$CK$3:$CK$5</c:f>
              <c:numCache>
                <c:formatCode>0.0%</c:formatCode>
                <c:ptCount val="3"/>
                <c:pt idx="0">
                  <c:v>0.82747216160708559</c:v>
                </c:pt>
                <c:pt idx="1">
                  <c:v>0.90316971603242813</c:v>
                </c:pt>
                <c:pt idx="2">
                  <c:v>0.90644563971431091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7018136"/>
        <c:axId val="457015784"/>
      </c:barChart>
      <c:catAx>
        <c:axId val="457018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15784"/>
        <c:crosses val="autoZero"/>
        <c:auto val="1"/>
        <c:lblAlgn val="ctr"/>
        <c:lblOffset val="100"/>
        <c:noMultiLvlLbl val="0"/>
      </c:catAx>
      <c:valAx>
        <c:axId val="4570157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18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0.23</c:v>
                </c:pt>
                <c:pt idx="1">
                  <c:v>0.26</c:v>
                </c:pt>
                <c:pt idx="2">
                  <c:v>0.28000000000000003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1904232"/>
        <c:axId val="391904624"/>
      </c:barChart>
      <c:catAx>
        <c:axId val="391904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4624"/>
        <c:crosses val="autoZero"/>
        <c:auto val="1"/>
        <c:lblAlgn val="ctr"/>
        <c:lblOffset val="100"/>
        <c:noMultiLvlLbl val="0"/>
      </c:catAx>
      <c:valAx>
        <c:axId val="391904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42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0.12</c:v>
                </c:pt>
                <c:pt idx="1">
                  <c:v>0.13</c:v>
                </c:pt>
                <c:pt idx="2">
                  <c:v>0.15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1899920"/>
        <c:axId val="391905800"/>
      </c:barChart>
      <c:catAx>
        <c:axId val="391899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5800"/>
        <c:crosses val="autoZero"/>
        <c:auto val="1"/>
        <c:lblAlgn val="ctr"/>
        <c:lblOffset val="100"/>
        <c:noMultiLvlLbl val="0"/>
      </c:catAx>
      <c:valAx>
        <c:axId val="391905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8999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023536340898894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19B-4D38-9616-312AED42BD7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611</c:v>
                </c:pt>
                <c:pt idx="1">
                  <c:v>574</c:v>
                </c:pt>
                <c:pt idx="2">
                  <c:v>712</c:v>
                </c:pt>
                <c:pt idx="3">
                  <c:v>639</c:v>
                </c:pt>
                <c:pt idx="4">
                  <c:v>430</c:v>
                </c:pt>
                <c:pt idx="5">
                  <c:v>618</c:v>
                </c:pt>
                <c:pt idx="6">
                  <c:v>788</c:v>
                </c:pt>
                <c:pt idx="7">
                  <c:v>904</c:v>
                </c:pt>
                <c:pt idx="8">
                  <c:v>757</c:v>
                </c:pt>
                <c:pt idx="9">
                  <c:v>856</c:v>
                </c:pt>
                <c:pt idx="10">
                  <c:v>743</c:v>
                </c:pt>
                <c:pt idx="11">
                  <c:v>818</c:v>
                </c:pt>
                <c:pt idx="12">
                  <c:v>820</c:v>
                </c:pt>
                <c:pt idx="13">
                  <c:v>668</c:v>
                </c:pt>
                <c:pt idx="14">
                  <c:v>572</c:v>
                </c:pt>
                <c:pt idx="15">
                  <c:v>564</c:v>
                </c:pt>
                <c:pt idx="16">
                  <c:v>352</c:v>
                </c:pt>
                <c:pt idx="17">
                  <c:v>164</c:v>
                </c:pt>
                <c:pt idx="18">
                  <c:v>66</c:v>
                </c:pt>
                <c:pt idx="19">
                  <c:v>8</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1900312"/>
        <c:axId val="3919007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597</c:v>
                </c:pt>
                <c:pt idx="1">
                  <c:v>576</c:v>
                </c:pt>
                <c:pt idx="2">
                  <c:v>649</c:v>
                </c:pt>
                <c:pt idx="3">
                  <c:v>649</c:v>
                </c:pt>
                <c:pt idx="4">
                  <c:v>555</c:v>
                </c:pt>
                <c:pt idx="5">
                  <c:v>749</c:v>
                </c:pt>
                <c:pt idx="6">
                  <c:v>833</c:v>
                </c:pt>
                <c:pt idx="7">
                  <c:v>976</c:v>
                </c:pt>
                <c:pt idx="8">
                  <c:v>919</c:v>
                </c:pt>
                <c:pt idx="9">
                  <c:v>930</c:v>
                </c:pt>
                <c:pt idx="10">
                  <c:v>881</c:v>
                </c:pt>
                <c:pt idx="11">
                  <c:v>913</c:v>
                </c:pt>
                <c:pt idx="12">
                  <c:v>1000</c:v>
                </c:pt>
                <c:pt idx="13">
                  <c:v>814</c:v>
                </c:pt>
                <c:pt idx="14">
                  <c:v>755</c:v>
                </c:pt>
                <c:pt idx="15">
                  <c:v>692</c:v>
                </c:pt>
                <c:pt idx="16">
                  <c:v>571</c:v>
                </c:pt>
                <c:pt idx="17">
                  <c:v>327</c:v>
                </c:pt>
                <c:pt idx="18">
                  <c:v>148</c:v>
                </c:pt>
                <c:pt idx="19">
                  <c:v>49</c:v>
                </c:pt>
                <c:pt idx="20">
                  <c:v>13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1901880"/>
        <c:axId val="391901488"/>
      </c:barChart>
      <c:catAx>
        <c:axId val="391900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0704"/>
        <c:crosses val="autoZero"/>
        <c:auto val="1"/>
        <c:lblAlgn val="ctr"/>
        <c:lblOffset val="100"/>
        <c:noMultiLvlLbl val="0"/>
      </c:catAx>
      <c:valAx>
        <c:axId val="39190070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0312"/>
        <c:crosses val="autoZero"/>
        <c:crossBetween val="between"/>
        <c:majorUnit val="1000"/>
      </c:valAx>
      <c:valAx>
        <c:axId val="39190148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1880"/>
        <c:crosses val="max"/>
        <c:crossBetween val="between"/>
        <c:majorUnit val="1000"/>
      </c:valAx>
      <c:catAx>
        <c:axId val="391901880"/>
        <c:scaling>
          <c:orientation val="minMax"/>
        </c:scaling>
        <c:delete val="1"/>
        <c:axPos val="l"/>
        <c:numFmt formatCode="General" sourceLinked="1"/>
        <c:majorTickMark val="out"/>
        <c:minorTickMark val="none"/>
        <c:tickLblPos val="nextTo"/>
        <c:crossAx val="3919014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11664</c:v>
                </c:pt>
                <c:pt idx="1">
                  <c:v>11519</c:v>
                </c:pt>
                <c:pt idx="2">
                  <c:v>11557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13596</c:v>
                </c:pt>
                <c:pt idx="1">
                  <c:v>13536</c:v>
                </c:pt>
                <c:pt idx="2">
                  <c:v>13570</c:v>
                </c:pt>
              </c:numCache>
            </c:numRef>
          </c:val>
          <c:extLst xmlns:c16r2="http://schemas.microsoft.com/office/drawing/2015/06/chart">
            <c:ext xmlns:c16="http://schemas.microsoft.com/office/drawing/2014/chart" uri="{C3380CC4-5D6E-409C-BE32-E72D297353CC}">
              <c16:uniqueId val="{00000000-F595-4EF6-94F1-42AAA1648F72}"/>
            </c:ext>
          </c:extLst>
        </c:ser>
        <c:dLbls>
          <c:showLegendKey val="0"/>
          <c:showVal val="0"/>
          <c:showCatName val="0"/>
          <c:showSerName val="0"/>
          <c:showPercent val="0"/>
          <c:showBubbleSize val="0"/>
        </c:dLbls>
        <c:gapWidth val="219"/>
        <c:overlap val="100"/>
        <c:axId val="392657200"/>
        <c:axId val="39265798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25260</c:v>
                </c:pt>
                <c:pt idx="1">
                  <c:v>25055</c:v>
                </c:pt>
                <c:pt idx="2">
                  <c:v>25127</c:v>
                </c:pt>
              </c:numCache>
            </c:numRef>
          </c:val>
          <c:smooth val="0"/>
          <c:extLst xmlns:c16r2="http://schemas.microsoft.com/office/drawing/2015/06/chart">
            <c:ext xmlns:c16="http://schemas.microsoft.com/office/drawing/2014/chart" uri="{C3380CC4-5D6E-409C-BE32-E72D297353CC}">
              <c16:uniqueId val="{00000001-F595-4EF6-94F1-42AAA1648F72}"/>
            </c:ext>
          </c:extLst>
        </c:ser>
        <c:dLbls>
          <c:showLegendKey val="0"/>
          <c:showVal val="0"/>
          <c:showCatName val="0"/>
          <c:showSerName val="0"/>
          <c:showPercent val="0"/>
          <c:showBubbleSize val="0"/>
        </c:dLbls>
        <c:marker val="1"/>
        <c:smooth val="0"/>
        <c:axId val="392657200"/>
        <c:axId val="392657984"/>
      </c:lineChart>
      <c:catAx>
        <c:axId val="392657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57984"/>
        <c:crosses val="autoZero"/>
        <c:auto val="1"/>
        <c:lblAlgn val="ctr"/>
        <c:lblOffset val="100"/>
        <c:noMultiLvlLbl val="0"/>
      </c:catAx>
      <c:valAx>
        <c:axId val="392657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57200"/>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084608747202163E-4"/>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22D-4BCE-ACFA-7A8E27EBEB9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558</c:v>
                </c:pt>
                <c:pt idx="1">
                  <c:v>637</c:v>
                </c:pt>
                <c:pt idx="2">
                  <c:v>633</c:v>
                </c:pt>
                <c:pt idx="3">
                  <c:v>519</c:v>
                </c:pt>
                <c:pt idx="4">
                  <c:v>402</c:v>
                </c:pt>
                <c:pt idx="5">
                  <c:v>541</c:v>
                </c:pt>
                <c:pt idx="6">
                  <c:v>574</c:v>
                </c:pt>
                <c:pt idx="7">
                  <c:v>698</c:v>
                </c:pt>
                <c:pt idx="8">
                  <c:v>846</c:v>
                </c:pt>
                <c:pt idx="9">
                  <c:v>880</c:v>
                </c:pt>
                <c:pt idx="10">
                  <c:v>763</c:v>
                </c:pt>
                <c:pt idx="11">
                  <c:v>813</c:v>
                </c:pt>
                <c:pt idx="12">
                  <c:v>752</c:v>
                </c:pt>
                <c:pt idx="13">
                  <c:v>758</c:v>
                </c:pt>
                <c:pt idx="14">
                  <c:v>735</c:v>
                </c:pt>
                <c:pt idx="15">
                  <c:v>548</c:v>
                </c:pt>
                <c:pt idx="16">
                  <c:v>414</c:v>
                </c:pt>
                <c:pt idx="17">
                  <c:v>347</c:v>
                </c:pt>
                <c:pt idx="18">
                  <c:v>123</c:v>
                </c:pt>
                <c:pt idx="19">
                  <c:v>12</c:v>
                </c:pt>
                <c:pt idx="20">
                  <c:v>4</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661904"/>
        <c:axId val="3926591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567</c:v>
                </c:pt>
                <c:pt idx="1">
                  <c:v>608</c:v>
                </c:pt>
                <c:pt idx="2">
                  <c:v>625</c:v>
                </c:pt>
                <c:pt idx="3">
                  <c:v>555</c:v>
                </c:pt>
                <c:pt idx="4">
                  <c:v>455</c:v>
                </c:pt>
                <c:pt idx="5">
                  <c:v>535</c:v>
                </c:pt>
                <c:pt idx="6">
                  <c:v>681</c:v>
                </c:pt>
                <c:pt idx="7">
                  <c:v>839</c:v>
                </c:pt>
                <c:pt idx="8">
                  <c:v>909</c:v>
                </c:pt>
                <c:pt idx="9">
                  <c:v>981</c:v>
                </c:pt>
                <c:pt idx="10">
                  <c:v>942</c:v>
                </c:pt>
                <c:pt idx="11">
                  <c:v>869</c:v>
                </c:pt>
                <c:pt idx="12">
                  <c:v>869</c:v>
                </c:pt>
                <c:pt idx="13">
                  <c:v>895</c:v>
                </c:pt>
                <c:pt idx="14">
                  <c:v>944</c:v>
                </c:pt>
                <c:pt idx="15">
                  <c:v>734</c:v>
                </c:pt>
                <c:pt idx="16">
                  <c:v>659</c:v>
                </c:pt>
                <c:pt idx="17">
                  <c:v>516</c:v>
                </c:pt>
                <c:pt idx="18">
                  <c:v>292</c:v>
                </c:pt>
                <c:pt idx="19">
                  <c:v>83</c:v>
                </c:pt>
                <c:pt idx="20">
                  <c:v>12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663864"/>
        <c:axId val="392663472"/>
      </c:barChart>
      <c:catAx>
        <c:axId val="392661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59160"/>
        <c:crosses val="autoZero"/>
        <c:auto val="1"/>
        <c:lblAlgn val="ctr"/>
        <c:lblOffset val="100"/>
        <c:noMultiLvlLbl val="0"/>
      </c:catAx>
      <c:valAx>
        <c:axId val="39265916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1904"/>
        <c:crosses val="autoZero"/>
        <c:crossBetween val="between"/>
        <c:majorUnit val="1000"/>
      </c:valAx>
      <c:valAx>
        <c:axId val="39266347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3864"/>
        <c:crosses val="max"/>
        <c:crossBetween val="between"/>
        <c:majorUnit val="1000"/>
      </c:valAx>
      <c:catAx>
        <c:axId val="392663864"/>
        <c:scaling>
          <c:orientation val="minMax"/>
        </c:scaling>
        <c:delete val="1"/>
        <c:axPos val="l"/>
        <c:numFmt formatCode="General" sourceLinked="1"/>
        <c:majorTickMark val="out"/>
        <c:minorTickMark val="none"/>
        <c:tickLblPos val="nextTo"/>
        <c:crossAx val="3926634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ED69-4882-9B7E-494E73D1988F}"/>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ED69-4882-9B7E-494E73D1988F}"/>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ED69-4882-9B7E-494E73D1988F}"/>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D69-4882-9B7E-494E73D1988F}"/>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D69-4882-9B7E-494E73D1988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11664</c:v>
                </c:pt>
                <c:pt idx="1">
                  <c:v>11519</c:v>
                </c:pt>
                <c:pt idx="2">
                  <c:v>11557</c:v>
                </c:pt>
                <c:pt idx="3">
                  <c:v>11293</c:v>
                </c:pt>
                <c:pt idx="4">
                  <c:v>10924</c:v>
                </c:pt>
                <c:pt idx="5">
                  <c:v>10523</c:v>
                </c:pt>
                <c:pt idx="6">
                  <c:v>10098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ED69-4882-9B7E-494E73D1988F}"/>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ED69-4882-9B7E-494E73D1988F}"/>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ED69-4882-9B7E-494E73D1988F}"/>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13596</c:v>
                </c:pt>
                <c:pt idx="1">
                  <c:v>13536</c:v>
                </c:pt>
                <c:pt idx="2">
                  <c:v>13570</c:v>
                </c:pt>
                <c:pt idx="3">
                  <c:v>13305</c:v>
                </c:pt>
                <c:pt idx="4">
                  <c:v>12907</c:v>
                </c:pt>
                <c:pt idx="5">
                  <c:v>12440</c:v>
                </c:pt>
                <c:pt idx="6">
                  <c:v>11934</c:v>
                </c:pt>
              </c:numCache>
            </c:numRef>
          </c:val>
          <c:extLst xmlns:c16r2="http://schemas.microsoft.com/office/drawing/2015/06/chart">
            <c:ext xmlns:c16="http://schemas.microsoft.com/office/drawing/2014/chart" uri="{C3380CC4-5D6E-409C-BE32-E72D297353CC}">
              <c16:uniqueId val="{00000010-ED69-4882-9B7E-494E73D1988F}"/>
            </c:ext>
          </c:extLst>
        </c:ser>
        <c:dLbls>
          <c:showLegendKey val="0"/>
          <c:showVal val="0"/>
          <c:showCatName val="0"/>
          <c:showSerName val="0"/>
          <c:showPercent val="0"/>
          <c:showBubbleSize val="0"/>
        </c:dLbls>
        <c:gapWidth val="219"/>
        <c:overlap val="100"/>
        <c:axId val="392658376"/>
        <c:axId val="39265680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25260</c:v>
                </c:pt>
                <c:pt idx="1">
                  <c:v>25055</c:v>
                </c:pt>
                <c:pt idx="2">
                  <c:v>25127</c:v>
                </c:pt>
                <c:pt idx="3">
                  <c:v>24598</c:v>
                </c:pt>
                <c:pt idx="4">
                  <c:v>23831</c:v>
                </c:pt>
                <c:pt idx="5">
                  <c:v>22963</c:v>
                </c:pt>
                <c:pt idx="6">
                  <c:v>22032</c:v>
                </c:pt>
              </c:numCache>
            </c:numRef>
          </c:val>
          <c:smooth val="0"/>
          <c:extLst xmlns:c16r2="http://schemas.microsoft.com/office/drawing/2015/06/chart">
            <c:ext xmlns:c16="http://schemas.microsoft.com/office/drawing/2014/chart" uri="{C3380CC4-5D6E-409C-BE32-E72D297353CC}">
              <c16:uniqueId val="{00000011-ED69-4882-9B7E-494E73D1988F}"/>
            </c:ext>
          </c:extLst>
        </c:ser>
        <c:dLbls>
          <c:showLegendKey val="0"/>
          <c:showVal val="0"/>
          <c:showCatName val="0"/>
          <c:showSerName val="0"/>
          <c:showPercent val="0"/>
          <c:showBubbleSize val="0"/>
        </c:dLbls>
        <c:marker val="1"/>
        <c:smooth val="0"/>
        <c:axId val="392658376"/>
        <c:axId val="392656808"/>
      </c:lineChart>
      <c:catAx>
        <c:axId val="392658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56808"/>
        <c:crosses val="autoZero"/>
        <c:auto val="1"/>
        <c:lblAlgn val="ctr"/>
        <c:lblOffset val="100"/>
        <c:noMultiLvlLbl val="0"/>
      </c:catAx>
      <c:valAx>
        <c:axId val="392656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5837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1506</c:v>
                </c:pt>
                <c:pt idx="1">
                  <c:v>1477</c:v>
                </c:pt>
                <c:pt idx="2">
                  <c:v>1502</c:v>
                </c:pt>
                <c:pt idx="3">
                  <c:v>1472</c:v>
                </c:pt>
                <c:pt idx="4">
                  <c:v>1350</c:v>
                </c:pt>
                <c:pt idx="5">
                  <c:v>1213</c:v>
                </c:pt>
                <c:pt idx="6">
                  <c:v>1145</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2659552"/>
        <c:axId val="392662688"/>
      </c:barChart>
      <c:catAx>
        <c:axId val="392659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2688"/>
        <c:crosses val="autoZero"/>
        <c:auto val="1"/>
        <c:lblAlgn val="ctr"/>
        <c:lblOffset val="100"/>
        <c:noMultiLvlLbl val="0"/>
      </c:catAx>
      <c:valAx>
        <c:axId val="3926626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59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大宮地域自治区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45201_4</v>
      </c>
      <c r="B5" s="201" t="str">
        <f>VLOOKUP($A$5,$A$7:$CP$50,2,FALSE)</f>
        <v>宮崎市</v>
      </c>
      <c r="C5" s="201" t="str">
        <f>VLOOKUP($A$5,$A$7:$CP$50,3,FALSE)</f>
        <v>大宮地域自治区</v>
      </c>
      <c r="D5" s="188">
        <f>VLOOKUP($A$5,$A$7:$CP$70,4,FALSE)</f>
        <v>11519</v>
      </c>
      <c r="E5" s="189">
        <f>VLOOKUP($A$5,$A$7:$CP$70,5,FALSE)</f>
        <v>4473</v>
      </c>
      <c r="F5" s="189">
        <f>VLOOKUP($A$5,$A$7:$CP$70,6,FALSE)</f>
        <v>1635</v>
      </c>
      <c r="G5" s="190">
        <f>VLOOKUP($A$5,$A$7:$CP$70,7,FALSE)</f>
        <v>1498</v>
      </c>
      <c r="H5" s="178">
        <f>VLOOKUP($A$5,$A$7:$CP$70,8,FALSE)</f>
        <v>0.38831495789565068</v>
      </c>
      <c r="I5" s="179">
        <f>VLOOKUP($A$5,$A$7:$CP$70,9,FALSE)</f>
        <v>0.14193940446219289</v>
      </c>
      <c r="J5" s="180">
        <f>VLOOKUP($A$5,$A$7:$CP$70,10,FALSE)</f>
        <v>0.13004601093844953</v>
      </c>
      <c r="K5" s="188">
        <f>VLOOKUP($A$5,$A$7:$CP$70,11,FALSE)</f>
        <v>25129</v>
      </c>
      <c r="L5" s="189">
        <f>VLOOKUP($A$5,$A$7:$CP$70,12,FALSE)</f>
        <v>1775</v>
      </c>
      <c r="M5" s="189">
        <f>VLOOKUP($A$5,$A$7:$CP$70,13,FALSE)</f>
        <v>9748</v>
      </c>
      <c r="N5" s="190">
        <f>VLOOKUP($A$5,$A$7:$CP$70,14,FALSE)</f>
        <v>10935</v>
      </c>
      <c r="O5" s="178">
        <f>VLOOKUP($A$5,$A$7:$CP$70,15,FALSE)</f>
        <v>7.0635520713120306E-2</v>
      </c>
      <c r="P5" s="179">
        <f>VLOOKUP($A$5,$A$7:$CP$70,16,FALSE)</f>
        <v>0.38791834135858966</v>
      </c>
      <c r="Q5" s="180">
        <f>VLOOKUP($A$5,$A$7:$CP$70,17,FALSE)</f>
        <v>0.43515460225237773</v>
      </c>
      <c r="R5" s="188">
        <f>VLOOKUP($A$5,$A$7:$CP$70,18,FALSE)</f>
        <v>25129</v>
      </c>
      <c r="S5" s="189">
        <f>VLOOKUP($A$5,$A$7:$CP$70,19,FALSE)</f>
        <v>3738</v>
      </c>
      <c r="T5" s="189">
        <f>VLOOKUP($A$5,$A$7:$CP$70,20,FALSE)</f>
        <v>885</v>
      </c>
      <c r="U5" s="189">
        <f>VLOOKUP($A$5,$A$7:$CP$70,21,FALSE)</f>
        <v>1283</v>
      </c>
      <c r="V5" s="189">
        <f>VLOOKUP($A$5,$A$7:$CP$70,22,FALSE)</f>
        <v>49</v>
      </c>
      <c r="W5" s="190">
        <f>VLOOKUP($A$5,$A$7:$CP$70,23,FALSE)</f>
        <v>5955</v>
      </c>
      <c r="X5" s="188">
        <f>VLOOKUP($A$5,$A$7:$CP$70,24,FALSE)</f>
        <v>11557</v>
      </c>
      <c r="Y5" s="189">
        <f>VLOOKUP($A$5,$A$7:$CP$70,25,FALSE)</f>
        <v>1645</v>
      </c>
      <c r="Z5" s="189">
        <f>VLOOKUP($A$5,$A$7:$CP$70,26,FALSE)</f>
        <v>369</v>
      </c>
      <c r="AA5" s="189">
        <f>VLOOKUP($A$5,$A$7:$CP$70,27,FALSE)</f>
        <v>697</v>
      </c>
      <c r="AB5" s="189">
        <f>VLOOKUP($A$5,$A$7:$CP$70,28,FALSE)</f>
        <v>32</v>
      </c>
      <c r="AC5" s="191">
        <f>VLOOKUP($A$5,$A$7:$CP$70,29,FALSE)</f>
        <v>2743</v>
      </c>
      <c r="AD5" s="188">
        <f>VLOOKUP($A$5,$A$7:$CP$70,30,FALSE)</f>
        <v>13572</v>
      </c>
      <c r="AE5" s="189">
        <f>VLOOKUP($A$5,$A$7:$CP$70,31,FALSE)</f>
        <v>2093</v>
      </c>
      <c r="AF5" s="189">
        <f>VLOOKUP($A$5,$A$7:$CP$70,32,FALSE)</f>
        <v>516</v>
      </c>
      <c r="AG5" s="189">
        <f>VLOOKUP($A$5,$A$7:$CP$70,33,FALSE)</f>
        <v>586</v>
      </c>
      <c r="AH5" s="189">
        <f>VLOOKUP($A$5,$A$7:$CP$70,34,FALSE)</f>
        <v>17</v>
      </c>
      <c r="AI5" s="191">
        <f>VLOOKUP($A$5,$A$7:$CP$70,35,FALSE)</f>
        <v>3212</v>
      </c>
      <c r="AJ5" s="178">
        <f>VLOOKUP($A$5,$A$7:$CP$70,36,FALSE)</f>
        <v>0.23697719766007402</v>
      </c>
      <c r="AK5" s="179">
        <f>VLOOKUP($A$5,$A$7:$CP$70,37,FALSE)</f>
        <v>0.1486146095717884</v>
      </c>
      <c r="AL5" s="179">
        <f>VLOOKUP($A$5,$A$7:$CP$70,38,FALSE)</f>
        <v>0.21544920235096557</v>
      </c>
      <c r="AM5" s="179">
        <f>VLOOKUP($A$5,$A$7:$CP$70,39,FALSE)</f>
        <v>8.2283795130142744E-3</v>
      </c>
      <c r="AN5" s="182">
        <f>VLOOKUP($A$5,$A$7:$CP$70,40,FALSE)</f>
        <v>0.46062132661628885</v>
      </c>
      <c r="AO5" s="180">
        <f>VLOOKUP($A$5,$A$7:$CP$70,41,FALSE)</f>
        <v>0.53937867338371115</v>
      </c>
      <c r="AP5" s="192">
        <f>VLOOKUP($A$5,$A$7:$CP$70,42,FALSE)</f>
        <v>11341</v>
      </c>
      <c r="AQ5" s="189">
        <f>VLOOKUP($A$5,$A$7:$CP$70,43,FALSE)</f>
        <v>283</v>
      </c>
      <c r="AR5" s="189">
        <f>VLOOKUP($A$5,$A$7:$CP$70,44,FALSE)</f>
        <v>13</v>
      </c>
      <c r="AS5" s="189">
        <f>VLOOKUP($A$5,$A$7:$CP$70,45,FALSE)</f>
        <v>1</v>
      </c>
      <c r="AT5" s="189">
        <f>VLOOKUP($A$5,$A$7:$CP$70,46,FALSE)</f>
        <v>751</v>
      </c>
      <c r="AU5" s="189">
        <f>VLOOKUP($A$5,$A$7:$CP$70,47,FALSE)</f>
        <v>749</v>
      </c>
      <c r="AV5" s="189">
        <f>VLOOKUP($A$5,$A$7:$CP$70,48,FALSE)</f>
        <v>115</v>
      </c>
      <c r="AW5" s="189">
        <f>VLOOKUP($A$5,$A$7:$CP$70,49,FALSE)</f>
        <v>336</v>
      </c>
      <c r="AX5" s="189">
        <f>VLOOKUP($A$5,$A$7:$CP$70,50,FALSE)</f>
        <v>380</v>
      </c>
      <c r="AY5" s="189">
        <f>VLOOKUP($A$5,$A$7:$CP$70,51,FALSE)</f>
        <v>1950</v>
      </c>
      <c r="AZ5" s="189">
        <f>VLOOKUP($A$5,$A$7:$CP$70,52,FALSE)</f>
        <v>419</v>
      </c>
      <c r="BA5" s="189">
        <f>VLOOKUP($A$5,$A$7:$CP$70,53,FALSE)</f>
        <v>250</v>
      </c>
      <c r="BB5" s="189">
        <f>VLOOKUP($A$5,$A$7:$CP$70,54,FALSE)</f>
        <v>394</v>
      </c>
      <c r="BC5" s="189">
        <f>VLOOKUP($A$5,$A$7:$CP$70,55,FALSE)</f>
        <v>626</v>
      </c>
      <c r="BD5" s="189">
        <f>VLOOKUP($A$5,$A$7:$CP$70,56,FALSE)</f>
        <v>431</v>
      </c>
      <c r="BE5" s="189">
        <f>VLOOKUP($A$5,$A$7:$CP$70,57,FALSE)</f>
        <v>862</v>
      </c>
      <c r="BF5" s="189">
        <f>VLOOKUP($A$5,$A$7:$CP$70,58,FALSE)</f>
        <v>2026</v>
      </c>
      <c r="BG5" s="189">
        <f>VLOOKUP($A$5,$A$7:$CP$70,59,FALSE)</f>
        <v>86</v>
      </c>
      <c r="BH5" s="189">
        <f>VLOOKUP($A$5,$A$7:$CP$70,60,FALSE)</f>
        <v>780</v>
      </c>
      <c r="BI5" s="189">
        <f>VLOOKUP($A$5,$A$7:$CP$70,61,FALSE)</f>
        <v>595</v>
      </c>
      <c r="BJ5" s="178">
        <f>VLOOKUP($A$5,$A$7:$CP$70,62,FALSE)</f>
        <v>2.495370778590953E-2</v>
      </c>
      <c r="BK5" s="179">
        <f>VLOOKUP($A$5,$A$7:$CP$70,63,FALSE)</f>
        <v>1.1462833965258795E-3</v>
      </c>
      <c r="BL5" s="179">
        <f>VLOOKUP($A$5,$A$7:$CP$70,64,FALSE)</f>
        <v>8.8175645886606123E-5</v>
      </c>
      <c r="BM5" s="179">
        <f>VLOOKUP($A$5,$A$7:$CP$70,65,FALSE)</f>
        <v>6.62199100608412E-2</v>
      </c>
      <c r="BN5" s="179">
        <f>VLOOKUP($A$5,$A$7:$CP$70,66,FALSE)</f>
        <v>6.6043558769067978E-2</v>
      </c>
      <c r="BO5" s="179">
        <f>VLOOKUP($A$5,$A$7:$CP$70,67,FALSE)</f>
        <v>1.0140199276959704E-2</v>
      </c>
      <c r="BP5" s="179">
        <f>VLOOKUP($A$5,$A$7:$CP$70,68,FALSE)</f>
        <v>2.9627017017899656E-2</v>
      </c>
      <c r="BQ5" s="179">
        <f>VLOOKUP($A$5,$A$7:$CP$70,69,FALSE)</f>
        <v>3.3506745436910325E-2</v>
      </c>
      <c r="BR5" s="179">
        <f>VLOOKUP($A$5,$A$7:$CP$70,70,FALSE)</f>
        <v>0.17194250947888193</v>
      </c>
      <c r="BS5" s="179">
        <f>VLOOKUP($A$5,$A$7:$CP$70,71,FALSE)</f>
        <v>3.6945595626487963E-2</v>
      </c>
      <c r="BT5" s="179">
        <f>VLOOKUP($A$5,$A$7:$CP$70,72,FALSE)</f>
        <v>2.204391147165153E-2</v>
      </c>
      <c r="BU5" s="179">
        <f>VLOOKUP($A$5,$A$7:$CP$70,73,FALSE)</f>
        <v>3.4741204479322808E-2</v>
      </c>
      <c r="BV5" s="179">
        <f>VLOOKUP($A$5,$A$7:$CP$70,74,FALSE)</f>
        <v>5.5197954325015432E-2</v>
      </c>
      <c r="BW5" s="179">
        <f>VLOOKUP($A$5,$A$7:$CP$70,75,FALSE)</f>
        <v>3.8003703377127239E-2</v>
      </c>
      <c r="BX5" s="179">
        <f>VLOOKUP($A$5,$A$7:$CP$70,76,FALSE)</f>
        <v>7.6007406754254478E-2</v>
      </c>
      <c r="BY5" s="179">
        <f>VLOOKUP($A$5,$A$7:$CP$70,77,FALSE)</f>
        <v>0.178643858566264</v>
      </c>
      <c r="BZ5" s="179">
        <f>VLOOKUP($A$5,$A$7:$CP$70,78,FALSE)</f>
        <v>7.5831055462481263E-3</v>
      </c>
      <c r="CA5" s="179">
        <f>VLOOKUP($A$5,$A$7:$CP$70,79,FALSE)</f>
        <v>6.8777003791552771E-2</v>
      </c>
      <c r="CB5" s="180">
        <f>VLOOKUP($A$5,$A$7:$CP$70,80,FALSE)</f>
        <v>5.2464509302530639E-2</v>
      </c>
      <c r="CC5" s="188">
        <f>VLOOKUP($A$5,$A$7:$CP$70,81,FALSE)</f>
        <v>11341</v>
      </c>
      <c r="CD5" s="190">
        <f>VLOOKUP($A$5,$A$7:$CP$70,82,FALSE)</f>
        <v>10280</v>
      </c>
      <c r="CE5" s="189">
        <f>VLOOKUP($A$5,$A$7:$CP$70,83,FALSE)</f>
        <v>802</v>
      </c>
      <c r="CF5" s="191">
        <f>VLOOKUP($A$5,$A$7:$CP$70,84,FALSE)</f>
        <v>40</v>
      </c>
      <c r="CG5" s="188">
        <f>VLOOKUP($A$5,$A$7:$CP$70,85,FALSE)</f>
        <v>917</v>
      </c>
      <c r="CH5" s="189">
        <f>VLOOKUP($A$5,$A$7:$CP$70,86,FALSE)</f>
        <v>838</v>
      </c>
      <c r="CI5" s="189">
        <f>VLOOKUP($A$5,$A$7:$CP$70,87,FALSE)</f>
        <v>31</v>
      </c>
      <c r="CJ5" s="191">
        <f>VLOOKUP($A$5,$A$7:$CP$70,88,FALSE)</f>
        <v>19</v>
      </c>
      <c r="CK5" s="178">
        <f>VLOOKUP($A$5,$A$7:$CP$70,89,FALSE)</f>
        <v>0.90644563971431091</v>
      </c>
      <c r="CL5" s="179">
        <f>VLOOKUP($A$5,$A$7:$CP$70,90,FALSE)</f>
        <v>7.0716868001058114E-2</v>
      </c>
      <c r="CM5" s="180">
        <f>VLOOKUP($A$5,$A$7:$CP$70,91,FALSE)</f>
        <v>3.5270258354642447E-3</v>
      </c>
      <c r="CN5" s="178">
        <f>VLOOKUP($A$5,$A$7:$CP$70,92,FALSE)</f>
        <v>0.9138495092693566</v>
      </c>
      <c r="CO5" s="179">
        <f>VLOOKUP($A$5,$A$7:$CP$70,93,FALSE)</f>
        <v>3.3805888767720831E-2</v>
      </c>
      <c r="CP5" s="180">
        <f>VLOOKUP($A$5,$A$7:$CP$70,94,FALSE)</f>
        <v>2.0719738276990186E-2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大宮地域自治区</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25127</v>
      </c>
      <c r="F6" s="257"/>
      <c r="G6" s="20" t="s">
        <v>54</v>
      </c>
    </row>
    <row r="7" spans="1:10" ht="22.5" customHeight="1" x14ac:dyDescent="0.15">
      <c r="A7" s="250">
        <f>管理者用グラフシート!B4</f>
        <v>2010</v>
      </c>
      <c r="B7" s="250"/>
      <c r="C7" s="82" t="s">
        <v>226</v>
      </c>
      <c r="D7" s="249">
        <f>E6-管理者用グラフシート!E4</f>
        <v>-133</v>
      </c>
      <c r="E7" s="249"/>
      <c r="F7" s="20" t="s">
        <v>356</v>
      </c>
    </row>
    <row r="8" spans="1:10" ht="22.5" customHeight="1" x14ac:dyDescent="0.15">
      <c r="A8" s="258" t="s">
        <v>380</v>
      </c>
      <c r="B8" s="258"/>
      <c r="C8" s="204">
        <f>管理者用グラフシート!C6-管理者用グラフシート!C4</f>
        <v>-107</v>
      </c>
      <c r="D8" s="207" t="s">
        <v>381</v>
      </c>
      <c r="F8" s="204">
        <f>管理者用グラフシート!D6-管理者用グラフシート!D4</f>
        <v>-26</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1502</v>
      </c>
      <c r="G36" s="254"/>
      <c r="H36" s="20" t="s">
        <v>54</v>
      </c>
    </row>
    <row r="37" spans="1:9" ht="22.5" customHeight="1" x14ac:dyDescent="0.15">
      <c r="A37" s="20" t="s">
        <v>66</v>
      </c>
      <c r="F37" s="254">
        <f>管理者用グラフシート!C16</f>
        <v>718</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-4</v>
      </c>
      <c r="E40" s="249"/>
      <c r="F40" s="20" t="s">
        <v>60</v>
      </c>
    </row>
    <row r="41" spans="1:9" ht="22.5" customHeight="1" x14ac:dyDescent="0.15">
      <c r="B41" s="20" t="s">
        <v>69</v>
      </c>
      <c r="D41" s="249">
        <f>F37-管理者用グラフシート!C14</f>
        <v>-84</v>
      </c>
      <c r="E41" s="249"/>
      <c r="F41" s="20" t="s">
        <v>70</v>
      </c>
    </row>
    <row r="53" spans="1:13" ht="22.5" customHeight="1" x14ac:dyDescent="0.15">
      <c r="M53" s="72"/>
    </row>
    <row r="62" spans="1:13" ht="22.5" customHeight="1" thickBot="1" x14ac:dyDescent="0.2"/>
    <row r="63" spans="1:13" ht="22.5" customHeight="1" x14ac:dyDescent="0.15">
      <c r="A63" s="244" t="s">
        <v>471</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7076</v>
      </c>
      <c r="D70" s="254"/>
      <c r="E70" s="20" t="s">
        <v>76</v>
      </c>
      <c r="F70" s="37"/>
      <c r="G70" s="253">
        <f>管理者用グラフシート!C32</f>
        <v>0.28000000000000003</v>
      </c>
      <c r="H70" s="253"/>
      <c r="I70" s="20" t="s">
        <v>77</v>
      </c>
    </row>
    <row r="71" spans="1:9" ht="22.5" customHeight="1" x14ac:dyDescent="0.15">
      <c r="A71" s="20" t="s">
        <v>78</v>
      </c>
      <c r="C71" s="254">
        <f>管理者用グラフシート!C26</f>
        <v>3744</v>
      </c>
      <c r="D71" s="254"/>
      <c r="E71" s="20" t="s">
        <v>76</v>
      </c>
      <c r="F71" s="37"/>
      <c r="G71" s="253">
        <f>管理者用グラフシート!C36</f>
        <v>0.15</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5"/>
      <c r="G75" s="255"/>
      <c r="H75" s="20" t="s">
        <v>77</v>
      </c>
    </row>
    <row r="95" spans="1:9" ht="22.5" customHeight="1" thickBot="1" x14ac:dyDescent="0.2"/>
    <row r="96" spans="1:9" ht="22.5" customHeight="1" x14ac:dyDescent="0.15">
      <c r="A96" s="97" t="s">
        <v>472</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6">
        <f>SUM(管理者用グラフシート!B93:C94)-SUM(管理者用グラフシート!B45:C46)</f>
        <v>-419</v>
      </c>
      <c r="G135" s="208" t="s">
        <v>386</v>
      </c>
      <c r="H135" s="111"/>
    </row>
    <row r="136" spans="1:8" ht="22.5" customHeight="1" x14ac:dyDescent="0.15">
      <c r="A136" s="35" t="s">
        <v>387</v>
      </c>
      <c r="C136" s="206">
        <f>SUM(管理者用グラフシート!B95:C96)-SUM(管理者用グラフシート!B47:C48)</f>
        <v>-709</v>
      </c>
      <c r="D136" s="20" t="s">
        <v>388</v>
      </c>
      <c r="E136" s="34"/>
      <c r="F136" s="206">
        <f>SUM(管理者用グラフシート!B97:C98)-SUM(管理者用グラフシート!B49:C50)</f>
        <v>154</v>
      </c>
      <c r="G136" s="20" t="s">
        <v>386</v>
      </c>
    </row>
    <row r="137" spans="1:8" ht="18.75" x14ac:dyDescent="0.15">
      <c r="A137" s="20" t="s">
        <v>389</v>
      </c>
      <c r="C137" s="206">
        <f>SUM(管理者用グラフシート!B99:C100)-SUM(管理者用グラフシート!B51:C52)</f>
        <v>32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大宮地域自治区</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23831</v>
      </c>
      <c r="E6" s="254"/>
      <c r="F6" s="20" t="s">
        <v>231</v>
      </c>
      <c r="H6" s="34"/>
      <c r="I6" s="34"/>
    </row>
    <row r="7" spans="1:9" ht="22.5" customHeight="1" x14ac:dyDescent="0.15">
      <c r="A7" s="250">
        <f>管理者入力シート!B5</f>
        <v>2020</v>
      </c>
      <c r="B7" s="250"/>
      <c r="C7" s="195" t="s">
        <v>362</v>
      </c>
      <c r="D7" s="249">
        <f>D6-現況シート!E6</f>
        <v>-1296</v>
      </c>
      <c r="E7" s="249"/>
      <c r="F7" s="20" t="s">
        <v>232</v>
      </c>
      <c r="I7" s="34"/>
    </row>
    <row r="8" spans="1:9" ht="22.5" customHeight="1" x14ac:dyDescent="0.15">
      <c r="A8" s="258" t="s">
        <v>397</v>
      </c>
      <c r="B8" s="258"/>
      <c r="C8" s="206">
        <f>管理者用グラフシート!I8-管理者用グラフシート!C6</f>
        <v>-633</v>
      </c>
      <c r="D8" s="207" t="s">
        <v>398</v>
      </c>
      <c r="F8" s="259">
        <f>管理者用グラフシート!J8-管理者用グラフシート!D6</f>
        <v>-663</v>
      </c>
      <c r="G8" s="259"/>
      <c r="H8" s="20" t="s">
        <v>399</v>
      </c>
    </row>
    <row r="10" spans="1:9" ht="22.5" customHeight="1" x14ac:dyDescent="0.15">
      <c r="A10" s="250">
        <f>管理者入力シート!B11</f>
        <v>2040</v>
      </c>
      <c r="B10" s="250"/>
      <c r="C10" s="20" t="s">
        <v>361</v>
      </c>
      <c r="D10" s="254">
        <f>管理者用グラフシート!K10</f>
        <v>22032</v>
      </c>
      <c r="E10" s="254"/>
      <c r="F10" s="20" t="s">
        <v>231</v>
      </c>
      <c r="H10" s="34"/>
    </row>
    <row r="11" spans="1:9" ht="22.5" customHeight="1" x14ac:dyDescent="0.15">
      <c r="A11" s="250">
        <f>管理者入力シート!B5</f>
        <v>2020</v>
      </c>
      <c r="B11" s="250"/>
      <c r="C11" s="195" t="s">
        <v>362</v>
      </c>
      <c r="D11" s="249">
        <f>D10-現況シート!E6</f>
        <v>-3095</v>
      </c>
      <c r="E11" s="249"/>
      <c r="F11" s="20" t="s">
        <v>232</v>
      </c>
      <c r="H11" s="34"/>
    </row>
    <row r="12" spans="1:9" ht="22.5" customHeight="1" x14ac:dyDescent="0.15">
      <c r="A12" s="258" t="s">
        <v>397</v>
      </c>
      <c r="B12" s="258"/>
      <c r="C12" s="206">
        <f>管理者用グラフシート!I10-管理者用グラフシート!C6</f>
        <v>-1459</v>
      </c>
      <c r="D12" s="207" t="s">
        <v>398</v>
      </c>
      <c r="F12" s="259">
        <f>管理者用グラフシート!J10-管理者用グラフシート!D6</f>
        <v>-1636</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1145</v>
      </c>
      <c r="G36" s="254"/>
      <c r="H36" s="82" t="s">
        <v>233</v>
      </c>
      <c r="I36" s="34"/>
    </row>
    <row r="37" spans="1:9" ht="22.5" customHeight="1" x14ac:dyDescent="0.15">
      <c r="A37" s="20" t="s">
        <v>234</v>
      </c>
      <c r="F37" s="254">
        <f>管理者用グラフシート!I28</f>
        <v>584</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-357</v>
      </c>
      <c r="G40" s="249"/>
      <c r="H40" s="35" t="s">
        <v>60</v>
      </c>
    </row>
    <row r="41" spans="1:9" ht="22.5" customHeight="1" x14ac:dyDescent="0.15">
      <c r="A41" s="20" t="s">
        <v>69</v>
      </c>
      <c r="C41" s="199">
        <f>管理者入力シート!B5</f>
        <v>2020</v>
      </c>
      <c r="D41" s="20" t="s">
        <v>374</v>
      </c>
      <c r="F41" s="249">
        <f>F37-現況シート!F37</f>
        <v>-134</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7667</v>
      </c>
      <c r="D70" s="254"/>
      <c r="E70" s="82" t="s">
        <v>239</v>
      </c>
      <c r="F70" s="34"/>
      <c r="G70" s="253">
        <f>管理者用グラフシート!I56</f>
        <v>0.35</v>
      </c>
      <c r="H70" s="253"/>
      <c r="I70" s="110" t="s">
        <v>240</v>
      </c>
    </row>
    <row r="71" spans="1:9" ht="22.5" customHeight="1" x14ac:dyDescent="0.15">
      <c r="A71" s="20" t="s">
        <v>241</v>
      </c>
      <c r="C71" s="254">
        <f>管理者用グラフシート!I46</f>
        <v>4369</v>
      </c>
      <c r="D71" s="254"/>
      <c r="E71" s="20" t="s">
        <v>239</v>
      </c>
      <c r="G71" s="261">
        <f>管理者用グラフシート!I64</f>
        <v>0.2</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7ポイント上昇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6">
        <f>SUM(管理者用グラフシート!H97:I98)-SUM(管理者用グラフシート!B93:C94)</f>
        <v>-270</v>
      </c>
      <c r="H103" s="208" t="s">
        <v>60</v>
      </c>
    </row>
    <row r="104" spans="1:8" ht="22.5" customHeight="1" x14ac:dyDescent="0.15">
      <c r="A104" s="35" t="s">
        <v>387</v>
      </c>
      <c r="C104" s="206">
        <f>SUM(管理者用グラフシート!H99:I100)-SUM(管理者用グラフシート!B95:C96)</f>
        <v>-481</v>
      </c>
      <c r="D104" s="20" t="s">
        <v>423</v>
      </c>
      <c r="E104" s="34"/>
      <c r="G104" s="206">
        <f>SUM(管理者用グラフシート!H101:I102)-SUM(管理者用グラフシート!B97:C98)</f>
        <v>-698</v>
      </c>
      <c r="H104" s="20" t="s">
        <v>60</v>
      </c>
    </row>
    <row r="105" spans="1:8" ht="22.5" customHeight="1" x14ac:dyDescent="0.15">
      <c r="A105" s="20" t="s">
        <v>389</v>
      </c>
      <c r="C105" s="206">
        <f>SUM(管理者用グラフシート!H103:I104)-SUM(管理者用グラフシート!B99:C100)</f>
        <v>124</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6">
        <f>SUM(管理者用グラフシート!H145:I146)-SUM(管理者用グラフシート!B93:C94)</f>
        <v>-242</v>
      </c>
      <c r="H137" s="208" t="s">
        <v>60</v>
      </c>
    </row>
    <row r="138" spans="1:8" ht="22.5" customHeight="1" x14ac:dyDescent="0.15">
      <c r="A138" s="35" t="s">
        <v>387</v>
      </c>
      <c r="C138" s="206">
        <f>SUM(管理者用グラフシート!H147:I148)-SUM(管理者用グラフシート!B95:C96)</f>
        <v>-799</v>
      </c>
      <c r="D138" s="20" t="s">
        <v>423</v>
      </c>
      <c r="E138" s="34"/>
      <c r="G138" s="243">
        <f>SUM(管理者用グラフシート!H149:I150)-SUM(管理者用グラフシート!B97:C98)</f>
        <v>-1199</v>
      </c>
      <c r="H138" s="20" t="s">
        <v>60</v>
      </c>
    </row>
    <row r="139" spans="1:8" ht="22.5" customHeight="1" x14ac:dyDescent="0.15">
      <c r="A139" s="20" t="s">
        <v>389</v>
      </c>
      <c r="C139" s="206">
        <f>SUM(管理者用グラフシート!H151:I152)-SUM(管理者用グラフシート!B99:C100)</f>
        <v>-555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大宮地域自治区</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8">
        <f>管理者入力シート!B5</f>
        <v>2020</v>
      </c>
      <c r="C31" s="278"/>
      <c r="D31" s="83" t="s">
        <v>412</v>
      </c>
      <c r="E31" s="131"/>
      <c r="F31" s="131"/>
      <c r="G31" s="131"/>
      <c r="H31" s="131"/>
      <c r="I31" s="237"/>
    </row>
    <row r="32" spans="1:9" s="131" customFormat="1" ht="17.25" customHeight="1" x14ac:dyDescent="0.15">
      <c r="A32" s="159" t="s">
        <v>409</v>
      </c>
      <c r="B32" s="277">
        <f>管理者入力シート!B5</f>
        <v>2020</v>
      </c>
      <c r="C32" s="277"/>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4" t="s">
        <v>257</v>
      </c>
      <c r="C35" s="275"/>
      <c r="D35" s="276"/>
      <c r="F35" s="162"/>
      <c r="G35" s="240"/>
      <c r="H35" s="279" t="s">
        <v>410</v>
      </c>
      <c r="I35" s="280"/>
    </row>
    <row r="36" spans="1:9" s="132" customFormat="1" ht="17.25" customHeight="1" x14ac:dyDescent="0.15">
      <c r="A36" s="160"/>
      <c r="B36" s="215"/>
      <c r="C36" s="127" t="s">
        <v>21</v>
      </c>
      <c r="D36" s="216" t="s">
        <v>22</v>
      </c>
      <c r="F36" s="162"/>
      <c r="G36" s="238">
        <f>管理者入力シート!B8</f>
        <v>2025</v>
      </c>
      <c r="H36" s="270">
        <f>管理者用人口入力シート!EU22</f>
        <v>25522</v>
      </c>
      <c r="I36" s="271"/>
    </row>
    <row r="37" spans="1:9" s="130" customFormat="1" ht="17.25" customHeight="1" x14ac:dyDescent="0.15">
      <c r="A37" s="165"/>
      <c r="B37" s="226" t="s">
        <v>5</v>
      </c>
      <c r="C37" s="227">
        <f>管理者用人口入力シート!DX1</f>
        <v>154</v>
      </c>
      <c r="D37" s="228">
        <f>C37</f>
        <v>154</v>
      </c>
      <c r="F37" s="162"/>
      <c r="G37" s="238">
        <f>管理者入力シート!B9</f>
        <v>2030</v>
      </c>
      <c r="H37" s="270">
        <f>管理者用人口入力シート!EU25</f>
        <v>26086</v>
      </c>
      <c r="I37" s="271"/>
    </row>
    <row r="38" spans="1:9" s="132" customFormat="1" ht="17.25" customHeight="1" x14ac:dyDescent="0.15">
      <c r="A38" s="160"/>
      <c r="B38" s="226" t="s">
        <v>6</v>
      </c>
      <c r="C38" s="227">
        <f>C37</f>
        <v>154</v>
      </c>
      <c r="D38" s="228">
        <f>C37</f>
        <v>154</v>
      </c>
      <c r="F38" s="162"/>
      <c r="G38" s="238">
        <f>管理者入力シート!B10</f>
        <v>2035</v>
      </c>
      <c r="H38" s="270">
        <f>管理者用人口入力シート!EU28</f>
        <v>26670</v>
      </c>
      <c r="I38" s="271"/>
    </row>
    <row r="39" spans="1:9" ht="17.25" customHeight="1" thickBot="1" x14ac:dyDescent="0.2">
      <c r="A39" s="166"/>
      <c r="B39" s="229" t="s">
        <v>7</v>
      </c>
      <c r="C39" s="230">
        <f>C37</f>
        <v>154</v>
      </c>
      <c r="D39" s="231">
        <f>C37</f>
        <v>154</v>
      </c>
      <c r="F39" s="162"/>
      <c r="G39" s="239">
        <f>管理者入力シート!B11</f>
        <v>2040</v>
      </c>
      <c r="H39" s="272">
        <f>管理者用人口入力シート!EU31</f>
        <v>27207</v>
      </c>
      <c r="I39" s="273"/>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23851</v>
      </c>
      <c r="E43" s="254"/>
      <c r="F43" s="20" t="s">
        <v>231</v>
      </c>
      <c r="H43" s="34"/>
      <c r="I43" s="34"/>
    </row>
    <row r="44" spans="1:9" ht="22.5" customHeight="1" x14ac:dyDescent="0.15">
      <c r="A44" s="250">
        <f>管理者入力シート!B11</f>
        <v>2040</v>
      </c>
      <c r="B44" s="250"/>
      <c r="C44" s="20" t="s">
        <v>417</v>
      </c>
      <c r="D44" s="254">
        <f>管理者用グラフシート!U10</f>
        <v>22078</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20</v>
      </c>
      <c r="E46" s="257"/>
      <c r="F46" s="20" t="s">
        <v>122</v>
      </c>
    </row>
    <row r="47" spans="1:9" ht="22.5" customHeight="1" x14ac:dyDescent="0.15">
      <c r="A47" s="250">
        <f>管理者入力シート!B11</f>
        <v>2040</v>
      </c>
      <c r="B47" s="250"/>
      <c r="C47" s="20" t="s">
        <v>418</v>
      </c>
      <c r="D47" s="257">
        <f>D44-将来予測シート①!D10</f>
        <v>46</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1152</v>
      </c>
      <c r="G78" s="254"/>
      <c r="H78" s="82" t="s">
        <v>264</v>
      </c>
      <c r="I78" s="34"/>
    </row>
    <row r="79" spans="1:9" ht="22.5" customHeight="1" x14ac:dyDescent="0.15">
      <c r="A79" s="20" t="s">
        <v>234</v>
      </c>
      <c r="F79" s="254">
        <f>管理者用グラフシート!Q28</f>
        <v>587</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7</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7667</v>
      </c>
      <c r="D112" s="254"/>
      <c r="E112" s="20" t="s">
        <v>270</v>
      </c>
      <c r="F112" s="36"/>
      <c r="G112" s="111">
        <f>管理者用グラフシート!Q56</f>
        <v>0.35</v>
      </c>
      <c r="H112" s="82" t="s">
        <v>271</v>
      </c>
      <c r="I112" s="34"/>
    </row>
    <row r="113" spans="1:9" ht="22.5" customHeight="1" x14ac:dyDescent="0.15">
      <c r="A113" s="20" t="s">
        <v>268</v>
      </c>
      <c r="C113" s="254">
        <f>管理者用グラフシート!Q46</f>
        <v>4369</v>
      </c>
      <c r="D113" s="254"/>
      <c r="E113" s="82" t="s">
        <v>270</v>
      </c>
      <c r="F113" s="34"/>
      <c r="G113" s="111">
        <f>管理者用グラフシート!Q64</f>
        <v>0.2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473</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大宮地域自治区</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0.38831495789565068</v>
      </c>
      <c r="G7" s="281"/>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同程度で、</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6" t="str">
        <f>地域特徴シート!A1</f>
        <v>大宮地域自治区</v>
      </c>
      <c r="B11" s="256"/>
      <c r="C11" s="257">
        <f>管理者用地域特徴シート!D5</f>
        <v>11519</v>
      </c>
      <c r="D11" s="256"/>
      <c r="E11" s="20" t="s">
        <v>413</v>
      </c>
    </row>
    <row r="12" spans="1:8" ht="22.5" customHeight="1" x14ac:dyDescent="0.15">
      <c r="A12" s="256" t="str">
        <f>A8</f>
        <v>宮崎市</v>
      </c>
      <c r="B12" s="256"/>
      <c r="C12" s="257">
        <f>管理者用地域特徴シート!D4</f>
        <v>183782</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1">
        <f>管理者用地域特徴シート!J5</f>
        <v>0.13004601093844953</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0.38791834135858966</v>
      </c>
      <c r="G37" s="281"/>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5955</v>
      </c>
      <c r="F70" s="282"/>
      <c r="G70" s="20" t="s">
        <v>290</v>
      </c>
    </row>
    <row r="71" spans="1:8" ht="22.5" customHeight="1" x14ac:dyDescent="0.15">
      <c r="A71" s="20" t="s">
        <v>295</v>
      </c>
      <c r="F71" s="281">
        <f>管理者用地域特徴シート!AK5</f>
        <v>0.1486146095717884</v>
      </c>
      <c r="G71" s="281"/>
      <c r="H71" s="20" t="s">
        <v>271</v>
      </c>
    </row>
    <row r="72" spans="1:8" ht="22.5" customHeight="1" x14ac:dyDescent="0.15">
      <c r="A72" s="20" t="s">
        <v>296</v>
      </c>
      <c r="F72" s="281">
        <f>管理者用地域特徴シート!AL5</f>
        <v>0.21544920235096557</v>
      </c>
      <c r="G72" s="281"/>
      <c r="H72" s="20" t="s">
        <v>297</v>
      </c>
    </row>
    <row r="73" spans="1:8" ht="22.5" customHeight="1" x14ac:dyDescent="0.15">
      <c r="A73" s="20" t="s">
        <v>298</v>
      </c>
      <c r="E73" s="281"/>
      <c r="F73" s="281"/>
    </row>
    <row r="74" spans="1:8" ht="22.5" customHeight="1" x14ac:dyDescent="0.15">
      <c r="A74" s="20" t="s">
        <v>339</v>
      </c>
      <c r="C74" s="177">
        <f>管理者用地域特徴シート!AN5</f>
        <v>0.46062132661628885</v>
      </c>
      <c r="D74" s="156" t="s">
        <v>299</v>
      </c>
      <c r="E74" s="177">
        <f>管理者用地域特徴シート!AO5</f>
        <v>0.53937867338371115</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0.90644563971431091</v>
      </c>
      <c r="D139" s="281"/>
      <c r="E139" s="20" t="s">
        <v>316</v>
      </c>
      <c r="F139" s="157" t="str">
        <f>管理者入力シート!B3</f>
        <v>宮崎市</v>
      </c>
      <c r="G139" s="158" t="s">
        <v>317</v>
      </c>
    </row>
    <row r="140" spans="1:8" ht="22.5" customHeight="1" x14ac:dyDescent="0.15">
      <c r="A140" s="20" t="s">
        <v>318</v>
      </c>
    </row>
    <row r="141" spans="1:8" ht="22.5" customHeight="1" x14ac:dyDescent="0.15">
      <c r="C141" s="281">
        <f>管理者用地域特徴シート!CN5</f>
        <v>0.9138495092693566</v>
      </c>
      <c r="D141" s="281"/>
      <c r="E141" s="20" t="s">
        <v>316</v>
      </c>
      <c r="F141" s="157" t="str">
        <f>管理者入力シート!B3</f>
        <v>宮崎市</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433</v>
      </c>
    </row>
    <row r="3" spans="1:3" x14ac:dyDescent="0.15">
      <c r="A3" s="203" t="s">
        <v>292</v>
      </c>
      <c r="B3" s="32" t="str">
        <f>管理者用地域特徴シート!B5</f>
        <v>宮崎市</v>
      </c>
    </row>
    <row r="4" spans="1:3" x14ac:dyDescent="0.15">
      <c r="A4" s="153" t="s">
        <v>24</v>
      </c>
      <c r="B4" s="154" t="str">
        <f>管理者用地域特徴シート!C5</f>
        <v>大宮地域自治区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45201_4</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474</v>
      </c>
      <c r="DW1" s="313"/>
      <c r="DX1" s="308">
        <f>DW17</f>
        <v>154</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614.30320985525304</v>
      </c>
      <c r="E3" s="9">
        <v>754.44036579601061</v>
      </c>
      <c r="F3" s="9">
        <v>733.3844475990237</v>
      </c>
      <c r="G3" s="9">
        <v>644.3827294552483</v>
      </c>
      <c r="H3" s="9">
        <v>483.27028549999869</v>
      </c>
      <c r="I3" s="9">
        <v>703.35882630612389</v>
      </c>
      <c r="J3" s="9">
        <v>846.44713618934702</v>
      </c>
      <c r="K3" s="9">
        <v>779.49056918211818</v>
      </c>
      <c r="L3" s="9">
        <v>873.53285161876374</v>
      </c>
      <c r="M3" s="9">
        <v>759.43470484999864</v>
      </c>
      <c r="N3" s="9">
        <v>854.45051946474427</v>
      </c>
      <c r="O3" s="9">
        <v>862.49434576111514</v>
      </c>
      <c r="P3" s="9">
        <v>702.52065625731166</v>
      </c>
      <c r="Q3" s="9">
        <v>628.50964180859796</v>
      </c>
      <c r="R3" s="9">
        <v>627.48801099263267</v>
      </c>
      <c r="S3" s="9">
        <v>450.30671154595535</v>
      </c>
      <c r="T3" s="9">
        <v>250.11305913499066</v>
      </c>
      <c r="U3" s="9">
        <v>113.05372980284648</v>
      </c>
      <c r="V3" s="9">
        <v>39.016437346333639</v>
      </c>
      <c r="W3" s="9">
        <v>7.0017615335862295</v>
      </c>
      <c r="X3" s="9">
        <v>2</v>
      </c>
      <c r="Y3" s="9">
        <f>SUM(D3:X3)</f>
        <v>11729</v>
      </c>
      <c r="Z3" s="9">
        <f>E3*3/5+F3*3/5</f>
        <v>892.69488803702063</v>
      </c>
      <c r="AA3" s="9">
        <f>F3*2/5+G3*1/5</f>
        <v>422.23032493065915</v>
      </c>
      <c r="AB3" s="9">
        <f t="shared" ref="AB3:AB20" si="0">SUM(Q3:X3)</f>
        <v>2117.4893521649433</v>
      </c>
      <c r="AC3" s="9">
        <f>SUM(S3:X3)</f>
        <v>861.49169936371243</v>
      </c>
      <c r="AD3" s="13">
        <f>AB3/Y3</f>
        <v>0.18053451719370306</v>
      </c>
      <c r="AE3" s="13">
        <f>AC3/Y3</f>
        <v>7.3449714328903778E-2</v>
      </c>
      <c r="AF3" s="9">
        <f>SUM(H3:K3)</f>
        <v>2812.5668171775878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1.089589817911365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0.98078543881208224</v>
      </c>
      <c r="AO3" s="6">
        <f t="shared" si="1"/>
        <v>0.88648391665928994</v>
      </c>
      <c r="AP3" s="6">
        <f t="shared" si="1"/>
        <v>0.65405125955058541</v>
      </c>
      <c r="AQ3" s="6">
        <f t="shared" si="1"/>
        <v>1.2554274115303274</v>
      </c>
      <c r="AR3" s="6">
        <f t="shared" si="1"/>
        <v>1.182255867979878</v>
      </c>
      <c r="AS3" s="6">
        <f t="shared" si="1"/>
        <v>1.0668564352518182</v>
      </c>
      <c r="AT3" s="6">
        <f t="shared" si="1"/>
        <v>1.0743942440858558</v>
      </c>
      <c r="AU3" s="6">
        <f t="shared" si="1"/>
        <v>0.96485010929390225</v>
      </c>
      <c r="AV3" s="6">
        <f t="shared" si="1"/>
        <v>1.0040665924149079</v>
      </c>
      <c r="AW3" s="6">
        <f t="shared" si="1"/>
        <v>0.9921549469440627</v>
      </c>
      <c r="AX3" s="6">
        <f t="shared" si="1"/>
        <v>1.0516422911439498</v>
      </c>
      <c r="AY3" s="6">
        <f t="shared" si="1"/>
        <v>0.95237871145059927</v>
      </c>
      <c r="AZ3" s="6">
        <f t="shared" si="1"/>
        <v>0.95397278487528592</v>
      </c>
      <c r="BA3" s="6">
        <f t="shared" si="1"/>
        <v>0.85910522163987735</v>
      </c>
      <c r="BB3" s="6">
        <f t="shared" si="1"/>
        <v>0.78164756199805108</v>
      </c>
      <c r="BC3" s="6">
        <f t="shared" si="1"/>
        <v>0.74881130504698845</v>
      </c>
      <c r="BD3" s="6">
        <f t="shared" si="1"/>
        <v>0.49206252700496639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0.19088509482845389</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0.36754276339580644</v>
      </c>
      <c r="BH3" s="7" t="str">
        <f>BI3&amp;"_"&amp;IF(BJ3="男性",1,IF(BJ3="女性",2,IF(BJ3="合計",3)))</f>
        <v>2025_1</v>
      </c>
      <c r="BI3" s="28">
        <f>管理者入力シート!B8</f>
        <v>2025</v>
      </c>
      <c r="BJ3" s="3" t="s">
        <v>21</v>
      </c>
      <c r="BK3" s="9">
        <f>CM4*AK$13</f>
        <v>489.21825517263403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598.11121419105314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637.15080771346186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554.17568653452213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344.18158885564253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478.97428666401902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604.99858596980584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592.70701390634633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726.8716351784492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833.07266972996854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862.47514133396453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745.63920214781751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822.58084516844247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711.23419140685485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723.3637583152663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654.78101786745856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439.28235924584527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301.27370692768011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151.93521285934821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22.108494732657736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0.23396865149315085</v>
      </c>
      <c r="CF3" s="9">
        <f t="shared" ref="CF3:CF14" si="2">SUM(BK3:CE3)</f>
        <v>11294.369642572734</v>
      </c>
      <c r="CG3" s="9">
        <f>BL3*3/5+BM3*3/5</f>
        <v>741.157213142709</v>
      </c>
      <c r="CH3" s="9">
        <f>BM3*2/5+BN3*1/5</f>
        <v>365.69546039228919</v>
      </c>
      <c r="CI3" s="9">
        <f t="shared" ref="CI3:CI14" si="3">SUM(BX3:CE3)</f>
        <v>3004.2127100066041</v>
      </c>
      <c r="CJ3" s="9">
        <f>SUM(BZ3:CE3)</f>
        <v>1569.6147602844831</v>
      </c>
      <c r="CK3" s="13">
        <f>CI3/CF3</f>
        <v>0.2659920655228597</v>
      </c>
      <c r="CL3" s="13">
        <f>CJ3/CF3</f>
        <v>0.13897320611572811</v>
      </c>
      <c r="CM3" s="9">
        <f>SUM(BO3:BR3)</f>
        <v>2020.8614753958136</v>
      </c>
      <c r="CO3" s="7" t="str">
        <f>CP3&amp;"_"&amp;IF(CQ3="男性",1,IF(CQ3="女性",2,IF(CQ3="合計",3)))</f>
        <v>2025_1</v>
      </c>
      <c r="CP3" s="28">
        <f>管理者入力シート!B8</f>
        <v>2025</v>
      </c>
      <c r="CQ3" s="3" t="s">
        <v>21</v>
      </c>
      <c r="CR3" s="9">
        <f>BK3+将来予測シート②!$G17</f>
        <v>490.21825517263403</v>
      </c>
      <c r="CS3" s="9">
        <f>BL3+将来予測シート②!$G18</f>
        <v>598.11121419105314</v>
      </c>
      <c r="CT3" s="9">
        <f>BM3+将来予測シート②!$G19</f>
        <v>638.15080771346186</v>
      </c>
      <c r="CU3" s="9">
        <f>BN3+将来予測シート②!$G20</f>
        <v>554.17568653452213</v>
      </c>
      <c r="CV3" s="9">
        <f>BO3+将来予測シート②!$G21</f>
        <v>344.18158885564253</v>
      </c>
      <c r="CW3" s="9">
        <f>BP3+将来予測シート②!$G22</f>
        <v>480.97428666401902</v>
      </c>
      <c r="CX3" s="9">
        <f>BQ3+将来予測シート②!$G23</f>
        <v>604.99858596980584</v>
      </c>
      <c r="CY3" s="9">
        <f>BR3+将来予測シート②!$G24</f>
        <v>592.70701390634633</v>
      </c>
      <c r="CZ3" s="9">
        <f>BS3+将来予測シート②!$G25</f>
        <v>726.8716351784492</v>
      </c>
      <c r="DA3" s="9">
        <f>BT3+将来予測シート②!$G26</f>
        <v>833.07266972996854</v>
      </c>
      <c r="DB3" s="9">
        <f>BU3+将来予測シート②!$G27</f>
        <v>862.47514133396453</v>
      </c>
      <c r="DC3" s="9">
        <f>BV3+将来予測シート②!$G28</f>
        <v>745.63920214781751</v>
      </c>
      <c r="DD3" s="9">
        <f>BW3+将来予測シート②!$G29</f>
        <v>822.58084516844247</v>
      </c>
      <c r="DE3" s="9">
        <f>BX3</f>
        <v>711.23419140685485</v>
      </c>
      <c r="DF3" s="9">
        <f t="shared" ref="DF3:DL3" si="4">BY3</f>
        <v>723.3637583152663</v>
      </c>
      <c r="DG3" s="9">
        <f t="shared" si="4"/>
        <v>654.78101786745856</v>
      </c>
      <c r="DH3" s="9">
        <f t="shared" si="4"/>
        <v>439.28235924584527</v>
      </c>
      <c r="DI3" s="9">
        <f t="shared" si="4"/>
        <v>301.27370692768011</v>
      </c>
      <c r="DJ3" s="9">
        <f t="shared" si="4"/>
        <v>151.93521285934821</v>
      </c>
      <c r="DK3" s="9">
        <f t="shared" si="4"/>
        <v>22.108494732657736</v>
      </c>
      <c r="DL3" s="9">
        <f t="shared" si="4"/>
        <v>0.23396865149315085</v>
      </c>
      <c r="DM3" s="9">
        <f t="shared" ref="DM3:DM4" si="5">SUM(CR3:DL3)</f>
        <v>11298.369642572734</v>
      </c>
      <c r="DN3" s="9">
        <f>CS3*3/5+CT3*3/5</f>
        <v>741.75721314270913</v>
      </c>
      <c r="DO3" s="9">
        <f>CT3*2/5+CU3*1/5</f>
        <v>366.09546039228917</v>
      </c>
      <c r="DP3" s="9">
        <f t="shared" ref="DP3:DP14" si="6">SUM(DE3:DL3)</f>
        <v>3004.2127100066041</v>
      </c>
      <c r="DQ3" s="9">
        <f>SUM(DG3:DL3)</f>
        <v>1569.6147602844831</v>
      </c>
      <c r="DR3" s="13">
        <f>DP3/DM3</f>
        <v>0.26589789545268583</v>
      </c>
      <c r="DS3" s="13">
        <f>DQ3/DM3</f>
        <v>0.13892400496175203</v>
      </c>
      <c r="DT3" s="9">
        <f>SUM(CV3:CY3)</f>
        <v>2022.8614753958136</v>
      </c>
      <c r="DV3" s="312"/>
      <c r="DW3" s="313"/>
      <c r="DX3" s="28">
        <f>管理者入力シート!B8</f>
        <v>2025</v>
      </c>
      <c r="DY3" s="3" t="s">
        <v>21</v>
      </c>
      <c r="DZ3" s="9">
        <f>BK$3</f>
        <v>489.21825517263403</v>
      </c>
      <c r="EA3" s="9">
        <f>BL$3</f>
        <v>598.11121419105314</v>
      </c>
      <c r="EB3" s="9">
        <f t="shared" ref="EB3:ED3" si="7">BM$3</f>
        <v>637.15080771346186</v>
      </c>
      <c r="EC3" s="9">
        <f t="shared" si="7"/>
        <v>554.17568653452213</v>
      </c>
      <c r="ED3" s="9">
        <f t="shared" si="7"/>
        <v>344.18158885564253</v>
      </c>
      <c r="EE3" s="9">
        <f>BP$3+DX1</f>
        <v>632.97428666401902</v>
      </c>
      <c r="EF3" s="9">
        <f>BQ$3+DX1</f>
        <v>758.99858596980584</v>
      </c>
      <c r="EG3" s="9">
        <f>BR$3+DX1</f>
        <v>746.70701390634633</v>
      </c>
      <c r="EH3" s="9">
        <f t="shared" ref="EH3:ET3" si="8">BS$3</f>
        <v>726.8716351784492</v>
      </c>
      <c r="EI3" s="9">
        <f t="shared" si="8"/>
        <v>833.07266972996854</v>
      </c>
      <c r="EJ3" s="9">
        <f t="shared" si="8"/>
        <v>862.47514133396453</v>
      </c>
      <c r="EK3" s="9">
        <f t="shared" si="8"/>
        <v>745.63920214781751</v>
      </c>
      <c r="EL3" s="9">
        <f t="shared" si="8"/>
        <v>822.58084516844247</v>
      </c>
      <c r="EM3" s="9">
        <f t="shared" si="8"/>
        <v>711.23419140685485</v>
      </c>
      <c r="EN3" s="9">
        <f t="shared" si="8"/>
        <v>723.3637583152663</v>
      </c>
      <c r="EO3" s="9">
        <f t="shared" si="8"/>
        <v>654.78101786745856</v>
      </c>
      <c r="EP3" s="9">
        <f t="shared" si="8"/>
        <v>439.28235924584527</v>
      </c>
      <c r="EQ3" s="9">
        <f t="shared" si="8"/>
        <v>301.27370692768011</v>
      </c>
      <c r="ER3" s="9">
        <f t="shared" si="8"/>
        <v>151.93521285934821</v>
      </c>
      <c r="ES3" s="9">
        <f t="shared" si="8"/>
        <v>22.108494732657736</v>
      </c>
      <c r="ET3" s="9">
        <f t="shared" si="8"/>
        <v>0.23396865149315085</v>
      </c>
      <c r="EU3" s="9">
        <f t="shared" ref="EU3:EU4" si="9">SUM(DZ3:ET3)</f>
        <v>11756.369642572734</v>
      </c>
      <c r="EV3" s="9">
        <f>EA3*3/5+EB3*3/5</f>
        <v>741.157213142709</v>
      </c>
      <c r="EW3" s="9">
        <f>EB3*2/5+EC3*1/5</f>
        <v>365.69546039228919</v>
      </c>
      <c r="EX3" s="9">
        <f t="shared" ref="EX3:EX14" si="10">SUM(EM3:ET3)</f>
        <v>3004.2127100066041</v>
      </c>
      <c r="EY3" s="9">
        <f>SUM(EO3:ET3)</f>
        <v>1569.6147602844831</v>
      </c>
      <c r="EZ3" s="13">
        <f>EX3/EU3</f>
        <v>0.25553915037917863</v>
      </c>
      <c r="FA3" s="13">
        <f>EY3/EU3</f>
        <v>0.13351185850779293</v>
      </c>
      <c r="FB3" s="9">
        <f>SUM(ED3:EG3)</f>
        <v>2482.8614753958136</v>
      </c>
    </row>
    <row r="4" spans="1:158" x14ac:dyDescent="0.15">
      <c r="A4" s="7" t="str">
        <f t="shared" ref="A4:A14" si="11">B4&amp;"_"&amp;IF(C4="男性",1,IF(C4="女性",2,IF(C4="合計",3)))</f>
        <v>2005_2</v>
      </c>
      <c r="B4" s="29">
        <v>2005</v>
      </c>
      <c r="C4" s="4" t="s">
        <v>22</v>
      </c>
      <c r="D4" s="10">
        <v>574.27740884030516</v>
      </c>
      <c r="E4" s="10">
        <v>698.34093555493268</v>
      </c>
      <c r="F4" s="10">
        <v>718.35753848394052</v>
      </c>
      <c r="G4" s="10">
        <v>661.31871677789684</v>
      </c>
      <c r="H4" s="10">
        <v>646.30486197780465</v>
      </c>
      <c r="I4" s="10">
        <v>723.3474331077947</v>
      </c>
      <c r="J4" s="10">
        <v>913.46727497555162</v>
      </c>
      <c r="K4" s="10">
        <v>961.48666633164862</v>
      </c>
      <c r="L4" s="10">
        <v>953.4603409270768</v>
      </c>
      <c r="M4" s="10">
        <v>908.45651521829859</v>
      </c>
      <c r="N4" s="10">
        <v>918.46318494191405</v>
      </c>
      <c r="O4" s="10">
        <v>1003.5875042456196</v>
      </c>
      <c r="P4" s="10">
        <v>836.58156367528977</v>
      </c>
      <c r="Q4" s="10">
        <v>785.51662250292406</v>
      </c>
      <c r="R4" s="10">
        <v>735.38722661665645</v>
      </c>
      <c r="S4" s="10">
        <v>620.31775204922417</v>
      </c>
      <c r="T4" s="10">
        <v>423.19211380233185</v>
      </c>
      <c r="U4" s="10">
        <v>232.07619259632065</v>
      </c>
      <c r="V4" s="10">
        <v>102.04063831219909</v>
      </c>
      <c r="W4" s="10">
        <v>34.019509062270288</v>
      </c>
      <c r="X4" s="10">
        <v>5</v>
      </c>
      <c r="Y4" s="10">
        <f>SUM(D4:X4)</f>
        <v>13455.000000000002</v>
      </c>
      <c r="Z4" s="10">
        <f t="shared" ref="Z4:Z11" si="12">E4*3/5+F4*3/5</f>
        <v>850.01908442332387</v>
      </c>
      <c r="AA4" s="10">
        <f t="shared" ref="AA4:AA11" si="13">F4*2/5+G4*1/5</f>
        <v>419.60675874915557</v>
      </c>
      <c r="AB4" s="10">
        <f t="shared" si="0"/>
        <v>2937.5500549419262</v>
      </c>
      <c r="AC4" s="10">
        <f t="shared" ref="AC4:AC11" si="14">SUM(S4:X4)</f>
        <v>1416.646205822346</v>
      </c>
      <c r="AD4" s="14">
        <f t="shared" ref="AD4:AD11" si="15">AB4/Y4</f>
        <v>0.21832404719003537</v>
      </c>
      <c r="AE4" s="14">
        <f t="shared" ref="AE4:AE11" si="16">AC4/Y4</f>
        <v>0.10528771503696364</v>
      </c>
      <c r="AF4" s="10">
        <f t="shared" ref="AF4:AF20" si="17">SUM(H4:K4)</f>
        <v>3244.6062363927995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1.0393459561409879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1.0059603319310917</v>
      </c>
      <c r="AO4" s="193">
        <f t="shared" si="18"/>
        <v>0.9099243085553157</v>
      </c>
      <c r="AP4" s="193">
        <f t="shared" si="18"/>
        <v>0.71656506078754889</v>
      </c>
      <c r="AQ4" s="193">
        <f t="shared" si="18"/>
        <v>1.0718418276950648</v>
      </c>
      <c r="AR4" s="193">
        <f t="shared" si="18"/>
        <v>1.1185921485147678</v>
      </c>
      <c r="AS4" s="193">
        <f t="shared" si="18"/>
        <v>1.0526577357032301</v>
      </c>
      <c r="AT4" s="193">
        <f t="shared" si="18"/>
        <v>1.0457559073846174</v>
      </c>
      <c r="AU4" s="193">
        <f t="shared" si="18"/>
        <v>1.0289201324134776</v>
      </c>
      <c r="AV4" s="193">
        <f t="shared" si="18"/>
        <v>1.0149817496389606</v>
      </c>
      <c r="AW4" s="193">
        <f t="shared" si="18"/>
        <v>0.99438422161312667</v>
      </c>
      <c r="AX4" s="193">
        <f t="shared" si="18"/>
        <v>1.0071118368422867</v>
      </c>
      <c r="AY4" s="193">
        <f t="shared" si="18"/>
        <v>0.99949761827113559</v>
      </c>
      <c r="AZ4" s="193">
        <f t="shared" si="18"/>
        <v>0.96787431393678502</v>
      </c>
      <c r="BA4" s="193">
        <f t="shared" si="18"/>
        <v>0.93510520451100243</v>
      </c>
      <c r="BB4" s="193">
        <f t="shared" si="18"/>
        <v>0.9440312569443926</v>
      </c>
      <c r="BC4" s="193">
        <f t="shared" si="18"/>
        <v>0.82387744193509393</v>
      </c>
      <c r="BD4" s="193">
        <f t="shared" si="18"/>
        <v>0.66716398208255634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0.39875696177711639</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0.23623809278864755</v>
      </c>
      <c r="BH4" s="7" t="str">
        <f t="shared" ref="BH4:BH20" si="19">BI4&amp;"_"&amp;IF(BJ4="男性",1,IF(BJ4="女性",2,IF(BJ4="合計",3)))</f>
        <v>2025_2</v>
      </c>
      <c r="BI4" s="29">
        <f>BI3</f>
        <v>2025</v>
      </c>
      <c r="BJ4" s="4" t="s">
        <v>22</v>
      </c>
      <c r="BK4" s="10">
        <f>CM4*AK$14</f>
        <v>497.56144484449624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590.14762714497908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627.48613275423043</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589.89816420334125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412.11108495980909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492.79277351639172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584.29103926437404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713.43010871202773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848.73264742644687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926.77503395908673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958.46827575626207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930.3496161511606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864.06977471138521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858.09067469800982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864.89109351358445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877.67669203801529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678.7443618182956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523.45221663113546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337.02457484214744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108.64518569527763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20.888070998299156</v>
      </c>
      <c r="CF4" s="10">
        <f t="shared" si="2"/>
        <v>13305.526593638755</v>
      </c>
      <c r="CG4" s="10">
        <f t="shared" ref="CG4:CG14" si="20">BL4*3/5+BM4*3/5</f>
        <v>730.58025593952561</v>
      </c>
      <c r="CH4" s="10">
        <f t="shared" ref="CH4:CH14" si="21">BM4*2/5+BN4*1/5</f>
        <v>368.97408594236038</v>
      </c>
      <c r="CI4" s="10">
        <f t="shared" si="3"/>
        <v>4269.4128702347653</v>
      </c>
      <c r="CJ4" s="10">
        <f t="shared" ref="CJ4:CJ14" si="22">SUM(BZ4:CE4)</f>
        <v>2546.4311020231708</v>
      </c>
      <c r="CK4" s="14">
        <f t="shared" ref="CK4:CK14" si="23">CI4/CF4</f>
        <v>0.3208751521548896</v>
      </c>
      <c r="CL4" s="14">
        <f t="shared" ref="CL4:CL14" si="24">CJ4/CF4</f>
        <v>0.19138145973422765</v>
      </c>
      <c r="CM4" s="10">
        <f t="shared" ref="CM4:CM14" si="25">SUM(BO4:BR4)</f>
        <v>2202.625006452603</v>
      </c>
      <c r="CO4" s="7" t="str">
        <f t="shared" ref="CO4:CO20" si="26">CP4&amp;"_"&amp;IF(CQ4="男性",1,IF(CQ4="女性",2,IF(CQ4="合計",3)))</f>
        <v>2025_2</v>
      </c>
      <c r="CP4" s="29">
        <f>CP3</f>
        <v>2025</v>
      </c>
      <c r="CQ4" s="4" t="s">
        <v>22</v>
      </c>
      <c r="CR4" s="10">
        <f>BK4+将来予測シート②!$H17</f>
        <v>498.56144484449624</v>
      </c>
      <c r="CS4" s="10">
        <f>BL4+将来予測シート②!$H18</f>
        <v>590.14762714497908</v>
      </c>
      <c r="CT4" s="10">
        <f>BM4+将来予測シート②!$H19</f>
        <v>628.48613275423043</v>
      </c>
      <c r="CU4" s="10">
        <f>BN4+将来予測シート②!$H20</f>
        <v>589.89816420334125</v>
      </c>
      <c r="CV4" s="10">
        <f>BO4+将来予測シート②!$H21</f>
        <v>412.11108495980909</v>
      </c>
      <c r="CW4" s="10">
        <f>BP4+将来予測シート②!$H22</f>
        <v>494.79277351639172</v>
      </c>
      <c r="CX4" s="10">
        <f>BQ4+将来予測シート②!$H23</f>
        <v>584.29103926437404</v>
      </c>
      <c r="CY4" s="10">
        <f>BR4+将来予測シート②!$H24</f>
        <v>713.43010871202773</v>
      </c>
      <c r="CZ4" s="10">
        <f>BS4+将来予測シート②!$H25</f>
        <v>849.73264742644687</v>
      </c>
      <c r="DA4" s="10">
        <f>BT4+将来予測シート②!$H26</f>
        <v>926.77503395908673</v>
      </c>
      <c r="DB4" s="10">
        <f>BU4+将来予測シート②!$H27</f>
        <v>958.46827575626207</v>
      </c>
      <c r="DC4" s="10">
        <f>BV4+将来予測シート②!$H28</f>
        <v>930.3496161511606</v>
      </c>
      <c r="DD4" s="10">
        <f>BW4+将来予測シート②!$H29</f>
        <v>864.06977471138521</v>
      </c>
      <c r="DE4" s="10">
        <f>BX4</f>
        <v>858.09067469800982</v>
      </c>
      <c r="DF4" s="10">
        <f t="shared" ref="DF4" si="27">BY4</f>
        <v>864.89109351358445</v>
      </c>
      <c r="DG4" s="10">
        <f t="shared" ref="DG4" si="28">BZ4</f>
        <v>877.67669203801529</v>
      </c>
      <c r="DH4" s="10">
        <f t="shared" ref="DH4" si="29">CA4</f>
        <v>678.7443618182956</v>
      </c>
      <c r="DI4" s="10">
        <f t="shared" ref="DI4" si="30">CB4</f>
        <v>523.45221663113546</v>
      </c>
      <c r="DJ4" s="10">
        <f t="shared" ref="DJ4" si="31">CC4</f>
        <v>337.02457484214744</v>
      </c>
      <c r="DK4" s="10">
        <f t="shared" ref="DK4" si="32">CD4</f>
        <v>108.64518569527763</v>
      </c>
      <c r="DL4" s="10">
        <f t="shared" ref="DL4" si="33">CE4</f>
        <v>20.888070998299156</v>
      </c>
      <c r="DM4" s="10">
        <f t="shared" si="5"/>
        <v>13310.526593638755</v>
      </c>
      <c r="DN4" s="10">
        <f t="shared" ref="DN4:DN14" si="34">CS4*3/5+CT4*3/5</f>
        <v>731.18025593952575</v>
      </c>
      <c r="DO4" s="10">
        <f t="shared" ref="DO4:DO14" si="35">CT4*2/5+CU4*1/5</f>
        <v>369.37408594236041</v>
      </c>
      <c r="DP4" s="10">
        <f t="shared" si="6"/>
        <v>4269.4128702347653</v>
      </c>
      <c r="DQ4" s="10">
        <f t="shared" ref="DQ4:DQ14" si="36">SUM(DG4:DL4)</f>
        <v>2546.4311020231708</v>
      </c>
      <c r="DR4" s="14">
        <f t="shared" ref="DR4:DR14" si="37">DP4/DM4</f>
        <v>0.32075461779815412</v>
      </c>
      <c r="DS4" s="14">
        <f t="shared" ref="DS4:DS14" si="38">DQ4/DM4</f>
        <v>0.19130956871684834</v>
      </c>
      <c r="DT4" s="10">
        <f>SUM(CV4:CY4)</f>
        <v>2204.625006452603</v>
      </c>
      <c r="DV4" s="312"/>
      <c r="DW4" s="313"/>
      <c r="DX4" s="29">
        <f>DX3</f>
        <v>2025</v>
      </c>
      <c r="DY4" s="4" t="s">
        <v>22</v>
      </c>
      <c r="DZ4" s="10">
        <f>BK$4</f>
        <v>497.56144484449624</v>
      </c>
      <c r="EA4" s="10">
        <f>BL$4</f>
        <v>590.14762714497908</v>
      </c>
      <c r="EB4" s="10">
        <f t="shared" ref="EB4:ED4" si="39">BM$4</f>
        <v>627.48613275423043</v>
      </c>
      <c r="EC4" s="10">
        <f t="shared" si="39"/>
        <v>589.89816420334125</v>
      </c>
      <c r="ED4" s="10">
        <f t="shared" si="39"/>
        <v>412.11108495980909</v>
      </c>
      <c r="EE4" s="10">
        <f>BP$4+DX1</f>
        <v>646.79277351639166</v>
      </c>
      <c r="EF4" s="10">
        <f>BQ$4+DX1</f>
        <v>738.29103926437404</v>
      </c>
      <c r="EG4" s="10">
        <f>BR$4+DX1</f>
        <v>867.43010871202773</v>
      </c>
      <c r="EH4" s="10">
        <f t="shared" ref="EH4:ET4" si="40">BS$4</f>
        <v>848.73264742644687</v>
      </c>
      <c r="EI4" s="10">
        <f t="shared" si="40"/>
        <v>926.77503395908673</v>
      </c>
      <c r="EJ4" s="10">
        <f t="shared" si="40"/>
        <v>958.46827575626207</v>
      </c>
      <c r="EK4" s="10">
        <f t="shared" si="40"/>
        <v>930.3496161511606</v>
      </c>
      <c r="EL4" s="10">
        <f t="shared" si="40"/>
        <v>864.06977471138521</v>
      </c>
      <c r="EM4" s="10">
        <f t="shared" si="40"/>
        <v>858.09067469800982</v>
      </c>
      <c r="EN4" s="10">
        <f t="shared" si="40"/>
        <v>864.89109351358445</v>
      </c>
      <c r="EO4" s="10">
        <f t="shared" si="40"/>
        <v>877.67669203801529</v>
      </c>
      <c r="EP4" s="10">
        <f t="shared" si="40"/>
        <v>678.7443618182956</v>
      </c>
      <c r="EQ4" s="10">
        <f t="shared" si="40"/>
        <v>523.45221663113546</v>
      </c>
      <c r="ER4" s="10">
        <f t="shared" si="40"/>
        <v>337.02457484214744</v>
      </c>
      <c r="ES4" s="10">
        <f t="shared" si="40"/>
        <v>108.64518569527763</v>
      </c>
      <c r="ET4" s="10">
        <f t="shared" si="40"/>
        <v>20.888070998299156</v>
      </c>
      <c r="EU4" s="10">
        <f t="shared" si="9"/>
        <v>13767.526593638755</v>
      </c>
      <c r="EV4" s="10">
        <f t="shared" ref="EV4:EV14" si="41">EA4*3/5+EB4*3/5</f>
        <v>730.58025593952561</v>
      </c>
      <c r="EW4" s="10">
        <f t="shared" ref="EW4:EW14" si="42">EB4*2/5+EC4*1/5</f>
        <v>368.97408594236038</v>
      </c>
      <c r="EX4" s="10">
        <f t="shared" si="10"/>
        <v>4269.4128702347653</v>
      </c>
      <c r="EY4" s="10">
        <f t="shared" ref="EY4:EY14" si="43">SUM(EO4:ET4)</f>
        <v>2546.4311020231708</v>
      </c>
      <c r="EZ4" s="14">
        <f t="shared" ref="EZ4:EZ14" si="44">EX4/EU4</f>
        <v>0.31010747218802792</v>
      </c>
      <c r="FA4" s="14">
        <f t="shared" ref="FA4:FA14" si="45">EY4/EU4</f>
        <v>0.18495922885667362</v>
      </c>
      <c r="FB4" s="10">
        <f>SUM(ED4:EG4)</f>
        <v>2664.6250064526021</v>
      </c>
    </row>
    <row r="5" spans="1:158" x14ac:dyDescent="0.15">
      <c r="A5" s="7" t="str">
        <f t="shared" si="11"/>
        <v>2005_3</v>
      </c>
      <c r="B5" s="30">
        <v>2005</v>
      </c>
      <c r="C5" s="5" t="s">
        <v>23</v>
      </c>
      <c r="D5" s="11">
        <v>1188.5806186955583</v>
      </c>
      <c r="E5" s="11">
        <v>1452.7813013509433</v>
      </c>
      <c r="F5" s="11">
        <v>1451.7419860829641</v>
      </c>
      <c r="G5" s="11">
        <v>1305.7014462331451</v>
      </c>
      <c r="H5" s="11">
        <v>1129.5751474778033</v>
      </c>
      <c r="I5" s="11">
        <v>1426.7062594139186</v>
      </c>
      <c r="J5" s="11">
        <v>1759.9144111648986</v>
      </c>
      <c r="K5" s="11">
        <v>1740.9772355137668</v>
      </c>
      <c r="L5" s="11">
        <v>1826.9931925458404</v>
      </c>
      <c r="M5" s="11">
        <v>1667.8912200682971</v>
      </c>
      <c r="N5" s="11">
        <v>1772.9137044066583</v>
      </c>
      <c r="O5" s="11">
        <v>1866.0818500067348</v>
      </c>
      <c r="P5" s="11">
        <v>1539.1022199326014</v>
      </c>
      <c r="Q5" s="11">
        <v>1414.026264311522</v>
      </c>
      <c r="R5" s="11">
        <v>1362.8752376092891</v>
      </c>
      <c r="S5" s="11">
        <v>1070.6244635951796</v>
      </c>
      <c r="T5" s="11">
        <v>673.30517293732248</v>
      </c>
      <c r="U5" s="11">
        <v>345.12992239916713</v>
      </c>
      <c r="V5" s="11">
        <v>141.05707565853274</v>
      </c>
      <c r="W5" s="11">
        <v>41.021270595856521</v>
      </c>
      <c r="X5" s="11">
        <v>7</v>
      </c>
      <c r="Y5" s="11">
        <f>SUM(D5:X5)</f>
        <v>25184</v>
      </c>
      <c r="Z5" s="11">
        <f t="shared" si="12"/>
        <v>1742.7139724603444</v>
      </c>
      <c r="AA5" s="11">
        <f t="shared" si="13"/>
        <v>841.83708367981467</v>
      </c>
      <c r="AB5" s="11">
        <f t="shared" si="0"/>
        <v>5055.0394071068704</v>
      </c>
      <c r="AC5" s="11">
        <f t="shared" si="14"/>
        <v>2278.1379051860586</v>
      </c>
      <c r="AD5" s="15">
        <f t="shared" si="15"/>
        <v>0.20072424583492973</v>
      </c>
      <c r="AE5" s="15">
        <f t="shared" si="16"/>
        <v>9.0459732575685292E-2</v>
      </c>
      <c r="AF5" s="11">
        <f t="shared" si="17"/>
        <v>6057.1730535703873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1.0561779112272796</v>
      </c>
      <c r="AN5" s="6">
        <f t="shared" si="1"/>
        <v>1.0192170422383067</v>
      </c>
      <c r="AO5" s="6">
        <f t="shared" si="1"/>
        <v>0.86422098744861209</v>
      </c>
      <c r="AP5" s="6">
        <f t="shared" si="1"/>
        <v>0.67354676835711003</v>
      </c>
      <c r="AQ5" s="6">
        <f t="shared" si="1"/>
        <v>1.1297842258947211</v>
      </c>
      <c r="AR5" s="6">
        <f t="shared" si="1"/>
        <v>1.0589305036453147</v>
      </c>
      <c r="AS5" s="6">
        <f t="shared" si="1"/>
        <v>1.0001789482823646</v>
      </c>
      <c r="AT5" s="6">
        <f t="shared" si="1"/>
        <v>1.008010934513857</v>
      </c>
      <c r="AU5" s="6">
        <f t="shared" si="1"/>
        <v>1.0041398860202368</v>
      </c>
      <c r="AV5" s="6">
        <f t="shared" si="1"/>
        <v>0.95740208302660157</v>
      </c>
      <c r="AW5" s="6">
        <f t="shared" si="1"/>
        <v>0.96184491005229467</v>
      </c>
      <c r="AX5" s="6">
        <f t="shared" si="1"/>
        <v>0.97271624242377352</v>
      </c>
      <c r="AY5" s="6">
        <f t="shared" si="1"/>
        <v>0.93938833511600661</v>
      </c>
      <c r="AZ5" s="6">
        <f t="shared" si="1"/>
        <v>0.95472467731256605</v>
      </c>
      <c r="BA5" s="6">
        <f t="shared" si="1"/>
        <v>0.92442829266666648</v>
      </c>
      <c r="BB5" s="6">
        <f t="shared" si="1"/>
        <v>0.82129699980809079</v>
      </c>
      <c r="BC5" s="6">
        <f t="shared" si="1"/>
        <v>0.7085965445979463</v>
      </c>
      <c r="BD5" s="6">
        <f t="shared" si="1"/>
        <v>0.38938053095755149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0.16972263795509646</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986.77970001713027</v>
      </c>
      <c r="BL5" s="16">
        <f t="shared" ref="BL5:CE5" si="46">BL3+BL4</f>
        <v>1188.2588413360322</v>
      </c>
      <c r="BM5" s="16">
        <f t="shared" si="46"/>
        <v>1264.6369404676923</v>
      </c>
      <c r="BN5" s="16">
        <f t="shared" si="46"/>
        <v>1144.0738507378633</v>
      </c>
      <c r="BO5" s="16">
        <f t="shared" si="46"/>
        <v>756.29267381545162</v>
      </c>
      <c r="BP5" s="16">
        <f t="shared" si="46"/>
        <v>971.76706018041068</v>
      </c>
      <c r="BQ5" s="16">
        <f t="shared" si="46"/>
        <v>1189.2896252341798</v>
      </c>
      <c r="BR5" s="16">
        <f t="shared" si="46"/>
        <v>1306.1371226183742</v>
      </c>
      <c r="BS5" s="16">
        <f t="shared" si="46"/>
        <v>1575.6042826048961</v>
      </c>
      <c r="BT5" s="16">
        <f t="shared" si="46"/>
        <v>1759.8477036890554</v>
      </c>
      <c r="BU5" s="16">
        <f t="shared" si="46"/>
        <v>1820.9434170902266</v>
      </c>
      <c r="BV5" s="16">
        <f t="shared" si="46"/>
        <v>1675.988818298978</v>
      </c>
      <c r="BW5" s="16">
        <f t="shared" si="46"/>
        <v>1686.6506198798277</v>
      </c>
      <c r="BX5" s="16">
        <f t="shared" si="46"/>
        <v>1569.3248661048647</v>
      </c>
      <c r="BY5" s="16">
        <f t="shared" si="46"/>
        <v>1588.2548518288509</v>
      </c>
      <c r="BZ5" s="16">
        <f t="shared" si="46"/>
        <v>1532.4577099054738</v>
      </c>
      <c r="CA5" s="16">
        <f t="shared" si="46"/>
        <v>1118.0267210641409</v>
      </c>
      <c r="CB5" s="16">
        <f t="shared" si="46"/>
        <v>824.72592355881557</v>
      </c>
      <c r="CC5" s="16">
        <f t="shared" si="46"/>
        <v>488.95978770149566</v>
      </c>
      <c r="CD5" s="16">
        <f t="shared" si="46"/>
        <v>130.75368042793536</v>
      </c>
      <c r="CE5" s="16">
        <f t="shared" si="46"/>
        <v>21.122039649792306</v>
      </c>
      <c r="CF5" s="11">
        <f>SUM(BK5:CE5)</f>
        <v>24599.896236211487</v>
      </c>
      <c r="CG5" s="11">
        <f t="shared" si="20"/>
        <v>1471.7374690822348</v>
      </c>
      <c r="CH5" s="11">
        <f t="shared" si="21"/>
        <v>734.66954633464957</v>
      </c>
      <c r="CI5" s="11">
        <f t="shared" si="3"/>
        <v>7273.625580241368</v>
      </c>
      <c r="CJ5" s="11">
        <f t="shared" si="22"/>
        <v>4116.0458623076529</v>
      </c>
      <c r="CK5" s="15">
        <f t="shared" si="23"/>
        <v>0.29567708377299823</v>
      </c>
      <c r="CL5" s="15">
        <f t="shared" si="24"/>
        <v>0.16731964325315973</v>
      </c>
      <c r="CM5" s="11">
        <f t="shared" si="25"/>
        <v>4223.4864818484166</v>
      </c>
      <c r="CO5" s="7" t="str">
        <f t="shared" si="26"/>
        <v>2025_3</v>
      </c>
      <c r="CP5" s="30">
        <f>CP4</f>
        <v>2025</v>
      </c>
      <c r="CQ5" s="5" t="s">
        <v>23</v>
      </c>
      <c r="CR5" s="16">
        <f>CR3+CR4</f>
        <v>988.77970001713027</v>
      </c>
      <c r="CS5" s="16">
        <f t="shared" ref="CS5" si="47">CS3+CS4</f>
        <v>1188.2588413360322</v>
      </c>
      <c r="CT5" s="16">
        <f t="shared" ref="CT5" si="48">CT3+CT4</f>
        <v>1266.6369404676923</v>
      </c>
      <c r="CU5" s="16">
        <f t="shared" ref="CU5" si="49">CU3+CU4</f>
        <v>1144.0738507378633</v>
      </c>
      <c r="CV5" s="16">
        <f t="shared" ref="CV5" si="50">CV3+CV4</f>
        <v>756.29267381545162</v>
      </c>
      <c r="CW5" s="16">
        <f t="shared" ref="CW5" si="51">CW3+CW4</f>
        <v>975.76706018041068</v>
      </c>
      <c r="CX5" s="16">
        <f t="shared" ref="CX5" si="52">CX3+CX4</f>
        <v>1189.2896252341798</v>
      </c>
      <c r="CY5" s="16">
        <f t="shared" ref="CY5" si="53">CY3+CY4</f>
        <v>1306.1371226183742</v>
      </c>
      <c r="CZ5" s="16">
        <f t="shared" ref="CZ5" si="54">CZ3+CZ4</f>
        <v>1576.6042826048961</v>
      </c>
      <c r="DA5" s="16">
        <f t="shared" ref="DA5" si="55">DA3+DA4</f>
        <v>1759.8477036890554</v>
      </c>
      <c r="DB5" s="16">
        <f t="shared" ref="DB5" si="56">DB3+DB4</f>
        <v>1820.9434170902266</v>
      </c>
      <c r="DC5" s="16">
        <f t="shared" ref="DC5" si="57">DC3+DC4</f>
        <v>1675.988818298978</v>
      </c>
      <c r="DD5" s="16">
        <f t="shared" ref="DD5" si="58">DD3+DD4</f>
        <v>1686.6506198798277</v>
      </c>
      <c r="DE5" s="16">
        <f t="shared" ref="DE5" si="59">DE3+DE4</f>
        <v>1569.3248661048647</v>
      </c>
      <c r="DF5" s="16">
        <f t="shared" ref="DF5" si="60">DF3+DF4</f>
        <v>1588.2548518288509</v>
      </c>
      <c r="DG5" s="16">
        <f t="shared" ref="DG5" si="61">DG3+DG4</f>
        <v>1532.4577099054738</v>
      </c>
      <c r="DH5" s="16">
        <f t="shared" ref="DH5" si="62">DH3+DH4</f>
        <v>1118.0267210641409</v>
      </c>
      <c r="DI5" s="16">
        <f t="shared" ref="DI5" si="63">DI3+DI4</f>
        <v>824.72592355881557</v>
      </c>
      <c r="DJ5" s="16">
        <f t="shared" ref="DJ5" si="64">DJ3+DJ4</f>
        <v>488.95978770149566</v>
      </c>
      <c r="DK5" s="16">
        <f t="shared" ref="DK5" si="65">DK3+DK4</f>
        <v>130.75368042793536</v>
      </c>
      <c r="DL5" s="16">
        <f t="shared" ref="DL5" si="66">DL3+DL4</f>
        <v>21.122039649792306</v>
      </c>
      <c r="DM5" s="11">
        <f>SUM(CR5:DL5)</f>
        <v>24608.896236211487</v>
      </c>
      <c r="DN5" s="11">
        <f t="shared" si="34"/>
        <v>1472.9374690822347</v>
      </c>
      <c r="DO5" s="11">
        <f t="shared" si="35"/>
        <v>735.46954633464952</v>
      </c>
      <c r="DP5" s="11">
        <f t="shared" si="6"/>
        <v>7273.625580241368</v>
      </c>
      <c r="DQ5" s="11">
        <f t="shared" si="36"/>
        <v>4116.0458623076529</v>
      </c>
      <c r="DR5" s="15">
        <f t="shared" si="37"/>
        <v>0.29556894833578018</v>
      </c>
      <c r="DS5" s="15">
        <f t="shared" si="38"/>
        <v>0.16725845087887264</v>
      </c>
      <c r="DT5" s="11">
        <f>SUM(CV5:CY5)</f>
        <v>4227.4864818484166</v>
      </c>
      <c r="DV5" s="312"/>
      <c r="DW5" s="313"/>
      <c r="DX5" s="30">
        <f>DX4</f>
        <v>2025</v>
      </c>
      <c r="DY5" s="5" t="s">
        <v>23</v>
      </c>
      <c r="DZ5" s="16">
        <f>DZ3+DZ4</f>
        <v>986.77970001713027</v>
      </c>
      <c r="EA5" s="16">
        <f t="shared" ref="EA5:ET5" si="67">EA3+EA4</f>
        <v>1188.2588413360322</v>
      </c>
      <c r="EB5" s="16">
        <f t="shared" si="67"/>
        <v>1264.6369404676923</v>
      </c>
      <c r="EC5" s="16">
        <f t="shared" si="67"/>
        <v>1144.0738507378633</v>
      </c>
      <c r="ED5" s="16">
        <f t="shared" si="67"/>
        <v>756.29267381545162</v>
      </c>
      <c r="EE5" s="16">
        <f t="shared" si="67"/>
        <v>1279.7670601804107</v>
      </c>
      <c r="EF5" s="16">
        <f t="shared" si="67"/>
        <v>1497.2896252341798</v>
      </c>
      <c r="EG5" s="16">
        <f t="shared" si="67"/>
        <v>1614.1371226183742</v>
      </c>
      <c r="EH5" s="16">
        <f t="shared" si="67"/>
        <v>1575.6042826048961</v>
      </c>
      <c r="EI5" s="16">
        <f t="shared" si="67"/>
        <v>1759.8477036890554</v>
      </c>
      <c r="EJ5" s="16">
        <f t="shared" si="67"/>
        <v>1820.9434170902266</v>
      </c>
      <c r="EK5" s="16">
        <f t="shared" si="67"/>
        <v>1675.988818298978</v>
      </c>
      <c r="EL5" s="16">
        <f t="shared" si="67"/>
        <v>1686.6506198798277</v>
      </c>
      <c r="EM5" s="16">
        <f t="shared" si="67"/>
        <v>1569.3248661048647</v>
      </c>
      <c r="EN5" s="16">
        <f t="shared" si="67"/>
        <v>1588.2548518288509</v>
      </c>
      <c r="EO5" s="16">
        <f t="shared" si="67"/>
        <v>1532.4577099054738</v>
      </c>
      <c r="EP5" s="16">
        <f t="shared" si="67"/>
        <v>1118.0267210641409</v>
      </c>
      <c r="EQ5" s="16">
        <f t="shared" si="67"/>
        <v>824.72592355881557</v>
      </c>
      <c r="ER5" s="16">
        <f t="shared" si="67"/>
        <v>488.95978770149566</v>
      </c>
      <c r="ES5" s="16">
        <f t="shared" si="67"/>
        <v>130.75368042793536</v>
      </c>
      <c r="ET5" s="16">
        <f t="shared" si="67"/>
        <v>21.122039649792306</v>
      </c>
      <c r="EU5" s="11">
        <f>SUM(DZ5:ET5)</f>
        <v>25523.896236211483</v>
      </c>
      <c r="EV5" s="11">
        <f t="shared" si="41"/>
        <v>1471.7374690822348</v>
      </c>
      <c r="EW5" s="11">
        <f t="shared" si="42"/>
        <v>734.66954633464957</v>
      </c>
      <c r="EX5" s="11">
        <f t="shared" si="10"/>
        <v>7273.625580241368</v>
      </c>
      <c r="EY5" s="11">
        <f t="shared" si="43"/>
        <v>4116.0458623076529</v>
      </c>
      <c r="EZ5" s="15">
        <f t="shared" si="44"/>
        <v>0.28497316839589981</v>
      </c>
      <c r="FA5" s="15">
        <f t="shared" si="45"/>
        <v>0.16126244301479728</v>
      </c>
      <c r="FB5" s="11">
        <f>SUM(ED5:EG5)</f>
        <v>5147.4864818484166</v>
      </c>
    </row>
    <row r="6" spans="1:158" x14ac:dyDescent="0.15">
      <c r="A6" s="7" t="str">
        <f t="shared" si="11"/>
        <v>2010_1</v>
      </c>
      <c r="B6" s="28">
        <v>2010</v>
      </c>
      <c r="C6" s="3" t="s">
        <v>21</v>
      </c>
      <c r="D6" s="9">
        <v>611.20731494802658</v>
      </c>
      <c r="E6" s="9">
        <v>573.93184960816041</v>
      </c>
      <c r="F6" s="9">
        <v>711.51170202808669</v>
      </c>
      <c r="G6" s="9">
        <v>639.44843282489433</v>
      </c>
      <c r="H6" s="9">
        <v>429.57721318056036</v>
      </c>
      <c r="I6" s="9">
        <v>618.25811228265047</v>
      </c>
      <c r="J6" s="9">
        <v>787.61589180875364</v>
      </c>
      <c r="K6" s="9">
        <v>904.46767521632853</v>
      </c>
      <c r="L6" s="9">
        <v>757.05898964620144</v>
      </c>
      <c r="M6" s="9">
        <v>856.20471830599774</v>
      </c>
      <c r="N6" s="9">
        <v>743.3821208839114</v>
      </c>
      <c r="O6" s="9">
        <v>818.18936959046141</v>
      </c>
      <c r="P6" s="9">
        <v>819.88914899265353</v>
      </c>
      <c r="Q6" s="9">
        <v>668.44187587486704</v>
      </c>
      <c r="R6" s="9">
        <v>572.38904518330469</v>
      </c>
      <c r="S6" s="9">
        <v>564.40200385778985</v>
      </c>
      <c r="T6" s="9">
        <v>352.2767296692071</v>
      </c>
      <c r="U6" s="9">
        <v>164.19407552689864</v>
      </c>
      <c r="V6" s="9">
        <v>65.516946984425658</v>
      </c>
      <c r="W6" s="9">
        <v>8.0367835868204853</v>
      </c>
      <c r="X6" s="9">
        <v>0</v>
      </c>
      <c r="Y6" s="9">
        <f t="shared" ref="Y6:Y11" si="68">SUM(D6:X6)</f>
        <v>11666</v>
      </c>
      <c r="Z6" s="9">
        <f t="shared" si="12"/>
        <v>771.26613098174823</v>
      </c>
      <c r="AA6" s="9">
        <f t="shared" si="13"/>
        <v>412.49436737621352</v>
      </c>
      <c r="AB6" s="9">
        <f t="shared" si="0"/>
        <v>2395.2574606833136</v>
      </c>
      <c r="AC6" s="9">
        <f t="shared" si="14"/>
        <v>1154.4265396251417</v>
      </c>
      <c r="AD6" s="13">
        <f t="shared" si="15"/>
        <v>0.20531951488799191</v>
      </c>
      <c r="AE6" s="13">
        <f t="shared" si="16"/>
        <v>9.8956500910778469E-2</v>
      </c>
      <c r="AF6" s="9">
        <f t="shared" si="17"/>
        <v>2739.9188924882933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1.0420997560060981</v>
      </c>
      <c r="AN6" s="193">
        <f t="shared" si="18"/>
        <v>1.0590212962628172</v>
      </c>
      <c r="AO6" s="193">
        <f t="shared" si="18"/>
        <v>0.97779558790857191</v>
      </c>
      <c r="AP6" s="193">
        <f t="shared" si="18"/>
        <v>0.7691997421619049</v>
      </c>
      <c r="AQ6" s="193">
        <f t="shared" si="18"/>
        <v>1.0959717888804765</v>
      </c>
      <c r="AR6" s="193">
        <f t="shared" si="18"/>
        <v>1.0650770005067973</v>
      </c>
      <c r="AS6" s="193">
        <f t="shared" si="18"/>
        <v>1.043063085277099</v>
      </c>
      <c r="AT6" s="193">
        <f t="shared" si="18"/>
        <v>0.97754738693404464</v>
      </c>
      <c r="AU6" s="193">
        <f t="shared" si="18"/>
        <v>1.0106261044111735</v>
      </c>
      <c r="AV6" s="193">
        <f t="shared" si="18"/>
        <v>0.93992813490323934</v>
      </c>
      <c r="AW6" s="193">
        <f t="shared" si="18"/>
        <v>0.97992993420217123</v>
      </c>
      <c r="AX6" s="193">
        <f t="shared" si="18"/>
        <v>0.98166201120999974</v>
      </c>
      <c r="AY6" s="193">
        <f t="shared" si="18"/>
        <v>0.97546886439134106</v>
      </c>
      <c r="AZ6" s="193">
        <f t="shared" si="18"/>
        <v>0.96393094567908477</v>
      </c>
      <c r="BA6" s="193">
        <f t="shared" si="18"/>
        <v>0.92456681913222349</v>
      </c>
      <c r="BB6" s="193">
        <f t="shared" si="18"/>
        <v>0.90553202517269127</v>
      </c>
      <c r="BC6" s="193">
        <f t="shared" si="18"/>
        <v>0.76564267698991184</v>
      </c>
      <c r="BD6" s="193">
        <f t="shared" si="18"/>
        <v>0.63915337681186024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0.34828972334252267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0.26642629881884655</v>
      </c>
      <c r="BH6" s="7" t="str">
        <f t="shared" si="19"/>
        <v>2030_1</v>
      </c>
      <c r="BI6" s="28">
        <f>管理者入力シート!B9</f>
        <v>2030</v>
      </c>
      <c r="BJ6" s="3" t="s">
        <v>21</v>
      </c>
      <c r="BK6" s="9">
        <f>CM7*$AK$13</f>
        <v>451.93157747105431</v>
      </c>
      <c r="BL6" s="9">
        <f>IF(管理者入力シート!$B$14=1,BK3*管理者用人口入力シート!AM$3,IF(管理者入力シート!$B$14=2,BK3*管理者用人口入力シート!AM$7))</f>
        <v>524.81073828953424</v>
      </c>
      <c r="BM6" s="9">
        <f>IF(管理者入力シート!$B$14=1,BL3*管理者用人口入力シート!AN$3,IF(管理者入力シート!$B$14=2,BL3*管理者用人口入力シート!AN$7))</f>
        <v>598.0015207082987</v>
      </c>
      <c r="BN6" s="9">
        <f>IF(管理者入力シート!$B$14=1,BM3*管理者用人口入力シート!AO$3,IF(管理者入力シート!$B$14=2,BM3*管理者用人口入力シート!AO$7))</f>
        <v>557.68642446392471</v>
      </c>
      <c r="BO6" s="9">
        <f>IF(管理者入力シート!$B$14=1,BN3*管理者用人口入力シート!AP$3,IF(管理者入力シート!$B$14=2,BN3*管理者用人口入力シート!AP$7))</f>
        <v>367.82160873238519</v>
      </c>
      <c r="BP6" s="9">
        <f>IF(管理者入力シート!$B$14=1,BO3*管理者用人口入力シート!AQ$3,IF(管理者入力シート!$B$14=2,BO3*管理者用人口入力シート!AQ$7))</f>
        <v>409.90308980690338</v>
      </c>
      <c r="BQ6" s="9">
        <f>IF(管理者入力シート!$B$14=1,BP3*管理者用人口入力シート!AR$3,IF(管理者入力シート!$B$14=2,BP3*管理者用人口入力シート!AR$7))</f>
        <v>535.92210157555007</v>
      </c>
      <c r="BR6" s="9">
        <f>IF(管理者入力シート!$B$14=1,BQ3*管理者用人口入力シート!AS$3,IF(管理者入力シート!$B$14=2,BQ3*管理者用人口入力シート!AS$7))</f>
        <v>624.95134181258663</v>
      </c>
      <c r="BS6" s="9">
        <f>IF(管理者入力シート!$B$14=1,BR3*管理者用人口入力シート!AT$3,IF(管理者入力シート!$B$14=2,BR3*管理者用人口入力シート!AT$7))</f>
        <v>616.81442921773066</v>
      </c>
      <c r="BT6" s="9">
        <f>IF(管理者入力シート!$B$14=1,BS3*管理者用人口入力シート!AU$3,IF(管理者入力シート!$B$14=2,BS3*管理者用人口入力シート!AU$7))</f>
        <v>715.45900789483869</v>
      </c>
      <c r="BU6" s="9">
        <f>IF(管理者入力シート!$B$14=1,BT3*管理者用人口入力シート!AV$3,IF(管理者入力シート!$B$14=2,BT3*管理者用人口入力シート!AV$7))</f>
        <v>816.79172586923676</v>
      </c>
      <c r="BV6" s="9">
        <f>IF(管理者入力シート!$B$14=1,BU3*管理者用人口入力シート!AW$3,IF(管理者入力シート!$B$14=2,BU3*管理者用人口入力シート!AW$7))</f>
        <v>842.53676935173303</v>
      </c>
      <c r="BW6" s="9">
        <f>IF(管理者入力シート!$B$14=1,BV3*管理者用人口入力シート!AX$3,IF(管理者入力シート!$B$14=2,BV3*管理者用人口入力シート!AX$7))</f>
        <v>754.14670574048762</v>
      </c>
      <c r="BX6" s="9">
        <f>IF(管理者入力シート!$B$14=1,BW3*管理者用人口入力シート!AY$3,IF(管理者入力シート!$B$14=2,BW3*管理者用人口入力シート!AY$7))</f>
        <v>778.04732378145513</v>
      </c>
      <c r="BY6" s="9">
        <f>IF(管理者入力シート!$B$14=1,BX3*管理者用人口入力シート!AZ$3,IF(管理者入力シート!$B$14=2,BX3*管理者用人口入力シート!AZ$7))</f>
        <v>678.76539541415218</v>
      </c>
      <c r="BZ6" s="9">
        <f>IF(管理者入力シート!$B$14=1,BY3*管理者用人口入力シート!BA$3,IF(管理者入力シート!$B$14=2,BY3*管理者用人口入力シート!BA$7))</f>
        <v>644.63894588528331</v>
      </c>
      <c r="CA6" s="9">
        <f>IF(管理者入力シート!$B$14=1,BZ3*管理者用人口入力シート!BB$3,IF(管理者入力シート!$B$14=2,BZ3*管理者用人口入力シート!BB$7))</f>
        <v>524.62826821447084</v>
      </c>
      <c r="CB6" s="9">
        <f>IF(管理者入力シート!$B$14=1,CA3*管理者用人口入力シート!BC$3,IF(管理者入力シート!$B$14=2,CA3*管理者用人口入力シート!BC$7))</f>
        <v>319.98489258451627</v>
      </c>
      <c r="CC6" s="9">
        <f>IF(管理者入力シート!$B$14=1,CB3*管理者用人口入力シート!BD$3,IF(管理者入力シート!$B$14=2,CB3*管理者用人口入力シート!BD$7))</f>
        <v>131.87379185622845</v>
      </c>
      <c r="CD6" s="9">
        <f>IF(管理者入力シート!$B$14=1,CC3*管理者用人口入力シート!BE$3,IF(管理者入力シート!$B$14=2,CC3*管理者用人口入力シート!BE$7))</f>
        <v>27.347292406691583</v>
      </c>
      <c r="CE6" s="9">
        <f>IF(管理者入力シート!$B$14=1,CD3*管理者用人口入力シート!BF$3,IF(管理者入力シート!$B$14=2,CD3*管理者用人口入力シート!BF$7))</f>
        <v>0.42385090284012233</v>
      </c>
      <c r="CF6" s="9">
        <f t="shared" si="2"/>
        <v>10922.486801979901</v>
      </c>
      <c r="CG6" s="9">
        <f t="shared" si="20"/>
        <v>673.68735539869976</v>
      </c>
      <c r="CH6" s="9">
        <f t="shared" si="21"/>
        <v>350.73789317610442</v>
      </c>
      <c r="CI6" s="9">
        <f t="shared" si="3"/>
        <v>3105.7097610456372</v>
      </c>
      <c r="CJ6" s="9">
        <f t="shared" si="22"/>
        <v>1648.8970418500307</v>
      </c>
      <c r="CK6" s="13">
        <f t="shared" si="23"/>
        <v>0.28434090307004722</v>
      </c>
      <c r="CL6" s="13">
        <f t="shared" si="24"/>
        <v>0.15096351881616721</v>
      </c>
      <c r="CM6" s="9">
        <f t="shared" si="25"/>
        <v>1938.5981419274253</v>
      </c>
      <c r="CO6" s="7" t="str">
        <f t="shared" si="26"/>
        <v>2030_1</v>
      </c>
      <c r="CP6" s="28">
        <f>管理者入力シート!B9</f>
        <v>2030</v>
      </c>
      <c r="CQ6" s="3" t="s">
        <v>21</v>
      </c>
      <c r="CR6" s="9">
        <f>DT7*$AK$13+将来予測シート②!$G17</f>
        <v>453.86065367035758</v>
      </c>
      <c r="CS6" s="9">
        <f>IF(管理者入力シート!$B$14=1,CR3*管理者用人口入力シート!AM$3,IF(管理者入力シート!$B$14=2,CR3*管理者用人口入力シート!AM$7))+将来予測シート②!$G18</f>
        <v>525.88349208140642</v>
      </c>
      <c r="CT6" s="9">
        <f>IF(管理者入力シート!$B$14=1,CS3*管理者用人口入力シート!AN$3,IF(管理者入力シート!$B$14=2,CS3*管理者用人口入力シート!AN$7))+将来予測シート②!$G19</f>
        <v>599.0015207082987</v>
      </c>
      <c r="CU6" s="9">
        <f>IF(管理者入力シート!$B$14=1,CT3*管理者用人口入力シート!AO$3,IF(管理者入力シート!$B$14=2,CT3*管理者用人口入力シート!AO$7))+将来予測シート②!$G20</f>
        <v>558.5617061361952</v>
      </c>
      <c r="CV6" s="9">
        <f>IF(管理者入力シート!$B$14=1,CU3*管理者用人口入力シート!AP$3,IF(管理者入力シート!$B$14=2,CU3*管理者用人口入力シート!AP$7))+将来予測シート②!$G21</f>
        <v>367.82160873238519</v>
      </c>
      <c r="CW6" s="9">
        <f>IF(管理者入力シート!$B$14=1,CV3*管理者用人口入力シート!AQ$3,IF(管理者入力シート!$B$14=2,CV3*管理者用人口入力シート!AQ$7))+将来予測シート②!$G22</f>
        <v>411.90308980690338</v>
      </c>
      <c r="CX6" s="9">
        <f>IF(管理者入力シート!$B$14=1,CW3*管理者用人口入力シート!AR$3,IF(管理者入力シート!$B$14=2,CW3*管理者用人口入力シート!AR$7))+将来予測シート②!$G23</f>
        <v>538.15989227328532</v>
      </c>
      <c r="CY6" s="9">
        <f>IF(管理者入力シート!$B$14=1,CX3*管理者用人口入力シート!AS$3,IF(管理者入力シート!$B$14=2,CX3*管理者用人口入力シート!AS$7))+将来予測シート②!$G24</f>
        <v>624.95134181258663</v>
      </c>
      <c r="CZ6" s="9">
        <f>IF(管理者入力シート!$B$14=1,CY3*管理者用人口入力シート!AT$3,IF(管理者入力シート!$B$14=2,CY3*管理者用人口入力シート!AT$7))+将来予測シート②!$G25</f>
        <v>616.81442921773066</v>
      </c>
      <c r="DA6" s="9">
        <f>IF(管理者入力シート!$B$14=1,CZ3*管理者用人口入力シート!AU$3,IF(管理者入力シート!$B$14=2,CZ3*管理者用人口入力シート!AU$7))+将来予測シート②!$G26</f>
        <v>715.45900789483869</v>
      </c>
      <c r="DB6" s="9">
        <f>IF(管理者入力シート!$B$14=1,DA3*管理者用人口入力シート!AV$3,IF(管理者入力シート!$B$14=2,DA3*管理者用人口入力シート!AV$7))+将来予測シート②!$G27</f>
        <v>816.79172586923676</v>
      </c>
      <c r="DC6" s="9">
        <f>IF(管理者入力シート!$B$14=1,DB3*管理者用人口入力シート!AW$3,IF(管理者入力シート!$B$14=2,DB3*管理者用人口入力シート!AW$7))+将来予測シート②!$G28</f>
        <v>842.53676935173303</v>
      </c>
      <c r="DD6" s="9">
        <f>IF(管理者入力シート!$B$14=1,DC3*管理者用人口入力シート!AX$3,IF(管理者入力シート!$B$14=2,DC3*管理者用人口入力シート!AX$7))+将来予測シート②!$G29</f>
        <v>754.14670574048762</v>
      </c>
      <c r="DE6" s="9">
        <f>IF(管理者入力シート!$B$14=1,DD3*管理者用人口入力シート!AY$3,IF(管理者入力シート!$B$14=2,DD3*管理者用人口入力シート!AY$7))</f>
        <v>778.04732378145513</v>
      </c>
      <c r="DF6" s="9">
        <f>IF(管理者入力シート!$B$14=1,DE3*管理者用人口入力シート!AZ$3,IF(管理者入力シート!$B$14=2,DE3*管理者用人口入力シート!AZ$7))</f>
        <v>678.76539541415218</v>
      </c>
      <c r="DG6" s="9">
        <f>IF(管理者入力シート!$B$14=1,DF3*管理者用人口入力シート!BA$3,IF(管理者入力シート!$B$14=2,DF3*管理者用人口入力シート!BA$7))</f>
        <v>644.63894588528331</v>
      </c>
      <c r="DH6" s="9">
        <f>IF(管理者入力シート!$B$14=1,DG3*管理者用人口入力シート!BB$3,IF(管理者入力シート!$B$14=2,DG3*管理者用人口入力シート!BB$7))</f>
        <v>524.62826821447084</v>
      </c>
      <c r="DI6" s="9">
        <f>IF(管理者入力シート!$B$14=1,DH3*管理者用人口入力シート!BC$3,IF(管理者入力シート!$B$14=2,DH3*管理者用人口入力シート!BC$7))</f>
        <v>319.98489258451627</v>
      </c>
      <c r="DJ6" s="9">
        <f>IF(管理者入力シート!$B$14=1,DI3*管理者用人口入力シート!BD$3,IF(管理者入力シート!$B$14=2,DI3*管理者用人口入力シート!BD$7))</f>
        <v>131.87379185622845</v>
      </c>
      <c r="DK6" s="9">
        <f>IF(管理者入力シート!$B$14=1,DJ3*管理者用人口入力シート!BE$3,IF(管理者入力シート!$B$14=2,DJ3*管理者用人口入力シート!BE$7))</f>
        <v>27.347292406691583</v>
      </c>
      <c r="DL6" s="9">
        <f>IF(管理者入力シート!$B$14=1,DK3*管理者用人口入力シート!BF$3,IF(管理者入力シート!$B$14=2,DK3*管理者用人口入力シート!BF$7))</f>
        <v>0.42385090284012233</v>
      </c>
      <c r="DM6" s="9">
        <f t="shared" ref="DM6:DM14" si="69">SUM(CR6:DL6)</f>
        <v>10931.601704341083</v>
      </c>
      <c r="DN6" s="9">
        <f t="shared" si="34"/>
        <v>674.93100767382305</v>
      </c>
      <c r="DO6" s="9">
        <f t="shared" si="35"/>
        <v>351.3129495105585</v>
      </c>
      <c r="DP6" s="9">
        <f t="shared" si="6"/>
        <v>3105.7097610456372</v>
      </c>
      <c r="DQ6" s="9">
        <f t="shared" si="36"/>
        <v>1648.8970418500307</v>
      </c>
      <c r="DR6" s="13">
        <f t="shared" si="37"/>
        <v>0.28410381616925534</v>
      </c>
      <c r="DS6" s="13">
        <f t="shared" si="38"/>
        <v>0.15083764359940338</v>
      </c>
      <c r="DT6" s="9">
        <f t="shared" ref="DT6:DT14" si="70">SUM(CV6:CY6)</f>
        <v>1942.8359326251605</v>
      </c>
      <c r="DV6" s="7" t="s">
        <v>400</v>
      </c>
      <c r="DX6" s="28">
        <f>管理者入力シート!B9</f>
        <v>2030</v>
      </c>
      <c r="DY6" s="3" t="s">
        <v>21</v>
      </c>
      <c r="DZ6" s="9">
        <f>FB7*$AK$13</f>
        <v>627.72050580712028</v>
      </c>
      <c r="EA6" s="129">
        <f>IF(管理者入力シート!$B$14=1,DZ3*管理者用人口入力シート!AM$3,IF(管理者入力シート!$B$14=2,DZ3*管理者用人口入力シート!AM$7))</f>
        <v>524.81073828953424</v>
      </c>
      <c r="EB6" s="9">
        <f>IF(管理者入力シート!$B$14=1,EA3*管理者用人口入力シート!AN$3,IF(管理者入力シート!$B$14=2,EA3*管理者用人口入力シート!AN$7))</f>
        <v>598.0015207082987</v>
      </c>
      <c r="EC6" s="9">
        <f>IF(管理者入力シート!$B$14=1,EB3*管理者用人口入力シート!AO$3,IF(管理者入力シート!$B$14=2,EB3*管理者用人口入力シート!AO$7))</f>
        <v>557.68642446392471</v>
      </c>
      <c r="ED6" s="9">
        <f>IF(管理者入力シート!$B$14=1,EC3*管理者用人口入力シート!AP$3,IF(管理者入力シート!$B$14=2,EC3*管理者用人口入力シート!AP$7))</f>
        <v>367.82160873238519</v>
      </c>
      <c r="EE6" s="9">
        <f>IF(管理者入力シート!$B$14=1,ED3*管理者用人口入力シート!AQ$3,IF(管理者入力シート!$B$14=2,ED3*管理者用人口入力シート!AQ$7))+DX1</f>
        <v>563.90308980690338</v>
      </c>
      <c r="EF6" s="9">
        <f>IF(管理者入力シート!$B$14=1,EE3*管理者用人口入力シート!AR$3,IF(管理者入力シート!$B$14=2,EE3*管理者用人口入力シート!AR$7))+DX1</f>
        <v>862.23198530116144</v>
      </c>
      <c r="EG6" s="9">
        <f>IF(管理者入力シート!$B$14=1,EF3*管理者用人口入力シート!AS$3,IF(管理者入力シート!$B$14=2,EF3*管理者用人口入力シート!AS$7))+DX1</f>
        <v>938.03023698861864</v>
      </c>
      <c r="EH6" s="9">
        <f>IF(管理者入力シート!$B$14=1,EG3*管理者用人口入力シート!AT$3,IF(管理者入力シート!$B$14=2,EG3*管理者用人口入力シート!AT$7))</f>
        <v>777.07813433821673</v>
      </c>
      <c r="EI6" s="9">
        <f>IF(管理者入力シート!$B$14=1,EH3*管理者用人口入力シート!AU$3,IF(管理者入力シート!$B$14=2,EH3*管理者用人口入力シート!AU$7))</f>
        <v>715.45900789483869</v>
      </c>
      <c r="EJ6" s="9">
        <f>IF(管理者入力シート!$B$14=1,EI3*管理者用人口入力シート!AV$3,IF(管理者入力シート!$B$14=2,EI3*管理者用人口入力シート!AV$7))</f>
        <v>816.79172586923676</v>
      </c>
      <c r="EK6" s="9">
        <f>IF(管理者入力シート!$B$14=1,EJ3*管理者用人口入力シート!AW$3,IF(管理者入力シート!$B$14=2,EJ3*管理者用人口入力シート!AW$7))</f>
        <v>842.53676935173303</v>
      </c>
      <c r="EL6" s="9">
        <f>IF(管理者入力シート!$B$14=1,EK3*管理者用人口入力シート!AX$3,IF(管理者入力シート!$B$14=2,EK3*管理者用人口入力シート!AX$7))</f>
        <v>754.14670574048762</v>
      </c>
      <c r="EM6" s="9">
        <f>IF(管理者入力シート!$B$14=1,EL3*管理者用人口入力シート!AY$3,IF(管理者入力シート!$B$14=2,EL3*管理者用人口入力シート!AY$7))</f>
        <v>778.04732378145513</v>
      </c>
      <c r="EN6" s="9">
        <f>IF(管理者入力シート!$B$14=1,EM3*管理者用人口入力シート!AZ$3,IF(管理者入力シート!$B$14=2,EM3*管理者用人口入力シート!AZ$7))</f>
        <v>678.76539541415218</v>
      </c>
      <c r="EO6" s="9">
        <f>IF(管理者入力シート!$B$14=1,EN3*管理者用人口入力シート!BA$3,IF(管理者入力シート!$B$14=2,EN3*管理者用人口入力シート!BA$7))</f>
        <v>644.63894588528331</v>
      </c>
      <c r="EP6" s="9">
        <f>IF(管理者入力シート!$B$14=1,EO3*管理者用人口入力シート!BB$3,IF(管理者入力シート!$B$14=2,EO3*管理者用人口入力シート!BB$7))</f>
        <v>524.62826821447084</v>
      </c>
      <c r="EQ6" s="9">
        <f>IF(管理者入力シート!$B$14=1,EP3*管理者用人口入力シート!BC$3,IF(管理者入力シート!$B$14=2,EP3*管理者用人口入力シート!BC$7))</f>
        <v>319.98489258451627</v>
      </c>
      <c r="ER6" s="9">
        <f>IF(管理者入力シート!$B$14=1,EQ3*管理者用人口入力シート!BD$3,IF(管理者入力シート!$B$14=2,EQ3*管理者用人口入力シート!BD$7))</f>
        <v>131.87379185622845</v>
      </c>
      <c r="ES6" s="9">
        <f>IF(管理者入力シート!$B$14=1,ER3*管理者用人口入力シート!BE$3,IF(管理者入力シート!$B$14=2,ER3*管理者用人口入力シート!BE$7))</f>
        <v>27.347292406691583</v>
      </c>
      <c r="ET6" s="9">
        <f>IF(管理者入力シート!$B$14=1,ES3*管理者用人口入力シート!BF$3,IF(管理者入力シート!$B$14=2,ES3*管理者用人口入力シート!BF$7))</f>
        <v>0.42385090284012233</v>
      </c>
      <c r="EU6" s="9">
        <f t="shared" ref="EU6:EU14" si="71">SUM(DZ6:ET6)</f>
        <v>12051.928214338097</v>
      </c>
      <c r="EV6" s="9">
        <f t="shared" si="41"/>
        <v>673.68735539869976</v>
      </c>
      <c r="EW6" s="9">
        <f t="shared" si="42"/>
        <v>350.73789317610442</v>
      </c>
      <c r="EX6" s="9">
        <f t="shared" si="10"/>
        <v>3105.7097610456372</v>
      </c>
      <c r="EY6" s="9">
        <f t="shared" si="43"/>
        <v>1648.8970418500307</v>
      </c>
      <c r="EZ6" s="13">
        <f t="shared" si="44"/>
        <v>0.2576940142533205</v>
      </c>
      <c r="FA6" s="13">
        <f t="shared" si="45"/>
        <v>0.13681603578490861</v>
      </c>
      <c r="FB6" s="9">
        <f t="shared" ref="FB6:FB14" si="72">SUM(ED6:EG6)</f>
        <v>2731.9869208290684</v>
      </c>
    </row>
    <row r="7" spans="1:158" x14ac:dyDescent="0.15">
      <c r="A7" s="7" t="str">
        <f t="shared" si="11"/>
        <v>2010_2</v>
      </c>
      <c r="B7" s="29">
        <v>2010</v>
      </c>
      <c r="C7" s="4" t="s">
        <v>22</v>
      </c>
      <c r="D7" s="10">
        <v>596.56837167399181</v>
      </c>
      <c r="E7" s="10">
        <v>576.04572267180072</v>
      </c>
      <c r="F7" s="10">
        <v>648.92662111323295</v>
      </c>
      <c r="G7" s="10">
        <v>649.2814696699661</v>
      </c>
      <c r="H7" s="10">
        <v>555.36871431141458</v>
      </c>
      <c r="I7" s="10">
        <v>748.7186348148141</v>
      </c>
      <c r="J7" s="10">
        <v>833.19630507082127</v>
      </c>
      <c r="K7" s="10">
        <v>975.62252185639477</v>
      </c>
      <c r="L7" s="10">
        <v>918.80386454875077</v>
      </c>
      <c r="M7" s="10">
        <v>929.77977946048861</v>
      </c>
      <c r="N7" s="10">
        <v>880.56794069340503</v>
      </c>
      <c r="O7" s="10">
        <v>912.6100200207062</v>
      </c>
      <c r="P7" s="10">
        <v>999.77621402192335</v>
      </c>
      <c r="Q7" s="10">
        <v>814.43183970263124</v>
      </c>
      <c r="R7" s="10">
        <v>755.10612542935098</v>
      </c>
      <c r="S7" s="10">
        <v>691.79322330196771</v>
      </c>
      <c r="T7" s="10">
        <v>570.72551935520039</v>
      </c>
      <c r="U7" s="10">
        <v>326.67918178720987</v>
      </c>
      <c r="V7" s="10">
        <v>147.73416923286655</v>
      </c>
      <c r="W7" s="10">
        <v>49.224851537266893</v>
      </c>
      <c r="X7" s="10">
        <v>13.038909725796323</v>
      </c>
      <c r="Y7" s="10">
        <f t="shared" si="68"/>
        <v>13593.999999999998</v>
      </c>
      <c r="Z7" s="10">
        <f t="shared" si="12"/>
        <v>734.98340627102016</v>
      </c>
      <c r="AA7" s="10">
        <f t="shared" si="13"/>
        <v>389.4269423792864</v>
      </c>
      <c r="AB7" s="10">
        <f t="shared" si="0"/>
        <v>3368.7338200722902</v>
      </c>
      <c r="AC7" s="10">
        <f t="shared" si="14"/>
        <v>1799.195854940308</v>
      </c>
      <c r="AD7" s="14">
        <f t="shared" si="15"/>
        <v>0.24781034427484852</v>
      </c>
      <c r="AE7" s="14">
        <f t="shared" si="16"/>
        <v>0.13235220354129087</v>
      </c>
      <c r="AF7" s="10">
        <f t="shared" si="17"/>
        <v>3112.9061760534451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1.0727537918721786</v>
      </c>
      <c r="AN7" s="48">
        <f t="shared" si="73"/>
        <v>0.99981660019048002</v>
      </c>
      <c r="AO7" s="48">
        <f t="shared" si="73"/>
        <v>0.87528167227047815</v>
      </c>
      <c r="AP7" s="48">
        <f t="shared" si="73"/>
        <v>0.66372743819296354</v>
      </c>
      <c r="AQ7" s="48">
        <f t="shared" si="73"/>
        <v>1.1909500771664632</v>
      </c>
      <c r="AR7" s="48">
        <f t="shared" si="73"/>
        <v>1.1188953488676057</v>
      </c>
      <c r="AS7" s="48">
        <f t="shared" si="73"/>
        <v>1.0329798388054028</v>
      </c>
      <c r="AT7" s="48">
        <f t="shared" si="73"/>
        <v>1.0406734098732862</v>
      </c>
      <c r="AU7" s="48">
        <f t="shared" si="73"/>
        <v>0.98429897834600644</v>
      </c>
      <c r="AV7" s="48">
        <f t="shared" si="73"/>
        <v>0.98045675431171087</v>
      </c>
      <c r="AW7" s="48">
        <f t="shared" si="73"/>
        <v>0.97688238068938027</v>
      </c>
      <c r="AX7" s="48">
        <f t="shared" si="73"/>
        <v>1.0114096785257054</v>
      </c>
      <c r="AY7" s="48">
        <f t="shared" si="73"/>
        <v>0.94586122245787518</v>
      </c>
      <c r="AZ7" s="48">
        <f t="shared" si="73"/>
        <v>0.95434865704575045</v>
      </c>
      <c r="BA7" s="48">
        <f t="shared" si="73"/>
        <v>0.8911684314772208</v>
      </c>
      <c r="BB7" s="48">
        <f t="shared" si="73"/>
        <v>0.80122705744146461</v>
      </c>
      <c r="BC7" s="48">
        <f t="shared" si="73"/>
        <v>0.72842645703747932</v>
      </c>
      <c r="BD7" s="48">
        <f t="shared" si="73"/>
        <v>0.43772087913361907</v>
      </c>
      <c r="BE7" s="48">
        <f t="shared" si="73"/>
        <v>0.1799931160922382</v>
      </c>
      <c r="BF7" s="48">
        <f t="shared" si="73"/>
        <v>1.9171404836260862E-2</v>
      </c>
      <c r="BH7" s="7" t="str">
        <f t="shared" si="19"/>
        <v>2030_2</v>
      </c>
      <c r="BI7" s="29">
        <f>BI6</f>
        <v>2030</v>
      </c>
      <c r="BJ7" s="4" t="s">
        <v>22</v>
      </c>
      <c r="BK7" s="10">
        <f>CM7*$AK$14</f>
        <v>459.63887545038739</v>
      </c>
      <c r="BL7" s="10">
        <f>IF(管理者入力シート!$B$14=1,BK4*管理者用人口入力シート!AM$4,IF(管理者入力シート!$B$14=2,BK4*管理者用人口入力シート!AM$8))</f>
        <v>517.82311475410904</v>
      </c>
      <c r="BM7" s="10">
        <f>IF(管理者入力シート!$B$14=1,BL4*管理者用人口入力シート!AN$4,IF(管理者入力シート!$B$14=2,BL4*管理者用人口入力シート!AN$8))</f>
        <v>609.12081395430664</v>
      </c>
      <c r="BN7" s="10">
        <f>IF(管理者入力シート!$B$14=1,BM4*管理者用人口入力シート!AO$4,IF(管理者入力シート!$B$14=2,BM4*管理者用人口入力シート!AO$8))</f>
        <v>591.87609905253919</v>
      </c>
      <c r="BO7" s="10">
        <f>IF(管理者入力シート!$B$14=1,BN4*管理者用人口入力シート!AP$4,IF(管理者入力シート!$B$14=2,BN4*管理者用人口入力シート!AP$8))</f>
        <v>437.94989226437673</v>
      </c>
      <c r="BP7" s="10">
        <f>IF(管理者入力シート!$B$14=1,BO4*管理者用人口入力シート!AQ$4,IF(管理者入力シート!$B$14=2,BO4*管理者用人口入力シート!AQ$8))</f>
        <v>446.66233757901091</v>
      </c>
      <c r="BQ7" s="10">
        <f>IF(管理者入力シート!$B$14=1,BP4*管理者用人口入力シート!AR$4,IF(管理者入力シート!$B$14=2,BP4*管理者用人口入力シート!AR$8))</f>
        <v>537.88659011822995</v>
      </c>
      <c r="BR7" s="10">
        <f>IF(管理者入力シート!$B$14=1,BQ4*管理者用人口入力シート!AS$4,IF(管理者入力シート!$B$14=2,BQ4*管理者用人口入力シート!AS$8))</f>
        <v>612.24903177594535</v>
      </c>
      <c r="BS7" s="10">
        <f>IF(管理者入力シート!$B$14=1,BR4*管理者用人口入力シート!AT$4,IF(管理者入力シート!$B$14=2,BR4*管理者用人口入力シート!AT$8))</f>
        <v>721.33251108111926</v>
      </c>
      <c r="BT7" s="10">
        <f>IF(管理者入力シート!$B$14=1,BS4*管理者用人口入力シート!AU$4,IF(管理者入力シート!$B$14=2,BS4*管理者用人口入力シート!AU$8))</f>
        <v>865.47992048784465</v>
      </c>
      <c r="BU7" s="10">
        <f>IF(管理者入力シート!$B$14=1,BT4*管理者用人口入力シート!AV$4,IF(管理者入力シート!$B$14=2,BT4*管理者用人口入力シート!AV$8))</f>
        <v>905.21296884437982</v>
      </c>
      <c r="BV7" s="10">
        <f>IF(管理者入力シート!$B$14=1,BU4*管理者用人口入力シート!AW$4,IF(管理者入力シート!$B$14=2,BU4*管理者用人口入力シート!AW$8))</f>
        <v>946.13338519848753</v>
      </c>
      <c r="BW7" s="10">
        <f>IF(管理者入力シート!$B$14=1,BV4*管理者用人口入力シート!AX$4,IF(管理者入力シート!$B$14=2,BV4*管理者用人口入力シート!AX$8))</f>
        <v>925.05174210421876</v>
      </c>
      <c r="BX7" s="10">
        <f>IF(管理者入力シート!$B$14=1,BW4*管理者用人口入力シート!AY$4,IF(管理者入力シート!$B$14=2,BW4*管理者用人口入力シート!AY$8))</f>
        <v>853.19126687936193</v>
      </c>
      <c r="BY7" s="10">
        <f>IF(管理者入力シート!$B$14=1,BX4*管理者用人口入力シート!AZ$4,IF(管理者入力シート!$B$14=2,BX4*管理者用人口入力シート!AZ$8))</f>
        <v>828.83031249281601</v>
      </c>
      <c r="BZ7" s="10">
        <f>IF(管理者入力シート!$B$14=1,BY4*管理者用人口入力シート!BA$4,IF(管理者入力シート!$B$14=2,BY4*管理者用人口入力シート!BA$8))</f>
        <v>804.19397236300017</v>
      </c>
      <c r="CA7" s="10">
        <f>IF(管理者入力シート!$B$14=1,BZ4*管理者用人口入力シート!BB$4,IF(管理者入力シート!$B$14=2,BZ4*管理者用人口入力シート!BB$8))</f>
        <v>811.48343583872793</v>
      </c>
      <c r="CB7" s="10">
        <f>IF(管理者入力シート!$B$14=1,CA4*管理者用人口入力シート!BC$4,IF(管理者入力シート!$B$14=2,CA4*管理者用人口入力シート!BC$8))</f>
        <v>539.07675753677029</v>
      </c>
      <c r="CC7" s="10">
        <f>IF(管理者入力シート!$B$14=1,CB4*管理者用人口入力シート!BD$4,IF(管理者入力シート!$B$14=2,CB4*管理者用人口入力シート!BD$8))</f>
        <v>341.81875119797365</v>
      </c>
      <c r="CD7" s="10">
        <f>IF(管理者入力シート!$B$14=1,CC4*管理者用人口入力シート!BE$4,IF(管理者入力シート!$B$14=2,CC4*管理者用人口入力シート!BE$8))</f>
        <v>125.59895870567361</v>
      </c>
      <c r="CE7" s="10">
        <f>IF(管理者入力シート!$B$14=1,CD4*管理者用人口入力シート!BF$4,IF(管理者入力シート!$B$14=2,CD4*管理者用人口入力シート!BF$8))</f>
        <v>27.256745320402356</v>
      </c>
      <c r="CF7" s="10">
        <f t="shared" si="2"/>
        <v>12907.867482999682</v>
      </c>
      <c r="CG7" s="10">
        <f t="shared" si="20"/>
        <v>676.16635722504941</v>
      </c>
      <c r="CH7" s="10">
        <f t="shared" si="21"/>
        <v>362.02354539223052</v>
      </c>
      <c r="CI7" s="10">
        <f t="shared" si="3"/>
        <v>4331.4502003347261</v>
      </c>
      <c r="CJ7" s="10">
        <f t="shared" si="22"/>
        <v>2649.4286209625484</v>
      </c>
      <c r="CK7" s="14">
        <f t="shared" si="23"/>
        <v>0.33556667714782989</v>
      </c>
      <c r="CL7" s="14">
        <f t="shared" si="24"/>
        <v>0.20525688108062626</v>
      </c>
      <c r="CM7" s="10">
        <f t="shared" si="25"/>
        <v>2034.747851737563</v>
      </c>
      <c r="CO7" s="7" t="str">
        <f t="shared" si="26"/>
        <v>2030_2</v>
      </c>
      <c r="CP7" s="29">
        <f>CP6</f>
        <v>2030</v>
      </c>
      <c r="CQ7" s="4" t="s">
        <v>22</v>
      </c>
      <c r="CR7" s="10">
        <f>DT7*$AK$14+将来予測シート②!$H17</f>
        <v>461.58379623207986</v>
      </c>
      <c r="CS7" s="10">
        <f>IF(管理者入力シート!$B$14=1,CR4*管理者用人口入力シート!AM$4,IF(管理者入力シート!$B$14=2,CR4*管理者用人口入力シート!AM$8))+将来予測シート②!$H18</f>
        <v>518.8638366993473</v>
      </c>
      <c r="CT7" s="10">
        <f>IF(管理者入力シート!$B$14=1,CS4*管理者用人口入力シート!AN$4,IF(管理者入力シート!$B$14=2,CS4*管理者用人口入力シート!AN$8))+将来予測シート②!$H19</f>
        <v>610.12081395430664</v>
      </c>
      <c r="CU7" s="10">
        <f>IF(管理者入力シート!$B$14=1,CT4*管理者用人口入力シート!AO$4,IF(管理者入力シート!$B$14=2,CT4*管理者用人口入力シート!AO$8))+将来予測シート②!$H20</f>
        <v>592.81934874071101</v>
      </c>
      <c r="CV7" s="10">
        <f>IF(管理者入力シート!$B$14=1,CU4*管理者用人口入力シート!AP$4,IF(管理者入力シート!$B$14=2,CU4*管理者用人口入力シート!AP$8))+将来予測シート②!$H21</f>
        <v>437.94989226437673</v>
      </c>
      <c r="CW7" s="10">
        <f>IF(管理者入力シート!$B$14=1,CV4*管理者用人口入力シート!AQ$4,IF(管理者入力シート!$B$14=2,CV4*管理者用人口入力シート!AQ$8))+将来予測シート②!$H22</f>
        <v>448.66233757901091</v>
      </c>
      <c r="CX7" s="10">
        <f>IF(管理者入力シート!$B$14=1,CW4*管理者用人口入力シート!AR$4,IF(管理者入力シート!$B$14=2,CW4*管理者用人口入力シート!AR$8))+将来予測シート②!$H23</f>
        <v>540.06960342128662</v>
      </c>
      <c r="CY7" s="10">
        <f>IF(管理者入力シート!$B$14=1,CX4*管理者用人口入力シート!AS$4,IF(管理者入力シート!$B$14=2,CX4*管理者用人口入力シート!AS$8))+将来予測シート②!$H24</f>
        <v>612.24903177594535</v>
      </c>
      <c r="CZ7" s="10">
        <f>IF(管理者入力シート!$B$14=1,CY4*管理者用人口入力シート!AT$4,IF(管理者入力シート!$B$14=2,CY4*管理者用人口入力シート!AT$8))+将来予測シート②!$H25</f>
        <v>722.33251108111926</v>
      </c>
      <c r="DA7" s="10">
        <f>IF(管理者入力シート!$B$14=1,CZ4*管理者用人口入力シート!AU$4,IF(管理者入力シート!$B$14=2,CZ4*管理者用人口入力シート!AU$8))+将来予測シート②!$H26</f>
        <v>866.49965258264763</v>
      </c>
      <c r="DB7" s="10">
        <f>IF(管理者入力シート!$B$14=1,DA4*管理者用人口入力シート!AV$4,IF(管理者入力シート!$B$14=2,DA4*管理者用人口入力シート!AV$8))+将来予測シート②!$H27</f>
        <v>905.21296884437982</v>
      </c>
      <c r="DC7" s="10">
        <f>IF(管理者入力シート!$B$14=1,DB4*管理者用人口入力シート!AW$4,IF(管理者入力シート!$B$14=2,DB4*管理者用人口入力シート!AW$8))+将来予測シート②!$H28</f>
        <v>946.13338519848753</v>
      </c>
      <c r="DD7" s="10">
        <f>IF(管理者入力シート!$B$14=1,DC4*管理者用人口入力シート!AX$4,IF(管理者入力シート!$B$14=2,DC4*管理者用人口入力シート!AX$8))+将来予測シート②!$H29</f>
        <v>925.05174210421876</v>
      </c>
      <c r="DE7" s="10">
        <f>IF(管理者入力シート!$B$14=1,DD4*管理者用人口入力シート!AY$4,IF(管理者入力シート!$B$14=2,DD4*管理者用人口入力シート!AY$8))</f>
        <v>853.19126687936193</v>
      </c>
      <c r="DF7" s="10">
        <f>IF(管理者入力シート!$B$14=1,DE4*管理者用人口入力シート!AZ$4,IF(管理者入力シート!$B$14=2,DE4*管理者用人口入力シート!AZ$8))</f>
        <v>828.83031249281601</v>
      </c>
      <c r="DG7" s="10">
        <f>IF(管理者入力シート!$B$14=1,DF4*管理者用人口入力シート!BA$4,IF(管理者入力シート!$B$14=2,DF4*管理者用人口入力シート!BA$8))</f>
        <v>804.19397236300017</v>
      </c>
      <c r="DH7" s="10">
        <f>IF(管理者入力シート!$B$14=1,DG4*管理者用人口入力シート!BB$4,IF(管理者入力シート!$B$14=2,DG4*管理者用人口入力シート!BB$8))</f>
        <v>811.48343583872793</v>
      </c>
      <c r="DI7" s="10">
        <f>IF(管理者入力シート!$B$14=1,DH4*管理者用人口入力シート!BC$4,IF(管理者入力シート!$B$14=2,DH4*管理者用人口入力シート!BC$8))</f>
        <v>539.07675753677029</v>
      </c>
      <c r="DJ7" s="10">
        <f>IF(管理者入力シート!$B$14=1,DI4*管理者用人口入力シート!BD$4,IF(管理者入力シート!$B$14=2,DI4*管理者用人口入力シート!BD$8))</f>
        <v>341.81875119797365</v>
      </c>
      <c r="DK7" s="10">
        <f>IF(管理者入力シート!$B$14=1,DJ4*管理者用人口入力シート!BE$4,IF(管理者入力シート!$B$14=2,DJ4*管理者用人口入力シート!BE$8))</f>
        <v>125.59895870567361</v>
      </c>
      <c r="DL7" s="10">
        <f>IF(管理者入力シート!$B$14=1,DK4*管理者用人口入力シート!BF$4,IF(管理者入力シート!$B$14=2,DK4*管理者用人口入力シート!BF$8))</f>
        <v>27.256745320402356</v>
      </c>
      <c r="DM7" s="10">
        <f t="shared" si="69"/>
        <v>12918.999120812641</v>
      </c>
      <c r="DN7" s="10">
        <f t="shared" si="34"/>
        <v>677.39079039219234</v>
      </c>
      <c r="DO7" s="10">
        <f t="shared" si="35"/>
        <v>362.61219532986485</v>
      </c>
      <c r="DP7" s="10">
        <f t="shared" si="6"/>
        <v>4331.4502003347261</v>
      </c>
      <c r="DQ7" s="10">
        <f t="shared" si="36"/>
        <v>2649.4286209625484</v>
      </c>
      <c r="DR7" s="14">
        <f t="shared" si="37"/>
        <v>0.33527753658228177</v>
      </c>
      <c r="DS7" s="14">
        <f t="shared" si="38"/>
        <v>0.20508002177152343</v>
      </c>
      <c r="DT7" s="10">
        <f t="shared" si="70"/>
        <v>2038.9308650406197</v>
      </c>
      <c r="DV7" s="7" t="s">
        <v>401</v>
      </c>
      <c r="DW7" s="210">
        <f>(SUM(BK12:BW12)-SUM(D12:P12))/4</f>
        <v>-429.73566408058559</v>
      </c>
      <c r="DX7" s="29">
        <f>DX6</f>
        <v>2030</v>
      </c>
      <c r="DY7" s="4" t="s">
        <v>22</v>
      </c>
      <c r="DZ7" s="10">
        <f>FB7*$AK$14</f>
        <v>638.42573028615777</v>
      </c>
      <c r="EA7" s="10">
        <f>IF(管理者入力シート!$B$14=1,DZ4*管理者用人口入力シート!AM$4,IF(管理者入力シート!$B$14=2,DZ4*管理者用人口入力シート!AM$8))</f>
        <v>517.82311475410904</v>
      </c>
      <c r="EB7" s="10">
        <f>IF(管理者入力シート!$B$14=1,EA4*管理者用人口入力シート!AN$4,IF(管理者入力シート!$B$14=2,EA4*管理者用人口入力シート!AN$8))</f>
        <v>609.12081395430664</v>
      </c>
      <c r="EC7" s="10">
        <f>IF(管理者入力シート!$B$14=1,EB4*管理者用人口入力シート!AO$4,IF(管理者入力シート!$B$14=2,EB4*管理者用人口入力シート!AO$8))</f>
        <v>591.87609905253919</v>
      </c>
      <c r="ED7" s="10">
        <f>IF(管理者入力シート!$B$14=1,EC4*管理者用人口入力シート!AP$4,IF(管理者入力シート!$B$14=2,EC4*管理者用人口入力シート!AP$8))</f>
        <v>437.94989226437673</v>
      </c>
      <c r="EE7" s="10">
        <f>IF(管理者入力シート!$B$14=1,ED4*管理者用人口入力シート!AQ$4,IF(管理者入力シート!$B$14=2,ED4*管理者用人口入力シート!AQ$8))+DX1</f>
        <v>600.66233757901091</v>
      </c>
      <c r="EF7" s="10">
        <f>IF(管理者入力シート!$B$14=1,EE4*管理者用人口入力シート!AR$4,IF(管理者入力シート!$B$14=2,EE4*管理者用人口入力シート!AR$8))+DX1</f>
        <v>859.97861445359104</v>
      </c>
      <c r="EG7" s="10">
        <f>IF(管理者入力シート!$B$14=1,EF4*管理者用人口入力シート!AS$4,IF(管理者入力シート!$B$14=2,EF4*管理者用人口入力シート!AS$8))+DX1</f>
        <v>927.61784381900293</v>
      </c>
      <c r="EH7" s="10">
        <f>IF(管理者入力シート!$B$14=1,EG4*管理者用人口入力シート!AT$4,IF(管理者入力シート!$B$14=2,EG4*管理者用人口入力シート!AT$8))</f>
        <v>877.03831232216464</v>
      </c>
      <c r="EI7" s="10">
        <f>IF(管理者入力シート!$B$14=1,EH4*管理者用人口入力シート!AU$4,IF(管理者入力シート!$B$14=2,EH4*管理者用人口入力シート!AU$8))</f>
        <v>865.47992048784465</v>
      </c>
      <c r="EJ7" s="10">
        <f>IF(管理者入力シート!$B$14=1,EI4*管理者用人口入力シート!AV$4,IF(管理者入力シート!$B$14=2,EI4*管理者用人口入力シート!AV$8))</f>
        <v>905.21296884437982</v>
      </c>
      <c r="EK7" s="10">
        <f>IF(管理者入力シート!$B$14=1,EJ4*管理者用人口入力シート!AW$4,IF(管理者入力シート!$B$14=2,EJ4*管理者用人口入力シート!AW$8))</f>
        <v>946.13338519848753</v>
      </c>
      <c r="EL7" s="10">
        <f>IF(管理者入力シート!$B$14=1,EK4*管理者用人口入力シート!AX$4,IF(管理者入力シート!$B$14=2,EK4*管理者用人口入力シート!AX$8))</f>
        <v>925.05174210421876</v>
      </c>
      <c r="EM7" s="10">
        <f>IF(管理者入力シート!$B$14=1,EL4*管理者用人口入力シート!AY$4,IF(管理者入力シート!$B$14=2,EL4*管理者用人口入力シート!AY$8))</f>
        <v>853.19126687936193</v>
      </c>
      <c r="EN7" s="10">
        <f>IF(管理者入力シート!$B$14=1,EM4*管理者用人口入力シート!AZ$4,IF(管理者入力シート!$B$14=2,EM4*管理者用人口入力シート!AZ$8))</f>
        <v>828.83031249281601</v>
      </c>
      <c r="EO7" s="10">
        <f>IF(管理者入力シート!$B$14=1,EN4*管理者用人口入力シート!BA$4,IF(管理者入力シート!$B$14=2,EN4*管理者用人口入力シート!BA$8))</f>
        <v>804.19397236300017</v>
      </c>
      <c r="EP7" s="10">
        <f>IF(管理者入力シート!$B$14=1,EO4*管理者用人口入力シート!BB$4,IF(管理者入力シート!$B$14=2,EO4*管理者用人口入力シート!BB$8))</f>
        <v>811.48343583872793</v>
      </c>
      <c r="EQ7" s="10">
        <f>IF(管理者入力シート!$B$14=1,EP4*管理者用人口入力シート!BC$4,IF(管理者入力シート!$B$14=2,EP4*管理者用人口入力シート!BC$8))</f>
        <v>539.07675753677029</v>
      </c>
      <c r="ER7" s="10">
        <f>IF(管理者入力シート!$B$14=1,EQ4*管理者用人口入力シート!BD$4,IF(管理者入力シート!$B$14=2,EQ4*管理者用人口入力シート!BD$8))</f>
        <v>341.81875119797365</v>
      </c>
      <c r="ES7" s="10">
        <f>IF(管理者入力シート!$B$14=1,ER4*管理者用人口入力シート!BE$4,IF(管理者入力シート!$B$14=2,ER4*管理者用人口入力シート!BE$8))</f>
        <v>125.59895870567361</v>
      </c>
      <c r="ET7" s="10">
        <f>IF(管理者入力シート!$B$14=1,ES4*管理者用人口入力シート!BF$4,IF(管理者入力シート!$B$14=2,ES4*管理者用人口入力シート!BF$8))</f>
        <v>27.256745320402356</v>
      </c>
      <c r="EU7" s="10">
        <f t="shared" si="71"/>
        <v>14033.820975454913</v>
      </c>
      <c r="EV7" s="10">
        <f t="shared" si="41"/>
        <v>676.16635722504941</v>
      </c>
      <c r="EW7" s="10">
        <f t="shared" si="42"/>
        <v>362.02354539223052</v>
      </c>
      <c r="EX7" s="10">
        <f t="shared" si="10"/>
        <v>4331.4502003347261</v>
      </c>
      <c r="EY7" s="10">
        <f t="shared" si="43"/>
        <v>2649.4286209625484</v>
      </c>
      <c r="EZ7" s="14">
        <f t="shared" si="44"/>
        <v>0.30864368356347227</v>
      </c>
      <c r="FA7" s="14">
        <f t="shared" si="45"/>
        <v>0.18878882847347037</v>
      </c>
      <c r="FB7" s="10">
        <f t="shared" si="72"/>
        <v>2826.2086881159817</v>
      </c>
    </row>
    <row r="8" spans="1:158" x14ac:dyDescent="0.15">
      <c r="A8" s="7" t="str">
        <f t="shared" si="11"/>
        <v>2010_3</v>
      </c>
      <c r="B8" s="30">
        <v>2010</v>
      </c>
      <c r="C8" s="5" t="s">
        <v>23</v>
      </c>
      <c r="D8" s="11">
        <v>1207.7756866220184</v>
      </c>
      <c r="E8" s="11">
        <v>1149.9775722799611</v>
      </c>
      <c r="F8" s="11">
        <v>1360.4383231413196</v>
      </c>
      <c r="G8" s="11">
        <v>1288.7299024948604</v>
      </c>
      <c r="H8" s="11">
        <v>984.945927491975</v>
      </c>
      <c r="I8" s="11">
        <v>1366.9767470974646</v>
      </c>
      <c r="J8" s="11">
        <v>1620.8121968795749</v>
      </c>
      <c r="K8" s="11">
        <v>1880.0901970727232</v>
      </c>
      <c r="L8" s="11">
        <v>1675.8628541949522</v>
      </c>
      <c r="M8" s="11">
        <v>1785.9844977664864</v>
      </c>
      <c r="N8" s="11">
        <v>1623.9500615773163</v>
      </c>
      <c r="O8" s="11">
        <v>1730.7993896111675</v>
      </c>
      <c r="P8" s="11">
        <v>1819.665363014577</v>
      </c>
      <c r="Q8" s="11">
        <v>1482.8737155774984</v>
      </c>
      <c r="R8" s="11">
        <v>1327.4951706126558</v>
      </c>
      <c r="S8" s="11">
        <v>1256.1952271597575</v>
      </c>
      <c r="T8" s="11">
        <v>923.00224902440755</v>
      </c>
      <c r="U8" s="11">
        <v>490.87325731410851</v>
      </c>
      <c r="V8" s="11">
        <v>213.25111621729221</v>
      </c>
      <c r="W8" s="11">
        <v>57.261635124087377</v>
      </c>
      <c r="X8" s="11">
        <v>13.038909725796323</v>
      </c>
      <c r="Y8" s="11">
        <f t="shared" si="68"/>
        <v>25260.000000000004</v>
      </c>
      <c r="Z8" s="11">
        <f t="shared" si="12"/>
        <v>1506.2495372527685</v>
      </c>
      <c r="AA8" s="11">
        <f t="shared" si="13"/>
        <v>801.92130975550003</v>
      </c>
      <c r="AB8" s="11">
        <f t="shared" si="0"/>
        <v>5763.9912807556047</v>
      </c>
      <c r="AC8" s="11">
        <f t="shared" si="14"/>
        <v>2953.6223945654492</v>
      </c>
      <c r="AD8" s="15">
        <f t="shared" si="15"/>
        <v>0.22818651151051481</v>
      </c>
      <c r="AE8" s="15">
        <f t="shared" si="16"/>
        <v>0.11692883588936852</v>
      </c>
      <c r="AF8" s="11">
        <f t="shared" si="17"/>
        <v>5852.825068541737</v>
      </c>
      <c r="AH8" s="7"/>
      <c r="AI8" s="30" t="s">
        <v>88</v>
      </c>
      <c r="AJ8" s="5">
        <f>AJ7</f>
        <v>2010</v>
      </c>
      <c r="AK8" s="5">
        <f>AK7</f>
        <v>2020</v>
      </c>
      <c r="AL8" s="33" t="s">
        <v>22</v>
      </c>
      <c r="AM8" s="47">
        <f t="shared" si="73"/>
        <v>1.0407219452382312</v>
      </c>
      <c r="AN8" s="47">
        <f t="shared" si="73"/>
        <v>1.0321498993414855</v>
      </c>
      <c r="AO8" s="47">
        <f t="shared" si="73"/>
        <v>0.94324968817177235</v>
      </c>
      <c r="AP8" s="47">
        <f t="shared" si="73"/>
        <v>0.74241609626947902</v>
      </c>
      <c r="AQ8" s="47">
        <f t="shared" si="73"/>
        <v>1.0838396584808472</v>
      </c>
      <c r="AR8" s="47">
        <f t="shared" si="73"/>
        <v>1.0915066515283189</v>
      </c>
      <c r="AS8" s="47">
        <f t="shared" si="73"/>
        <v>1.0478494288510236</v>
      </c>
      <c r="AT8" s="47">
        <f t="shared" si="73"/>
        <v>1.0110766314353594</v>
      </c>
      <c r="AU8" s="47">
        <f t="shared" si="73"/>
        <v>1.019732094802974</v>
      </c>
      <c r="AV8" s="47">
        <f t="shared" si="73"/>
        <v>0.97673430517156246</v>
      </c>
      <c r="AW8" s="47">
        <f t="shared" si="73"/>
        <v>0.98713062198324519</v>
      </c>
      <c r="AX8" s="47">
        <f t="shared" si="73"/>
        <v>0.99430550198014911</v>
      </c>
      <c r="AY8" s="47">
        <f t="shared" si="73"/>
        <v>0.98741015118176434</v>
      </c>
      <c r="AZ8" s="47">
        <f t="shared" si="73"/>
        <v>0.96590061741960831</v>
      </c>
      <c r="BA8" s="47">
        <f t="shared" si="73"/>
        <v>0.92982108197691715</v>
      </c>
      <c r="BB8" s="47">
        <f t="shared" si="73"/>
        <v>0.92458127599858797</v>
      </c>
      <c r="BC8" s="47">
        <f t="shared" si="73"/>
        <v>0.79422649801853495</v>
      </c>
      <c r="BD8" s="47">
        <f t="shared" si="73"/>
        <v>0.65300850839427305</v>
      </c>
      <c r="BE8" s="47">
        <f t="shared" si="73"/>
        <v>0.37267003085606004</v>
      </c>
      <c r="BF8" s="47">
        <f t="shared" si="73"/>
        <v>0.25087853774626201</v>
      </c>
      <c r="BH8" s="7" t="str">
        <f t="shared" si="19"/>
        <v>2030_3</v>
      </c>
      <c r="BI8" s="30">
        <f>BI7</f>
        <v>2030</v>
      </c>
      <c r="BJ8" s="5" t="s">
        <v>23</v>
      </c>
      <c r="BK8" s="16">
        <f>BK6+BK7</f>
        <v>911.57045292144176</v>
      </c>
      <c r="BL8" s="16">
        <f t="shared" ref="BL8" si="74">BL6+BL7</f>
        <v>1042.6338530436433</v>
      </c>
      <c r="BM8" s="16">
        <f t="shared" ref="BM8" si="75">BM6+BM7</f>
        <v>1207.1223346626052</v>
      </c>
      <c r="BN8" s="16">
        <f t="shared" ref="BN8" si="76">BN6+BN7</f>
        <v>1149.5625235164639</v>
      </c>
      <c r="BO8" s="16">
        <f t="shared" ref="BO8" si="77">BO6+BO7</f>
        <v>805.77150099676192</v>
      </c>
      <c r="BP8" s="16">
        <f t="shared" ref="BP8" si="78">BP6+BP7</f>
        <v>856.56542738591429</v>
      </c>
      <c r="BQ8" s="16">
        <f t="shared" ref="BQ8" si="79">BQ6+BQ7</f>
        <v>1073.80869169378</v>
      </c>
      <c r="BR8" s="16">
        <f t="shared" ref="BR8" si="80">BR6+BR7</f>
        <v>1237.2003735885319</v>
      </c>
      <c r="BS8" s="16">
        <f t="shared" ref="BS8" si="81">BS6+BS7</f>
        <v>1338.14694029885</v>
      </c>
      <c r="BT8" s="16">
        <f t="shared" ref="BT8" si="82">BT6+BT7</f>
        <v>1580.9389283826833</v>
      </c>
      <c r="BU8" s="16">
        <f t="shared" ref="BU8" si="83">BU6+BU7</f>
        <v>1722.0046947136166</v>
      </c>
      <c r="BV8" s="16">
        <f t="shared" ref="BV8" si="84">BV6+BV7</f>
        <v>1788.6701545502206</v>
      </c>
      <c r="BW8" s="16">
        <f t="shared" ref="BW8" si="85">BW6+BW7</f>
        <v>1679.1984478447064</v>
      </c>
      <c r="BX8" s="16">
        <f t="shared" ref="BX8" si="86">BX6+BX7</f>
        <v>1631.238590660817</v>
      </c>
      <c r="BY8" s="16">
        <f t="shared" ref="BY8" si="87">BY6+BY7</f>
        <v>1507.5957079069681</v>
      </c>
      <c r="BZ8" s="16">
        <f t="shared" ref="BZ8" si="88">BZ6+BZ7</f>
        <v>1448.8329182482835</v>
      </c>
      <c r="CA8" s="16">
        <f t="shared" ref="CA8" si="89">CA6+CA7</f>
        <v>1336.1117040531988</v>
      </c>
      <c r="CB8" s="16">
        <f t="shared" ref="CB8" si="90">CB6+CB7</f>
        <v>859.06165012128656</v>
      </c>
      <c r="CC8" s="16">
        <f t="shared" ref="CC8" si="91">CC6+CC7</f>
        <v>473.69254305420213</v>
      </c>
      <c r="CD8" s="16">
        <f t="shared" ref="CD8" si="92">CD6+CD7</f>
        <v>152.94625111236519</v>
      </c>
      <c r="CE8" s="16">
        <f t="shared" ref="CE8" si="93">CE6+CE7</f>
        <v>27.680596223242478</v>
      </c>
      <c r="CF8" s="11">
        <f t="shared" si="2"/>
        <v>23830.354284979581</v>
      </c>
      <c r="CG8" s="11">
        <f t="shared" si="20"/>
        <v>1349.8537126237491</v>
      </c>
      <c r="CH8" s="11">
        <f t="shared" si="21"/>
        <v>712.76143856833482</v>
      </c>
      <c r="CI8" s="11">
        <f t="shared" si="3"/>
        <v>7437.1599613803646</v>
      </c>
      <c r="CJ8" s="11">
        <f t="shared" si="22"/>
        <v>4298.3256628125782</v>
      </c>
      <c r="CK8" s="15">
        <f t="shared" si="23"/>
        <v>0.31208767911889806</v>
      </c>
      <c r="CL8" s="15">
        <f t="shared" si="24"/>
        <v>0.18037187409848285</v>
      </c>
      <c r="CM8" s="11">
        <f t="shared" si="25"/>
        <v>3973.3459936649879</v>
      </c>
      <c r="CO8" s="7" t="str">
        <f t="shared" si="26"/>
        <v>2030_3</v>
      </c>
      <c r="CP8" s="30">
        <f>CP7</f>
        <v>2030</v>
      </c>
      <c r="CQ8" s="5" t="s">
        <v>23</v>
      </c>
      <c r="CR8" s="16">
        <f>CR6+CR7</f>
        <v>915.44444990243744</v>
      </c>
      <c r="CS8" s="16">
        <f t="shared" ref="CS8" si="94">CS6+CS7</f>
        <v>1044.7473287807538</v>
      </c>
      <c r="CT8" s="16">
        <f t="shared" ref="CT8" si="95">CT6+CT7</f>
        <v>1209.1223346626052</v>
      </c>
      <c r="CU8" s="16">
        <f t="shared" ref="CU8" si="96">CU6+CU7</f>
        <v>1151.3810548769061</v>
      </c>
      <c r="CV8" s="16">
        <f t="shared" ref="CV8" si="97">CV6+CV7</f>
        <v>805.77150099676192</v>
      </c>
      <c r="CW8" s="16">
        <f t="shared" ref="CW8" si="98">CW6+CW7</f>
        <v>860.56542738591429</v>
      </c>
      <c r="CX8" s="16">
        <f t="shared" ref="CX8" si="99">CX6+CX7</f>
        <v>1078.2294956945721</v>
      </c>
      <c r="CY8" s="16">
        <f t="shared" ref="CY8" si="100">CY6+CY7</f>
        <v>1237.2003735885319</v>
      </c>
      <c r="CZ8" s="16">
        <f t="shared" ref="CZ8" si="101">CZ6+CZ7</f>
        <v>1339.14694029885</v>
      </c>
      <c r="DA8" s="16">
        <f t="shared" ref="DA8" si="102">DA6+DA7</f>
        <v>1581.9586604774863</v>
      </c>
      <c r="DB8" s="16">
        <f t="shared" ref="DB8" si="103">DB6+DB7</f>
        <v>1722.0046947136166</v>
      </c>
      <c r="DC8" s="16">
        <f t="shared" ref="DC8" si="104">DC6+DC7</f>
        <v>1788.6701545502206</v>
      </c>
      <c r="DD8" s="16">
        <f t="shared" ref="DD8" si="105">DD6+DD7</f>
        <v>1679.1984478447064</v>
      </c>
      <c r="DE8" s="16">
        <f t="shared" ref="DE8" si="106">DE6+DE7</f>
        <v>1631.238590660817</v>
      </c>
      <c r="DF8" s="16">
        <f t="shared" ref="DF8" si="107">DF6+DF7</f>
        <v>1507.5957079069681</v>
      </c>
      <c r="DG8" s="16">
        <f t="shared" ref="DG8" si="108">DG6+DG7</f>
        <v>1448.8329182482835</v>
      </c>
      <c r="DH8" s="16">
        <f t="shared" ref="DH8" si="109">DH6+DH7</f>
        <v>1336.1117040531988</v>
      </c>
      <c r="DI8" s="16">
        <f t="shared" ref="DI8" si="110">DI6+DI7</f>
        <v>859.06165012128656</v>
      </c>
      <c r="DJ8" s="16">
        <f t="shared" ref="DJ8" si="111">DJ6+DJ7</f>
        <v>473.69254305420213</v>
      </c>
      <c r="DK8" s="16">
        <f t="shared" ref="DK8" si="112">DK6+DK7</f>
        <v>152.94625111236519</v>
      </c>
      <c r="DL8" s="16">
        <f t="shared" ref="DL8" si="113">DL6+DL7</f>
        <v>27.680596223242478</v>
      </c>
      <c r="DM8" s="11">
        <f t="shared" si="69"/>
        <v>23850.600825153724</v>
      </c>
      <c r="DN8" s="11">
        <f t="shared" si="34"/>
        <v>1352.3217980660156</v>
      </c>
      <c r="DO8" s="11">
        <f t="shared" si="35"/>
        <v>713.92514484042329</v>
      </c>
      <c r="DP8" s="11">
        <f t="shared" si="6"/>
        <v>7437.1599613803646</v>
      </c>
      <c r="DQ8" s="11">
        <f t="shared" si="36"/>
        <v>4298.3256628125782</v>
      </c>
      <c r="DR8" s="15">
        <f t="shared" si="37"/>
        <v>0.31182275096134521</v>
      </c>
      <c r="DS8" s="15">
        <f t="shared" si="38"/>
        <v>0.18021875819075406</v>
      </c>
      <c r="DT8" s="11">
        <f t="shared" si="70"/>
        <v>3981.7667976657804</v>
      </c>
      <c r="DV8" s="7" t="s">
        <v>402</v>
      </c>
      <c r="DW8" s="210">
        <f>(SUM(BK13:BW13)-SUM(D13:P13))/4</f>
        <v>-491.46444307674142</v>
      </c>
      <c r="DX8" s="30">
        <f>DX7</f>
        <v>2030</v>
      </c>
      <c r="DY8" s="5" t="s">
        <v>23</v>
      </c>
      <c r="DZ8" s="16">
        <f>DZ6+DZ7</f>
        <v>1266.146236093278</v>
      </c>
      <c r="EA8" s="16">
        <f t="shared" ref="EA8:ET8" si="114">EA6+EA7</f>
        <v>1042.6338530436433</v>
      </c>
      <c r="EB8" s="16">
        <f t="shared" si="114"/>
        <v>1207.1223346626052</v>
      </c>
      <c r="EC8" s="16">
        <f t="shared" si="114"/>
        <v>1149.5625235164639</v>
      </c>
      <c r="ED8" s="16">
        <f t="shared" si="114"/>
        <v>805.77150099676192</v>
      </c>
      <c r="EE8" s="16">
        <f t="shared" si="114"/>
        <v>1164.5654273859143</v>
      </c>
      <c r="EF8" s="16">
        <f t="shared" si="114"/>
        <v>1722.2105997547524</v>
      </c>
      <c r="EG8" s="16">
        <f t="shared" si="114"/>
        <v>1865.6480808076217</v>
      </c>
      <c r="EH8" s="16">
        <f t="shared" si="114"/>
        <v>1654.1164466603814</v>
      </c>
      <c r="EI8" s="16">
        <f t="shared" si="114"/>
        <v>1580.9389283826833</v>
      </c>
      <c r="EJ8" s="16">
        <f t="shared" si="114"/>
        <v>1722.0046947136166</v>
      </c>
      <c r="EK8" s="16">
        <f t="shared" si="114"/>
        <v>1788.6701545502206</v>
      </c>
      <c r="EL8" s="16">
        <f t="shared" si="114"/>
        <v>1679.1984478447064</v>
      </c>
      <c r="EM8" s="16">
        <f t="shared" si="114"/>
        <v>1631.238590660817</v>
      </c>
      <c r="EN8" s="16">
        <f t="shared" si="114"/>
        <v>1507.5957079069681</v>
      </c>
      <c r="EO8" s="16">
        <f t="shared" si="114"/>
        <v>1448.8329182482835</v>
      </c>
      <c r="EP8" s="16">
        <f t="shared" si="114"/>
        <v>1336.1117040531988</v>
      </c>
      <c r="EQ8" s="16">
        <f t="shared" si="114"/>
        <v>859.06165012128656</v>
      </c>
      <c r="ER8" s="16">
        <f t="shared" si="114"/>
        <v>473.69254305420213</v>
      </c>
      <c r="ES8" s="16">
        <f t="shared" si="114"/>
        <v>152.94625111236519</v>
      </c>
      <c r="ET8" s="16">
        <f t="shared" si="114"/>
        <v>27.680596223242478</v>
      </c>
      <c r="EU8" s="11">
        <f t="shared" si="71"/>
        <v>26085.749189793012</v>
      </c>
      <c r="EV8" s="11">
        <f t="shared" si="41"/>
        <v>1349.8537126237491</v>
      </c>
      <c r="EW8" s="11">
        <f t="shared" si="42"/>
        <v>712.76143856833482</v>
      </c>
      <c r="EX8" s="11">
        <f t="shared" si="10"/>
        <v>7437.1599613803646</v>
      </c>
      <c r="EY8" s="11">
        <f t="shared" si="43"/>
        <v>4298.3256628125782</v>
      </c>
      <c r="EZ8" s="15">
        <f t="shared" si="44"/>
        <v>0.28510432678277919</v>
      </c>
      <c r="FA8" s="15">
        <f t="shared" si="45"/>
        <v>0.16477677645135272</v>
      </c>
      <c r="FB8" s="11">
        <f t="shared" si="72"/>
        <v>5558.1956089450505</v>
      </c>
    </row>
    <row r="9" spans="1:158" x14ac:dyDescent="0.15">
      <c r="A9" s="7" t="str">
        <f t="shared" si="11"/>
        <v>2015_1</v>
      </c>
      <c r="B9" s="28">
        <v>2015</v>
      </c>
      <c r="C9" s="3" t="s">
        <v>21</v>
      </c>
      <c r="D9" s="9">
        <v>584.86934441680216</v>
      </c>
      <c r="E9" s="9">
        <v>645.54366522864075</v>
      </c>
      <c r="F9" s="9">
        <v>584.96112220398993</v>
      </c>
      <c r="G9" s="9">
        <v>614.90334570795574</v>
      </c>
      <c r="H9" s="9">
        <v>430.69842546022613</v>
      </c>
      <c r="I9" s="9">
        <v>485.32955925521094</v>
      </c>
      <c r="J9" s="9">
        <v>654.69237422226865</v>
      </c>
      <c r="K9" s="9">
        <v>787.75683431975585</v>
      </c>
      <c r="L9" s="9">
        <v>911.71330653238715</v>
      </c>
      <c r="M9" s="9">
        <v>760.19312757393243</v>
      </c>
      <c r="N9" s="9">
        <v>819.73218080336687</v>
      </c>
      <c r="O9" s="9">
        <v>715.01830919606982</v>
      </c>
      <c r="P9" s="9">
        <v>795.86608917910974</v>
      </c>
      <c r="Q9" s="9">
        <v>770.19430265188828</v>
      </c>
      <c r="R9" s="9">
        <v>638.17795424683879</v>
      </c>
      <c r="S9" s="9">
        <v>529.13262777990576</v>
      </c>
      <c r="T9" s="9">
        <v>463.54167245407729</v>
      </c>
      <c r="U9" s="9">
        <v>249.62207338586498</v>
      </c>
      <c r="V9" s="9">
        <v>63.933976308748107</v>
      </c>
      <c r="W9" s="9">
        <v>11.119709072960925</v>
      </c>
      <c r="X9" s="9">
        <v>0</v>
      </c>
      <c r="Y9" s="9">
        <f t="shared" si="68"/>
        <v>11516.999999999998</v>
      </c>
      <c r="Z9" s="9">
        <f t="shared" si="12"/>
        <v>738.30287245957845</v>
      </c>
      <c r="AA9" s="9">
        <f t="shared" si="13"/>
        <v>356.96511802318713</v>
      </c>
      <c r="AB9" s="9">
        <f t="shared" si="0"/>
        <v>2725.7223159002842</v>
      </c>
      <c r="AC9" s="9">
        <f t="shared" si="14"/>
        <v>1317.3500590015569</v>
      </c>
      <c r="AD9" s="13">
        <f t="shared" si="15"/>
        <v>0.2366694725970552</v>
      </c>
      <c r="AE9" s="13">
        <f t="shared" si="16"/>
        <v>0.11438309099605427</v>
      </c>
      <c r="AF9" s="9">
        <f t="shared" si="17"/>
        <v>2358.4771932574613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436.49448502733946</v>
      </c>
      <c r="BL9" s="9">
        <f>IF(管理者入力シート!$B$14=1,BK6*管理者用人口入力シート!AM$3,IF(管理者入力シート!$B$14=2,BK6*管理者用人口入力シート!AM$7))</f>
        <v>484.81131339884871</v>
      </c>
      <c r="BM9" s="9">
        <f>IF(管理者入力シート!$B$14=1,BL6*管理者用人口入力シート!AN$3,IF(管理者入力シート!$B$14=2,BL6*管理者用人口入力シート!AN$7))</f>
        <v>524.71448810009792</v>
      </c>
      <c r="BN9" s="9">
        <f>IF(管理者入力シート!$B$14=1,BM6*管理者用人口入力シート!AO$3,IF(管理者入力シート!$B$14=2,BM6*管理者用人口入力シート!AO$7))</f>
        <v>523.41977106584864</v>
      </c>
      <c r="BO9" s="9">
        <f>IF(管理者入力シート!$B$14=1,BN6*管理者用人口入力シート!AP$3,IF(管理者入力シート!$B$14=2,BN6*管理者用人口入力シート!AP$7))</f>
        <v>370.15178182443441</v>
      </c>
      <c r="BP9" s="9">
        <f>IF(管理者入力シート!$B$14=1,BO6*管理者用人口入力シート!AQ$3,IF(管理者入力シート!$B$14=2,BO6*管理者用人口入力シート!AQ$7))</f>
        <v>438.05717330332675</v>
      </c>
      <c r="BQ9" s="9">
        <f>IF(管理者入力シート!$B$14=1,BP6*管理者用人口入力シート!AR$3,IF(管理者入力シート!$B$14=2,BP6*管理者用人口入力シート!AR$7))</f>
        <v>458.63866067140464</v>
      </c>
      <c r="BR9" s="9">
        <f>IF(管理者入力シート!$B$14=1,BQ6*管理者用人口入力シート!AS$3,IF(管理者入力シート!$B$14=2,BQ6*管理者用人口入力シート!AS$7))</f>
        <v>553.59672609776442</v>
      </c>
      <c r="BS9" s="9">
        <f>IF(管理者入力シート!$B$14=1,BR6*管理者用人口入力シート!AT$3,IF(管理者入力シート!$B$14=2,BR6*管理者用人口入力シート!AT$7))</f>
        <v>650.3702438889901</v>
      </c>
      <c r="BT9" s="9">
        <f>IF(管理者入力シート!$B$14=1,BS6*管理者用人口入力シート!AU$3,IF(管理者入力シート!$B$14=2,BS6*管理者用人口入力シート!AU$7))</f>
        <v>607.12981250808741</v>
      </c>
      <c r="BU9" s="9">
        <f>IF(管理者入力シート!$B$14=1,BT6*管理者用人口入力シート!AV$3,IF(管理者入力シート!$B$14=2,BT6*管理者用人口入力シート!AV$7))</f>
        <v>701.4766167236503</v>
      </c>
      <c r="BV9" s="9">
        <f>IF(管理者入力シート!$B$14=1,BU6*管理者用人口入力シート!AW$3,IF(管理者入力シート!$B$14=2,BU6*管理者用人口入力シート!AW$7))</f>
        <v>797.90944569452768</v>
      </c>
      <c r="BW9" s="9">
        <f>IF(管理者入力シート!$B$14=1,BV6*管理者用人口入力シート!AX$3,IF(管理者入力シート!$B$14=2,BV6*管理者用人口入力シート!AX$7))</f>
        <v>852.14984303612266</v>
      </c>
      <c r="BX9" s="9">
        <f>IF(管理者入力シート!$B$14=1,BW6*管理者用人口入力シート!AY$3,IF(管理者入力シート!$B$14=2,BW6*管理者用人口入力シート!AY$7))</f>
        <v>713.31812500427714</v>
      </c>
      <c r="BY9" s="9">
        <f>IF(管理者入力シート!$B$14=1,BX6*管理者用人口入力シート!AZ$3,IF(管理者入力シート!$B$14=2,BX6*管理者用人口入力シート!AZ$7))</f>
        <v>742.52841856887187</v>
      </c>
      <c r="BZ9" s="9">
        <f>IF(管理者入力シート!$B$14=1,BY6*管理者用人口入力シート!BA$3,IF(管理者入力シート!$B$14=2,BY6*管理者用人口入力シート!BA$7))</f>
        <v>604.89429277224554</v>
      </c>
      <c r="CA9" s="9">
        <f>IF(管理者入力シート!$B$14=1,BZ6*管理者用人口入力シート!BB$3,IF(管理者入力シート!$B$14=2,BZ6*管理者用人口入力シート!BB$7))</f>
        <v>516.50216572383306</v>
      </c>
      <c r="CB9" s="9">
        <f>IF(管理者入力シート!$B$14=1,CA6*管理者用人口入力シート!BC$3,IF(管理者入力シート!$B$14=2,CA6*管理者用人口入力シート!BC$7))</f>
        <v>382.15311067717545</v>
      </c>
      <c r="CC9" s="9">
        <f>IF(管理者入力シート!$B$14=1,CB6*管理者用人口入力シート!BD$3,IF(管理者入力シート!$B$14=2,CB6*管理者用人口入力シート!BD$7))</f>
        <v>140.06406849157113</v>
      </c>
      <c r="CD9" s="9">
        <f>IF(管理者入力シート!$B$14=1,CC6*管理者用人口入力シート!BE$3,IF(管理者入力シート!$B$14=2,CC6*管理者用人口入力シート!BE$7))</f>
        <v>23.736374727101783</v>
      </c>
      <c r="CE9" s="9">
        <f>IF(管理者入力シート!$B$14=1,CD6*管理者用人口入力シート!BF$3,IF(管理者入力シート!$B$14=2,CD6*管理者用人口入力シート!BF$7))</f>
        <v>0.52428601390428697</v>
      </c>
      <c r="CF9" s="9">
        <f t="shared" si="2"/>
        <v>10522.641203319425</v>
      </c>
      <c r="CG9" s="9">
        <f t="shared" si="20"/>
        <v>605.715480899368</v>
      </c>
      <c r="CH9" s="9">
        <f t="shared" si="21"/>
        <v>314.56974945320889</v>
      </c>
      <c r="CI9" s="9">
        <f t="shared" si="3"/>
        <v>3123.7208419789804</v>
      </c>
      <c r="CJ9" s="9">
        <f t="shared" si="22"/>
        <v>1667.874298405831</v>
      </c>
      <c r="CK9" s="13">
        <f t="shared" si="23"/>
        <v>0.29685710855498765</v>
      </c>
      <c r="CL9" s="13">
        <f t="shared" si="24"/>
        <v>0.15850338961283703</v>
      </c>
      <c r="CM9" s="9">
        <f t="shared" si="25"/>
        <v>1820.4443418969304</v>
      </c>
      <c r="CO9" s="7" t="str">
        <f t="shared" si="26"/>
        <v>2035_1</v>
      </c>
      <c r="CP9" s="28">
        <f>管理者入力シート!B10</f>
        <v>2035</v>
      </c>
      <c r="CQ9" s="3" t="s">
        <v>21</v>
      </c>
      <c r="CR9" s="9">
        <f>DT10*$AK$13+将来予測シート②!$G17</f>
        <v>439.08716184062365</v>
      </c>
      <c r="CS9" s="9">
        <f>IF(管理者入力シート!$B$14=1,CR6*管理者用人口入力シート!AM$3,IF(管理者入力シート!$B$14=2,CR6*管理者用人口入力シート!AM$7))+将来予測シート②!$G18</f>
        <v>486.88073720646167</v>
      </c>
      <c r="CT9" s="9">
        <f>IF(管理者入力シート!$B$14=1,CS6*管理者用人口入力シート!AN$3,IF(管理者入力シート!$B$14=2,CS6*管理者用人口入力シート!AN$7))+将来予測シート②!$G19</f>
        <v>526.78704514912897</v>
      </c>
      <c r="CU9" s="9">
        <f>IF(管理者入力シート!$B$14=1,CT6*管理者用人口入力シート!AO$3,IF(管理者入力シート!$B$14=2,CT6*管理者用人口入力シート!AO$7))+将来予測シート②!$G20</f>
        <v>524.29505273811913</v>
      </c>
      <c r="CV9" s="9">
        <f>IF(管理者入力シート!$B$14=1,CU6*管理者用人口入力シート!AP$3,IF(管理者入力シート!$B$14=2,CU6*管理者用人口入力シート!AP$7))+将来予測シート②!$G21</f>
        <v>370.73273028646776</v>
      </c>
      <c r="CW9" s="9">
        <f>IF(管理者入力シート!$B$14=1,CV6*管理者用人口入力シート!AQ$3,IF(管理者入力シート!$B$14=2,CV6*管理者用人口入力シート!AQ$7))+将来予測シート②!$G22</f>
        <v>440.05717330332675</v>
      </c>
      <c r="CX9" s="9">
        <f>IF(管理者入力シート!$B$14=1,CW6*管理者用人口入力シート!AR$3,IF(管理者入力シート!$B$14=2,CW6*管理者用人口入力シート!AR$7))+将来予測シート②!$G23</f>
        <v>460.87645136913989</v>
      </c>
      <c r="CY9" s="9">
        <f>IF(管理者入力シート!$B$14=1,CX6*管理者用人口入力シート!AS$3,IF(管理者入力シート!$B$14=2,CX6*管理者用人口入力シート!AS$7))+将来予測シート②!$G24</f>
        <v>555.90831877199116</v>
      </c>
      <c r="CZ9" s="9">
        <f>IF(管理者入力シート!$B$14=1,CY6*管理者用人口入力シート!AT$3,IF(管理者入力シート!$B$14=2,CY6*管理者用人口入力シート!AT$7))+将来予測シート②!$G25</f>
        <v>650.3702438889901</v>
      </c>
      <c r="DA9" s="9">
        <f>IF(管理者入力シート!$B$14=1,CZ6*管理者用人口入力シート!AU$3,IF(管理者入力シート!$B$14=2,CZ6*管理者用人口入力シート!AU$7))+将来予測シート②!$G26</f>
        <v>607.12981250808741</v>
      </c>
      <c r="DB9" s="9">
        <f>IF(管理者入力シート!$B$14=1,DA6*管理者用人口入力シート!AV$3,IF(管理者入力シート!$B$14=2,DA6*管理者用人口入力シート!AV$7))+将来予測シート②!$G27</f>
        <v>701.4766167236503</v>
      </c>
      <c r="DC9" s="9">
        <f>IF(管理者入力シート!$B$14=1,DB6*管理者用人口入力シート!AW$3,IF(管理者入力シート!$B$14=2,DB6*管理者用人口入力シート!AW$7))+将来予測シート②!$G28</f>
        <v>797.90944569452768</v>
      </c>
      <c r="DD9" s="9">
        <f>IF(管理者入力シート!$B$14=1,DC6*管理者用人口入力シート!AX$3,IF(管理者入力シート!$B$14=2,DC6*管理者用人口入力シート!AX$7))+将来予測シート②!$G29</f>
        <v>852.14984303612266</v>
      </c>
      <c r="DE9" s="9">
        <f>IF(管理者入力シート!$B$14=1,DD6*管理者用人口入力シート!AY$3,IF(管理者入力シート!$B$14=2,DD6*管理者用人口入力シート!AY$7))</f>
        <v>713.31812500427714</v>
      </c>
      <c r="DF9" s="9">
        <f>IF(管理者入力シート!$B$14=1,DE6*管理者用人口入力シート!AZ$3,IF(管理者入力シート!$B$14=2,DE6*管理者用人口入力シート!AZ$7))</f>
        <v>742.52841856887187</v>
      </c>
      <c r="DG9" s="9">
        <f>IF(管理者入力シート!$B$14=1,DF6*管理者用人口入力シート!BA$3,IF(管理者入力シート!$B$14=2,DF6*管理者用人口入力シート!BA$7))</f>
        <v>604.89429277224554</v>
      </c>
      <c r="DH9" s="9">
        <f>IF(管理者入力シート!$B$14=1,DG6*管理者用人口入力シート!BB$3,IF(管理者入力シート!$B$14=2,DG6*管理者用人口入力シート!BB$7))</f>
        <v>516.50216572383306</v>
      </c>
      <c r="DI9" s="9">
        <f>IF(管理者入力シート!$B$14=1,DH6*管理者用人口入力シート!BC$3,IF(管理者入力シート!$B$14=2,DH6*管理者用人口入力シート!BC$7))</f>
        <v>382.15311067717545</v>
      </c>
      <c r="DJ9" s="9">
        <f>IF(管理者入力シート!$B$14=1,DI6*管理者用人口入力シート!BD$3,IF(管理者入力シート!$B$14=2,DI6*管理者用人口入力シート!BD$7))</f>
        <v>140.06406849157113</v>
      </c>
      <c r="DK9" s="9">
        <f>IF(管理者入力シート!$B$14=1,DJ6*管理者用人口入力シート!BE$3,IF(管理者入力シート!$B$14=2,DJ6*管理者用人口入力シート!BE$7))</f>
        <v>23.736374727101783</v>
      </c>
      <c r="DL9" s="9">
        <f>IF(管理者入力シート!$B$14=1,DK6*管理者用人口入力シート!BF$3,IF(管理者入力シート!$B$14=2,DK6*管理者用人口入力シート!BF$7))</f>
        <v>0.52428601390428697</v>
      </c>
      <c r="DM9" s="9">
        <f t="shared" si="69"/>
        <v>10537.381474495618</v>
      </c>
      <c r="DN9" s="9">
        <f t="shared" si="34"/>
        <v>608.20066941335449</v>
      </c>
      <c r="DO9" s="9">
        <f t="shared" si="35"/>
        <v>315.5738286072754</v>
      </c>
      <c r="DP9" s="9">
        <f t="shared" si="6"/>
        <v>3123.7208419789804</v>
      </c>
      <c r="DQ9" s="9">
        <f t="shared" si="36"/>
        <v>1667.874298405831</v>
      </c>
      <c r="DR9" s="13">
        <f t="shared" si="37"/>
        <v>0.29644184843640203</v>
      </c>
      <c r="DS9" s="13">
        <f t="shared" si="38"/>
        <v>0.15828166631745344</v>
      </c>
      <c r="DT9" s="9">
        <f t="shared" si="70"/>
        <v>1827.5746737309255</v>
      </c>
      <c r="DV9" s="7" t="s">
        <v>403</v>
      </c>
      <c r="DW9" s="210">
        <f>DW7+DW8</f>
        <v>-921.20010715732701</v>
      </c>
      <c r="DX9" s="28">
        <f>管理者入力シート!B10</f>
        <v>2035</v>
      </c>
      <c r="DY9" s="3" t="s">
        <v>21</v>
      </c>
      <c r="DZ9" s="9">
        <f>FB10*$AK$13</f>
        <v>651.404244893792</v>
      </c>
      <c r="EA9" s="129">
        <f>IF(管理者入力シート!$B$14=1,DZ6*管理者用人口入力シート!AM$3,IF(管理者入力シート!$B$14=2,DZ6*管理者用人口入力シート!AM$7))</f>
        <v>673.38955284051019</v>
      </c>
      <c r="EB9" s="9">
        <f>IF(管理者入力シート!$B$14=1,EA6*管理者用人口入力シート!AN$3,IF(管理者入力シート!$B$14=2,EA6*管理者用人口入力シート!AN$7))</f>
        <v>524.71448810009792</v>
      </c>
      <c r="EC9" s="9">
        <f>IF(管理者入力シート!$B$14=1,EB6*管理者用人口入力シート!AO$3,IF(管理者入力シート!$B$14=2,EB6*管理者用人口入力シート!AO$7))</f>
        <v>523.41977106584864</v>
      </c>
      <c r="ED9" s="9">
        <f>IF(管理者入力シート!$B$14=1,EC6*管理者用人口入力シート!AP$3,IF(管理者入力シート!$B$14=2,EC6*管理者用人口入力シート!AP$7))</f>
        <v>370.15178182443441</v>
      </c>
      <c r="EE9" s="9">
        <f>IF(管理者入力シート!$B$14=1,ED6*管理者用人口入力シート!AQ$3,IF(管理者入力シート!$B$14=2,ED6*管理者用人口入力シート!AQ$7))+DX1</f>
        <v>592.05717330332675</v>
      </c>
      <c r="EF9" s="9">
        <f>IF(管理者入力シート!$B$14=1,EE6*管理者用人口入力シート!AR$3,IF(管理者入力シート!$B$14=2,EE6*管理者用人口入力シート!AR$7))+DX1</f>
        <v>784.94854439701589</v>
      </c>
      <c r="EG9" s="9">
        <f>IF(管理者入力シート!$B$14=1,EF6*管理者用人口入力シート!AS$3,IF(管理者入力シート!$B$14=2,EF6*管理者用人口入力シート!AS$7))+DX1</f>
        <v>1044.6682571892561</v>
      </c>
      <c r="EH9" s="9">
        <f>IF(管理者入力シート!$B$14=1,EG6*管理者用人口入力シート!AT$3,IF(管理者入力シート!$B$14=2,EG6*管理者用人口入力シート!AT$7))</f>
        <v>976.18312529119248</v>
      </c>
      <c r="EI9" s="9">
        <f>IF(管理者入力シート!$B$14=1,EH6*管理者用人口入力シート!AU$3,IF(管理者入力シート!$B$14=2,EH6*管理者用人口入力シート!AU$7))</f>
        <v>764.8772137241275</v>
      </c>
      <c r="EJ9" s="9">
        <f>IF(管理者入力シート!$B$14=1,EI6*管理者用人口入力シート!AV$3,IF(管理者入力シート!$B$14=2,EI6*管理者用人口入力シート!AV$7))</f>
        <v>701.4766167236503</v>
      </c>
      <c r="EK9" s="9">
        <f>IF(管理者入力シート!$B$14=1,EJ6*管理者用人口入力シート!AW$3,IF(管理者入力シート!$B$14=2,EJ6*管理者用人口入力シート!AW$7))</f>
        <v>797.90944569452768</v>
      </c>
      <c r="EL9" s="9">
        <f>IF(管理者入力シート!$B$14=1,EK6*管理者用人口入力シート!AX$3,IF(管理者入力シート!$B$14=2,EK6*管理者用人口入力シート!AX$7))</f>
        <v>852.14984303612266</v>
      </c>
      <c r="EM9" s="9">
        <f>IF(管理者入力シート!$B$14=1,EL6*管理者用人口入力シート!AY$3,IF(管理者入力シート!$B$14=2,EL6*管理者用人口入力シート!AY$7))</f>
        <v>713.31812500427714</v>
      </c>
      <c r="EN9" s="9">
        <f>IF(管理者入力シート!$B$14=1,EM6*管理者用人口入力シート!AZ$3,IF(管理者入力シート!$B$14=2,EM6*管理者用人口入力シート!AZ$7))</f>
        <v>742.52841856887187</v>
      </c>
      <c r="EO9" s="9">
        <f>IF(管理者入力シート!$B$14=1,EN6*管理者用人口入力シート!BA$3,IF(管理者入力シート!$B$14=2,EN6*管理者用人口入力シート!BA$7))</f>
        <v>604.89429277224554</v>
      </c>
      <c r="EP9" s="9">
        <f>IF(管理者入力シート!$B$14=1,EO6*管理者用人口入力シート!BB$3,IF(管理者入力シート!$B$14=2,EO6*管理者用人口入力シート!BB$7))</f>
        <v>516.50216572383306</v>
      </c>
      <c r="EQ9" s="9">
        <f>IF(管理者入力シート!$B$14=1,EP6*管理者用人口入力シート!BC$3,IF(管理者入力シート!$B$14=2,EP6*管理者用人口入力シート!BC$7))</f>
        <v>382.15311067717545</v>
      </c>
      <c r="ER9" s="9">
        <f>IF(管理者入力シート!$B$14=1,EQ6*管理者用人口入力シート!BD$3,IF(管理者入力シート!$B$14=2,EQ6*管理者用人口入力シート!BD$7))</f>
        <v>140.06406849157113</v>
      </c>
      <c r="ES9" s="9">
        <f>IF(管理者入力シート!$B$14=1,ER6*管理者用人口入力シート!BE$3,IF(管理者入力シート!$B$14=2,ER6*管理者用人口入力シート!BE$7))</f>
        <v>23.736374727101783</v>
      </c>
      <c r="ET9" s="9">
        <f>IF(管理者入力シート!$B$14=1,ES6*管理者用人口入力シート!BF$3,IF(管理者入力シート!$B$14=2,ES6*管理者用人口入力シート!BF$7))</f>
        <v>0.52428601390428697</v>
      </c>
      <c r="EU9" s="9">
        <f t="shared" si="71"/>
        <v>12381.070900062881</v>
      </c>
      <c r="EV9" s="9">
        <f t="shared" si="41"/>
        <v>718.86242456436491</v>
      </c>
      <c r="EW9" s="9">
        <f t="shared" si="42"/>
        <v>314.56974945320889</v>
      </c>
      <c r="EX9" s="9">
        <f t="shared" si="10"/>
        <v>3123.7208419789804</v>
      </c>
      <c r="EY9" s="9">
        <f t="shared" si="43"/>
        <v>1667.874298405831</v>
      </c>
      <c r="EZ9" s="13">
        <f t="shared" si="44"/>
        <v>0.25229811437095606</v>
      </c>
      <c r="FA9" s="13">
        <f t="shared" si="45"/>
        <v>0.13471163454829746</v>
      </c>
      <c r="FB9" s="9">
        <f t="shared" si="72"/>
        <v>2791.8257567140331</v>
      </c>
    </row>
    <row r="10" spans="1:158" x14ac:dyDescent="0.15">
      <c r="A10" s="7" t="str">
        <f t="shared" si="11"/>
        <v>2015_2</v>
      </c>
      <c r="B10" s="29">
        <v>2015</v>
      </c>
      <c r="C10" s="4" t="s">
        <v>22</v>
      </c>
      <c r="D10" s="10">
        <v>584.92640550347824</v>
      </c>
      <c r="E10" s="10">
        <v>621.68375456242211</v>
      </c>
      <c r="F10" s="10">
        <v>610.04468793054173</v>
      </c>
      <c r="G10" s="10">
        <v>634.51758700093671</v>
      </c>
      <c r="H10" s="10">
        <v>499.42713906064057</v>
      </c>
      <c r="I10" s="10">
        <v>608.66844331213133</v>
      </c>
      <c r="J10" s="10">
        <v>797.44299779210633</v>
      </c>
      <c r="K10" s="10">
        <v>869.07630860864981</v>
      </c>
      <c r="L10" s="10">
        <v>953.71724687472158</v>
      </c>
      <c r="M10" s="10">
        <v>928.56717034683561</v>
      </c>
      <c r="N10" s="10">
        <v>873.92617397904223</v>
      </c>
      <c r="O10" s="10">
        <v>862.8948841842298</v>
      </c>
      <c r="P10" s="10">
        <v>895.87458770392459</v>
      </c>
      <c r="Q10" s="10">
        <v>975.25056813743993</v>
      </c>
      <c r="R10" s="10">
        <v>785.05605343571415</v>
      </c>
      <c r="S10" s="10">
        <v>698.14606849547283</v>
      </c>
      <c r="T10" s="10">
        <v>626.4409184973747</v>
      </c>
      <c r="U10" s="10">
        <v>436.9718144655734</v>
      </c>
      <c r="V10" s="10">
        <v>208.79810217343075</v>
      </c>
      <c r="W10" s="10">
        <v>51.454292930352516</v>
      </c>
      <c r="X10" s="10">
        <v>13.114795004981229</v>
      </c>
      <c r="Y10" s="10">
        <f t="shared" si="68"/>
        <v>13536.000000000002</v>
      </c>
      <c r="Z10" s="10">
        <f t="shared" si="12"/>
        <v>739.03706549577828</v>
      </c>
      <c r="AA10" s="10">
        <f t="shared" si="13"/>
        <v>370.92139257240405</v>
      </c>
      <c r="AB10" s="10">
        <f t="shared" si="0"/>
        <v>3795.2326131403397</v>
      </c>
      <c r="AC10" s="10">
        <f t="shared" si="14"/>
        <v>2034.9259915671855</v>
      </c>
      <c r="AD10" s="14">
        <f t="shared" si="15"/>
        <v>0.28038065995422129</v>
      </c>
      <c r="AE10" s="14">
        <f t="shared" si="16"/>
        <v>0.1503343669893015</v>
      </c>
      <c r="AF10" s="10">
        <f t="shared" si="17"/>
        <v>2774.614888773528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443.93851689000951</v>
      </c>
      <c r="BL10" s="10">
        <f>IF(管理者入力シート!$B$14=1,BK7*管理者用人口入力シート!AM$4,IF(管理者入力シート!$B$14=2,BK7*管理者用人口入力シート!AM$8))</f>
        <v>478.35626456584026</v>
      </c>
      <c r="BM10" s="10">
        <f>IF(管理者入力シート!$B$14=1,BL7*管理者用人口入力シート!AN$4,IF(管理者入力シート!$B$14=2,BL7*管理者用人口入力シート!AN$8))</f>
        <v>534.4710757701481</v>
      </c>
      <c r="BN10" s="10">
        <f>IF(管理者入力シート!$B$14=1,BM7*管理者用人口入力シート!AO$4,IF(管理者入力シート!$B$14=2,BM7*管理者用人口入力シート!AO$8))</f>
        <v>574.55301782133586</v>
      </c>
      <c r="BO10" s="10">
        <f>IF(管理者入力シート!$B$14=1,BN7*管理者用人口入力シート!AP$4,IF(管理者入力シート!$B$14=2,BN7*管理者用人口入力シート!AP$8))</f>
        <v>439.41834293379361</v>
      </c>
      <c r="BP10" s="10">
        <f>IF(管理者入力シート!$B$14=1,BO7*管理者用人口入力シート!AQ$4,IF(管理者入力シート!$B$14=2,BO7*管理者用人口入力シート!AQ$8))</f>
        <v>474.66746166354591</v>
      </c>
      <c r="BQ10" s="10">
        <f>IF(管理者入力シート!$B$14=1,BP7*管理者用人口入力シート!AR$4,IF(管理者入力シート!$B$14=2,BP7*管理者用人口入力シート!AR$8))</f>
        <v>487.53491245467779</v>
      </c>
      <c r="BR10" s="10">
        <f>IF(管理者入力シート!$B$14=1,BQ7*管理者用人口入力シート!AS$4,IF(管理者入力シート!$B$14=2,BQ7*管理者用人口入力シート!AS$8))</f>
        <v>563.62415624201185</v>
      </c>
      <c r="BS10" s="10">
        <f>IF(管理者入力シート!$B$14=1,BR7*管理者用人口入力シート!AT$4,IF(管理者入力シート!$B$14=2,BR7*管理者用人口入力シート!AT$8))</f>
        <v>619.03068864758313</v>
      </c>
      <c r="BT10" s="10">
        <f>IF(管理者入力シート!$B$14=1,BS7*管理者用人口入力シート!AU$4,IF(管理者入力シート!$B$14=2,BS7*管理者用人口入力シート!AU$8))</f>
        <v>735.56591257423918</v>
      </c>
      <c r="BU10" s="10">
        <f>IF(管理者入力シート!$B$14=1,BT7*管理者用人口入力シート!AV$4,IF(管理者入力シート!$B$14=2,BT7*管理者用人口入力シート!AV$8))</f>
        <v>845.34392877763412</v>
      </c>
      <c r="BV10" s="10">
        <f>IF(管理者入力シート!$B$14=1,BU7*管理者用人口入力シート!AW$4,IF(管理者入力シート!$B$14=2,BU7*管理者用人口入力シート!AW$8))</f>
        <v>893.56344096265263</v>
      </c>
      <c r="BW10" s="10">
        <f>IF(管理者入力シート!$B$14=1,BV7*管理者用人口入力シート!AX$4,IF(管理者入力シート!$B$14=2,BV7*管理者用人口入力シート!AX$8))</f>
        <v>940.74563050995994</v>
      </c>
      <c r="BX10" s="10">
        <f>IF(管理者入力シート!$B$14=1,BW7*管理者用人口入力シート!AY$4,IF(管理者入力シート!$B$14=2,BW7*管理者用人口入力シート!AY$8))</f>
        <v>913.40548052208112</v>
      </c>
      <c r="BY10" s="10">
        <f>IF(管理者入力シート!$B$14=1,BX7*管理者用人口入力シート!AZ$4,IF(管理者入力シート!$B$14=2,BX7*管理者用人口入力シート!AZ$8))</f>
        <v>824.09797145579353</v>
      </c>
      <c r="BZ10" s="10">
        <f>IF(管理者入力シート!$B$14=1,BY7*管理者用人口入力シート!BA$4,IF(管理者入力シート!$B$14=2,BY7*管理者用人口入力シート!BA$8))</f>
        <v>770.66389793733651</v>
      </c>
      <c r="CA10" s="10">
        <f>IF(管理者入力シート!$B$14=1,BZ7*管理者用人口入力シート!BB$4,IF(管理者入力シート!$B$14=2,BZ7*管理者用人口入力シート!BB$8))</f>
        <v>743.54268911775591</v>
      </c>
      <c r="CB10" s="10">
        <f>IF(管理者入力シート!$B$14=1,CA7*管理者用人口入力シート!BC$4,IF(管理者入力シート!$B$14=2,CA7*管理者用人口入力シート!BC$8))</f>
        <v>644.50164744624135</v>
      </c>
      <c r="CC10" s="10">
        <f>IF(管理者入力シート!$B$14=1,CB7*管理者用人口入力シート!BD$4,IF(管理者入力シート!$B$14=2,CB7*管理者用人口入力シート!BD$8))</f>
        <v>352.02170934910754</v>
      </c>
      <c r="CD10" s="10">
        <f>IF(管理者入力シート!$B$14=1,CC7*管理者用人口入力シート!BE$4,IF(管理者入力シート!$B$14=2,CC7*管理者用人口入力シート!BE$8))</f>
        <v>127.38560455612875</v>
      </c>
      <c r="CE10" s="10">
        <f>IF(管理者入力シート!$B$14=1,CD7*管理者用人口入力シート!BF$4,IF(管理者入力シート!$B$14=2,CD7*管理者用人口入力シート!BF$8))</f>
        <v>31.510083102532541</v>
      </c>
      <c r="CF10" s="10">
        <f t="shared" si="2"/>
        <v>12437.942433300408</v>
      </c>
      <c r="CG10" s="10">
        <f t="shared" si="20"/>
        <v>607.69640420159294</v>
      </c>
      <c r="CH10" s="10">
        <f t="shared" si="21"/>
        <v>328.69903387232642</v>
      </c>
      <c r="CI10" s="10">
        <f t="shared" si="3"/>
        <v>4407.1290834869778</v>
      </c>
      <c r="CJ10" s="10">
        <f t="shared" si="22"/>
        <v>2669.6256315091023</v>
      </c>
      <c r="CK10" s="14">
        <f t="shared" si="23"/>
        <v>0.35432943247008952</v>
      </c>
      <c r="CL10" s="14">
        <f t="shared" si="24"/>
        <v>0.21463563172327024</v>
      </c>
      <c r="CM10" s="10">
        <f t="shared" si="25"/>
        <v>1965.2448732940293</v>
      </c>
      <c r="CO10" s="7" t="str">
        <f t="shared" si="26"/>
        <v>2035_2</v>
      </c>
      <c r="CP10" s="29">
        <f>CP9</f>
        <v>2035</v>
      </c>
      <c r="CQ10" s="4" t="s">
        <v>22</v>
      </c>
      <c r="CR10" s="10">
        <f>DT10*$AK$14+将来予測シート②!$H17</f>
        <v>446.55835541404076</v>
      </c>
      <c r="CS10" s="10">
        <f>IF(管理者入力シート!$B$14=1,CR7*管理者用人口入力シート!AM$4,IF(管理者入力シート!$B$14=2,CR7*管理者用人口入力シート!AM$8))+将来予測シート②!$H18</f>
        <v>480.38038630509749</v>
      </c>
      <c r="CT10" s="10">
        <f>IF(管理者入力シート!$B$14=1,CS7*管理者用人口入力シート!AN$4,IF(管理者入力シート!$B$14=2,CS7*管理者用人口入力シート!AN$8))+将来予測シート②!$H19</f>
        <v>536.54525682116832</v>
      </c>
      <c r="CU10" s="10">
        <f>IF(管理者入力シート!$B$14=1,CT7*管理者用人口入力シート!AO$4,IF(管理者入力シート!$B$14=2,CT7*管理者用人口入力シート!AO$8))+将来予測シート②!$H20</f>
        <v>575.49626750950767</v>
      </c>
      <c r="CV10" s="10">
        <f>IF(管理者入力シート!$B$14=1,CU7*管理者用人口入力シート!AP$4,IF(管理者入力シート!$B$14=2,CU7*管理者用人口入力シート!AP$8))+将来予測シート②!$H21</f>
        <v>440.11862668509355</v>
      </c>
      <c r="CW10" s="10">
        <f>IF(管理者入力シート!$B$14=1,CV7*管理者用人口入力シート!AQ$4,IF(管理者入力シート!$B$14=2,CV7*管理者用人口入力シート!AQ$8))+将来予測シート②!$H22</f>
        <v>476.66746166354591</v>
      </c>
      <c r="CX10" s="10">
        <f>IF(管理者入力シート!$B$14=1,CW7*管理者用人口入力シート!AR$4,IF(管理者入力シート!$B$14=2,CW7*管理者用人口入力シート!AR$8))+将来予測シート②!$H23</f>
        <v>489.71792575773446</v>
      </c>
      <c r="CY10" s="10">
        <f>IF(管理者入力シート!$B$14=1,CX7*管理者用人口入力シート!AS$4,IF(管理者入力シート!$B$14=2,CX7*管理者用人口入力シート!AS$8))+将来予測シート②!$H24</f>
        <v>565.91162548479406</v>
      </c>
      <c r="CZ10" s="10">
        <f>IF(管理者入力シート!$B$14=1,CY7*管理者用人口入力シート!AT$4,IF(管理者入力シート!$B$14=2,CY7*管理者用人口入力シート!AT$8))+将来予測シート②!$H25</f>
        <v>620.03068864758313</v>
      </c>
      <c r="DA10" s="10">
        <f>IF(管理者入力シート!$B$14=1,CZ7*管理者用人口入力シート!AU$4,IF(管理者入力シート!$B$14=2,CZ7*管理者用人口入力シート!AU$8))+将来予測シート②!$H26</f>
        <v>736.58564466904215</v>
      </c>
      <c r="DB10" s="10">
        <f>IF(管理者入力シート!$B$14=1,DA7*管理者用人口入力シート!AV$4,IF(管理者入力シート!$B$14=2,DA7*管理者用人口入力シート!AV$8))+将来予測シート②!$H27</f>
        <v>846.33993609671256</v>
      </c>
      <c r="DC10" s="10">
        <f>IF(管理者入力シート!$B$14=1,DB7*管理者用人口入力シート!AW$4,IF(管理者入力シート!$B$14=2,DB7*管理者用人口入力シート!AW$8))+将来予測シート②!$H28</f>
        <v>893.56344096265263</v>
      </c>
      <c r="DD10" s="10">
        <f>IF(管理者入力シート!$B$14=1,DC7*管理者用人口入力シート!AX$4,IF(管理者入力シート!$B$14=2,DC7*管理者用人口入力シート!AX$8))+将来予測シート②!$H29</f>
        <v>940.74563050995994</v>
      </c>
      <c r="DE10" s="10">
        <f>IF(管理者入力シート!$B$14=1,DD7*管理者用人口入力シート!AY$4,IF(管理者入力シート!$B$14=2,DD7*管理者用人口入力シート!AY$8))</f>
        <v>913.40548052208112</v>
      </c>
      <c r="DF10" s="10">
        <f>IF(管理者入力シート!$B$14=1,DE7*管理者用人口入力シート!AZ$4,IF(管理者入力シート!$B$14=2,DE7*管理者用人口入力シート!AZ$8))</f>
        <v>824.09797145579353</v>
      </c>
      <c r="DG10" s="10">
        <f>IF(管理者入力シート!$B$14=1,DF7*管理者用人口入力シート!BA$4,IF(管理者入力シート!$B$14=2,DF7*管理者用人口入力シート!BA$8))</f>
        <v>770.66389793733651</v>
      </c>
      <c r="DH10" s="10">
        <f>IF(管理者入力シート!$B$14=1,DG7*管理者用人口入力シート!BB$4,IF(管理者入力シート!$B$14=2,DG7*管理者用人口入力シート!BB$8))</f>
        <v>743.54268911775591</v>
      </c>
      <c r="DI10" s="10">
        <f>IF(管理者入力シート!$B$14=1,DH7*管理者用人口入力シート!BC$4,IF(管理者入力シート!$B$14=2,DH7*管理者用人口入力シート!BC$8))</f>
        <v>644.50164744624135</v>
      </c>
      <c r="DJ10" s="10">
        <f>IF(管理者入力シート!$B$14=1,DI7*管理者用人口入力シート!BD$4,IF(管理者入力シート!$B$14=2,DI7*管理者用人口入力シート!BD$8))</f>
        <v>352.02170934910754</v>
      </c>
      <c r="DK10" s="10">
        <f>IF(管理者入力シート!$B$14=1,DJ7*管理者用人口入力シート!BE$4,IF(管理者入力シート!$B$14=2,DJ7*管理者用人口入力シート!BE$8))</f>
        <v>127.38560455612875</v>
      </c>
      <c r="DL10" s="10">
        <f>IF(管理者入力シート!$B$14=1,DK7*管理者用人口入力シート!BF$4,IF(管理者入力シート!$B$14=2,DK7*管理者用人口入力シート!BF$8))</f>
        <v>31.510083102532541</v>
      </c>
      <c r="DM10" s="10">
        <f t="shared" si="69"/>
        <v>12455.79033001391</v>
      </c>
      <c r="DN10" s="10">
        <f t="shared" si="34"/>
        <v>610.15538587575952</v>
      </c>
      <c r="DO10" s="10">
        <f t="shared" si="35"/>
        <v>329.71735623036886</v>
      </c>
      <c r="DP10" s="10">
        <f t="shared" si="6"/>
        <v>4407.1290834869778</v>
      </c>
      <c r="DQ10" s="10">
        <f t="shared" si="36"/>
        <v>2669.6256315091023</v>
      </c>
      <c r="DR10" s="14">
        <f t="shared" si="37"/>
        <v>0.35382171397566037</v>
      </c>
      <c r="DS10" s="14">
        <f t="shared" si="38"/>
        <v>0.21432808041704737</v>
      </c>
      <c r="DT10" s="10">
        <f t="shared" si="70"/>
        <v>1972.415639591168</v>
      </c>
      <c r="DV10" s="62" t="s">
        <v>405</v>
      </c>
      <c r="DW10" s="210">
        <f>((SUM(BL12:BL13)*3/5+SUM(BM12:BM13)+SUM(BN12:BN13)*1/5)-(SUM(E12:E13)*3/5+SUM(F12:F13)+SUM(G12:G13)*1/5))/4</f>
        <v>-122.77097266415205</v>
      </c>
      <c r="DX10" s="29">
        <f>DX9</f>
        <v>2035</v>
      </c>
      <c r="DY10" s="4" t="s">
        <v>22</v>
      </c>
      <c r="DZ10" s="10">
        <f>FB10*$AK$14</f>
        <v>662.51337483884538</v>
      </c>
      <c r="EA10" s="10">
        <f>IF(管理者入力シート!$B$14=1,DZ7*管理者用人口入力シート!AM$4,IF(管理者入力シート!$B$14=2,DZ7*管理者用人口入力シート!AM$8))</f>
        <v>664.42366791354846</v>
      </c>
      <c r="EB10" s="10">
        <f>IF(管理者入力シート!$B$14=1,EA7*管理者用人口入力シート!AN$4,IF(管理者入力シート!$B$14=2,EA7*管理者用人口入力シート!AN$8))</f>
        <v>534.4710757701481</v>
      </c>
      <c r="EC10" s="10">
        <f>IF(管理者入力シート!$B$14=1,EB7*管理者用人口入力シート!AO$4,IF(管理者入力シート!$B$14=2,EB7*管理者用人口入力シート!AO$8))</f>
        <v>574.55301782133586</v>
      </c>
      <c r="ED10" s="10">
        <f>IF(管理者入力シート!$B$14=1,EC7*管理者用人口入力シート!AP$4,IF(管理者入力シート!$B$14=2,EC7*管理者用人口入力シート!AP$8))</f>
        <v>439.41834293379361</v>
      </c>
      <c r="EE10" s="10">
        <f>IF(管理者入力シート!$B$14=1,ED7*管理者用人口入力シート!AQ$4,IF(管理者入力シート!$B$14=2,ED7*管理者用人口入力シート!AQ$8))+DX1</f>
        <v>628.66746166354596</v>
      </c>
      <c r="EF10" s="10">
        <f>IF(管理者入力シート!$B$14=1,EE7*管理者用人口入力シート!AR$4,IF(管理者入力シート!$B$14=2,EE7*管理者用人口入力シート!AR$8))+DX1</f>
        <v>809.62693679003894</v>
      </c>
      <c r="EG10" s="10">
        <f>IF(管理者入力シート!$B$14=1,EF7*管理者用人口入力シート!AS$4,IF(管理者入力シート!$B$14=2,EF7*管理者用人口入力シート!AS$8))+DX1</f>
        <v>1055.12809997929</v>
      </c>
      <c r="EH10" s="10">
        <f>IF(管理者入力シート!$B$14=1,EG7*管理者用人口入力シート!AT$4,IF(管理者入力シート!$B$14=2,EG7*管理者用人口入力シート!AT$8))</f>
        <v>937.89272478784881</v>
      </c>
      <c r="EI10" s="10">
        <f>IF(管理者入力シート!$B$14=1,EH7*管理者用人口入力シート!AU$4,IF(管理者入力シート!$B$14=2,EH7*管理者用人口入力シート!AU$8))</f>
        <v>894.34411544674595</v>
      </c>
      <c r="EJ10" s="10">
        <f>IF(管理者入力シート!$B$14=1,EI7*管理者用人口入力シート!AV$4,IF(管理者入力シート!$B$14=2,EI7*管理者用人口入力シート!AV$8))</f>
        <v>845.34392877763412</v>
      </c>
      <c r="EK10" s="10">
        <f>IF(管理者入力シート!$B$14=1,EJ7*管理者用人口入力シート!AW$4,IF(管理者入力シート!$B$14=2,EJ7*管理者用人口入力シート!AW$8))</f>
        <v>893.56344096265263</v>
      </c>
      <c r="EL10" s="10">
        <f>IF(管理者入力シート!$B$14=1,EK7*管理者用人口入力シート!AX$4,IF(管理者入力シート!$B$14=2,EK7*管理者用人口入力シート!AX$8))</f>
        <v>940.74563050995994</v>
      </c>
      <c r="EM10" s="10">
        <f>IF(管理者入力シート!$B$14=1,EL7*管理者用人口入力シート!AY$4,IF(管理者入力シート!$B$14=2,EL7*管理者用人口入力シート!AY$8))</f>
        <v>913.40548052208112</v>
      </c>
      <c r="EN10" s="10">
        <f>IF(管理者入力シート!$B$14=1,EM7*管理者用人口入力シート!AZ$4,IF(管理者入力シート!$B$14=2,EM7*管理者用人口入力シート!AZ$8))</f>
        <v>824.09797145579353</v>
      </c>
      <c r="EO10" s="10">
        <f>IF(管理者入力シート!$B$14=1,EN7*管理者用人口入力シート!BA$4,IF(管理者入力シート!$B$14=2,EN7*管理者用人口入力シート!BA$8))</f>
        <v>770.66389793733651</v>
      </c>
      <c r="EP10" s="10">
        <f>IF(管理者入力シート!$B$14=1,EO7*管理者用人口入力シート!BB$4,IF(管理者入力シート!$B$14=2,EO7*管理者用人口入力シート!BB$8))</f>
        <v>743.54268911775591</v>
      </c>
      <c r="EQ10" s="10">
        <f>IF(管理者入力シート!$B$14=1,EP7*管理者用人口入力シート!BC$4,IF(管理者入力シート!$B$14=2,EP7*管理者用人口入力シート!BC$8))</f>
        <v>644.50164744624135</v>
      </c>
      <c r="ER10" s="10">
        <f>IF(管理者入力シート!$B$14=1,EQ7*管理者用人口入力シート!BD$4,IF(管理者入力シート!$B$14=2,EQ7*管理者用人口入力シート!BD$8))</f>
        <v>352.02170934910754</v>
      </c>
      <c r="ES10" s="10">
        <f>IF(管理者入力シート!$B$14=1,ER7*管理者用人口入力シート!BE$4,IF(管理者入力シート!$B$14=2,ER7*管理者用人口入力シート!BE$8))</f>
        <v>127.38560455612875</v>
      </c>
      <c r="ET10" s="10">
        <f>IF(管理者入力シート!$B$14=1,ES7*管理者用人口入力シート!BF$4,IF(管理者入力シート!$B$14=2,ES7*管理者用人口入力シート!BF$8))</f>
        <v>31.510083102532541</v>
      </c>
      <c r="EU10" s="10">
        <f t="shared" si="71"/>
        <v>14287.820901682364</v>
      </c>
      <c r="EV10" s="10">
        <f t="shared" si="41"/>
        <v>719.33684621021791</v>
      </c>
      <c r="EW10" s="10">
        <f t="shared" si="42"/>
        <v>328.69903387232642</v>
      </c>
      <c r="EX10" s="10">
        <f t="shared" si="10"/>
        <v>4407.1290834869778</v>
      </c>
      <c r="EY10" s="10">
        <f t="shared" si="43"/>
        <v>2669.6256315091023</v>
      </c>
      <c r="EZ10" s="14">
        <f t="shared" si="44"/>
        <v>0.30845355032187216</v>
      </c>
      <c r="FA10" s="14">
        <f t="shared" si="45"/>
        <v>0.1868462412763558</v>
      </c>
      <c r="FB10" s="10">
        <f t="shared" si="72"/>
        <v>2932.8408413666684</v>
      </c>
    </row>
    <row r="11" spans="1:158" x14ac:dyDescent="0.15">
      <c r="A11" s="7" t="str">
        <f t="shared" si="11"/>
        <v>2015_3</v>
      </c>
      <c r="B11" s="30">
        <v>2015</v>
      </c>
      <c r="C11" s="5" t="s">
        <v>23</v>
      </c>
      <c r="D11" s="11">
        <v>1169.7957499202803</v>
      </c>
      <c r="E11" s="11">
        <v>1267.2274197910629</v>
      </c>
      <c r="F11" s="11">
        <v>1195.0058101345317</v>
      </c>
      <c r="G11" s="11">
        <v>1249.4209327088925</v>
      </c>
      <c r="H11" s="11">
        <v>930.12556452086665</v>
      </c>
      <c r="I11" s="11">
        <v>1093.9980025673422</v>
      </c>
      <c r="J11" s="11">
        <v>1452.135372014375</v>
      </c>
      <c r="K11" s="11">
        <v>1656.8331429284058</v>
      </c>
      <c r="L11" s="11">
        <v>1865.4305534071086</v>
      </c>
      <c r="M11" s="11">
        <v>1688.7602979207682</v>
      </c>
      <c r="N11" s="11">
        <v>1693.6583547824091</v>
      </c>
      <c r="O11" s="11">
        <v>1577.9131933802996</v>
      </c>
      <c r="P11" s="11">
        <v>1691.7406768830342</v>
      </c>
      <c r="Q11" s="11">
        <v>1745.4448707893282</v>
      </c>
      <c r="R11" s="11">
        <v>1423.2340076825531</v>
      </c>
      <c r="S11" s="11">
        <v>1227.2786962753785</v>
      </c>
      <c r="T11" s="11">
        <v>1089.982590951452</v>
      </c>
      <c r="U11" s="11">
        <v>686.59388785143835</v>
      </c>
      <c r="V11" s="11">
        <v>272.73207848217885</v>
      </c>
      <c r="W11" s="11">
        <v>62.574002003313439</v>
      </c>
      <c r="X11" s="11">
        <v>13.114795004981229</v>
      </c>
      <c r="Y11" s="11">
        <f t="shared" si="68"/>
        <v>25052.999999999996</v>
      </c>
      <c r="Z11" s="11">
        <f t="shared" si="12"/>
        <v>1477.3399379553566</v>
      </c>
      <c r="AA11" s="11">
        <f t="shared" si="13"/>
        <v>727.88651059559118</v>
      </c>
      <c r="AB11" s="11">
        <f t="shared" si="0"/>
        <v>6520.9549290406221</v>
      </c>
      <c r="AC11" s="11">
        <f t="shared" si="14"/>
        <v>3352.2760505687424</v>
      </c>
      <c r="AD11" s="15">
        <f t="shared" si="15"/>
        <v>0.26028639001479353</v>
      </c>
      <c r="AE11" s="15">
        <f t="shared" si="16"/>
        <v>0.13380737039750701</v>
      </c>
      <c r="AF11" s="11">
        <f t="shared" si="17"/>
        <v>5133.0920820309893</v>
      </c>
      <c r="BH11" s="7" t="str">
        <f t="shared" si="19"/>
        <v>2035_3</v>
      </c>
      <c r="BI11" s="30">
        <f>BI10</f>
        <v>2035</v>
      </c>
      <c r="BJ11" s="5" t="s">
        <v>23</v>
      </c>
      <c r="BK11" s="16">
        <f>BK9+BK10</f>
        <v>880.43300191734897</v>
      </c>
      <c r="BL11" s="16">
        <f t="shared" ref="BL11" si="117">BL9+BL10</f>
        <v>963.16757796468892</v>
      </c>
      <c r="BM11" s="16">
        <f t="shared" ref="BM11" si="118">BM9+BM10</f>
        <v>1059.1855638702459</v>
      </c>
      <c r="BN11" s="16">
        <f t="shared" ref="BN11" si="119">BN9+BN10</f>
        <v>1097.9727888871844</v>
      </c>
      <c r="BO11" s="16">
        <f t="shared" ref="BO11" si="120">BO9+BO10</f>
        <v>809.57012475822808</v>
      </c>
      <c r="BP11" s="16">
        <f t="shared" ref="BP11" si="121">BP9+BP10</f>
        <v>912.7246349668726</v>
      </c>
      <c r="BQ11" s="16">
        <f t="shared" ref="BQ11" si="122">BQ9+BQ10</f>
        <v>946.17357312608237</v>
      </c>
      <c r="BR11" s="16">
        <f t="shared" ref="BR11" si="123">BR9+BR10</f>
        <v>1117.2208823397764</v>
      </c>
      <c r="BS11" s="16">
        <f t="shared" ref="BS11" si="124">BS9+BS10</f>
        <v>1269.4009325365732</v>
      </c>
      <c r="BT11" s="16">
        <f t="shared" ref="BT11" si="125">BT9+BT10</f>
        <v>1342.6957250823266</v>
      </c>
      <c r="BU11" s="16">
        <f t="shared" ref="BU11" si="126">BU9+BU10</f>
        <v>1546.8205455012844</v>
      </c>
      <c r="BV11" s="16">
        <f t="shared" ref="BV11" si="127">BV9+BV10</f>
        <v>1691.4728866571804</v>
      </c>
      <c r="BW11" s="16">
        <f t="shared" ref="BW11" si="128">BW9+BW10</f>
        <v>1792.8954735460825</v>
      </c>
      <c r="BX11" s="16">
        <f t="shared" ref="BX11" si="129">BX9+BX10</f>
        <v>1626.7236055263584</v>
      </c>
      <c r="BY11" s="16">
        <f t="shared" ref="BY11" si="130">BY9+BY10</f>
        <v>1566.6263900246654</v>
      </c>
      <c r="BZ11" s="16">
        <f t="shared" ref="BZ11" si="131">BZ9+BZ10</f>
        <v>1375.558190709582</v>
      </c>
      <c r="CA11" s="16">
        <f t="shared" ref="CA11" si="132">CA9+CA10</f>
        <v>1260.0448548415889</v>
      </c>
      <c r="CB11" s="16">
        <f t="shared" ref="CB11" si="133">CB9+CB10</f>
        <v>1026.6547581234167</v>
      </c>
      <c r="CC11" s="16">
        <f t="shared" ref="CC11" si="134">CC9+CC10</f>
        <v>492.0857778406787</v>
      </c>
      <c r="CD11" s="16">
        <f t="shared" ref="CD11" si="135">CD9+CD10</f>
        <v>151.12197928323053</v>
      </c>
      <c r="CE11" s="16">
        <f t="shared" ref="CE11" si="136">CE9+CE10</f>
        <v>32.034369116436828</v>
      </c>
      <c r="CF11" s="11">
        <f t="shared" si="2"/>
        <v>22960.583636619835</v>
      </c>
      <c r="CG11" s="11">
        <f t="shared" si="20"/>
        <v>1213.4118851009609</v>
      </c>
      <c r="CH11" s="11">
        <f t="shared" si="21"/>
        <v>643.2687833255352</v>
      </c>
      <c r="CI11" s="11">
        <f t="shared" si="3"/>
        <v>7530.8499254659573</v>
      </c>
      <c r="CJ11" s="11">
        <f t="shared" si="22"/>
        <v>4337.499929914934</v>
      </c>
      <c r="CK11" s="15">
        <f t="shared" si="23"/>
        <v>0.32799035271276838</v>
      </c>
      <c r="CL11" s="15">
        <f t="shared" si="24"/>
        <v>0.18891070011813879</v>
      </c>
      <c r="CM11" s="11">
        <f t="shared" si="25"/>
        <v>3785.6892151909592</v>
      </c>
      <c r="CO11" s="7" t="str">
        <f t="shared" si="26"/>
        <v>2035_3</v>
      </c>
      <c r="CP11" s="30">
        <f>CP10</f>
        <v>2035</v>
      </c>
      <c r="CQ11" s="5" t="s">
        <v>23</v>
      </c>
      <c r="CR11" s="16">
        <f>CR9+CR10</f>
        <v>885.64551725466436</v>
      </c>
      <c r="CS11" s="16">
        <f t="shared" ref="CS11" si="137">CS9+CS10</f>
        <v>967.26112351155916</v>
      </c>
      <c r="CT11" s="16">
        <f t="shared" ref="CT11" si="138">CT9+CT10</f>
        <v>1063.3323019702973</v>
      </c>
      <c r="CU11" s="16">
        <f t="shared" ref="CU11" si="139">CU9+CU10</f>
        <v>1099.7913202476268</v>
      </c>
      <c r="CV11" s="16">
        <f t="shared" ref="CV11" si="140">CV9+CV10</f>
        <v>810.85135697156124</v>
      </c>
      <c r="CW11" s="16">
        <f t="shared" ref="CW11" si="141">CW9+CW10</f>
        <v>916.7246349668726</v>
      </c>
      <c r="CX11" s="16">
        <f t="shared" ref="CX11" si="142">CX9+CX10</f>
        <v>950.59437712687441</v>
      </c>
      <c r="CY11" s="16">
        <f t="shared" ref="CY11" si="143">CY9+CY10</f>
        <v>1121.8199442567852</v>
      </c>
      <c r="CZ11" s="16">
        <f t="shared" ref="CZ11" si="144">CZ9+CZ10</f>
        <v>1270.4009325365732</v>
      </c>
      <c r="DA11" s="16">
        <f t="shared" ref="DA11" si="145">DA9+DA10</f>
        <v>1343.7154571771296</v>
      </c>
      <c r="DB11" s="16">
        <f t="shared" ref="DB11" si="146">DB9+DB10</f>
        <v>1547.8165528203629</v>
      </c>
      <c r="DC11" s="16">
        <f t="shared" ref="DC11" si="147">DC9+DC10</f>
        <v>1691.4728866571804</v>
      </c>
      <c r="DD11" s="16">
        <f t="shared" ref="DD11" si="148">DD9+DD10</f>
        <v>1792.8954735460825</v>
      </c>
      <c r="DE11" s="16">
        <f t="shared" ref="DE11" si="149">DE9+DE10</f>
        <v>1626.7236055263584</v>
      </c>
      <c r="DF11" s="16">
        <f t="shared" ref="DF11" si="150">DF9+DF10</f>
        <v>1566.6263900246654</v>
      </c>
      <c r="DG11" s="16">
        <f t="shared" ref="DG11" si="151">DG9+DG10</f>
        <v>1375.558190709582</v>
      </c>
      <c r="DH11" s="16">
        <f t="shared" ref="DH11" si="152">DH9+DH10</f>
        <v>1260.0448548415889</v>
      </c>
      <c r="DI11" s="16">
        <f t="shared" ref="DI11" si="153">DI9+DI10</f>
        <v>1026.6547581234167</v>
      </c>
      <c r="DJ11" s="16">
        <f t="shared" ref="DJ11" si="154">DJ9+DJ10</f>
        <v>492.0857778406787</v>
      </c>
      <c r="DK11" s="16">
        <f t="shared" ref="DK11" si="155">DK9+DK10</f>
        <v>151.12197928323053</v>
      </c>
      <c r="DL11" s="16">
        <f t="shared" ref="DL11" si="156">DL9+DL10</f>
        <v>32.034369116436828</v>
      </c>
      <c r="DM11" s="11">
        <f t="shared" si="69"/>
        <v>22993.171804509526</v>
      </c>
      <c r="DN11" s="11">
        <f t="shared" si="34"/>
        <v>1218.356055289114</v>
      </c>
      <c r="DO11" s="11">
        <f t="shared" si="35"/>
        <v>645.29118483764432</v>
      </c>
      <c r="DP11" s="11">
        <f t="shared" si="6"/>
        <v>7530.8499254659573</v>
      </c>
      <c r="DQ11" s="11">
        <f t="shared" si="36"/>
        <v>4337.499929914934</v>
      </c>
      <c r="DR11" s="15">
        <f t="shared" si="37"/>
        <v>0.32752549276341997</v>
      </c>
      <c r="DS11" s="15">
        <f t="shared" si="38"/>
        <v>0.18864295743070314</v>
      </c>
      <c r="DT11" s="11">
        <f t="shared" si="70"/>
        <v>3799.9903133220937</v>
      </c>
      <c r="DW11" s="211"/>
      <c r="DX11" s="30">
        <f>DX10</f>
        <v>2035</v>
      </c>
      <c r="DY11" s="5" t="s">
        <v>23</v>
      </c>
      <c r="DZ11" s="16">
        <f>DZ9+DZ10</f>
        <v>1313.9176197326374</v>
      </c>
      <c r="EA11" s="16">
        <f t="shared" ref="EA11" si="157">EA9+EA10</f>
        <v>1337.8132207540586</v>
      </c>
      <c r="EB11" s="16">
        <f t="shared" ref="EB11" si="158">EB9+EB10</f>
        <v>1059.1855638702459</v>
      </c>
      <c r="EC11" s="16">
        <f t="shared" ref="EC11" si="159">EC9+EC10</f>
        <v>1097.9727888871844</v>
      </c>
      <c r="ED11" s="16">
        <f t="shared" ref="ED11" si="160">ED9+ED10</f>
        <v>809.57012475822808</v>
      </c>
      <c r="EE11" s="16">
        <f t="shared" ref="EE11" si="161">EE9+EE10</f>
        <v>1220.7246349668726</v>
      </c>
      <c r="EF11" s="16">
        <f t="shared" ref="EF11" si="162">EF9+EF10</f>
        <v>1594.5754811870547</v>
      </c>
      <c r="EG11" s="16">
        <f t="shared" ref="EG11" si="163">EG9+EG10</f>
        <v>2099.7963571685459</v>
      </c>
      <c r="EH11" s="16">
        <f t="shared" ref="EH11" si="164">EH9+EH10</f>
        <v>1914.0758500790412</v>
      </c>
      <c r="EI11" s="16">
        <f t="shared" ref="EI11" si="165">EI9+EI10</f>
        <v>1659.2213291708736</v>
      </c>
      <c r="EJ11" s="16">
        <f t="shared" ref="EJ11" si="166">EJ9+EJ10</f>
        <v>1546.8205455012844</v>
      </c>
      <c r="EK11" s="16">
        <f t="shared" ref="EK11" si="167">EK9+EK10</f>
        <v>1691.4728866571804</v>
      </c>
      <c r="EL11" s="16">
        <f t="shared" ref="EL11" si="168">EL9+EL10</f>
        <v>1792.8954735460825</v>
      </c>
      <c r="EM11" s="16">
        <f t="shared" ref="EM11" si="169">EM9+EM10</f>
        <v>1626.7236055263584</v>
      </c>
      <c r="EN11" s="16">
        <f t="shared" ref="EN11" si="170">EN9+EN10</f>
        <v>1566.6263900246654</v>
      </c>
      <c r="EO11" s="16">
        <f t="shared" ref="EO11" si="171">EO9+EO10</f>
        <v>1375.558190709582</v>
      </c>
      <c r="EP11" s="16">
        <f t="shared" ref="EP11" si="172">EP9+EP10</f>
        <v>1260.0448548415889</v>
      </c>
      <c r="EQ11" s="16">
        <f t="shared" ref="EQ11" si="173">EQ9+EQ10</f>
        <v>1026.6547581234167</v>
      </c>
      <c r="ER11" s="16">
        <f t="shared" ref="ER11" si="174">ER9+ER10</f>
        <v>492.0857778406787</v>
      </c>
      <c r="ES11" s="16">
        <f t="shared" ref="ES11" si="175">ES9+ES10</f>
        <v>151.12197928323053</v>
      </c>
      <c r="ET11" s="16">
        <f t="shared" ref="ET11" si="176">ET9+ET10</f>
        <v>32.034369116436828</v>
      </c>
      <c r="EU11" s="11">
        <f t="shared" si="71"/>
        <v>26668.891801745252</v>
      </c>
      <c r="EV11" s="11">
        <f t="shared" si="41"/>
        <v>1438.1992707745828</v>
      </c>
      <c r="EW11" s="11">
        <f t="shared" si="42"/>
        <v>643.2687833255352</v>
      </c>
      <c r="EX11" s="11">
        <f t="shared" si="10"/>
        <v>7530.8499254659573</v>
      </c>
      <c r="EY11" s="11">
        <f t="shared" si="43"/>
        <v>4337.499929914934</v>
      </c>
      <c r="EZ11" s="15">
        <f t="shared" si="44"/>
        <v>0.28238330941719625</v>
      </c>
      <c r="FA11" s="15">
        <f t="shared" si="45"/>
        <v>0.16264267604966928</v>
      </c>
      <c r="FB11" s="11">
        <f t="shared" si="72"/>
        <v>5724.6665980807011</v>
      </c>
    </row>
    <row r="12" spans="1:158" x14ac:dyDescent="0.15">
      <c r="A12" s="7" t="str">
        <f t="shared" si="11"/>
        <v>2020_1</v>
      </c>
      <c r="B12" s="28">
        <v>2020</v>
      </c>
      <c r="C12" s="3" t="s">
        <v>21</v>
      </c>
      <c r="D12" s="9">
        <v>557.5475181003319</v>
      </c>
      <c r="E12" s="9">
        <v>637.26768248504288</v>
      </c>
      <c r="F12" s="9">
        <v>633.13982697363235</v>
      </c>
      <c r="G12" s="9">
        <v>518.55862670480656</v>
      </c>
      <c r="H12" s="9">
        <v>402.17830776215749</v>
      </c>
      <c r="I12" s="9">
        <v>540.71060942571933</v>
      </c>
      <c r="J12" s="9">
        <v>573.78371933356107</v>
      </c>
      <c r="K12" s="9">
        <v>698.46277254931886</v>
      </c>
      <c r="L12" s="9">
        <v>846.36140853244092</v>
      </c>
      <c r="M12" s="9">
        <v>879.66668345247876</v>
      </c>
      <c r="N12" s="9">
        <v>763.28452318038967</v>
      </c>
      <c r="O12" s="9">
        <v>813.30133835330525</v>
      </c>
      <c r="P12" s="9">
        <v>751.94349289282798</v>
      </c>
      <c r="Q12" s="9">
        <v>757.96592049962828</v>
      </c>
      <c r="R12" s="9">
        <v>734.74440379590067</v>
      </c>
      <c r="S12" s="9">
        <v>548.26201282891395</v>
      </c>
      <c r="T12" s="9">
        <v>413.59522847778555</v>
      </c>
      <c r="U12" s="9">
        <v>347.10524469400127</v>
      </c>
      <c r="V12" s="9">
        <v>122.82966822646789</v>
      </c>
      <c r="W12" s="9">
        <v>12.204043130455506</v>
      </c>
      <c r="X12" s="9">
        <v>4.0869686008334796</v>
      </c>
      <c r="Y12" s="9">
        <f t="shared" ref="Y12:Y14" si="177">SUM(D12:X12)</f>
        <v>11557</v>
      </c>
      <c r="Z12" s="9">
        <f>E12*3/5+F12*3/5</f>
        <v>762.24450567520512</v>
      </c>
      <c r="AA12" s="9">
        <f>F12*2/5+G12*1/5</f>
        <v>356.96765613041424</v>
      </c>
      <c r="AB12" s="9">
        <f t="shared" ref="AB12:AB14" si="178">SUM(Q12:X12)</f>
        <v>2940.7934902539864</v>
      </c>
      <c r="AC12" s="9">
        <f>SUM(S12:X12)</f>
        <v>1448.0831659584576</v>
      </c>
      <c r="AD12" s="13">
        <f>AB12/Y12</f>
        <v>0.25445993685679558</v>
      </c>
      <c r="AE12" s="13">
        <f>AC12/Y12</f>
        <v>0.1252992269584198</v>
      </c>
      <c r="AF12" s="9">
        <f>SUM(H12:K12)</f>
        <v>2215.1354090707569</v>
      </c>
      <c r="AK12" s="61">
        <f>管理者入力シート!B5</f>
        <v>2020</v>
      </c>
      <c r="AL12" s="62"/>
      <c r="BH12" s="7" t="str">
        <f t="shared" si="19"/>
        <v>2040_1</v>
      </c>
      <c r="BI12" s="28">
        <f>管理者入力シート!B11</f>
        <v>2040</v>
      </c>
      <c r="BJ12" s="3" t="s">
        <v>21</v>
      </c>
      <c r="BK12" s="9">
        <f>CM13*$AK$13</f>
        <v>429.06221740808627</v>
      </c>
      <c r="BL12" s="9">
        <f>IF(管理者入力シート!$B$14=1,BK9*管理者用人口入力シート!AM$3,IF(管理者入力シート!$B$14=2,BK9*管理者用人口入力シート!AM$7))</f>
        <v>468.25111394437226</v>
      </c>
      <c r="BM12" s="9">
        <f>IF(管理者入力シート!$B$14=1,BL9*管理者用人口入力シート!AN$3,IF(管理者入力シート!$B$14=2,BL9*管理者用人口入力シート!AN$7))</f>
        <v>484.72239909631821</v>
      </c>
      <c r="BN12" s="9">
        <f>IF(管理者入力シート!$B$14=1,BM9*管理者用人口入力シート!AO$3,IF(管理者入力シート!$B$14=2,BM9*管理者用人口入力シート!AO$7))</f>
        <v>459.27297460880163</v>
      </c>
      <c r="BO12" s="9">
        <f>IF(管理者入力シート!$B$14=1,BN9*管理者用人口入力シート!AP$3,IF(管理者入力シート!$B$14=2,BN9*管理者用人口入力シート!AP$7))</f>
        <v>347.40806374908317</v>
      </c>
      <c r="BP12" s="9">
        <f>IF(管理者入力シート!$B$14=1,BO9*管理者用人口入力シート!AQ$3,IF(管理者入力シート!$B$14=2,BO9*管理者用人口入力シート!AQ$7))</f>
        <v>440.83229312711399</v>
      </c>
      <c r="BQ12" s="9">
        <f>IF(管理者入力シート!$B$14=1,BP9*管理者用人口入力シート!AR$3,IF(管理者入力シート!$B$14=2,BP9*管理者用人口入力シート!AR$7))</f>
        <v>490.14013374718297</v>
      </c>
      <c r="BR12" s="9">
        <f>IF(管理者入力シート!$B$14=1,BQ9*管理者用人口入力シート!AS$3,IF(管理者入力シート!$B$14=2,BQ9*管理者用人口入力シート!AS$7))</f>
        <v>473.76448977027337</v>
      </c>
      <c r="BS12" s="9">
        <f>IF(管理者入力シート!$B$14=1,BR9*管理者用人口入力シート!AT$3,IF(管理者入力シート!$B$14=2,BR9*管理者用人口入力シート!AT$7))</f>
        <v>576.11339264284811</v>
      </c>
      <c r="BT12" s="9">
        <f>IF(管理者入力シート!$B$14=1,BS9*管理者用人口入力シート!AU$3,IF(管理者入力シート!$B$14=2,BS9*管理者用人口入力シート!AU$7))</f>
        <v>640.15876660657602</v>
      </c>
      <c r="BU12" s="9">
        <f>IF(管理者入力シート!$B$14=1,BT9*管理者用人口入力シート!AV$3,IF(管理者入力シート!$B$14=2,BT9*管理者用人口入力シート!AV$7))</f>
        <v>595.26452541755691</v>
      </c>
      <c r="BV12" s="9">
        <f>IF(管理者入力シート!$B$14=1,BU9*管理者用人口入力シート!AW$3,IF(管理者入力シート!$B$14=2,BU9*管理者用人口入力シート!AW$7))</f>
        <v>685.26014734293142</v>
      </c>
      <c r="BW12" s="9">
        <f>IF(管理者入力シート!$B$14=1,BV9*管理者用人口入力シート!AX$3,IF(管理者入力シート!$B$14=2,BV9*管理者用人口入力シート!AX$7))</f>
        <v>807.01333596252607</v>
      </c>
      <c r="BX12" s="9">
        <f>IF(管理者入力シート!$B$14=1,BW9*管理者用人口入力シート!AY$3,IF(管理者入力シート!$B$14=2,BW9*管理者用人口入力シート!AY$7))</f>
        <v>806.01549225143344</v>
      </c>
      <c r="BY12" s="9">
        <f>IF(管理者入力シート!$B$14=1,BX9*管理者用人口入力シート!AZ$3,IF(管理者入力シート!$B$14=2,BX9*管理者用人口入力シート!AZ$7))</f>
        <v>680.75419464422464</v>
      </c>
      <c r="BZ12" s="9">
        <f>IF(管理者入力シート!$B$14=1,BY9*管理者用人口入力シート!BA$3,IF(管理者入力シート!$B$14=2,BY9*管理者用人口入力シート!BA$7))</f>
        <v>661.71788610328281</v>
      </c>
      <c r="CA12" s="9">
        <f>IF(管理者入力シート!$B$14=1,BZ9*管理者用人口入力シート!BB$3,IF(管理者入力シート!$B$14=2,BZ9*管理者用人口入力シート!BB$7))</f>
        <v>484.65767426104208</v>
      </c>
      <c r="CB12" s="9">
        <f>IF(管理者入力シート!$B$14=1,CA9*管理者用人口入力シート!BC$3,IF(管理者入力シート!$B$14=2,CA9*管理者用人口入力シート!BC$7))</f>
        <v>376.23384263039668</v>
      </c>
      <c r="CC12" s="9">
        <f>IF(管理者入力シート!$B$14=1,CB9*管理者用人口入力シート!BD$3,IF(管理者入力シート!$B$14=2,CB9*管理者用人口入力シート!BD$7))</f>
        <v>167.27639556926047</v>
      </c>
      <c r="CD12" s="9">
        <f>IF(管理者入力シート!$B$14=1,CC9*管理者用人口入力シート!BE$3,IF(管理者入力シート!$B$14=2,CC9*管理者用人口入力シート!BE$7))</f>
        <v>25.210568140354564</v>
      </c>
      <c r="CE12" s="9">
        <f>IF(管理者入力シート!$B$14=1,CD9*管理者用人口入力シート!BF$3,IF(管理者入力シート!$B$14=2,CD9*管理者用人口入力シート!BF$7))</f>
        <v>0.45505964923845921</v>
      </c>
      <c r="CF12" s="9">
        <f t="shared" si="2"/>
        <v>10099.584966672905</v>
      </c>
      <c r="CG12" s="9">
        <f t="shared" si="20"/>
        <v>571.78410782441426</v>
      </c>
      <c r="CH12" s="9">
        <f t="shared" si="21"/>
        <v>285.74355456028763</v>
      </c>
      <c r="CI12" s="9">
        <f t="shared" si="3"/>
        <v>3202.3211132492333</v>
      </c>
      <c r="CJ12" s="9">
        <f t="shared" si="22"/>
        <v>1715.5514263535752</v>
      </c>
      <c r="CK12" s="13">
        <f t="shared" si="23"/>
        <v>0.31707452571728506</v>
      </c>
      <c r="CL12" s="13">
        <f t="shared" si="24"/>
        <v>0.16986355696938379</v>
      </c>
      <c r="CM12" s="9">
        <f t="shared" si="25"/>
        <v>1752.1449803936534</v>
      </c>
      <c r="CO12" s="7" t="str">
        <f t="shared" si="26"/>
        <v>2040_1</v>
      </c>
      <c r="CP12" s="28">
        <f>管理者入力シート!B11</f>
        <v>2040</v>
      </c>
      <c r="CQ12" s="3" t="s">
        <v>21</v>
      </c>
      <c r="CR12" s="9">
        <f>DT13*$AK$13+将来予測シート②!$G17</f>
        <v>431.8234723298396</v>
      </c>
      <c r="CS12" s="9">
        <f>IF(管理者入力シート!$B$14=1,CR9*管理者用人口入力シート!AM$3,IF(管理者入力シート!$B$14=2,CR9*管理者用人口入力シート!AM$7))+将来予測シート②!$G18</f>
        <v>471.03241782692197</v>
      </c>
      <c r="CT12" s="9">
        <f>IF(管理者入力シート!$B$14=1,CS9*管理者用人口入力シート!AN$3,IF(管理者入力シート!$B$14=2,CS9*管理者用人口入力シート!AN$7))+将来予測シート②!$G19</f>
        <v>487.79144337199904</v>
      </c>
      <c r="CU12" s="9">
        <f>IF(管理者入力シート!$B$14=1,CT9*管理者用人口入力シート!AO$3,IF(管理者入力シート!$B$14=2,CT9*管理者用人口入力シート!AO$7))+将来予測シート②!$G20</f>
        <v>461.08704580855346</v>
      </c>
      <c r="CV12" s="9">
        <f>IF(管理者入力シート!$B$14=1,CU9*管理者用人口入力シート!AP$3,IF(管理者入力シート!$B$14=2,CU9*管理者用人口入力シート!AP$7))+将来予測シート②!$G21</f>
        <v>347.98901221111652</v>
      </c>
      <c r="CW12" s="9">
        <f>IF(管理者入力シート!$B$14=1,CV9*管理者用人口入力シート!AQ$3,IF(管理者入力シート!$B$14=2,CV9*管理者用人口入力シート!AQ$7))+将来予測シート②!$G22</f>
        <v>443.52417374280236</v>
      </c>
      <c r="CX12" s="9">
        <f>IF(管理者入力シート!$B$14=1,CW9*管理者用人口入力シート!AR$3,IF(管理者入力シート!$B$14=2,CW9*管理者用人口入力シート!AR$7))+将来予測シート②!$G23</f>
        <v>492.37792444491816</v>
      </c>
      <c r="CY12" s="9">
        <f>IF(管理者入力シート!$B$14=1,CX9*管理者用人口入力シート!AS$3,IF(管理者入力シート!$B$14=2,CX9*管理者用人口入力シート!AS$7))+将来予測シート②!$G24</f>
        <v>476.07608244450017</v>
      </c>
      <c r="CZ12" s="9">
        <f>IF(管理者入力シート!$B$14=1,CY9*管理者用人口入力シート!AT$3,IF(管理者入力シート!$B$14=2,CY9*管理者用人口入力シート!AT$7))+将来予測シート②!$G25</f>
        <v>578.51900567337373</v>
      </c>
      <c r="DA12" s="9">
        <f>IF(管理者入力シート!$B$14=1,CZ9*管理者用人口入力シート!AU$3,IF(管理者入力シート!$B$14=2,CZ9*管理者用人口入力シート!AU$7))+将来予測シート②!$G26</f>
        <v>640.15876660657602</v>
      </c>
      <c r="DB12" s="9">
        <f>IF(管理者入力シート!$B$14=1,DA9*管理者用人口入力シート!AV$3,IF(管理者入力シート!$B$14=2,DA9*管理者用人口入力シート!AV$7))+将来予測シート②!$G27</f>
        <v>595.26452541755691</v>
      </c>
      <c r="DC12" s="9">
        <f>IF(管理者入力シート!$B$14=1,DB9*管理者用人口入力シート!AW$3,IF(管理者入力シート!$B$14=2,DB9*管理者用人口入力シート!AW$7))+将来予測シート②!$G28</f>
        <v>685.26014734293142</v>
      </c>
      <c r="DD12" s="9">
        <f>IF(管理者入力シート!$B$14=1,DC9*管理者用人口入力シート!AX$3,IF(管理者入力シート!$B$14=2,DC9*管理者用人口入力シート!AX$7))+将来予測シート②!$G29</f>
        <v>807.01333596252607</v>
      </c>
      <c r="DE12" s="9">
        <f>IF(管理者入力シート!$B$14=1,DD9*管理者用人口入力シート!AY$3,IF(管理者入力シート!$B$14=2,DD9*管理者用人口入力シート!AY$7))</f>
        <v>806.01549225143344</v>
      </c>
      <c r="DF12" s="9">
        <f>IF(管理者入力シート!$B$14=1,DE9*管理者用人口入力シート!AZ$3,IF(管理者入力シート!$B$14=2,DE9*管理者用人口入力シート!AZ$7))</f>
        <v>680.75419464422464</v>
      </c>
      <c r="DG12" s="9">
        <f>IF(管理者入力シート!$B$14=1,DF9*管理者用人口入力シート!BA$3,IF(管理者入力シート!$B$14=2,DF9*管理者用人口入力シート!BA$7))</f>
        <v>661.71788610328281</v>
      </c>
      <c r="DH12" s="9">
        <f>IF(管理者入力シート!$B$14=1,DG9*管理者用人口入力シート!BB$3,IF(管理者入力シート!$B$14=2,DG9*管理者用人口入力シート!BB$7))</f>
        <v>484.65767426104208</v>
      </c>
      <c r="DI12" s="9">
        <f>IF(管理者入力シート!$B$14=1,DH9*管理者用人口入力シート!BC$3,IF(管理者入力シート!$B$14=2,DH9*管理者用人口入力シート!BC$7))</f>
        <v>376.23384263039668</v>
      </c>
      <c r="DJ12" s="9">
        <f>IF(管理者入力シート!$B$14=1,DI9*管理者用人口入力シート!BD$3,IF(管理者入力シート!$B$14=2,DI9*管理者用人口入力シート!BD$7))</f>
        <v>167.27639556926047</v>
      </c>
      <c r="DK12" s="9">
        <f>IF(管理者入力シート!$B$14=1,DJ9*管理者用人口入力シート!BE$3,IF(管理者入力シート!$B$14=2,DJ9*管理者用人口入力シート!BE$7))</f>
        <v>25.210568140354564</v>
      </c>
      <c r="DL12" s="9">
        <f>IF(管理者入力シート!$B$14=1,DK9*管理者用人口入力シート!BF$3,IF(管理者入力シート!$B$14=2,DK9*管理者用人口入力シート!BF$7))</f>
        <v>0.45505964923845921</v>
      </c>
      <c r="DM12" s="9">
        <f t="shared" si="69"/>
        <v>10120.238466432849</v>
      </c>
      <c r="DN12" s="9">
        <f t="shared" si="34"/>
        <v>575.29431671935254</v>
      </c>
      <c r="DO12" s="9">
        <f t="shared" si="35"/>
        <v>287.33398651051027</v>
      </c>
      <c r="DP12" s="9">
        <f t="shared" si="6"/>
        <v>3202.3211132492333</v>
      </c>
      <c r="DQ12" s="9">
        <f t="shared" si="36"/>
        <v>1715.5514263535752</v>
      </c>
      <c r="DR12" s="13">
        <f t="shared" si="37"/>
        <v>0.31642743635644566</v>
      </c>
      <c r="DS12" s="13">
        <f t="shared" si="38"/>
        <v>0.16951689745689041</v>
      </c>
      <c r="DT12" s="9">
        <f t="shared" si="70"/>
        <v>1759.9671928433372</v>
      </c>
      <c r="DV12" s="212"/>
      <c r="DX12" s="28">
        <f>管理者入力シート!B11</f>
        <v>2040</v>
      </c>
      <c r="DY12" s="3" t="s">
        <v>21</v>
      </c>
      <c r="DZ12" s="9">
        <f>FB13*$AK$13</f>
        <v>643.97197727453886</v>
      </c>
      <c r="EA12" s="129">
        <f>IF(管理者入力シート!$B$14=1,DZ9*管理者用人口入力シート!AM$3,IF(管理者入力シート!$B$14=2,DZ9*管理者用人口入力シート!AM$7))</f>
        <v>698.79637375144853</v>
      </c>
      <c r="EB12" s="9">
        <f>IF(管理者入力シート!$B$14=1,EA9*管理者用人口入力シート!AN$3,IF(管理者入力シート!$B$14=2,EA9*管理者用人口入力シート!AN$7))</f>
        <v>673.26605332478653</v>
      </c>
      <c r="EC12" s="9">
        <f>IF(管理者入力シート!$B$14=1,EB9*管理者用人口入力シート!AO$3,IF(管理者入力シート!$B$14=2,EB9*管理者用人口入力シート!AO$7))</f>
        <v>459.27297460880163</v>
      </c>
      <c r="ED12" s="9">
        <f>IF(管理者入力シート!$B$14=1,EC9*管理者用人口入力シート!AP$3,IF(管理者入力シート!$B$14=2,EC9*管理者用人口入力シート!AP$7))</f>
        <v>347.40806374908317</v>
      </c>
      <c r="EE12" s="9">
        <f>IF(管理者入力シート!$B$14=1,ED9*管理者用人口入力シート!AQ$3,IF(管理者入力シート!$B$14=2,ED9*管理者用人口入力シート!AQ$7))+DX1</f>
        <v>594.83229312711399</v>
      </c>
      <c r="EF12" s="9">
        <f>IF(管理者入力シート!$B$14=1,EE9*管理者用人口入力シート!AR$3,IF(管理者入力シート!$B$14=2,EE9*管理者用人口入力シート!AR$7))+DX1</f>
        <v>816.45001747279423</v>
      </c>
      <c r="EG12" s="9">
        <f>IF(管理者入力シート!$B$14=1,EF9*管理者用人口入力シート!AS$3,IF(管理者入力シート!$B$14=2,EF9*管理者用人口入力シート!AS$7))+DX1</f>
        <v>964.83602086176506</v>
      </c>
      <c r="EH12" s="9">
        <f>IF(管理者入力シート!$B$14=1,EG9*管理者用人口入力シート!AT$3,IF(管理者入力シート!$B$14=2,EG9*管理者用人口入力シート!AT$7))</f>
        <v>1087.1584773955262</v>
      </c>
      <c r="EI12" s="9">
        <f>IF(管理者入力シート!$B$14=1,EH9*管理者用人口入力シート!AU$3,IF(管理者入力シート!$B$14=2,EH9*管理者用人口入力シート!AU$7))</f>
        <v>960.85605290273236</v>
      </c>
      <c r="EJ12" s="9">
        <f>IF(管理者入力シート!$B$14=1,EI9*管理者用人口入力シート!AV$3,IF(管理者入力シート!$B$14=2,EI9*管理者用人口入力シート!AV$7))</f>
        <v>749.92903041494287</v>
      </c>
      <c r="EK12" s="9">
        <f>IF(管理者入力シート!$B$14=1,EJ9*管理者用人口入力シート!AW$3,IF(管理者入力シート!$B$14=2,EJ9*管理者用人口入力シート!AW$7))</f>
        <v>685.26014734293142</v>
      </c>
      <c r="EL12" s="9">
        <f>IF(管理者入力シート!$B$14=1,EK9*管理者用人口入力シート!AX$3,IF(管理者入力シート!$B$14=2,EK9*管理者用人口入力シート!AX$7))</f>
        <v>807.01333596252607</v>
      </c>
      <c r="EM12" s="9">
        <f>IF(管理者入力シート!$B$14=1,EL9*管理者用人口入力シート!AY$3,IF(管理者入力シート!$B$14=2,EL9*管理者用人口入力シート!AY$7))</f>
        <v>806.01549225143344</v>
      </c>
      <c r="EN12" s="9">
        <f>IF(管理者入力シート!$B$14=1,EM9*管理者用人口入力シート!AZ$3,IF(管理者入力シート!$B$14=2,EM9*管理者用人口入力シート!AZ$7))</f>
        <v>680.75419464422464</v>
      </c>
      <c r="EO12" s="9">
        <f>IF(管理者入力シート!$B$14=1,EN9*管理者用人口入力シート!BA$3,IF(管理者入力シート!$B$14=2,EN9*管理者用人口入力シート!BA$7))</f>
        <v>661.71788610328281</v>
      </c>
      <c r="EP12" s="9">
        <f>IF(管理者入力シート!$B$14=1,EO9*管理者用人口入力シート!BB$3,IF(管理者入力シート!$B$14=2,EO9*管理者用人口入力シート!BB$7))</f>
        <v>484.65767426104208</v>
      </c>
      <c r="EQ12" s="9">
        <f>IF(管理者入力シート!$B$14=1,EP9*管理者用人口入力シート!BC$3,IF(管理者入力シート!$B$14=2,EP9*管理者用人口入力シート!BC$7))</f>
        <v>376.23384263039668</v>
      </c>
      <c r="ER12" s="9">
        <f>IF(管理者入力シート!$B$14=1,EQ9*管理者用人口入力シート!BD$3,IF(管理者入力シート!$B$14=2,EQ9*管理者用人口入力シート!BD$7))</f>
        <v>167.27639556926047</v>
      </c>
      <c r="ES12" s="9">
        <f>IF(管理者入力シート!$B$14=1,ER9*管理者用人口入力シート!BE$3,IF(管理者入力シート!$B$14=2,ER9*管理者用人口入力シート!BE$7))</f>
        <v>25.210568140354564</v>
      </c>
      <c r="ET12" s="9">
        <f>IF(管理者入力シート!$B$14=1,ES9*管理者用人口入力シート!BF$3,IF(管理者入力シート!$B$14=2,ES9*管理者用人口入力シート!BF$7))</f>
        <v>0.45505964923845921</v>
      </c>
      <c r="EU12" s="9">
        <f t="shared" si="71"/>
        <v>12691.371931438227</v>
      </c>
      <c r="EV12" s="9">
        <f t="shared" si="41"/>
        <v>823.2374562457411</v>
      </c>
      <c r="EW12" s="9">
        <f t="shared" si="42"/>
        <v>361.16101625167494</v>
      </c>
      <c r="EX12" s="9">
        <f t="shared" si="10"/>
        <v>3202.3211132492333</v>
      </c>
      <c r="EY12" s="9">
        <f t="shared" si="43"/>
        <v>1715.5514263535752</v>
      </c>
      <c r="EZ12" s="13">
        <f t="shared" si="44"/>
        <v>0.25232269060814894</v>
      </c>
      <c r="FA12" s="13">
        <f t="shared" si="45"/>
        <v>0.13517462380122394</v>
      </c>
      <c r="FB12" s="9">
        <f t="shared" si="72"/>
        <v>2723.5263952107566</v>
      </c>
    </row>
    <row r="13" spans="1:158" x14ac:dyDescent="0.15">
      <c r="A13" s="7" t="str">
        <f t="shared" si="11"/>
        <v>2020_2</v>
      </c>
      <c r="B13" s="29">
        <v>2020</v>
      </c>
      <c r="C13" s="4" t="s">
        <v>22</v>
      </c>
      <c r="D13" s="10">
        <v>567.05600361861173</v>
      </c>
      <c r="E13" s="10">
        <v>607.94089420012381</v>
      </c>
      <c r="F13" s="10">
        <v>625.38919609578147</v>
      </c>
      <c r="G13" s="10">
        <v>555.09449085304152</v>
      </c>
      <c r="H13" s="10">
        <v>454.67313330009506</v>
      </c>
      <c r="I13" s="10">
        <v>535.30689753127422</v>
      </c>
      <c r="J13" s="10">
        <v>680.8517417376562</v>
      </c>
      <c r="K13" s="10">
        <v>839.43454040823451</v>
      </c>
      <c r="L13" s="10">
        <v>908.84168369551242</v>
      </c>
      <c r="M13" s="10">
        <v>981.29887593935587</v>
      </c>
      <c r="N13" s="10">
        <v>942.47873121592988</v>
      </c>
      <c r="O13" s="10">
        <v>869.01839825948787</v>
      </c>
      <c r="P13" s="10">
        <v>869.03165181259192</v>
      </c>
      <c r="Q13" s="10">
        <v>895.42451667970818</v>
      </c>
      <c r="R13" s="10">
        <v>943.91997455248452</v>
      </c>
      <c r="S13" s="10">
        <v>734.11000140060389</v>
      </c>
      <c r="T13" s="10">
        <v>659.07171057256721</v>
      </c>
      <c r="U13" s="10">
        <v>516.11054145508774</v>
      </c>
      <c r="V13" s="10">
        <v>291.53185579669196</v>
      </c>
      <c r="W13" s="10">
        <v>83.259696847505168</v>
      </c>
      <c r="X13" s="10">
        <v>12.155464027654869</v>
      </c>
      <c r="Y13" s="10">
        <f t="shared" si="177"/>
        <v>13571.999999999996</v>
      </c>
      <c r="Z13" s="10">
        <f t="shared" ref="Z13:Z14" si="179">E13*3/5+F13*3/5</f>
        <v>739.99805417754328</v>
      </c>
      <c r="AA13" s="10">
        <f t="shared" ref="AA13:AA14" si="180">F13*2/5+G13*1/5</f>
        <v>361.17457660892092</v>
      </c>
      <c r="AB13" s="10">
        <f t="shared" si="178"/>
        <v>4135.5837613323038</v>
      </c>
      <c r="AC13" s="10">
        <f t="shared" ref="AC13:AC14" si="181">SUM(S13:X13)</f>
        <v>2296.2392701001108</v>
      </c>
      <c r="AD13" s="14">
        <f t="shared" ref="AD13:AD14" si="182">AB13/Y13</f>
        <v>0.30471439443945658</v>
      </c>
      <c r="AE13" s="14">
        <f t="shared" ref="AE13:AE14" si="183">AC13/Y13</f>
        <v>0.16918945403036484</v>
      </c>
      <c r="AF13" s="10">
        <f t="shared" ref="AF13:AF14" si="184">SUM(H13:K13)</f>
        <v>2510.26631297726</v>
      </c>
      <c r="AI13" s="60" t="s">
        <v>47</v>
      </c>
      <c r="AJ13" s="1" t="s">
        <v>21</v>
      </c>
      <c r="AK13" s="8">
        <f>VLOOKUP(AK12&amp;"_1",A:D,4,FALSE)/VLOOKUP(AK12&amp;"_2",A:AF,32,FALSE)</f>
        <v>0.22210691957980422</v>
      </c>
      <c r="AL13" s="63"/>
      <c r="BH13" s="7" t="str">
        <f t="shared" si="19"/>
        <v>2040_2</v>
      </c>
      <c r="BI13" s="29">
        <f>BI12</f>
        <v>2040</v>
      </c>
      <c r="BJ13" s="4" t="s">
        <v>22</v>
      </c>
      <c r="BK13" s="10">
        <f>CM13*$AK$14</f>
        <v>436.37949844373003</v>
      </c>
      <c r="BL13" s="10">
        <f>IF(管理者入力シート!$B$14=1,BK10*管理者用人口入力シート!AM$4,IF(管理者入力シート!$B$14=2,BK10*管理者用人口入力シート!AM$8))</f>
        <v>462.01655686394605</v>
      </c>
      <c r="BM13" s="10">
        <f>IF(管理者入力シート!$B$14=1,BL10*管理者用人口入力シート!AN$4,IF(管理者入力シート!$B$14=2,BL10*管理者用人口入力シート!AN$8))</f>
        <v>493.73537032100103</v>
      </c>
      <c r="BN13" s="10">
        <f>IF(管理者入力シート!$B$14=1,BM10*管理者用人口入力シート!AO$4,IF(管理者入力シート!$B$14=2,BM10*管理者用人口入力シート!AO$8))</f>
        <v>504.13967555702391</v>
      </c>
      <c r="BO13" s="10">
        <f>IF(管理者入力シート!$B$14=1,BN10*管理者用人口入力シート!AP$4,IF(管理者入力シート!$B$14=2,BN10*管理者用人口入力シート!AP$8))</f>
        <v>426.55740859076457</v>
      </c>
      <c r="BP13" s="10">
        <f>IF(管理者入力シート!$B$14=1,BO10*管理者用人口入力シート!AQ$4,IF(管理者入力シート!$B$14=2,BO10*管理者用人口入力シート!AQ$8))</f>
        <v>476.25902673558267</v>
      </c>
      <c r="BQ13" s="10">
        <f>IF(管理者入力シート!$B$14=1,BP10*管理者用人口入力シート!AR$4,IF(管理者入力シート!$B$14=2,BP10*管理者用人口入力シート!AR$8))</f>
        <v>518.10269166982368</v>
      </c>
      <c r="BR13" s="10">
        <f>IF(管理者入力シート!$B$14=1,BQ10*管理者用人口入力シート!AS$4,IF(管理者入力シート!$B$14=2,BQ10*管理者用人口入力シート!AS$8))</f>
        <v>510.86317956056791</v>
      </c>
      <c r="BS13" s="10">
        <f>IF(管理者入力シート!$B$14=1,BR10*管理者用人口入力シート!AT$4,IF(管理者入力シート!$B$14=2,BR10*管理者用人口入力シート!AT$8))</f>
        <v>569.86721328877002</v>
      </c>
      <c r="BT13" s="10">
        <f>IF(管理者入力シート!$B$14=1,BS10*管理者用人口入力シート!AU$4,IF(管理者入力シート!$B$14=2,BS10*管理者用人口入力シート!AU$8))</f>
        <v>631.24546088192756</v>
      </c>
      <c r="BU13" s="10">
        <f>IF(管理者入力シート!$B$14=1,BT10*管理者用人口入力シート!AV$4,IF(管理者入力シート!$B$14=2,BT10*管理者用人口入力シート!AV$8))</f>
        <v>718.45246052608582</v>
      </c>
      <c r="BV13" s="10">
        <f>IF(管理者入力シート!$B$14=1,BU10*管理者用人口入力シート!AW$4,IF(管理者入力シート!$B$14=2,BU10*管理者用人口入力シート!AW$8))</f>
        <v>834.46487820402615</v>
      </c>
      <c r="BW13" s="10">
        <f>IF(管理者入力シート!$B$14=1,BV10*管理者用人口入力シート!AX$4,IF(管理者入力シート!$B$14=2,BV10*管理者用人口入力シート!AX$8))</f>
        <v>888.4750457174797</v>
      </c>
      <c r="BX13" s="10">
        <f>IF(管理者入力シート!$B$14=1,BW10*管理者用人口入力シート!AY$4,IF(管理者入力シート!$B$14=2,BW10*管理者用人口入力シート!AY$8))</f>
        <v>928.90178524542375</v>
      </c>
      <c r="BY13" s="10">
        <f>IF(管理者入力シート!$B$14=1,BX10*管理者用人口入力シート!AZ$4,IF(管理者入力シート!$B$14=2,BX10*管理者用人口入力シート!AZ$8))</f>
        <v>882.25891759073215</v>
      </c>
      <c r="BZ13" s="10">
        <f>IF(管理者入力シート!$B$14=1,BY10*管理者用人口入力シート!BA$4,IF(管理者入力シート!$B$14=2,BY10*管理者用人口入力シート!BA$8))</f>
        <v>766.26366747400857</v>
      </c>
      <c r="CA13" s="10">
        <f>IF(管理者入力シート!$B$14=1,BZ10*管理者用人口入力シート!BB$4,IF(管理者入力シート!$B$14=2,BZ10*管理者用人口入力シート!BB$8))</f>
        <v>712.54141012094817</v>
      </c>
      <c r="CB13" s="10">
        <f>IF(管理者入力シート!$B$14=1,CA10*管理者用人口入力シート!BC$4,IF(管理者入力シート!$B$14=2,CA10*管理者用人口入力シート!BC$8))</f>
        <v>590.54130610527955</v>
      </c>
      <c r="CC13" s="10">
        <f>IF(管理者入力シート!$B$14=1,CB10*管理者用人口入力シート!BD$4,IF(管理者入力シート!$B$14=2,CB10*管理者用人口入力シート!BD$8))</f>
        <v>420.86505945652169</v>
      </c>
      <c r="CD13" s="10">
        <f>IF(管理者入力シート!$B$14=1,CC10*管理者用人口入力シート!BE$4,IF(管理者入力シート!$B$14=2,CC10*管理者用人口入力シート!BE$8))</f>
        <v>131.18794128513491</v>
      </c>
      <c r="CE13" s="10">
        <f>IF(管理者入力シート!$B$14=1,CD10*管理者用人口入力シート!BF$4,IF(管理者入力シート!$B$14=2,CD10*管理者用人口入力シート!BF$8))</f>
        <v>31.958314200965152</v>
      </c>
      <c r="CF13" s="10">
        <f t="shared" si="2"/>
        <v>11935.076867839743</v>
      </c>
      <c r="CG13" s="10">
        <f t="shared" si="20"/>
        <v>573.45115631096826</v>
      </c>
      <c r="CH13" s="10">
        <f t="shared" si="21"/>
        <v>298.32208323980518</v>
      </c>
      <c r="CI13" s="10">
        <f t="shared" si="3"/>
        <v>4464.5184014790138</v>
      </c>
      <c r="CJ13" s="10">
        <f t="shared" si="22"/>
        <v>2653.3576986428579</v>
      </c>
      <c r="CK13" s="14">
        <f t="shared" si="23"/>
        <v>0.37406700023098338</v>
      </c>
      <c r="CL13" s="14">
        <f t="shared" si="24"/>
        <v>0.22231592875556547</v>
      </c>
      <c r="CM13" s="10">
        <f t="shared" si="25"/>
        <v>1931.7823065567388</v>
      </c>
      <c r="CO13" s="7" t="str">
        <f t="shared" si="26"/>
        <v>2040_2</v>
      </c>
      <c r="CP13" s="29">
        <f>CP12</f>
        <v>2040</v>
      </c>
      <c r="CQ13" s="4" t="s">
        <v>22</v>
      </c>
      <c r="CR13" s="10">
        <f>DT13*$AK$14+将来予測シート②!$H17</f>
        <v>439.17079002850096</v>
      </c>
      <c r="CS13" s="10">
        <f>IF(管理者入力シート!$B$14=1,CR10*管理者用人口入力シート!AM$4,IF(管理者入力シート!$B$14=2,CR10*管理者用人口入力シート!AM$8))+将来予測シート②!$H18</f>
        <v>464.74308030888596</v>
      </c>
      <c r="CT13" s="10">
        <f>IF(管理者入力シート!$B$14=1,CS10*管理者用人口入力シート!AN$4,IF(管理者入力シート!$B$14=2,CS10*管理者用人口入力シート!AN$8))+将来予測シート②!$H19</f>
        <v>496.82456737043026</v>
      </c>
      <c r="CU13" s="10">
        <f>IF(管理者入力シート!$B$14=1,CT10*管理者用人口入力シート!AO$4,IF(管理者入力シート!$B$14=2,CT10*管理者用人口入力シート!AO$8))+将来予測シート②!$H20</f>
        <v>506.09614618661055</v>
      </c>
      <c r="CV13" s="10">
        <f>IF(管理者入力シート!$B$14=1,CU10*管理者用人口入力シート!AP$4,IF(管理者入力シート!$B$14=2,CU10*管理者用人口入力シート!AP$8))+将来予測シート②!$H21</f>
        <v>427.2576923420645</v>
      </c>
      <c r="CW13" s="10">
        <f>IF(管理者入力シート!$B$14=1,CV10*管理者用人口入力シート!AQ$4,IF(管理者入力シート!$B$14=2,CV10*管理者用人口入力シート!AQ$8))+将来予測シート②!$H22</f>
        <v>479.01802203743125</v>
      </c>
      <c r="CX13" s="10">
        <f>IF(管理者入力シート!$B$14=1,CW10*管理者用人口入力シート!AR$4,IF(管理者入力シート!$B$14=2,CW10*管理者用人口入力シート!AR$8))+将来予測シート②!$H23</f>
        <v>520.28570497288035</v>
      </c>
      <c r="CY13" s="10">
        <f>IF(管理者入力シート!$B$14=1,CX10*管理者用人口入力シート!AS$4,IF(管理者入力シート!$B$14=2,CX10*管理者用人口入力シート!AS$8))+将来予測シート②!$H24</f>
        <v>513.15064880335001</v>
      </c>
      <c r="CZ13" s="10">
        <f>IF(管理者入力シート!$B$14=1,CY10*管理者用人口入力シート!AT$4,IF(管理者入力シート!$B$14=2,CY10*管理者用人口入力シート!AT$8))+将来予測シート②!$H25</f>
        <v>573.18001998527427</v>
      </c>
      <c r="DA13" s="10">
        <f>IF(管理者入力シート!$B$14=1,CZ10*管理者用人口入力シート!AU$4,IF(管理者入力シート!$B$14=2,CZ10*管理者用人口入力シート!AU$8))+将来予測シート②!$H26</f>
        <v>632.26519297673053</v>
      </c>
      <c r="DB13" s="10">
        <f>IF(管理者入力シート!$B$14=1,DA10*管理者用人口入力シート!AV$4,IF(管理者入力シート!$B$14=2,DA10*管理者用人口入力シート!AV$8))+将来予測シート②!$H27</f>
        <v>719.44846784516426</v>
      </c>
      <c r="DC13" s="10">
        <f>IF(管理者入力シート!$B$14=1,DB10*管理者用人口入力シート!AW$4,IF(管理者入力シート!$B$14=2,DB10*管理者用人口入力シート!AW$8))+将来予測シート②!$H28</f>
        <v>835.44806752840782</v>
      </c>
      <c r="DD13" s="10">
        <f>IF(管理者入力シート!$B$14=1,DC10*管理者用人口入力シート!AX$4,IF(管理者入力シート!$B$14=2,DC10*管理者用人口入力シート!AX$8))+将来予測シート②!$H29</f>
        <v>888.4750457174797</v>
      </c>
      <c r="DE13" s="10">
        <f>IF(管理者入力シート!$B$14=1,DD10*管理者用人口入力シート!AY$4,IF(管理者入力シート!$B$14=2,DD10*管理者用人口入力シート!AY$8))</f>
        <v>928.90178524542375</v>
      </c>
      <c r="DF13" s="10">
        <f>IF(管理者入力シート!$B$14=1,DE10*管理者用人口入力シート!AZ$4,IF(管理者入力シート!$B$14=2,DE10*管理者用人口入力シート!AZ$8))</f>
        <v>882.25891759073215</v>
      </c>
      <c r="DG13" s="10">
        <f>IF(管理者入力シート!$B$14=1,DF10*管理者用人口入力シート!BA$4,IF(管理者入力シート!$B$14=2,DF10*管理者用人口入力シート!BA$8))</f>
        <v>766.26366747400857</v>
      </c>
      <c r="DH13" s="10">
        <f>IF(管理者入力シート!$B$14=1,DG10*管理者用人口入力シート!BB$4,IF(管理者入力シート!$B$14=2,DG10*管理者用人口入力シート!BB$8))</f>
        <v>712.54141012094817</v>
      </c>
      <c r="DI13" s="10">
        <f>IF(管理者入力シート!$B$14=1,DH10*管理者用人口入力シート!BC$4,IF(管理者入力シート!$B$14=2,DH10*管理者用人口入力シート!BC$8))</f>
        <v>590.54130610527955</v>
      </c>
      <c r="DJ13" s="10">
        <f>IF(管理者入力シート!$B$14=1,DI10*管理者用人口入力シート!BD$4,IF(管理者入力シート!$B$14=2,DI10*管理者用人口入力シート!BD$8))</f>
        <v>420.86505945652169</v>
      </c>
      <c r="DK13" s="10">
        <f>IF(管理者入力シート!$B$14=1,DJ10*管理者用人口入力シート!BE$4,IF(管理者入力シート!$B$14=2,DJ10*管理者用人口入力シート!BE$8))</f>
        <v>131.18794128513491</v>
      </c>
      <c r="DL13" s="10">
        <f>IF(管理者入力シート!$B$14=1,DK10*管理者用人口入力シート!BF$4,IF(管理者入力シート!$B$14=2,DK10*管理者用人口入力シート!BF$8))</f>
        <v>31.958314200965152</v>
      </c>
      <c r="DM13" s="10">
        <f t="shared" si="69"/>
        <v>11959.881847582226</v>
      </c>
      <c r="DN13" s="10">
        <f t="shared" si="34"/>
        <v>576.94058860758969</v>
      </c>
      <c r="DO13" s="10">
        <f t="shared" si="35"/>
        <v>299.94905618549421</v>
      </c>
      <c r="DP13" s="10">
        <f t="shared" si="6"/>
        <v>4464.5184014790138</v>
      </c>
      <c r="DQ13" s="10">
        <f t="shared" si="36"/>
        <v>2653.3576986428579</v>
      </c>
      <c r="DR13" s="14">
        <f t="shared" si="37"/>
        <v>0.37329117949284318</v>
      </c>
      <c r="DS13" s="14">
        <f t="shared" si="38"/>
        <v>0.22185484208435158</v>
      </c>
      <c r="DT13" s="10">
        <f t="shared" si="70"/>
        <v>1939.7120681557262</v>
      </c>
      <c r="DV13" s="62"/>
      <c r="DX13" s="29">
        <f>DX12</f>
        <v>2040</v>
      </c>
      <c r="DY13" s="4" t="s">
        <v>22</v>
      </c>
      <c r="DZ13" s="10">
        <f>FB13*$AK$14</f>
        <v>654.95435639256596</v>
      </c>
      <c r="EA13" s="10">
        <f>IF(管理者入力シート!$B$14=1,DZ10*管理者用人口入力シート!AM$4,IF(管理者入力シート!$B$14=2,DZ10*管理者用人口入力シート!AM$8))</f>
        <v>689.49220820862865</v>
      </c>
      <c r="EB13" s="10">
        <f>IF(管理者入力シート!$B$14=1,EA10*管理者用人口入力シート!AN$4,IF(管理者入力シート!$B$14=2,EA10*管理者用人口入力シート!AN$8))</f>
        <v>685.78482195706965</v>
      </c>
      <c r="EC13" s="10">
        <f>IF(管理者入力シート!$B$14=1,EB10*管理者用人口入力シート!AO$4,IF(管理者入力シート!$B$14=2,EB10*管理者用人口入力シート!AO$8))</f>
        <v>504.13967555702391</v>
      </c>
      <c r="ED13" s="10">
        <f>IF(管理者入力シート!$B$14=1,EC10*管理者用人口入力シート!AP$4,IF(管理者入力シート!$B$14=2,EC10*管理者用人口入力シート!AP$8))</f>
        <v>426.55740859076457</v>
      </c>
      <c r="EE13" s="10">
        <f>IF(管理者入力シート!$B$14=1,ED10*管理者用人口入力シート!AQ$4,IF(管理者入力シート!$B$14=2,ED10*管理者用人口入力シート!AQ$8))+DX1</f>
        <v>630.25902673558267</v>
      </c>
      <c r="EF13" s="10">
        <f>IF(管理者入力シート!$B$14=1,EE10*管理者用人口入力シート!AR$4,IF(管理者入力シート!$B$14=2,EE10*管理者用人口入力シート!AR$8))+DX1</f>
        <v>840.19471600518489</v>
      </c>
      <c r="EG13" s="10">
        <f>IF(管理者入力シート!$B$14=1,EF10*管理者用人口入力シート!AS$4,IF(管理者入力シート!$B$14=2,EF10*管理者用人口入力シート!AS$8))+DX1</f>
        <v>1002.3671232978461</v>
      </c>
      <c r="EH13" s="10">
        <f>IF(管理者入力シート!$B$14=1,EG10*管理者用人口入力シート!AT$4,IF(管理者入力シート!$B$14=2,EG10*管理者用人口入力シート!AT$8))</f>
        <v>1066.8153650598517</v>
      </c>
      <c r="EI13" s="10">
        <f>IF(管理者入力シート!$B$14=1,EH10*管理者用人口入力シート!AU$4,IF(管理者入力シート!$B$14=2,EH10*管理者用人口入力シート!AU$8))</f>
        <v>956.3993129483822</v>
      </c>
      <c r="EJ13" s="10">
        <f>IF(管理者入力シート!$B$14=1,EI10*管理者用人口入力シート!AV$4,IF(管理者入力シート!$B$14=2,EI10*管理者用人口入力シート!AV$8))</f>
        <v>873.53657818515308</v>
      </c>
      <c r="EK13" s="10">
        <f>IF(管理者入力シート!$B$14=1,EJ10*管理者用人口入力シート!AW$4,IF(管理者入力シート!$B$14=2,EJ10*管理者用人口入力シート!AW$8))</f>
        <v>834.46487820402615</v>
      </c>
      <c r="EL13" s="10">
        <f>IF(管理者入力シート!$B$14=1,EK10*管理者用人口入力シート!AX$4,IF(管理者入力シート!$B$14=2,EK10*管理者用人口入力シート!AX$8))</f>
        <v>888.4750457174797</v>
      </c>
      <c r="EM13" s="10">
        <f>IF(管理者入力シート!$B$14=1,EL10*管理者用人口入力シート!AY$4,IF(管理者入力シート!$B$14=2,EL10*管理者用人口入力シート!AY$8))</f>
        <v>928.90178524542375</v>
      </c>
      <c r="EN13" s="10">
        <f>IF(管理者入力シート!$B$14=1,EM10*管理者用人口入力シート!AZ$4,IF(管理者入力シート!$B$14=2,EM10*管理者用人口入力シート!AZ$8))</f>
        <v>882.25891759073215</v>
      </c>
      <c r="EO13" s="10">
        <f>IF(管理者入力シート!$B$14=1,EN10*管理者用人口入力シート!BA$4,IF(管理者入力シート!$B$14=2,EN10*管理者用人口入力シート!BA$8))</f>
        <v>766.26366747400857</v>
      </c>
      <c r="EP13" s="10">
        <f>IF(管理者入力シート!$B$14=1,EO10*管理者用人口入力シート!BB$4,IF(管理者入力シート!$B$14=2,EO10*管理者用人口入力シート!BB$8))</f>
        <v>712.54141012094817</v>
      </c>
      <c r="EQ13" s="10">
        <f>IF(管理者入力シート!$B$14=1,EP10*管理者用人口入力シート!BC$4,IF(管理者入力シート!$B$14=2,EP10*管理者用人口入力シート!BC$8))</f>
        <v>590.54130610527955</v>
      </c>
      <c r="ER13" s="10">
        <f>IF(管理者入力シート!$B$14=1,EQ10*管理者用人口入力シート!BD$4,IF(管理者入力シート!$B$14=2,EQ10*管理者用人口入力シート!BD$8))</f>
        <v>420.86505945652169</v>
      </c>
      <c r="ES13" s="10">
        <f>IF(管理者入力シート!$B$14=1,ER10*管理者用人口入力シート!BE$4,IF(管理者入力シート!$B$14=2,ER10*管理者用人口入力シート!BE$8))</f>
        <v>131.18794128513491</v>
      </c>
      <c r="ET13" s="10">
        <f>IF(管理者入力シート!$B$14=1,ES10*管理者用人口入力シート!BF$4,IF(管理者入力シート!$B$14=2,ES10*管理者用人口入力シート!BF$8))</f>
        <v>31.958314200965152</v>
      </c>
      <c r="EU13" s="10">
        <f t="shared" si="71"/>
        <v>14517.958918338572</v>
      </c>
      <c r="EV13" s="10">
        <f t="shared" si="41"/>
        <v>825.16621809941898</v>
      </c>
      <c r="EW13" s="10">
        <f t="shared" si="42"/>
        <v>375.14186389423264</v>
      </c>
      <c r="EX13" s="10">
        <f t="shared" si="10"/>
        <v>4464.5184014790138</v>
      </c>
      <c r="EY13" s="10">
        <f t="shared" si="43"/>
        <v>2653.3576986428579</v>
      </c>
      <c r="EZ13" s="14">
        <f t="shared" si="44"/>
        <v>0.30751694687877867</v>
      </c>
      <c r="FA13" s="14">
        <f t="shared" si="45"/>
        <v>0.18276382469241115</v>
      </c>
      <c r="FB13" s="10">
        <f t="shared" si="72"/>
        <v>2899.3782746293782</v>
      </c>
    </row>
    <row r="14" spans="1:158" x14ac:dyDescent="0.15">
      <c r="A14" s="7" t="str">
        <f t="shared" si="11"/>
        <v>2020_3</v>
      </c>
      <c r="B14" s="30">
        <v>2020</v>
      </c>
      <c r="C14" s="5" t="s">
        <v>23</v>
      </c>
      <c r="D14" s="11">
        <v>1124.6035217189437</v>
      </c>
      <c r="E14" s="11">
        <v>1245.2085766851667</v>
      </c>
      <c r="F14" s="11">
        <v>1258.5290230694138</v>
      </c>
      <c r="G14" s="11">
        <v>1073.653117557848</v>
      </c>
      <c r="H14" s="11">
        <v>856.85144106225255</v>
      </c>
      <c r="I14" s="11">
        <v>1076.0175069569937</v>
      </c>
      <c r="J14" s="11">
        <v>1254.6354610712174</v>
      </c>
      <c r="K14" s="11">
        <v>1537.8973129575534</v>
      </c>
      <c r="L14" s="11">
        <v>1755.2030922279532</v>
      </c>
      <c r="M14" s="11">
        <v>1860.9655593918346</v>
      </c>
      <c r="N14" s="11">
        <v>1705.7632543963196</v>
      </c>
      <c r="O14" s="11">
        <v>1682.3197366127931</v>
      </c>
      <c r="P14" s="11">
        <v>1620.97514470542</v>
      </c>
      <c r="Q14" s="11">
        <v>1653.3904371793365</v>
      </c>
      <c r="R14" s="11">
        <v>1678.6643783483851</v>
      </c>
      <c r="S14" s="11">
        <v>1282.3720142295178</v>
      </c>
      <c r="T14" s="11">
        <v>1072.6669390503528</v>
      </c>
      <c r="U14" s="11">
        <v>863.21578614908901</v>
      </c>
      <c r="V14" s="11">
        <v>414.36152402315986</v>
      </c>
      <c r="W14" s="11">
        <v>95.463739977960671</v>
      </c>
      <c r="X14" s="11">
        <v>16.242432628488348</v>
      </c>
      <c r="Y14" s="11">
        <f t="shared" si="177"/>
        <v>25128.999999999993</v>
      </c>
      <c r="Z14" s="11">
        <f t="shared" si="179"/>
        <v>1502.2425598527484</v>
      </c>
      <c r="AA14" s="11">
        <f t="shared" si="180"/>
        <v>718.14223273933521</v>
      </c>
      <c r="AB14" s="11">
        <f t="shared" si="178"/>
        <v>7076.3772515862902</v>
      </c>
      <c r="AC14" s="11">
        <f t="shared" si="181"/>
        <v>3744.3224360585687</v>
      </c>
      <c r="AD14" s="15">
        <f t="shared" si="182"/>
        <v>0.28160202362156439</v>
      </c>
      <c r="AE14" s="15">
        <f t="shared" si="183"/>
        <v>0.14900403661341755</v>
      </c>
      <c r="AF14" s="11">
        <f t="shared" si="184"/>
        <v>4725.4017220480164</v>
      </c>
      <c r="AI14" s="43"/>
      <c r="AJ14" s="1" t="s">
        <v>22</v>
      </c>
      <c r="AK14" s="8">
        <f>VLOOKUP(AK12&amp;"_2",A:D,4,FALSE)/VLOOKUP(AK12&amp;"_2",A:AF,32,FALSE)</f>
        <v>0.22589475892940789</v>
      </c>
      <c r="AL14" s="63"/>
      <c r="BH14" s="7" t="str">
        <f t="shared" si="19"/>
        <v>2040_3</v>
      </c>
      <c r="BI14" s="30">
        <f>BI13</f>
        <v>2040</v>
      </c>
      <c r="BJ14" s="5" t="s">
        <v>23</v>
      </c>
      <c r="BK14" s="16">
        <f>BK12+BK13</f>
        <v>865.4417158518163</v>
      </c>
      <c r="BL14" s="16">
        <f t="shared" ref="BL14" si="185">BL12+BL13</f>
        <v>930.26767080831837</v>
      </c>
      <c r="BM14" s="16">
        <f t="shared" ref="BM14" si="186">BM12+BM13</f>
        <v>978.45776941731924</v>
      </c>
      <c r="BN14" s="16">
        <f t="shared" ref="BN14" si="187">BN12+BN13</f>
        <v>963.41265016582554</v>
      </c>
      <c r="BO14" s="16">
        <f t="shared" ref="BO14" si="188">BO12+BO13</f>
        <v>773.96547233984779</v>
      </c>
      <c r="BP14" s="16">
        <f t="shared" ref="BP14" si="189">BP12+BP13</f>
        <v>917.09131986269665</v>
      </c>
      <c r="BQ14" s="16">
        <f t="shared" ref="BQ14" si="190">BQ12+BQ13</f>
        <v>1008.2428254170067</v>
      </c>
      <c r="BR14" s="16">
        <f t="shared" ref="BR14" si="191">BR12+BR13</f>
        <v>984.62766933084129</v>
      </c>
      <c r="BS14" s="16">
        <f t="shared" ref="BS14" si="192">BS12+BS13</f>
        <v>1145.9806059316181</v>
      </c>
      <c r="BT14" s="16">
        <f t="shared" ref="BT14" si="193">BT12+BT13</f>
        <v>1271.4042274885037</v>
      </c>
      <c r="BU14" s="16">
        <f t="shared" ref="BU14" si="194">BU12+BU13</f>
        <v>1313.7169859436426</v>
      </c>
      <c r="BV14" s="16">
        <f t="shared" ref="BV14" si="195">BV12+BV13</f>
        <v>1519.7250255469576</v>
      </c>
      <c r="BW14" s="16">
        <f t="shared" ref="BW14" si="196">BW12+BW13</f>
        <v>1695.4883816800057</v>
      </c>
      <c r="BX14" s="16">
        <f t="shared" ref="BX14" si="197">BX12+BX13</f>
        <v>1734.9172774968572</v>
      </c>
      <c r="BY14" s="16">
        <f t="shared" ref="BY14" si="198">BY12+BY13</f>
        <v>1563.0131122349567</v>
      </c>
      <c r="BZ14" s="16">
        <f t="shared" ref="BZ14" si="199">BZ12+BZ13</f>
        <v>1427.9815535772914</v>
      </c>
      <c r="CA14" s="16">
        <f t="shared" ref="CA14" si="200">CA12+CA13</f>
        <v>1197.1990843819904</v>
      </c>
      <c r="CB14" s="16">
        <f t="shared" ref="CB14" si="201">CB12+CB13</f>
        <v>966.77514873567623</v>
      </c>
      <c r="CC14" s="16">
        <f t="shared" ref="CC14" si="202">CC12+CC13</f>
        <v>588.14145502578219</v>
      </c>
      <c r="CD14" s="16">
        <f t="shared" ref="CD14" si="203">CD12+CD13</f>
        <v>156.39850942548946</v>
      </c>
      <c r="CE14" s="16">
        <f t="shared" ref="CE14" si="204">CE12+CE13</f>
        <v>32.413373850203612</v>
      </c>
      <c r="CF14" s="11">
        <f t="shared" si="2"/>
        <v>22034.661834512644</v>
      </c>
      <c r="CG14" s="11">
        <f t="shared" si="20"/>
        <v>1145.2352641353825</v>
      </c>
      <c r="CH14" s="11">
        <f t="shared" si="21"/>
        <v>584.06563780009287</v>
      </c>
      <c r="CI14" s="11">
        <f t="shared" si="3"/>
        <v>7666.8395147282472</v>
      </c>
      <c r="CJ14" s="11">
        <f t="shared" si="22"/>
        <v>4368.9091249964331</v>
      </c>
      <c r="CK14" s="15">
        <f t="shared" si="23"/>
        <v>0.34794450544821898</v>
      </c>
      <c r="CL14" s="15">
        <f t="shared" si="24"/>
        <v>0.19827438958711222</v>
      </c>
      <c r="CM14" s="11">
        <f t="shared" si="25"/>
        <v>3683.9272869503925</v>
      </c>
      <c r="CO14" s="7" t="str">
        <f t="shared" si="26"/>
        <v>2040_3</v>
      </c>
      <c r="CP14" s="30">
        <f>CP13</f>
        <v>2040</v>
      </c>
      <c r="CQ14" s="5" t="s">
        <v>23</v>
      </c>
      <c r="CR14" s="16">
        <f>CR12+CR13</f>
        <v>870.99426235834062</v>
      </c>
      <c r="CS14" s="16">
        <f t="shared" ref="CS14" si="205">CS12+CS13</f>
        <v>935.77549813580799</v>
      </c>
      <c r="CT14" s="16">
        <f t="shared" ref="CT14" si="206">CT12+CT13</f>
        <v>984.61601074242935</v>
      </c>
      <c r="CU14" s="16">
        <f t="shared" ref="CU14" si="207">CU12+CU13</f>
        <v>967.18319199516395</v>
      </c>
      <c r="CV14" s="16">
        <f t="shared" ref="CV14" si="208">CV12+CV13</f>
        <v>775.24670455318096</v>
      </c>
      <c r="CW14" s="16">
        <f t="shared" ref="CW14" si="209">CW12+CW13</f>
        <v>922.54219578023367</v>
      </c>
      <c r="CX14" s="16">
        <f t="shared" ref="CX14" si="210">CX12+CX13</f>
        <v>1012.6636294177986</v>
      </c>
      <c r="CY14" s="16">
        <f t="shared" ref="CY14" si="211">CY12+CY13</f>
        <v>989.22673124785024</v>
      </c>
      <c r="CZ14" s="16">
        <f t="shared" ref="CZ14" si="212">CZ12+CZ13</f>
        <v>1151.699025658648</v>
      </c>
      <c r="DA14" s="16">
        <f t="shared" ref="DA14" si="213">DA12+DA13</f>
        <v>1272.4239595833064</v>
      </c>
      <c r="DB14" s="16">
        <f t="shared" ref="DB14" si="214">DB12+DB13</f>
        <v>1314.7129932627213</v>
      </c>
      <c r="DC14" s="16">
        <f t="shared" ref="DC14" si="215">DC12+DC13</f>
        <v>1520.7082148713394</v>
      </c>
      <c r="DD14" s="16">
        <f t="shared" ref="DD14" si="216">DD12+DD13</f>
        <v>1695.4883816800057</v>
      </c>
      <c r="DE14" s="16">
        <f t="shared" ref="DE14" si="217">DE12+DE13</f>
        <v>1734.9172774968572</v>
      </c>
      <c r="DF14" s="16">
        <f t="shared" ref="DF14" si="218">DF12+DF13</f>
        <v>1563.0131122349567</v>
      </c>
      <c r="DG14" s="16">
        <f t="shared" ref="DG14" si="219">DG12+DG13</f>
        <v>1427.9815535772914</v>
      </c>
      <c r="DH14" s="16">
        <f t="shared" ref="DH14" si="220">DH12+DH13</f>
        <v>1197.1990843819904</v>
      </c>
      <c r="DI14" s="16">
        <f t="shared" ref="DI14" si="221">DI12+DI13</f>
        <v>966.77514873567623</v>
      </c>
      <c r="DJ14" s="16">
        <f t="shared" ref="DJ14" si="222">DJ12+DJ13</f>
        <v>588.14145502578219</v>
      </c>
      <c r="DK14" s="16">
        <f t="shared" ref="DK14" si="223">DK12+DK13</f>
        <v>156.39850942548946</v>
      </c>
      <c r="DL14" s="16">
        <f t="shared" ref="DL14" si="224">DL12+DL13</f>
        <v>32.413373850203612</v>
      </c>
      <c r="DM14" s="11">
        <f t="shared" si="69"/>
        <v>22080.120314015072</v>
      </c>
      <c r="DN14" s="11">
        <f t="shared" si="34"/>
        <v>1152.2349053269425</v>
      </c>
      <c r="DO14" s="11">
        <f t="shared" si="35"/>
        <v>587.28304269600449</v>
      </c>
      <c r="DP14" s="11">
        <f t="shared" si="6"/>
        <v>7666.8395147282472</v>
      </c>
      <c r="DQ14" s="11">
        <f t="shared" si="36"/>
        <v>4368.9091249964331</v>
      </c>
      <c r="DR14" s="15">
        <f t="shared" si="37"/>
        <v>0.34722815843815036</v>
      </c>
      <c r="DS14" s="15">
        <f t="shared" si="38"/>
        <v>0.19786618292217023</v>
      </c>
      <c r="DT14" s="11">
        <f t="shared" si="70"/>
        <v>3699.6792609990634</v>
      </c>
      <c r="DX14" s="30">
        <f>DX13</f>
        <v>2040</v>
      </c>
      <c r="DY14" s="5" t="s">
        <v>23</v>
      </c>
      <c r="DZ14" s="16">
        <f>DZ12+DZ13</f>
        <v>1298.9263336671047</v>
      </c>
      <c r="EA14" s="16">
        <f t="shared" ref="EA14" si="225">EA12+EA13</f>
        <v>1388.2885819600772</v>
      </c>
      <c r="EB14" s="16">
        <f t="shared" ref="EB14" si="226">EB12+EB13</f>
        <v>1359.0508752818562</v>
      </c>
      <c r="EC14" s="16">
        <f t="shared" ref="EC14" si="227">EC12+EC13</f>
        <v>963.41265016582554</v>
      </c>
      <c r="ED14" s="16">
        <f t="shared" ref="ED14" si="228">ED12+ED13</f>
        <v>773.96547233984779</v>
      </c>
      <c r="EE14" s="16">
        <f t="shared" ref="EE14" si="229">EE12+EE13</f>
        <v>1225.0913198626968</v>
      </c>
      <c r="EF14" s="16">
        <f t="shared" ref="EF14" si="230">EF12+EF13</f>
        <v>1656.6447334779791</v>
      </c>
      <c r="EG14" s="16">
        <f t="shared" ref="EG14" si="231">EG12+EG13</f>
        <v>1967.2031441596112</v>
      </c>
      <c r="EH14" s="16">
        <f t="shared" ref="EH14" si="232">EH12+EH13</f>
        <v>2153.973842455378</v>
      </c>
      <c r="EI14" s="16">
        <f t="shared" ref="EI14" si="233">EI12+EI13</f>
        <v>1917.2553658511147</v>
      </c>
      <c r="EJ14" s="16">
        <f t="shared" ref="EJ14" si="234">EJ12+EJ13</f>
        <v>1623.4656086000959</v>
      </c>
      <c r="EK14" s="16">
        <f t="shared" ref="EK14" si="235">EK12+EK13</f>
        <v>1519.7250255469576</v>
      </c>
      <c r="EL14" s="16">
        <f t="shared" ref="EL14" si="236">EL12+EL13</f>
        <v>1695.4883816800057</v>
      </c>
      <c r="EM14" s="16">
        <f t="shared" ref="EM14" si="237">EM12+EM13</f>
        <v>1734.9172774968572</v>
      </c>
      <c r="EN14" s="16">
        <f t="shared" ref="EN14" si="238">EN12+EN13</f>
        <v>1563.0131122349567</v>
      </c>
      <c r="EO14" s="16">
        <f t="shared" ref="EO14" si="239">EO12+EO13</f>
        <v>1427.9815535772914</v>
      </c>
      <c r="EP14" s="16">
        <f t="shared" ref="EP14" si="240">EP12+EP13</f>
        <v>1197.1990843819904</v>
      </c>
      <c r="EQ14" s="16">
        <f t="shared" ref="EQ14" si="241">EQ12+EQ13</f>
        <v>966.77514873567623</v>
      </c>
      <c r="ER14" s="16">
        <f t="shared" ref="ER14" si="242">ER12+ER13</f>
        <v>588.14145502578219</v>
      </c>
      <c r="ES14" s="16">
        <f t="shared" ref="ES14" si="243">ES12+ES13</f>
        <v>156.39850942548946</v>
      </c>
      <c r="ET14" s="16">
        <f t="shared" ref="ET14" si="244">ET12+ET13</f>
        <v>32.413373850203612</v>
      </c>
      <c r="EU14" s="11">
        <f t="shared" si="71"/>
        <v>27209.330849776798</v>
      </c>
      <c r="EV14" s="11">
        <f t="shared" si="41"/>
        <v>1648.4036743451602</v>
      </c>
      <c r="EW14" s="11">
        <f t="shared" si="42"/>
        <v>736.30288014590758</v>
      </c>
      <c r="EX14" s="11">
        <f t="shared" si="10"/>
        <v>7666.8395147282472</v>
      </c>
      <c r="EY14" s="11">
        <f t="shared" si="43"/>
        <v>4368.9091249964331</v>
      </c>
      <c r="EZ14" s="15">
        <f t="shared" si="44"/>
        <v>0.28177243891284959</v>
      </c>
      <c r="FA14" s="15">
        <f t="shared" si="45"/>
        <v>0.16056657729354898</v>
      </c>
      <c r="FB14" s="11">
        <f t="shared" si="72"/>
        <v>5622.9046698401344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421.85539080343403</v>
      </c>
      <c r="BL15" s="9">
        <f>IF(管理者入力シート!$B$14=1,BK12*管理者用人口入力シート!AM$3,IF(管理者入力シート!$B$14=2,BK12*管理者用人口入力シート!AM$7))</f>
        <v>460.27812067360964</v>
      </c>
      <c r="BM15" s="9">
        <f>IF(管理者入力シート!$B$14=1,BL12*管理者用人口入力シート!AN$3,IF(管理者入力シート!$B$14=2,BL12*管理者用人口入力シート!AN$7))</f>
        <v>468.16523677926733</v>
      </c>
      <c r="BN15" s="9">
        <f>IF(管理者入力シート!$B$14=1,BM12*管理者用人口入力シート!AO$3,IF(管理者入力シート!$B$14=2,BM12*管理者用人口入力シート!AO$7))</f>
        <v>424.2686320679835</v>
      </c>
      <c r="BO15" s="9">
        <f>IF(管理者入力シート!$B$14=1,BN12*管理者用人口入力シート!AP$3,IF(管理者入力シート!$B$14=2,BN12*管理者用人口入力シート!AP$7))</f>
        <v>304.83207486836187</v>
      </c>
      <c r="BP15" s="9">
        <f>IF(管理者入力シート!$B$14=1,BO12*管理者用人口入力シート!AQ$3,IF(管理者入力シート!$B$14=2,BO12*管理者用人口入力シート!AQ$7))</f>
        <v>413.74566033022217</v>
      </c>
      <c r="BQ15" s="9">
        <f>IF(管理者入力シート!$B$14=1,BP12*管理者用人口入力シート!AR$3,IF(管理者入力シート!$B$14=2,BP12*管理者用人口入力シート!AR$7))</f>
        <v>493.24520241056882</v>
      </c>
      <c r="BR15" s="9">
        <f>IF(管理者入力シート!$B$14=1,BQ12*管理者用人口入力シート!AS$3,IF(管理者入力シート!$B$14=2,BQ12*管理者用人口入力シート!AS$7))</f>
        <v>506.30487635022365</v>
      </c>
      <c r="BS15" s="9">
        <f>IF(管理者入力シート!$B$14=1,BR12*管理者用人口入力シート!AT$3,IF(管理者入力シート!$B$14=2,BR12*管理者用人口入力シート!AT$7))</f>
        <v>493.03410704610798</v>
      </c>
      <c r="BT15" s="9">
        <f>IF(管理者入力シート!$B$14=1,BS12*管理者用人口入力シート!AU$3,IF(管理者入力シート!$B$14=2,BS12*管理者用人口入力シート!AU$7))</f>
        <v>567.06782378980711</v>
      </c>
      <c r="BU15" s="9">
        <f>IF(管理者入力シート!$B$14=1,BT12*管理者用人口入力シート!AV$3,IF(管理者入力シート!$B$14=2,BT12*管理者用人口入力シート!AV$7))</f>
        <v>627.64798655127152</v>
      </c>
      <c r="BV15" s="9">
        <f>IF(管理者入力シート!$B$14=1,BU12*管理者用人口入力シート!AW$3,IF(管理者入力シート!$B$14=2,BU12*管理者用人口入力シート!AW$7))</f>
        <v>581.50342672983709</v>
      </c>
      <c r="BW15" s="9">
        <f>IF(管理者入力シート!$B$14=1,BV12*管理者用人口入力シート!AX$3,IF(管理者入力シート!$B$14=2,BV12*管理者用人口入力シート!AX$7))</f>
        <v>693.0787453305918</v>
      </c>
      <c r="BX15" s="9">
        <f>IF(管理者入力シート!$B$14=1,BW12*管理者用人口入力シート!AY$3,IF(管理者入力シート!$B$14=2,BW12*管理者用人口入力シート!AY$7))</f>
        <v>763.3226204933228</v>
      </c>
      <c r="BY15" s="9">
        <f>IF(管理者入力シート!$B$14=1,BX12*管理者用人口入力シート!AZ$3,IF(管理者入力シート!$B$14=2,BX12*管理者用人口入力シート!AZ$7))</f>
        <v>769.21980258822498</v>
      </c>
      <c r="BZ15" s="9">
        <f>IF(管理者入力シート!$B$14=1,BY12*管理者用人口入力シート!BA$3,IF(管理者入力シート!$B$14=2,BY12*管理者用人口入力シート!BA$7))</f>
        <v>606.66664786263232</v>
      </c>
      <c r="CA15" s="9">
        <f>IF(管理者入力シート!$B$14=1,BZ12*管理者用人口入力シート!BB$3,IF(管理者入力シート!$B$14=2,BZ12*管理者用人口入力シート!BB$7))</f>
        <v>530.18627473891956</v>
      </c>
      <c r="CB15" s="9">
        <f>IF(管理者入力シート!$B$14=1,CA12*管理者用人口入力シート!BC$3,IF(管理者入力シート!$B$14=2,CA12*管理者用人口入力シート!BC$7))</f>
        <v>353.0374725379956</v>
      </c>
      <c r="CC15" s="9">
        <f>IF(管理者入力シート!$B$14=1,CB12*管理者用人口入力シート!BD$3,IF(管理者入力シート!$B$14=2,CB12*管理者用人口入力シート!BD$7))</f>
        <v>164.68540835599691</v>
      </c>
      <c r="CD15" s="9">
        <f>IF(管理者入力シート!$B$14=1,CC12*管理者用人口入力シート!BE$3,IF(管理者入力シート!$B$14=2,CC12*管理者用人口入力シート!BE$7))</f>
        <v>30.108599687189059</v>
      </c>
      <c r="CE15" s="9">
        <f>IF(管理者入力シート!$B$14=1,CD12*管理者用人口入力シート!BF$3,IF(管理者入力シート!$B$14=2,CD12*管理者用人口入力シート!BF$7))</f>
        <v>0.48332200797087749</v>
      </c>
      <c r="CF15" s="9">
        <f t="shared" ref="CF15:CF20" si="252">SUM(BK15:CE15)</f>
        <v>9672.7374320035378</v>
      </c>
      <c r="CG15" s="9">
        <f t="shared" ref="CG15:CG20" si="253">BL15*3/5+BM15*3/5</f>
        <v>557.06601447172613</v>
      </c>
      <c r="CH15" s="9">
        <f t="shared" ref="CH15:CH20" si="254">BM15*2/5+BN15*1/5</f>
        <v>272.11982112530364</v>
      </c>
      <c r="CI15" s="9">
        <f t="shared" ref="CI15:CI20" si="255">SUM(BX15:CE15)</f>
        <v>3217.7101482722519</v>
      </c>
      <c r="CJ15" s="9">
        <f t="shared" ref="CJ15:CJ20" si="256">SUM(BZ15:CE15)</f>
        <v>1685.1677251907045</v>
      </c>
      <c r="CK15" s="13">
        <f t="shared" ref="CK15:CK20" si="257">CI15/CF15</f>
        <v>0.33265765465999625</v>
      </c>
      <c r="CL15" s="13">
        <f t="shared" ref="CL15:CL20" si="258">CJ15/CF15</f>
        <v>0.17421828484820678</v>
      </c>
      <c r="CM15" s="9">
        <f t="shared" ref="CM15:CM20" si="259">SUM(BO15:BR15)</f>
        <v>1718.1278139593765</v>
      </c>
      <c r="CO15" s="7" t="str">
        <f t="shared" si="26"/>
        <v>2045_1</v>
      </c>
      <c r="CP15" s="28">
        <f>管理者入力シート!B12</f>
        <v>2045</v>
      </c>
      <c r="CQ15" s="3" t="s">
        <v>21</v>
      </c>
      <c r="CR15" s="9">
        <f>DT16*$AK$13+将来予測シート②!$G17</f>
        <v>424.96772568115159</v>
      </c>
      <c r="CS15" s="9">
        <f>IF(管理者入力シート!$B$14=1,CR12*管理者用人口入力シート!AM$3,IF(管理者入力シート!$B$14=2,CR12*管理者用人口入力シート!AM$7))+将来予測シート②!$G18</f>
        <v>463.2402673612462</v>
      </c>
      <c r="CT15" s="9">
        <f>IF(管理者入力シート!$B$14=1,CS12*管理者用人口入力シート!AN$3,IF(管理者入力シート!$B$14=2,CS12*管理者用人口入力シート!AN$7))+将来予測シート②!$G19</f>
        <v>471.94603057121481</v>
      </c>
      <c r="CU15" s="9">
        <f>IF(管理者入力シート!$B$14=1,CT12*管理者用人口入力シート!AO$3,IF(管理者入力シート!$B$14=2,CT12*管理者用人口入力シート!AO$7))+将来予測シート②!$G20</f>
        <v>426.95491027387357</v>
      </c>
      <c r="CV15" s="9">
        <f>IF(管理者入力シート!$B$14=1,CU12*管理者用人口入力シート!AP$3,IF(管理者入力シート!$B$14=2,CU12*管理者用人口入力シート!AP$7))+将来予測シート②!$G21</f>
        <v>306.03612369847281</v>
      </c>
      <c r="CW15" s="9">
        <f>IF(管理者入力シート!$B$14=1,CV12*管理者用人口入力シート!AQ$3,IF(管理者入力シート!$B$14=2,CV12*管理者用人口入力シート!AQ$7))+将来予測シート②!$G22</f>
        <v>416.43754094591048</v>
      </c>
      <c r="CX15" s="9">
        <f>IF(管理者入力シート!$B$14=1,CW12*管理者用人口入力シート!AR$3,IF(管理者入力シート!$B$14=2,CW12*管理者用人口入力シート!AR$7))+将来予測シート②!$G23</f>
        <v>496.25713511116942</v>
      </c>
      <c r="CY15" s="9">
        <f>IF(管理者入力シート!$B$14=1,CX12*管理者用人口入力シート!AS$3,IF(管理者入力シート!$B$14=2,CX12*管理者用人口入力シート!AS$7))+将来予測シート②!$G24</f>
        <v>508.61646902445034</v>
      </c>
      <c r="CZ15" s="9">
        <f>IF(管理者入力シート!$B$14=1,CY12*管理者用人口入力シート!AT$3,IF(管理者入力シート!$B$14=2,CY12*管理者用人口入力シート!AT$7))+将来予測シート②!$G25</f>
        <v>495.43972007663371</v>
      </c>
      <c r="DA15" s="9">
        <f>IF(管理者入力シート!$B$14=1,CZ12*管理者用人口入力シート!AU$3,IF(管理者入力シート!$B$14=2,CZ12*管理者用人口入力シート!AU$7))+将来予測シート②!$G26</f>
        <v>569.43566623804929</v>
      </c>
      <c r="DB15" s="9">
        <f>IF(管理者入力シート!$B$14=1,DA12*管理者用人口入力シート!AV$3,IF(管理者入力シート!$B$14=2,DA12*管理者用人口入力シート!AV$7))+将来予測シート②!$G27</f>
        <v>627.64798655127152</v>
      </c>
      <c r="DC15" s="9">
        <f>IF(管理者入力シート!$B$14=1,DB12*管理者用人口入力シート!AW$3,IF(管理者入力シート!$B$14=2,DB12*管理者用人口入力シート!AW$7))+将来予測シート②!$G28</f>
        <v>581.50342672983709</v>
      </c>
      <c r="DD15" s="9">
        <f>IF(管理者入力シート!$B$14=1,DC12*管理者用人口入力シート!AX$3,IF(管理者入力シート!$B$14=2,DC12*管理者用人口入力シート!AX$7))+将来予測シート②!$G29</f>
        <v>693.0787453305918</v>
      </c>
      <c r="DE15" s="9">
        <f>IF(管理者入力シート!$B$14=1,DD12*管理者用人口入力シート!AY$3,IF(管理者入力シート!$B$14=2,DD12*管理者用人口入力シート!AY$7))</f>
        <v>763.3226204933228</v>
      </c>
      <c r="DF15" s="9">
        <f>IF(管理者入力シート!$B$14=1,DE12*管理者用人口入力シート!AZ$3,IF(管理者入力シート!$B$14=2,DE12*管理者用人口入力シート!AZ$7))</f>
        <v>769.21980258822498</v>
      </c>
      <c r="DG15" s="9">
        <f>IF(管理者入力シート!$B$14=1,DF12*管理者用人口入力シート!BA$3,IF(管理者入力シート!$B$14=2,DF12*管理者用人口入力シート!BA$7))</f>
        <v>606.66664786263232</v>
      </c>
      <c r="DH15" s="9">
        <f>IF(管理者入力シート!$B$14=1,DG12*管理者用人口入力シート!BB$3,IF(管理者入力シート!$B$14=2,DG12*管理者用人口入力シート!BB$7))</f>
        <v>530.18627473891956</v>
      </c>
      <c r="DI15" s="9">
        <f>IF(管理者入力シート!$B$14=1,DH12*管理者用人口入力シート!BC$3,IF(管理者入力シート!$B$14=2,DH12*管理者用人口入力シート!BC$7))</f>
        <v>353.0374725379956</v>
      </c>
      <c r="DJ15" s="9">
        <f>IF(管理者入力シート!$B$14=1,DI12*管理者用人口入力シート!BD$3,IF(管理者入力シート!$B$14=2,DI12*管理者用人口入力シート!BD$7))</f>
        <v>164.68540835599691</v>
      </c>
      <c r="DK15" s="9">
        <f>IF(管理者入力シート!$B$14=1,DJ12*管理者用人口入力シート!BE$3,IF(管理者入力シート!$B$14=2,DJ12*管理者用人口入力シート!BE$7))</f>
        <v>30.108599687189059</v>
      </c>
      <c r="DL15" s="9">
        <f>IF(管理者入力シート!$B$14=1,DK12*管理者用人口入力シート!BF$3,IF(管理者入力シート!$B$14=2,DK12*管理者用人口入力シート!BF$7))</f>
        <v>0.48332200797087749</v>
      </c>
      <c r="DM15" s="9">
        <f t="shared" ref="DM15:DM20" si="260">SUM(CR15:DL15)</f>
        <v>9699.2718958661244</v>
      </c>
      <c r="DN15" s="9">
        <f t="shared" ref="DN15:DN20" si="261">CS15*3/5+CT15*3/5</f>
        <v>561.11177875947658</v>
      </c>
      <c r="DO15" s="9">
        <f t="shared" ref="DO15:DO20" si="262">CT15*2/5+CU15*1/5</f>
        <v>274.16939428326066</v>
      </c>
      <c r="DP15" s="9">
        <f t="shared" ref="DP15:DP20" si="263">SUM(DE15:DL15)</f>
        <v>3217.7101482722519</v>
      </c>
      <c r="DQ15" s="9">
        <f t="shared" ref="DQ15:DQ20" si="264">SUM(DG15:DL15)</f>
        <v>1685.1677251907045</v>
      </c>
      <c r="DR15" s="13">
        <f t="shared" ref="DR15:DR20" si="265">DP15/DM15</f>
        <v>0.33174759742982929</v>
      </c>
      <c r="DS15" s="13">
        <f t="shared" ref="DS15:DS20" si="266">DQ15/DM15</f>
        <v>0.173741672909379</v>
      </c>
      <c r="DT15" s="9">
        <f t="shared" ref="DT15:DT20" si="267">SUM(CV15:CY15)</f>
        <v>1727.3472687800031</v>
      </c>
      <c r="DV15" s="62" t="s">
        <v>404</v>
      </c>
      <c r="DW15" s="211">
        <f>AK13+AK14</f>
        <v>0.44800167850921213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429.04976571147711</v>
      </c>
      <c r="BL16" s="10">
        <f>IF(管理者入力シート!$B$14=1,BK13*管理者用人口入力シート!AM$4,IF(管理者入力シート!$B$14=2,BK13*管理者用人口入力シート!AM$8))</f>
        <v>454.14972048244243</v>
      </c>
      <c r="BM16" s="10">
        <f>IF(管理者入力シート!$B$14=1,BL13*管理者用人口入力シート!AN$4,IF(管理者入力シート!$B$14=2,BL13*管理者用人口入力シート!AN$8))</f>
        <v>476.87034266122163</v>
      </c>
      <c r="BN16" s="10">
        <f>IF(管理者入力シート!$B$14=1,BM13*管理者用人口入力シート!AO$4,IF(管理者入力シート!$B$14=2,BM13*管理者用人口入力シート!AO$8))</f>
        <v>465.71573409465879</v>
      </c>
      <c r="BO16" s="10">
        <f>IF(管理者入力シート!$B$14=1,BN13*管理者用人口入力シート!AP$4,IF(管理者入力シート!$B$14=2,BN13*管理者用人口入力シート!AP$8))</f>
        <v>374.28140990160739</v>
      </c>
      <c r="BP16" s="10">
        <f>IF(管理者入力シート!$B$14=1,BO13*管理者用人口入力シート!AQ$4,IF(管理者入力シート!$B$14=2,BO13*管理者用人口入力シート!AQ$8))</f>
        <v>462.31983604948948</v>
      </c>
      <c r="BQ16" s="10">
        <f>IF(管理者入力シート!$B$14=1,BP13*管理者用人口入力シート!AR$4,IF(管理者入力シート!$B$14=2,BP13*管理者用人口入力シート!AR$8))</f>
        <v>519.83989553229196</v>
      </c>
      <c r="BR16" s="10">
        <f>IF(管理者入力シート!$B$14=1,BQ13*管理者用人口入力シート!AS$4,IF(管理者入力シート!$B$14=2,BQ13*管理者用人口入力シート!AS$8))</f>
        <v>542.89360955240272</v>
      </c>
      <c r="BS16" s="10">
        <f>IF(管理者入力シート!$B$14=1,BR13*管理者用人口入力シート!AT$4,IF(管理者入力シート!$B$14=2,BR13*管理者用人口入力シート!AT$8))</f>
        <v>516.52182271445622</v>
      </c>
      <c r="BT16" s="10">
        <f>IF(管理者入力シート!$B$14=1,BS13*管理者用人口入力シート!AU$4,IF(管理者入力シート!$B$14=2,BS13*管理者用人口入力シート!AU$8))</f>
        <v>581.11188716649065</v>
      </c>
      <c r="BU16" s="10">
        <f>IF(管理者入力シート!$B$14=1,BT13*管理者用人口入力シート!AV$4,IF(管理者入力シート!$B$14=2,BT13*管理者用人口入力シート!AV$8))</f>
        <v>616.55909662721217</v>
      </c>
      <c r="BV16" s="10">
        <f>IF(管理者入力シート!$B$14=1,BU13*管理者用人口入力シート!AW$4,IF(管理者入力シート!$B$14=2,BU13*管理者用人口入力シート!AW$8))</f>
        <v>709.20642422450805</v>
      </c>
      <c r="BW16" s="10">
        <f>IF(管理者入力シート!$B$14=1,BV13*管理者用人口入力シート!AX$4,IF(管理者入力シート!$B$14=2,BV13*管理者用人口入力シート!AX$8))</f>
        <v>829.71301960745825</v>
      </c>
      <c r="BX16" s="10">
        <f>IF(管理者入力シート!$B$14=1,BW13*管理者用人口入力シート!AY$4,IF(管理者入力シート!$B$14=2,BW13*管理者用人口入力シート!AY$8))</f>
        <v>877.28927921312163</v>
      </c>
      <c r="BY16" s="10">
        <f>IF(管理者入力シート!$B$14=1,BX13*管理者用人口入力シート!AZ$4,IF(管理者入力シート!$B$14=2,BX13*管理者用人口入力シート!AZ$8))</f>
        <v>897.22680789073115</v>
      </c>
      <c r="BZ16" s="10">
        <f>IF(管理者入力シート!$B$14=1,BY13*管理者用人口入力シート!BA$4,IF(管理者入力シート!$B$14=2,BY13*管理者用人口入力シート!BA$8))</f>
        <v>820.34294133799835</v>
      </c>
      <c r="CA16" s="10">
        <f>IF(管理者入力シート!$B$14=1,BZ13*管理者用人口入力シート!BB$4,IF(管理者入力シート!$B$14=2,BZ13*管理者用人口入力シート!BB$8))</f>
        <v>708.47303942447661</v>
      </c>
      <c r="CB16" s="10">
        <f>IF(管理者入力シート!$B$14=1,CA13*管理者用人口入力シート!BC$4,IF(管理者入力シート!$B$14=2,CA13*管理者用人口入力シート!BC$8))</f>
        <v>565.9192688535494</v>
      </c>
      <c r="CC16" s="10">
        <f>IF(管理者入力シート!$B$14=1,CB13*管理者用人口入力シート!BD$4,IF(管理者入力シート!$B$14=2,CB13*管理者用人口入力シート!BD$8))</f>
        <v>385.62849744501443</v>
      </c>
      <c r="CD16" s="10">
        <f>IF(管理者入力シート!$B$14=1,CC13*管理者用人口入力シート!BE$4,IF(管理者入力シート!$B$14=2,CC13*管理者用人口入力シート!BE$8))</f>
        <v>156.8437946938995</v>
      </c>
      <c r="CE16" s="10">
        <f>IF(管理者入力シート!$B$14=1,CD13*管理者用人口入力シート!BF$4,IF(管理者入力シート!$B$14=2,CD13*管理者用人口入力シート!BF$8))</f>
        <v>32.912238879557123</v>
      </c>
      <c r="CF16" s="10">
        <f t="shared" si="252"/>
        <v>11422.868432064062</v>
      </c>
      <c r="CG16" s="10">
        <f t="shared" si="253"/>
        <v>558.61203788619832</v>
      </c>
      <c r="CH16" s="10">
        <f t="shared" si="254"/>
        <v>283.89128388342039</v>
      </c>
      <c r="CI16" s="10">
        <f t="shared" si="255"/>
        <v>4444.6358677383478</v>
      </c>
      <c r="CJ16" s="10">
        <f t="shared" si="256"/>
        <v>2670.1197806344953</v>
      </c>
      <c r="CK16" s="14">
        <f t="shared" si="257"/>
        <v>0.38909980397412502</v>
      </c>
      <c r="CL16" s="14">
        <f t="shared" si="258"/>
        <v>0.23375212596684145</v>
      </c>
      <c r="CM16" s="10">
        <f t="shared" si="259"/>
        <v>1899.3347510357917</v>
      </c>
      <c r="CO16" s="7" t="str">
        <f t="shared" si="26"/>
        <v>2045_2</v>
      </c>
      <c r="CP16" s="29">
        <f>CP15</f>
        <v>2045</v>
      </c>
      <c r="CQ16" s="4" t="s">
        <v>22</v>
      </c>
      <c r="CR16" s="10">
        <f>DT16*$AK$14+将来予測シート②!$H17</f>
        <v>432.19812461395031</v>
      </c>
      <c r="CS16" s="10">
        <f>IF(管理者入力シート!$B$14=1,CR13*管理者用人口入力シート!AM$4,IF(管理者入力シート!$B$14=2,CR13*管理者用人口入力シート!AM$8))+将来予測シート②!$H18</f>
        <v>457.05467889027233</v>
      </c>
      <c r="CT16" s="10">
        <f>IF(管理者入力シート!$B$14=1,CS13*管理者用人口入力シート!AN$4,IF(管理者入力シート!$B$14=2,CS13*管理者用人口入力シート!AN$8))+将来予測シート②!$H19</f>
        <v>480.68452356046856</v>
      </c>
      <c r="CU16" s="10">
        <f>IF(管理者入力シート!$B$14=1,CT13*管理者用人口入力シート!AO$4,IF(管理者入力シート!$B$14=2,CT13*管理者用人口入力シート!AO$8))+将来予測シート②!$H20</f>
        <v>468.62961824823407</v>
      </c>
      <c r="CV16" s="10">
        <f>IF(管理者入力シート!$B$14=1,CU13*管理者用人口入力シート!AP$4,IF(管理者入力シート!$B$14=2,CU13*管理者用人口入力シート!AP$8))+将来予測シート②!$H21</f>
        <v>375.73392518889096</v>
      </c>
      <c r="CW16" s="10">
        <f>IF(管理者入力シート!$B$14=1,CV13*管理者用人口入力シート!AQ$4,IF(管理者入力シート!$B$14=2,CV13*管理者用人口入力シート!AQ$8))+将来予測シート②!$H22</f>
        <v>465.07883135133807</v>
      </c>
      <c r="CX16" s="10">
        <f>IF(管理者入力シート!$B$14=1,CW13*管理者用人口入力シート!AR$4,IF(管理者入力シート!$B$14=2,CW13*管理者用人口入力シート!AR$8))+将来予測シート②!$H23</f>
        <v>522.85135725579505</v>
      </c>
      <c r="CY16" s="10">
        <f>IF(管理者入力シート!$B$14=1,CX13*管理者用人口入力シート!AS$4,IF(管理者入力シート!$B$14=2,CX13*管理者用人口入力シート!AS$8))+将来予測シート②!$H24</f>
        <v>545.18107879518482</v>
      </c>
      <c r="CZ16" s="10">
        <f>IF(管理者入力シート!$B$14=1,CY13*管理者用人口入力シート!AT$4,IF(管理者入力シート!$B$14=2,CY13*管理者用人口入力シート!AT$8))+将来予測シート②!$H25</f>
        <v>519.83462941096025</v>
      </c>
      <c r="DA16" s="10">
        <f>IF(管理者入力シート!$B$14=1,CZ13*管理者用人口入力シート!AU$4,IF(管理者入力シート!$B$14=2,CZ13*管理者用人口入力シート!AU$8))+将来予測シート②!$H26</f>
        <v>584.49006247879424</v>
      </c>
      <c r="DB16" s="10">
        <f>IF(管理者入力シート!$B$14=1,DA13*管理者用人口入力シート!AV$4,IF(管理者入力シート!$B$14=2,DA13*管理者用人口入力シート!AV$8))+将来予測シート②!$H27</f>
        <v>617.55510394629073</v>
      </c>
      <c r="DC16" s="10">
        <f>IF(管理者入力シート!$B$14=1,DB13*管理者用人口入力シート!AW$4,IF(管理者入力シート!$B$14=2,DB13*管理者用人口入力シート!AW$8))+将来予測シート②!$H28</f>
        <v>710.18961354888972</v>
      </c>
      <c r="DD16" s="10">
        <f>IF(管理者入力シート!$B$14=1,DC13*管理者用人口入力シート!AX$4,IF(管理者入力シート!$B$14=2,DC13*管理者用人口入力シート!AX$8))+将来予測シート②!$H29</f>
        <v>830.69061016217904</v>
      </c>
      <c r="DE16" s="10">
        <f>IF(管理者入力シート!$B$14=1,DD13*管理者用人口入力シート!AY$4,IF(管理者入力シート!$B$14=2,DD13*管理者用人口入力シート!AY$8))</f>
        <v>877.28927921312163</v>
      </c>
      <c r="DF16" s="10">
        <f>IF(管理者入力シート!$B$14=1,DE13*管理者用人口入力シート!AZ$4,IF(管理者入力シート!$B$14=2,DE13*管理者用人口入力シート!AZ$8))</f>
        <v>897.22680789073115</v>
      </c>
      <c r="DG16" s="10">
        <f>IF(管理者入力シート!$B$14=1,DF13*管理者用人口入力シート!BA$4,IF(管理者入力シート!$B$14=2,DF13*管理者用人口入力シート!BA$8))</f>
        <v>820.34294133799835</v>
      </c>
      <c r="DH16" s="10">
        <f>IF(管理者入力シート!$B$14=1,DG13*管理者用人口入力シート!BB$4,IF(管理者入力シート!$B$14=2,DG13*管理者用人口入力シート!BB$8))</f>
        <v>708.47303942447661</v>
      </c>
      <c r="DI16" s="10">
        <f>IF(管理者入力シート!$B$14=1,DH13*管理者用人口入力シート!BC$4,IF(管理者入力シート!$B$14=2,DH13*管理者用人口入力シート!BC$8))</f>
        <v>565.9192688535494</v>
      </c>
      <c r="DJ16" s="10">
        <f>IF(管理者入力シート!$B$14=1,DI13*管理者用人口入力シート!BD$4,IF(管理者入力シート!$B$14=2,DI13*管理者用人口入力シート!BD$8))</f>
        <v>385.62849744501443</v>
      </c>
      <c r="DK16" s="10">
        <f>IF(管理者入力シート!$B$14=1,DJ13*管理者用人口入力シート!BE$4,IF(管理者入力シート!$B$14=2,DJ13*管理者用人口入力シート!BE$8))</f>
        <v>156.8437946938995</v>
      </c>
      <c r="DL16" s="10">
        <f>IF(管理者入力シート!$B$14=1,DK13*管理者用人口入力シート!BF$4,IF(管理者入力シート!$B$14=2,DK13*管理者用人口入力シート!BF$8))</f>
        <v>32.912238879557123</v>
      </c>
      <c r="DM16" s="10">
        <f t="shared" si="260"/>
        <v>11454.808025189594</v>
      </c>
      <c r="DN16" s="10">
        <f t="shared" si="261"/>
        <v>562.64352147044451</v>
      </c>
      <c r="DO16" s="10">
        <f t="shared" si="262"/>
        <v>285.99973307383425</v>
      </c>
      <c r="DP16" s="10">
        <f t="shared" si="263"/>
        <v>4444.6358677383478</v>
      </c>
      <c r="DQ16" s="10">
        <f t="shared" si="264"/>
        <v>2670.1197806344953</v>
      </c>
      <c r="DR16" s="14">
        <f t="shared" si="265"/>
        <v>0.38801487183062439</v>
      </c>
      <c r="DS16" s="14">
        <f t="shared" si="266"/>
        <v>0.23310035181408473</v>
      </c>
      <c r="DT16" s="10">
        <f t="shared" si="267"/>
        <v>1908.8451925912091</v>
      </c>
      <c r="DV16" s="212" t="s">
        <v>406</v>
      </c>
      <c r="DW16" s="7">
        <f>IF(DW10&lt;0,ABS(DW10)/DW15,0)</f>
        <v>274.04132295372091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850.90515651491114</v>
      </c>
      <c r="BL17" s="16">
        <f t="shared" ref="BL17:CE17" si="268">BL15+BL16</f>
        <v>914.42784115605207</v>
      </c>
      <c r="BM17" s="16">
        <f t="shared" si="268"/>
        <v>945.03557944048896</v>
      </c>
      <c r="BN17" s="16">
        <f t="shared" si="268"/>
        <v>889.98436616264235</v>
      </c>
      <c r="BO17" s="16">
        <f t="shared" si="268"/>
        <v>679.11348476996932</v>
      </c>
      <c r="BP17" s="16">
        <f t="shared" si="268"/>
        <v>876.0654963797117</v>
      </c>
      <c r="BQ17" s="16">
        <f t="shared" si="268"/>
        <v>1013.0850979428608</v>
      </c>
      <c r="BR17" s="16">
        <f t="shared" si="268"/>
        <v>1049.1984859026263</v>
      </c>
      <c r="BS17" s="16">
        <f t="shared" si="268"/>
        <v>1009.5559297605641</v>
      </c>
      <c r="BT17" s="16">
        <f t="shared" si="268"/>
        <v>1148.1797109562976</v>
      </c>
      <c r="BU17" s="16">
        <f t="shared" si="268"/>
        <v>1244.2070831784836</v>
      </c>
      <c r="BV17" s="16">
        <f t="shared" si="268"/>
        <v>1290.7098509543453</v>
      </c>
      <c r="BW17" s="16">
        <f t="shared" si="268"/>
        <v>1522.7917649380502</v>
      </c>
      <c r="BX17" s="16">
        <f t="shared" si="268"/>
        <v>1640.6118997064445</v>
      </c>
      <c r="BY17" s="16">
        <f t="shared" si="268"/>
        <v>1666.4466104789562</v>
      </c>
      <c r="BZ17" s="16">
        <f t="shared" si="268"/>
        <v>1427.0095892006307</v>
      </c>
      <c r="CA17" s="16">
        <f t="shared" si="268"/>
        <v>1238.6593141633962</v>
      </c>
      <c r="CB17" s="16">
        <f t="shared" si="268"/>
        <v>918.95674139154494</v>
      </c>
      <c r="CC17" s="16">
        <f t="shared" si="268"/>
        <v>550.31390580101129</v>
      </c>
      <c r="CD17" s="16">
        <f t="shared" si="268"/>
        <v>186.95239438108857</v>
      </c>
      <c r="CE17" s="16">
        <f t="shared" si="268"/>
        <v>33.395560887527999</v>
      </c>
      <c r="CF17" s="11">
        <f t="shared" si="252"/>
        <v>21095.605864067609</v>
      </c>
      <c r="CG17" s="11">
        <f t="shared" si="253"/>
        <v>1115.6780523579246</v>
      </c>
      <c r="CH17" s="11">
        <f t="shared" si="254"/>
        <v>556.01110500872403</v>
      </c>
      <c r="CI17" s="11">
        <f t="shared" si="255"/>
        <v>7662.3460160105997</v>
      </c>
      <c r="CJ17" s="11">
        <f t="shared" si="256"/>
        <v>4355.2875058251984</v>
      </c>
      <c r="CK17" s="15">
        <f t="shared" si="257"/>
        <v>0.36322000256280684</v>
      </c>
      <c r="CL17" s="15">
        <f t="shared" si="258"/>
        <v>0.20645472492655972</v>
      </c>
      <c r="CM17" s="11">
        <f t="shared" si="259"/>
        <v>3617.4625649951677</v>
      </c>
      <c r="CO17" s="7" t="str">
        <f t="shared" si="26"/>
        <v>2045_3</v>
      </c>
      <c r="CP17" s="30">
        <f>CP16</f>
        <v>2045</v>
      </c>
      <c r="CQ17" s="5" t="s">
        <v>23</v>
      </c>
      <c r="CR17" s="16">
        <f>CR15+CR16</f>
        <v>857.1658502951019</v>
      </c>
      <c r="CS17" s="16">
        <f>CS15+CS16</f>
        <v>920.29494625151847</v>
      </c>
      <c r="CT17" s="16">
        <f t="shared" ref="CT17:DL17" si="269">CT15+CT16</f>
        <v>952.63055413168331</v>
      </c>
      <c r="CU17" s="16">
        <f t="shared" si="269"/>
        <v>895.58452852210758</v>
      </c>
      <c r="CV17" s="16">
        <f t="shared" si="269"/>
        <v>681.77004888736383</v>
      </c>
      <c r="CW17" s="16">
        <f t="shared" si="269"/>
        <v>881.51637229724861</v>
      </c>
      <c r="CX17" s="16">
        <f t="shared" si="269"/>
        <v>1019.1084923669645</v>
      </c>
      <c r="CY17" s="16">
        <f t="shared" si="269"/>
        <v>1053.7975478196352</v>
      </c>
      <c r="CZ17" s="16">
        <f t="shared" si="269"/>
        <v>1015.274349487594</v>
      </c>
      <c r="DA17" s="16">
        <f t="shared" si="269"/>
        <v>1153.9257287168434</v>
      </c>
      <c r="DB17" s="16">
        <f t="shared" si="269"/>
        <v>1245.2030904975622</v>
      </c>
      <c r="DC17" s="16">
        <f t="shared" si="269"/>
        <v>1291.6930402787268</v>
      </c>
      <c r="DD17" s="16">
        <f t="shared" si="269"/>
        <v>1523.769355492771</v>
      </c>
      <c r="DE17" s="16">
        <f t="shared" si="269"/>
        <v>1640.6118997064445</v>
      </c>
      <c r="DF17" s="16">
        <f t="shared" si="269"/>
        <v>1666.4466104789562</v>
      </c>
      <c r="DG17" s="16">
        <f t="shared" si="269"/>
        <v>1427.0095892006307</v>
      </c>
      <c r="DH17" s="16">
        <f t="shared" si="269"/>
        <v>1238.6593141633962</v>
      </c>
      <c r="DI17" s="16">
        <f t="shared" si="269"/>
        <v>918.95674139154494</v>
      </c>
      <c r="DJ17" s="16">
        <f t="shared" si="269"/>
        <v>550.31390580101129</v>
      </c>
      <c r="DK17" s="16">
        <f t="shared" si="269"/>
        <v>186.95239438108857</v>
      </c>
      <c r="DL17" s="16">
        <f t="shared" si="269"/>
        <v>33.395560887527999</v>
      </c>
      <c r="DM17" s="11">
        <f t="shared" si="260"/>
        <v>21154.079921055727</v>
      </c>
      <c r="DN17" s="11">
        <f t="shared" si="261"/>
        <v>1123.755300229921</v>
      </c>
      <c r="DO17" s="11">
        <f t="shared" si="262"/>
        <v>560.16912735709479</v>
      </c>
      <c r="DP17" s="11">
        <f t="shared" si="263"/>
        <v>7662.3460160105997</v>
      </c>
      <c r="DQ17" s="11">
        <f t="shared" si="264"/>
        <v>4355.2875058251984</v>
      </c>
      <c r="DR17" s="15">
        <f t="shared" si="265"/>
        <v>0.36221599070276173</v>
      </c>
      <c r="DS17" s="15">
        <f t="shared" si="266"/>
        <v>0.20588404327101745</v>
      </c>
      <c r="DT17" s="11">
        <f t="shared" si="267"/>
        <v>3636.1924613712117</v>
      </c>
      <c r="DV17" s="62" t="s">
        <v>407</v>
      </c>
      <c r="DW17" s="7">
        <f>IF(DW9&gt;=0,0,IF(AND(DW10&lt;=0,DW9&lt;=0,DW16*2&gt;=ABS(DW9)),ROUND(DW16/3,0),ROUND(ABS(DW9)/6,0)))</f>
        <v>154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399.960147427241</v>
      </c>
      <c r="BL18" s="9">
        <f>IF(管理者入力シート!$B$14=1,BK15*管理者用人口入力シート!AM$3,IF(管理者入力シート!$B$14=2,BK15*管理者用人口入力シート!AM$7))</f>
        <v>452.54697010610363</v>
      </c>
      <c r="BM18" s="9">
        <f>IF(管理者入力シート!$B$14=1,BL15*管理者用人口入力シート!AN$3,IF(管理者入力シート!$B$14=2,BL15*管理者用人口入力シート!AN$7))</f>
        <v>460.19370575395186</v>
      </c>
      <c r="BN18" s="9">
        <f>IF(管理者入力シート!$B$14=1,BM15*管理者用人口入力シート!AO$3,IF(管理者入力シート!$B$14=2,BM15*管理者用人口入力シート!AO$7))</f>
        <v>409.77645134706148</v>
      </c>
      <c r="BO18" s="9">
        <f>IF(管理者入力シート!$B$14=1,BN15*管理者用人口入力シート!AP$3,IF(管理者入力シート!$B$14=2,BN15*管理者用人口入力シート!AP$7))</f>
        <v>281.59873226811573</v>
      </c>
      <c r="BP18" s="9">
        <f>IF(管理者入力シート!$B$14=1,BO15*管理者用人口入力シート!AQ$3,IF(管理者入力シート!$B$14=2,BO15*管理者用人口入力シート!AQ$7))</f>
        <v>363.03978308728864</v>
      </c>
      <c r="BQ18" s="9">
        <f>IF(管理者入力シート!$B$14=1,BP15*管理者用人口入力シート!AR$3,IF(管理者入力シート!$B$14=2,BP15*管理者用人口入力シート!AR$7))</f>
        <v>462.93809495764179</v>
      </c>
      <c r="BR18" s="9">
        <f>IF(管理者入力シート!$B$14=1,BQ15*管理者用人口入力シート!AS$3,IF(管理者入力シート!$B$14=2,BQ15*管理者用人口入力シート!AS$7))</f>
        <v>509.51234967760763</v>
      </c>
      <c r="BS18" s="9">
        <f>IF(管理者入力シート!$B$14=1,BR15*管理者用人口入力シート!AT$3,IF(管理者入力シート!$B$14=2,BR15*管理者用人口入力シート!AT$7))</f>
        <v>526.8980221068598</v>
      </c>
      <c r="BT18" s="9">
        <f>IF(管理者入力シート!$B$14=1,BS15*管理者用人口入力シート!AU$3,IF(管理者入力シート!$B$14=2,BS15*管理者用人口入力シート!AU$7))</f>
        <v>485.29296785521967</v>
      </c>
      <c r="BU18" s="9">
        <f>IF(管理者入力シート!$B$14=1,BT15*管理者用人口入力シート!AV$3,IF(管理者入力シート!$B$14=2,BT15*管理者用人口入力シート!AV$7))</f>
        <v>555.98547798755942</v>
      </c>
      <c r="BV18" s="9">
        <f>IF(管理者入力シート!$B$14=1,BU15*管理者用人口入力シート!AW$3,IF(管理者入力シート!$B$14=2,BU15*管理者用人口入力シート!AW$7))</f>
        <v>613.13825933710223</v>
      </c>
      <c r="BW18" s="9">
        <f>IF(管理者入力シート!$B$14=1,BV15*管理者用人口入力シート!AX$3,IF(管理者入力シート!$B$14=2,BV15*管理者用人口入力シート!AX$7))</f>
        <v>588.13819389042067</v>
      </c>
      <c r="BX18" s="9">
        <f>IF(管理者入力シート!$B$14=1,BW15*管理者用人口入力シート!AY$3,IF(管理者入力シート!$B$14=2,BW15*管理者用人口入力シート!AY$7))</f>
        <v>655.55630931796395</v>
      </c>
      <c r="BY18" s="9">
        <f>IF(管理者入力シート!$B$14=1,BX15*管理者用人口入力シート!AZ$3,IF(管理者入力シート!$B$14=2,BX15*管理者用人口入力シート!AZ$7))</f>
        <v>728.47591776044567</v>
      </c>
      <c r="BZ18" s="9">
        <f>IF(管理者入力シート!$B$14=1,BY15*管理者用人口入力シート!BA$3,IF(管理者入力シート!$B$14=2,BY15*管理者用人口入力シート!BA$7))</f>
        <v>685.50440493376584</v>
      </c>
      <c r="CA18" s="9">
        <f>IF(管理者入力シート!$B$14=1,BZ15*管理者用人口入力シート!BB$3,IF(管理者入力シート!$B$14=2,BZ15*管理者用人口入力シート!BB$7))</f>
        <v>486.07773311485408</v>
      </c>
      <c r="CB18" s="9">
        <f>IF(管理者入力シート!$B$14=1,CA15*管理者用人口入力シート!BC$3,IF(管理者入力シート!$B$14=2,CA15*管理者用人口入力シート!BC$7))</f>
        <v>386.20170967797083</v>
      </c>
      <c r="CC18" s="9">
        <f>IF(管理者入力シート!$B$14=1,CB15*管理者用人口入力シート!BD$3,IF(管理者入力シート!$B$14=2,CB15*管理者用人口入力シート!BD$7))</f>
        <v>154.53187284644233</v>
      </c>
      <c r="CD18" s="9">
        <f>IF(管理者入力シート!$B$14=1,CC15*管理者用人口入力シート!BE$3,IF(管理者入力シート!$B$14=2,CC15*管理者用人口入力シート!BE$7))</f>
        <v>29.642239824918608</v>
      </c>
      <c r="CE18" s="9">
        <f>IF(管理者入力シート!$B$14=1,CD15*管理者用人口入力シート!BF$3,IF(管理者入力シート!$B$14=2,CD15*管理者用人口入力シート!BF$7))</f>
        <v>0.57722415365601865</v>
      </c>
      <c r="CF18" s="9">
        <f t="shared" si="252"/>
        <v>9235.5865674321903</v>
      </c>
      <c r="CG18" s="9">
        <f t="shared" si="253"/>
        <v>547.64440551603332</v>
      </c>
      <c r="CH18" s="9">
        <f t="shared" si="254"/>
        <v>266.03277257099307</v>
      </c>
      <c r="CI18" s="9">
        <f t="shared" si="255"/>
        <v>3126.5674116300174</v>
      </c>
      <c r="CJ18" s="9">
        <f t="shared" si="256"/>
        <v>1742.5351845516079</v>
      </c>
      <c r="CK18" s="13">
        <f t="shared" si="257"/>
        <v>0.33853479568426703</v>
      </c>
      <c r="CL18" s="13">
        <f t="shared" si="258"/>
        <v>0.188676179020007</v>
      </c>
      <c r="CM18" s="9">
        <f t="shared" si="259"/>
        <v>1617.0889599906536</v>
      </c>
      <c r="CO18" s="7" t="str">
        <f t="shared" si="26"/>
        <v>2050_1</v>
      </c>
      <c r="CP18" s="28">
        <f>管理者入力シート!B13</f>
        <v>2050</v>
      </c>
      <c r="CQ18" s="3" t="s">
        <v>21</v>
      </c>
      <c r="CR18" s="9">
        <f>DT19*$AK$13+将来予測シート②!$G17</f>
        <v>403.60424775695151</v>
      </c>
      <c r="CS18" s="9">
        <f>IF(管理者入力シート!$B$14=1,CR15*管理者用人口入力シート!AM$3,IF(管理者入力シート!$B$14=2,CR15*管理者用人口入力シート!AM$7))+将来予測シート②!$G18</f>
        <v>455.88573914775117</v>
      </c>
      <c r="CT18" s="9">
        <f>IF(管理者入力シート!$B$14=1,CS15*管理者用人口入力シート!AN$3,IF(管理者入力シート!$B$14=2,CS15*管理者用人口入力シート!AN$7))+将来予測シート②!$G19</f>
        <v>464.15530918445018</v>
      </c>
      <c r="CU18" s="9">
        <f>IF(管理者入力シート!$B$14=1,CT15*管理者用人口入力シート!AO$3,IF(管理者入力シート!$B$14=2,CT15*管理者用人口入力シート!AO$7))+将来予測シート②!$G20</f>
        <v>413.08571085978713</v>
      </c>
      <c r="CV18" s="9">
        <f>IF(管理者入力シート!$B$14=1,CU15*管理者用人口入力シート!AP$3,IF(管理者入力シート!$B$14=2,CU15*管理者用人口入力シート!AP$7))+将来予測シート②!$G21</f>
        <v>283.38168881998473</v>
      </c>
      <c r="CW18" s="9">
        <f>IF(管理者入力シート!$B$14=1,CV15*管理者用人口入力シート!AQ$3,IF(管理者入力シート!$B$14=2,CV15*管理者用人口入力シート!AQ$7))+将来予測シート②!$G22</f>
        <v>366.47374513442145</v>
      </c>
      <c r="CX18" s="9">
        <f>IF(管理者入力シート!$B$14=1,CW15*管理者用人口入力シート!AR$3,IF(管理者入力シート!$B$14=2,CW15*管理者用人口入力シート!AR$7))+将来予測シート②!$G23</f>
        <v>465.95002765824233</v>
      </c>
      <c r="CY18" s="9">
        <f>IF(管理者入力シート!$B$14=1,CX15*管理者用人口入力シート!AS$3,IF(管理者入力シート!$B$14=2,CX15*管理者用人口入力シート!AS$7))+将来予測シート②!$G24</f>
        <v>512.62361543316672</v>
      </c>
      <c r="CZ18" s="9">
        <f>IF(管理者入力シート!$B$14=1,CY15*管理者用人口入力シート!AT$3,IF(管理者入力シート!$B$14=2,CY15*管理者用人口入力シート!AT$7))+将来予測シート②!$G25</f>
        <v>529.30363513738541</v>
      </c>
      <c r="DA18" s="9">
        <f>IF(管理者入力シート!$B$14=1,CZ15*管理者用人口入力シート!AU$3,IF(管理者入力シート!$B$14=2,CZ15*管理者用人口入力シート!AU$7))+将来予測シート②!$G26</f>
        <v>487.66081030346197</v>
      </c>
      <c r="DB18" s="9">
        <f>IF(管理者入力シート!$B$14=1,DA15*管理者用人口入力シート!AV$3,IF(管理者入力シート!$B$14=2,DA15*管理者用人口入力シート!AV$7))+将来予測シート②!$G27</f>
        <v>558.30704510908447</v>
      </c>
      <c r="DC18" s="9">
        <f>IF(管理者入力シート!$B$14=1,DB15*管理者用人口入力シート!AW$3,IF(管理者入力シート!$B$14=2,DB15*管理者用人口入力シート!AW$7))+将来予測シート②!$G28</f>
        <v>613.13825933710223</v>
      </c>
      <c r="DD18" s="9">
        <f>IF(管理者入力シート!$B$14=1,DC15*管理者用人口入力シート!AX$3,IF(管理者入力シート!$B$14=2,DC15*管理者用人口入力シート!AX$7))+将来予測シート②!$G29</f>
        <v>588.13819389042067</v>
      </c>
      <c r="DE18" s="9">
        <f>IF(管理者入力シート!$B$14=1,DD15*管理者用人口入力シート!AY$3,IF(管理者入力シート!$B$14=2,DD15*管理者用人口入力シート!AY$7))</f>
        <v>655.55630931796395</v>
      </c>
      <c r="DF18" s="9">
        <f>IF(管理者入力シート!$B$14=1,DE15*管理者用人口入力シート!AZ$3,IF(管理者入力シート!$B$14=2,DE15*管理者用人口入力シート!AZ$7))</f>
        <v>728.47591776044567</v>
      </c>
      <c r="DG18" s="9">
        <f>IF(管理者入力シート!$B$14=1,DF15*管理者用人口入力シート!BA$3,IF(管理者入力シート!$B$14=2,DF15*管理者用人口入力シート!BA$7))</f>
        <v>685.50440493376584</v>
      </c>
      <c r="DH18" s="9">
        <f>IF(管理者入力シート!$B$14=1,DG15*管理者用人口入力シート!BB$3,IF(管理者入力シート!$B$14=2,DG15*管理者用人口入力シート!BB$7))</f>
        <v>486.07773311485408</v>
      </c>
      <c r="DI18" s="9">
        <f>IF(管理者入力シート!$B$14=1,DH15*管理者用人口入力シート!BC$3,IF(管理者入力シート!$B$14=2,DH15*管理者用人口入力シート!BC$7))</f>
        <v>386.20170967797083</v>
      </c>
      <c r="DJ18" s="9">
        <f>IF(管理者入力シート!$B$14=1,DI15*管理者用人口入力シート!BD$3,IF(管理者入力シート!$B$14=2,DI15*管理者用人口入力シート!BD$7))</f>
        <v>154.53187284644233</v>
      </c>
      <c r="DK18" s="9">
        <f>IF(管理者入力シート!$B$14=1,DJ15*管理者用人口入力シート!BE$3,IF(管理者入力シート!$B$14=2,DJ15*管理者用人口入力シート!BE$7))</f>
        <v>29.642239824918608</v>
      </c>
      <c r="DL18" s="9">
        <f>IF(管理者入力シート!$B$14=1,DK15*管理者用人口入力シート!BF$3,IF(管理者入力シート!$B$14=2,DK15*管理者用人口入力シート!BF$7))</f>
        <v>0.57722415365601865</v>
      </c>
      <c r="DM18" s="9">
        <f t="shared" si="260"/>
        <v>9268.2754394022268</v>
      </c>
      <c r="DN18" s="9">
        <f t="shared" si="261"/>
        <v>552.02462899932084</v>
      </c>
      <c r="DO18" s="9">
        <f t="shared" si="262"/>
        <v>268.27926584573748</v>
      </c>
      <c r="DP18" s="9">
        <f t="shared" si="263"/>
        <v>3126.5674116300174</v>
      </c>
      <c r="DQ18" s="9">
        <f t="shared" si="264"/>
        <v>1742.5351845516079</v>
      </c>
      <c r="DR18" s="13">
        <f t="shared" si="265"/>
        <v>0.33734079571459852</v>
      </c>
      <c r="DS18" s="13">
        <f t="shared" si="266"/>
        <v>0.18801072496654198</v>
      </c>
      <c r="DT18" s="9">
        <f t="shared" si="267"/>
        <v>1628.4290770458151</v>
      </c>
      <c r="DX18" s="288">
        <f>DX1</f>
        <v>154</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406.78111810012382</v>
      </c>
      <c r="BL19" s="10">
        <f>IF(管理者入力シート!$B$14=1,BK16*管理者用人口入力シート!AM$4,IF(管理者入力シート!$B$14=2,BK16*管理者用人口入力シート!AM$8))</f>
        <v>446.52150677525583</v>
      </c>
      <c r="BM19" s="10">
        <f>IF(管理者入力シート!$B$14=1,BL16*管理者用人口入力シート!AN$4,IF(管理者入力シート!$B$14=2,BL16*管理者用人口入力シート!AN$8))</f>
        <v>468.75058828191675</v>
      </c>
      <c r="BN19" s="10">
        <f>IF(管理者入力シート!$B$14=1,BM16*管理者用人口入力シート!AO$4,IF(管理者入力シート!$B$14=2,BM16*管理者用人口入力シート!AO$8))</f>
        <v>449.8078020135635</v>
      </c>
      <c r="BO19" s="10">
        <f>IF(管理者入力シート!$B$14=1,BN16*管理者用人口入力シート!AP$4,IF(管理者入力シート!$B$14=2,BN16*管理者用人口入力シート!AP$8))</f>
        <v>345.75485727783126</v>
      </c>
      <c r="BP19" s="10">
        <f>IF(管理者入力シート!$B$14=1,BO16*管理者用人口入力シート!AQ$4,IF(管理者入力シート!$B$14=2,BO16*管理者用人口入力シート!AQ$8))</f>
        <v>405.66103548348815</v>
      </c>
      <c r="BQ19" s="10">
        <f>IF(管理者入力シート!$B$14=1,BP16*管理者用人口入力シート!AR$4,IF(管理者入力シート!$B$14=2,BP16*管理者用人口入力シート!AR$8))</f>
        <v>504.62517618149968</v>
      </c>
      <c r="BR19" s="10">
        <f>IF(管理者入力シート!$B$14=1,BQ16*管理者用人口入力シート!AS$4,IF(管理者入力シート!$B$14=2,BQ16*管理者用人口入力シート!AS$8))</f>
        <v>544.71393762748789</v>
      </c>
      <c r="BS19" s="10">
        <f>IF(管理者入力シート!$B$14=1,BR16*管理者用人口入力シート!AT$4,IF(管理者入力シート!$B$14=2,BR16*管理者用人口入力シート!AT$8))</f>
        <v>548.90704197402658</v>
      </c>
      <c r="BT19" s="10">
        <f>IF(管理者入力シート!$B$14=1,BS16*管理者用人口入力シート!AU$4,IF(管理者入力シート!$B$14=2,BS16*管理者用人口入力シート!AU$8))</f>
        <v>526.7138802880628</v>
      </c>
      <c r="BU19" s="10">
        <f>IF(管理者入力シート!$B$14=1,BT16*管理者用人口入力シート!AV$4,IF(管理者入力シート!$B$14=2,BT16*管理者用人口入力シート!AV$8))</f>
        <v>567.59191533849764</v>
      </c>
      <c r="BV19" s="10">
        <f>IF(管理者入力シート!$B$14=1,BU16*管理者用人口入力シート!AW$4,IF(管理者入力シート!$B$14=2,BU16*管理者用人口入力シート!AW$8))</f>
        <v>608.6243645430477</v>
      </c>
      <c r="BW19" s="10">
        <f>IF(管理者入力シート!$B$14=1,BV16*管理者用人口入力シート!AX$4,IF(管理者入力シート!$B$14=2,BV16*管理者用人口入力シート!AX$8))</f>
        <v>705.1678496460961</v>
      </c>
      <c r="BX19" s="10">
        <f>IF(管理者入力シート!$B$14=1,BW16*管理者用人口入力シート!AY$4,IF(管理者入力シート!$B$14=2,BW16*管理者用人口入力シート!AY$8))</f>
        <v>819.26705812807859</v>
      </c>
      <c r="BY19" s="10">
        <f>IF(管理者入力シート!$B$14=1,BX16*管理者用人口入力シート!AZ$4,IF(管理者入力シート!$B$14=2,BX16*管理者用人口入力シート!AZ$8))</f>
        <v>847.37425644755729</v>
      </c>
      <c r="BZ19" s="10">
        <f>IF(管理者入力シート!$B$14=1,BY16*管理者用人口入力シート!BA$4,IF(管理者入力シート!$B$14=2,BY16*管理者用人口入力シート!BA$8))</f>
        <v>834.26040129165517</v>
      </c>
      <c r="CA19" s="10">
        <f>IF(管理者入力シート!$B$14=1,BZ16*管理者用人口入力シート!BB$4,IF(管理者入力シート!$B$14=2,BZ16*管理者用人口入力シート!BB$8))</f>
        <v>758.47372345872134</v>
      </c>
      <c r="CB19" s="10">
        <f>IF(管理者入力シート!$B$14=1,CA16*管理者用人口入力シート!BC$4,IF(管理者入力シート!$B$14=2,CA16*管理者用人口入力シート!BC$8))</f>
        <v>562.68806104264957</v>
      </c>
      <c r="CC19" s="10">
        <f>IF(管理者入力シート!$B$14=1,CB16*管理者用人口入力シート!BD$4,IF(管理者入力シート!$B$14=2,CB16*管理者用人口入力シート!BD$8))</f>
        <v>369.5500976256339</v>
      </c>
      <c r="CD19" s="10">
        <f>IF(管理者入力シート!$B$14=1,CC16*管理者用人口入力シート!BE$4,IF(管理者入力シート!$B$14=2,CC16*管理者用人口入力シート!BE$8))</f>
        <v>143.71218404180959</v>
      </c>
      <c r="CE19" s="10">
        <f>IF(管理者入力シート!$B$14=1,CD16*管理者用人口入力シート!BF$4,IF(管理者入力シート!$B$14=2,CD16*管理者用人口入力シート!BF$8))</f>
        <v>39.348741867380433</v>
      </c>
      <c r="CF19" s="10">
        <f t="shared" si="252"/>
        <v>10904.295597434382</v>
      </c>
      <c r="CG19" s="10">
        <f t="shared" si="253"/>
        <v>549.16325703430357</v>
      </c>
      <c r="CH19" s="10">
        <f t="shared" si="254"/>
        <v>277.46179571547941</v>
      </c>
      <c r="CI19" s="10">
        <f t="shared" si="255"/>
        <v>4374.6745239034863</v>
      </c>
      <c r="CJ19" s="10">
        <f t="shared" si="256"/>
        <v>2708.0332093278498</v>
      </c>
      <c r="CK19" s="14">
        <f t="shared" si="257"/>
        <v>0.40118818174121967</v>
      </c>
      <c r="CL19" s="14">
        <f t="shared" si="258"/>
        <v>0.24834554283038782</v>
      </c>
      <c r="CM19" s="10">
        <f t="shared" si="259"/>
        <v>1800.7550065703069</v>
      </c>
      <c r="CO19" s="7" t="str">
        <f t="shared" si="26"/>
        <v>2050_2</v>
      </c>
      <c r="CP19" s="29">
        <f>CP18</f>
        <v>2050</v>
      </c>
      <c r="CQ19" s="4" t="s">
        <v>22</v>
      </c>
      <c r="CR19" s="10">
        <f>DT19*$AK$14+将来予測シート②!$H17</f>
        <v>410.47031124950928</v>
      </c>
      <c r="CS19" s="10">
        <f>IF(管理者入力シート!$B$14=1,CR16*管理者用人口入力シート!AM$4,IF(管理者入力シート!$B$14=2,CR16*管理者用人口入力シート!AM$8))+将来予測シート②!$H18</f>
        <v>449.79807297654582</v>
      </c>
      <c r="CT19" s="10">
        <f>IF(管理者入力シート!$B$14=1,CS16*管理者用人口入力シート!AN$4,IF(管理者入力シート!$B$14=2,CS16*管理者用人口入力シート!AN$8))+将来予測シート②!$H19</f>
        <v>472.74894081014958</v>
      </c>
      <c r="CU19" s="10">
        <f>IF(管理者入力シート!$B$14=1,CT16*管理者用人口入力シート!AO$4,IF(管理者入力シート!$B$14=2,CT16*管理者用人口入力シート!AO$8))+将来予測シート②!$H20</f>
        <v>453.40552695740894</v>
      </c>
      <c r="CV19" s="10">
        <f>IF(管理者入力シート!$B$14=1,CU16*管理者用人口入力シート!AP$4,IF(管理者入力シート!$B$14=2,CU16*管理者用人口入力シート!AP$8))+将来予測シート②!$H21</f>
        <v>347.91817177611017</v>
      </c>
      <c r="CW19" s="10">
        <f>IF(管理者入力シート!$B$14=1,CV16*管理者用人口入力シート!AQ$4,IF(管理者入力シート!$B$14=2,CV16*管理者用人口入力シート!AQ$8))+将来予測シート②!$H22</f>
        <v>409.23532915639578</v>
      </c>
      <c r="CX19" s="10">
        <f>IF(管理者入力シート!$B$14=1,CW16*管理者用人口入力シート!AR$4,IF(管理者入力シート!$B$14=2,CW16*管理者用人口入力シート!AR$8))+将来予測シート②!$H23</f>
        <v>507.63663790500277</v>
      </c>
      <c r="CY19" s="10">
        <f>IF(管理者入力シート!$B$14=1,CX16*管理者用人口入力シート!AS$4,IF(管理者入力シート!$B$14=2,CX16*管理者用人口入力シート!AS$8))+将来予測シート②!$H24</f>
        <v>547.86949607446729</v>
      </c>
      <c r="CZ19" s="10">
        <f>IF(管理者入力シート!$B$14=1,CY16*管理者用人口入力シート!AT$4,IF(管理者入力シート!$B$14=2,CY16*管理者用人口入力シート!AT$8))+将来予測シート②!$H25</f>
        <v>552.21984867053072</v>
      </c>
      <c r="DA19" s="10">
        <f>IF(管理者入力シート!$B$14=1,CZ16*管理者用人口入力シート!AU$4,IF(管理者入力シート!$B$14=2,CZ16*管理者用人口入力シート!AU$8))+将来予測シート②!$H26</f>
        <v>530.09205560036617</v>
      </c>
      <c r="DB19" s="10">
        <f>IF(管理者入力シート!$B$14=1,DA16*管理者用人口入力シート!AV$4,IF(管理者入力シート!$B$14=2,DA16*管理者用人口入力シート!AV$8))+将来予測シート②!$H27</f>
        <v>570.89149505490821</v>
      </c>
      <c r="DC19" s="10">
        <f>IF(管理者入力シート!$B$14=1,DB16*管理者用人口入力シート!AW$4,IF(管理者入力シート!$B$14=2,DB16*管理者用人口入力シート!AW$8))+将来予測シート②!$H28</f>
        <v>609.6075538674296</v>
      </c>
      <c r="DD19" s="10">
        <f>IF(管理者入力シート!$B$14=1,DC16*管理者用人口入力シート!AX$4,IF(管理者入力シート!$B$14=2,DC16*管理者用人口入力シート!AX$8))+将来予測シート②!$H29</f>
        <v>706.14544020081689</v>
      </c>
      <c r="DE19" s="10">
        <f>IF(管理者入力シート!$B$14=1,DD16*管理者用人口入力シート!AY$4,IF(管理者入力シート!$B$14=2,DD16*管理者用人口入力シート!AY$8))</f>
        <v>820.23234096550925</v>
      </c>
      <c r="DF19" s="10">
        <f>IF(管理者入力シート!$B$14=1,DE16*管理者用人口入力シート!AZ$4,IF(管理者入力シート!$B$14=2,DE16*管理者用人口入力シート!AZ$8))</f>
        <v>847.37425644755729</v>
      </c>
      <c r="DG19" s="10">
        <f>IF(管理者入力シート!$B$14=1,DF16*管理者用人口入力シート!BA$4,IF(管理者入力シート!$B$14=2,DF16*管理者用人口入力シート!BA$8))</f>
        <v>834.26040129165517</v>
      </c>
      <c r="DH19" s="10">
        <f>IF(管理者入力シート!$B$14=1,DG16*管理者用人口入力シート!BB$4,IF(管理者入力シート!$B$14=2,DG16*管理者用人口入力シート!BB$8))</f>
        <v>758.47372345872134</v>
      </c>
      <c r="DI19" s="10">
        <f>IF(管理者入力シート!$B$14=1,DH16*管理者用人口入力シート!BC$4,IF(管理者入力シート!$B$14=2,DH16*管理者用人口入力シート!BC$8))</f>
        <v>562.68806104264957</v>
      </c>
      <c r="DJ19" s="10">
        <f>IF(管理者入力シート!$B$14=1,DI16*管理者用人口入力シート!BD$4,IF(管理者入力シート!$B$14=2,DI16*管理者用人口入力シート!BD$8))</f>
        <v>369.5500976256339</v>
      </c>
      <c r="DK19" s="10">
        <f>IF(管理者入力シート!$B$14=1,DJ16*管理者用人口入力シート!BE$4,IF(管理者入力シート!$B$14=2,DJ16*管理者用人口入力シート!BE$8))</f>
        <v>143.71218404180959</v>
      </c>
      <c r="DL19" s="10">
        <f>IF(管理者入力シート!$B$14=1,DK16*管理者用人口入力シート!BF$4,IF(管理者入力シート!$B$14=2,DK16*管理者用人口入力シート!BF$8))</f>
        <v>39.348741867380433</v>
      </c>
      <c r="DM19" s="10">
        <f t="shared" si="260"/>
        <v>10943.678687040556</v>
      </c>
      <c r="DN19" s="10">
        <f t="shared" si="261"/>
        <v>553.5282082720172</v>
      </c>
      <c r="DO19" s="10">
        <f t="shared" si="262"/>
        <v>279.78068171554162</v>
      </c>
      <c r="DP19" s="10">
        <f t="shared" si="263"/>
        <v>4375.6398067409164</v>
      </c>
      <c r="DQ19" s="10">
        <f t="shared" si="264"/>
        <v>2708.0332093278498</v>
      </c>
      <c r="DR19" s="14">
        <f t="shared" si="265"/>
        <v>0.39983262775455247</v>
      </c>
      <c r="DS19" s="14">
        <f t="shared" si="266"/>
        <v>0.2474518200661984</v>
      </c>
      <c r="DT19" s="10">
        <f t="shared" si="267"/>
        <v>1812.6596349119759</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806.74126552736482</v>
      </c>
      <c r="BL20" s="16">
        <f t="shared" ref="BL20:CE20" si="276">BL18+BL19</f>
        <v>899.0684768813594</v>
      </c>
      <c r="BM20" s="16">
        <f t="shared" si="276"/>
        <v>928.94429403586855</v>
      </c>
      <c r="BN20" s="16">
        <f t="shared" si="276"/>
        <v>859.58425336062498</v>
      </c>
      <c r="BO20" s="16">
        <f t="shared" si="276"/>
        <v>627.35358954594699</v>
      </c>
      <c r="BP20" s="16">
        <f t="shared" si="276"/>
        <v>768.70081857077685</v>
      </c>
      <c r="BQ20" s="16">
        <f t="shared" si="276"/>
        <v>967.56327113914153</v>
      </c>
      <c r="BR20" s="16">
        <f t="shared" si="276"/>
        <v>1054.2262873050954</v>
      </c>
      <c r="BS20" s="16">
        <f t="shared" si="276"/>
        <v>1075.8050640808865</v>
      </c>
      <c r="BT20" s="16">
        <f t="shared" si="276"/>
        <v>1012.0068481432825</v>
      </c>
      <c r="BU20" s="16">
        <f t="shared" si="276"/>
        <v>1123.5773933260571</v>
      </c>
      <c r="BV20" s="16">
        <f t="shared" si="276"/>
        <v>1221.7626238801499</v>
      </c>
      <c r="BW20" s="16">
        <f t="shared" si="276"/>
        <v>1293.3060435365169</v>
      </c>
      <c r="BX20" s="16">
        <f t="shared" si="276"/>
        <v>1474.8233674460425</v>
      </c>
      <c r="BY20" s="16">
        <f t="shared" si="276"/>
        <v>1575.850174208003</v>
      </c>
      <c r="BZ20" s="16">
        <f t="shared" si="276"/>
        <v>1519.7648062254211</v>
      </c>
      <c r="CA20" s="16">
        <f t="shared" si="276"/>
        <v>1244.5514565735755</v>
      </c>
      <c r="CB20" s="16">
        <f t="shared" si="276"/>
        <v>948.88977072062039</v>
      </c>
      <c r="CC20" s="16">
        <f t="shared" si="276"/>
        <v>524.08197047207625</v>
      </c>
      <c r="CD20" s="16">
        <f t="shared" si="276"/>
        <v>173.35442386672821</v>
      </c>
      <c r="CE20" s="16">
        <f t="shared" si="276"/>
        <v>39.925966021036452</v>
      </c>
      <c r="CF20" s="11">
        <f t="shared" si="252"/>
        <v>20139.882164866576</v>
      </c>
      <c r="CG20" s="11">
        <f t="shared" si="253"/>
        <v>1096.8076625503368</v>
      </c>
      <c r="CH20" s="11">
        <f t="shared" si="254"/>
        <v>543.49456828647249</v>
      </c>
      <c r="CI20" s="11">
        <f t="shared" si="255"/>
        <v>7501.2419355335032</v>
      </c>
      <c r="CJ20" s="11">
        <f t="shared" si="256"/>
        <v>4450.5683938794582</v>
      </c>
      <c r="CK20" s="15">
        <f t="shared" si="257"/>
        <v>0.37245709156229306</v>
      </c>
      <c r="CL20" s="15">
        <f t="shared" si="258"/>
        <v>0.2209828417786546</v>
      </c>
      <c r="CM20" s="11">
        <f t="shared" si="259"/>
        <v>3417.8439665609608</v>
      </c>
      <c r="CO20" s="7" t="str">
        <f t="shared" si="26"/>
        <v>2050_3</v>
      </c>
      <c r="CP20" s="30">
        <f>CP19</f>
        <v>2050</v>
      </c>
      <c r="CQ20" s="5" t="s">
        <v>23</v>
      </c>
      <c r="CR20" s="16">
        <f>CR18+CR19</f>
        <v>814.07455900646073</v>
      </c>
      <c r="CS20" s="16">
        <f t="shared" ref="CS20:DL20" si="277">CS18+CS19</f>
        <v>905.68381212429699</v>
      </c>
      <c r="CT20" s="16">
        <f t="shared" si="277"/>
        <v>936.9042499945997</v>
      </c>
      <c r="CU20" s="16">
        <f t="shared" si="277"/>
        <v>866.49123781719607</v>
      </c>
      <c r="CV20" s="16">
        <f t="shared" si="277"/>
        <v>631.29986059609496</v>
      </c>
      <c r="CW20" s="16">
        <f t="shared" si="277"/>
        <v>775.70907429081717</v>
      </c>
      <c r="CX20" s="16">
        <f t="shared" si="277"/>
        <v>973.58666556324511</v>
      </c>
      <c r="CY20" s="16">
        <f t="shared" si="277"/>
        <v>1060.493111507634</v>
      </c>
      <c r="CZ20" s="16">
        <f t="shared" si="277"/>
        <v>1081.5234838079161</v>
      </c>
      <c r="DA20" s="16">
        <f t="shared" si="277"/>
        <v>1017.7528659038281</v>
      </c>
      <c r="DB20" s="16">
        <f t="shared" si="277"/>
        <v>1129.1985401639927</v>
      </c>
      <c r="DC20" s="16">
        <f t="shared" si="277"/>
        <v>1222.7458132045317</v>
      </c>
      <c r="DD20" s="16">
        <f t="shared" si="277"/>
        <v>1294.2836340912377</v>
      </c>
      <c r="DE20" s="16">
        <f t="shared" si="277"/>
        <v>1475.7886502834731</v>
      </c>
      <c r="DF20" s="16">
        <f t="shared" si="277"/>
        <v>1575.850174208003</v>
      </c>
      <c r="DG20" s="16">
        <f t="shared" si="277"/>
        <v>1519.7648062254211</v>
      </c>
      <c r="DH20" s="16">
        <f t="shared" si="277"/>
        <v>1244.5514565735755</v>
      </c>
      <c r="DI20" s="16">
        <f t="shared" si="277"/>
        <v>948.88977072062039</v>
      </c>
      <c r="DJ20" s="16">
        <f t="shared" si="277"/>
        <v>524.08197047207625</v>
      </c>
      <c r="DK20" s="16">
        <f t="shared" si="277"/>
        <v>173.35442386672821</v>
      </c>
      <c r="DL20" s="16">
        <f t="shared" si="277"/>
        <v>39.925966021036452</v>
      </c>
      <c r="DM20" s="11">
        <f t="shared" si="260"/>
        <v>20211.95412644279</v>
      </c>
      <c r="DN20" s="11">
        <f t="shared" si="261"/>
        <v>1105.5528372713379</v>
      </c>
      <c r="DO20" s="11">
        <f t="shared" si="262"/>
        <v>548.05994756127905</v>
      </c>
      <c r="DP20" s="11">
        <f t="shared" si="263"/>
        <v>7502.2072183709342</v>
      </c>
      <c r="DQ20" s="11">
        <f t="shared" si="264"/>
        <v>4450.5683938794582</v>
      </c>
      <c r="DR20" s="15">
        <f t="shared" si="265"/>
        <v>0.37117673884664054</v>
      </c>
      <c r="DS20" s="15">
        <f t="shared" si="266"/>
        <v>0.22019485924208049</v>
      </c>
      <c r="DT20" s="11">
        <f t="shared" si="267"/>
        <v>3441.088711957791</v>
      </c>
      <c r="DX20" s="28">
        <f>DX3</f>
        <v>2025</v>
      </c>
      <c r="DY20" s="3" t="s">
        <v>21</v>
      </c>
      <c r="DZ20" s="9">
        <f t="shared" ref="DZ20:ET20" si="278">ROUND(DZ3,0)</f>
        <v>489</v>
      </c>
      <c r="EA20" s="9">
        <f t="shared" si="278"/>
        <v>598</v>
      </c>
      <c r="EB20" s="9">
        <f t="shared" si="278"/>
        <v>637</v>
      </c>
      <c r="EC20" s="9">
        <f t="shared" si="278"/>
        <v>554</v>
      </c>
      <c r="ED20" s="9">
        <f t="shared" si="278"/>
        <v>344</v>
      </c>
      <c r="EE20" s="9">
        <f t="shared" si="278"/>
        <v>633</v>
      </c>
      <c r="EF20" s="9">
        <f t="shared" si="278"/>
        <v>759</v>
      </c>
      <c r="EG20" s="9">
        <f t="shared" si="278"/>
        <v>747</v>
      </c>
      <c r="EH20" s="9">
        <f t="shared" si="278"/>
        <v>727</v>
      </c>
      <c r="EI20" s="9">
        <f t="shared" si="278"/>
        <v>833</v>
      </c>
      <c r="EJ20" s="9">
        <f t="shared" si="278"/>
        <v>862</v>
      </c>
      <c r="EK20" s="9">
        <f t="shared" si="278"/>
        <v>746</v>
      </c>
      <c r="EL20" s="9">
        <f t="shared" si="278"/>
        <v>823</v>
      </c>
      <c r="EM20" s="9">
        <f t="shared" si="278"/>
        <v>711</v>
      </c>
      <c r="EN20" s="9">
        <f t="shared" si="278"/>
        <v>723</v>
      </c>
      <c r="EO20" s="9">
        <f t="shared" si="278"/>
        <v>655</v>
      </c>
      <c r="EP20" s="9">
        <f t="shared" si="278"/>
        <v>439</v>
      </c>
      <c r="EQ20" s="9">
        <f t="shared" si="278"/>
        <v>301</v>
      </c>
      <c r="ER20" s="9">
        <f t="shared" si="278"/>
        <v>152</v>
      </c>
      <c r="ES20" s="9">
        <f t="shared" si="278"/>
        <v>22</v>
      </c>
      <c r="ET20" s="9">
        <f t="shared" si="278"/>
        <v>0</v>
      </c>
      <c r="EU20" s="9">
        <f t="shared" ref="EU20:EU21" si="279">SUM(DZ20:ET20)</f>
        <v>11755</v>
      </c>
      <c r="EV20" s="9">
        <f>EA20*3/5+EB20*3/5</f>
        <v>741</v>
      </c>
      <c r="EW20" s="9">
        <f>EB20*2/5+EC20*1/5</f>
        <v>365.6</v>
      </c>
      <c r="EX20" s="9">
        <f t="shared" ref="EX20:EX31" si="280">SUM(EM20:ET20)</f>
        <v>3003</v>
      </c>
      <c r="EY20" s="9">
        <f>SUM(EO20:ET20)</f>
        <v>1569</v>
      </c>
      <c r="EZ20" s="13">
        <f>EX20/EU20</f>
        <v>0.25546575925138237</v>
      </c>
      <c r="FA20" s="13">
        <f>EY20/EU20</f>
        <v>0.1334751169715015</v>
      </c>
      <c r="FB20" s="9">
        <f>SUM(ED20:EG20)</f>
        <v>2483</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498</v>
      </c>
      <c r="EA21" s="10">
        <f t="shared" si="281"/>
        <v>590</v>
      </c>
      <c r="EB21" s="10">
        <f t="shared" si="281"/>
        <v>627</v>
      </c>
      <c r="EC21" s="10">
        <f t="shared" si="281"/>
        <v>590</v>
      </c>
      <c r="ED21" s="10">
        <f t="shared" si="281"/>
        <v>412</v>
      </c>
      <c r="EE21" s="10">
        <f t="shared" si="281"/>
        <v>647</v>
      </c>
      <c r="EF21" s="10">
        <f t="shared" si="281"/>
        <v>738</v>
      </c>
      <c r="EG21" s="10">
        <f t="shared" si="281"/>
        <v>867</v>
      </c>
      <c r="EH21" s="10">
        <f t="shared" si="281"/>
        <v>849</v>
      </c>
      <c r="EI21" s="10">
        <f t="shared" si="281"/>
        <v>927</v>
      </c>
      <c r="EJ21" s="10">
        <f t="shared" si="281"/>
        <v>958</v>
      </c>
      <c r="EK21" s="10">
        <f t="shared" si="281"/>
        <v>930</v>
      </c>
      <c r="EL21" s="10">
        <f t="shared" si="281"/>
        <v>864</v>
      </c>
      <c r="EM21" s="10">
        <f t="shared" si="281"/>
        <v>858</v>
      </c>
      <c r="EN21" s="10">
        <f t="shared" si="281"/>
        <v>865</v>
      </c>
      <c r="EO21" s="10">
        <f t="shared" si="281"/>
        <v>878</v>
      </c>
      <c r="EP21" s="10">
        <f t="shared" si="281"/>
        <v>679</v>
      </c>
      <c r="EQ21" s="10">
        <f t="shared" si="281"/>
        <v>523</v>
      </c>
      <c r="ER21" s="10">
        <f t="shared" si="281"/>
        <v>337</v>
      </c>
      <c r="ES21" s="10">
        <f t="shared" si="281"/>
        <v>109</v>
      </c>
      <c r="ET21" s="10">
        <f t="shared" si="281"/>
        <v>21</v>
      </c>
      <c r="EU21" s="10">
        <f t="shared" si="279"/>
        <v>13767</v>
      </c>
      <c r="EV21" s="10">
        <f t="shared" ref="EV21:EV31" si="282">EA21*3/5+EB21*3/5</f>
        <v>730.2</v>
      </c>
      <c r="EW21" s="10">
        <f t="shared" ref="EW21:EW31" si="283">EB21*2/5+EC21*1/5</f>
        <v>368.8</v>
      </c>
      <c r="EX21" s="10">
        <f t="shared" si="280"/>
        <v>4270</v>
      </c>
      <c r="EY21" s="10">
        <f t="shared" ref="EY21:EY31" si="284">SUM(EO21:ET21)</f>
        <v>2547</v>
      </c>
      <c r="EZ21" s="14">
        <f t="shared" ref="EZ21:EZ31" si="285">EX21/EU21</f>
        <v>0.31016198155008351</v>
      </c>
      <c r="FA21" s="14">
        <f t="shared" ref="FA21:FA31" si="286">EY21/EU21</f>
        <v>0.18500762693397255</v>
      </c>
      <c r="FB21" s="10">
        <f>SUM(ED21:EG21)</f>
        <v>2664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987</v>
      </c>
      <c r="EA22" s="16">
        <f t="shared" ref="EA22:ET22" si="287">EA20+EA21</f>
        <v>1188</v>
      </c>
      <c r="EB22" s="16">
        <f t="shared" si="287"/>
        <v>1264</v>
      </c>
      <c r="EC22" s="16">
        <f t="shared" si="287"/>
        <v>1144</v>
      </c>
      <c r="ED22" s="16">
        <f t="shared" si="287"/>
        <v>756</v>
      </c>
      <c r="EE22" s="16">
        <f t="shared" si="287"/>
        <v>1280</v>
      </c>
      <c r="EF22" s="16">
        <f t="shared" si="287"/>
        <v>1497</v>
      </c>
      <c r="EG22" s="16">
        <f t="shared" si="287"/>
        <v>1614</v>
      </c>
      <c r="EH22" s="16">
        <f t="shared" si="287"/>
        <v>1576</v>
      </c>
      <c r="EI22" s="16">
        <f t="shared" si="287"/>
        <v>1760</v>
      </c>
      <c r="EJ22" s="16">
        <f t="shared" si="287"/>
        <v>1820</v>
      </c>
      <c r="EK22" s="16">
        <f t="shared" si="287"/>
        <v>1676</v>
      </c>
      <c r="EL22" s="16">
        <f t="shared" si="287"/>
        <v>1687</v>
      </c>
      <c r="EM22" s="16">
        <f t="shared" si="287"/>
        <v>1569</v>
      </c>
      <c r="EN22" s="16">
        <f t="shared" si="287"/>
        <v>1588</v>
      </c>
      <c r="EO22" s="16">
        <f t="shared" si="287"/>
        <v>1533</v>
      </c>
      <c r="EP22" s="16">
        <f t="shared" si="287"/>
        <v>1118</v>
      </c>
      <c r="EQ22" s="16">
        <f t="shared" si="287"/>
        <v>824</v>
      </c>
      <c r="ER22" s="16">
        <f t="shared" si="287"/>
        <v>489</v>
      </c>
      <c r="ES22" s="16">
        <f t="shared" si="287"/>
        <v>131</v>
      </c>
      <c r="ET22" s="16">
        <f t="shared" si="287"/>
        <v>21</v>
      </c>
      <c r="EU22" s="11">
        <f>SUM(DZ22:ET22)</f>
        <v>25522</v>
      </c>
      <c r="EV22" s="11">
        <f t="shared" si="282"/>
        <v>1471.1999999999998</v>
      </c>
      <c r="EW22" s="11">
        <f t="shared" si="283"/>
        <v>734.40000000000009</v>
      </c>
      <c r="EX22" s="11">
        <f t="shared" si="280"/>
        <v>7273</v>
      </c>
      <c r="EY22" s="11">
        <f t="shared" si="284"/>
        <v>4116</v>
      </c>
      <c r="EZ22" s="15">
        <f t="shared" si="285"/>
        <v>0.2849698299506308</v>
      </c>
      <c r="FA22" s="15">
        <f t="shared" si="286"/>
        <v>0.16127262753702687</v>
      </c>
      <c r="FB22" s="11">
        <f>SUM(ED22:EG22)</f>
        <v>5147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628</v>
      </c>
      <c r="EA23" s="9">
        <f t="shared" si="288"/>
        <v>525</v>
      </c>
      <c r="EB23" s="9">
        <f t="shared" si="288"/>
        <v>598</v>
      </c>
      <c r="EC23" s="9">
        <f t="shared" si="288"/>
        <v>558</v>
      </c>
      <c r="ED23" s="9">
        <f t="shared" si="288"/>
        <v>368</v>
      </c>
      <c r="EE23" s="9">
        <f t="shared" si="288"/>
        <v>564</v>
      </c>
      <c r="EF23" s="9">
        <f t="shared" si="288"/>
        <v>862</v>
      </c>
      <c r="EG23" s="9">
        <f t="shared" si="288"/>
        <v>938</v>
      </c>
      <c r="EH23" s="9">
        <f t="shared" si="288"/>
        <v>777</v>
      </c>
      <c r="EI23" s="9">
        <f t="shared" si="288"/>
        <v>715</v>
      </c>
      <c r="EJ23" s="9">
        <f t="shared" si="288"/>
        <v>817</v>
      </c>
      <c r="EK23" s="9">
        <f t="shared" si="288"/>
        <v>843</v>
      </c>
      <c r="EL23" s="9">
        <f t="shared" si="288"/>
        <v>754</v>
      </c>
      <c r="EM23" s="9">
        <f t="shared" si="288"/>
        <v>778</v>
      </c>
      <c r="EN23" s="9">
        <f t="shared" si="288"/>
        <v>679</v>
      </c>
      <c r="EO23" s="9">
        <f t="shared" si="288"/>
        <v>645</v>
      </c>
      <c r="EP23" s="9">
        <f t="shared" si="288"/>
        <v>525</v>
      </c>
      <c r="EQ23" s="9">
        <f t="shared" si="288"/>
        <v>320</v>
      </c>
      <c r="ER23" s="9">
        <f t="shared" si="288"/>
        <v>132</v>
      </c>
      <c r="ES23" s="9">
        <f t="shared" si="288"/>
        <v>27</v>
      </c>
      <c r="ET23" s="9">
        <f t="shared" si="288"/>
        <v>0</v>
      </c>
      <c r="EU23" s="9">
        <f t="shared" ref="EU23:EU31" si="289">SUM(DZ23:ET23)</f>
        <v>12053</v>
      </c>
      <c r="EV23" s="9">
        <f t="shared" si="282"/>
        <v>673.8</v>
      </c>
      <c r="EW23" s="9">
        <f t="shared" si="283"/>
        <v>350.79999999999995</v>
      </c>
      <c r="EX23" s="9">
        <f t="shared" si="280"/>
        <v>3106</v>
      </c>
      <c r="EY23" s="9">
        <f t="shared" si="284"/>
        <v>1649</v>
      </c>
      <c r="EZ23" s="13">
        <f t="shared" si="285"/>
        <v>0.25769517962333027</v>
      </c>
      <c r="FA23" s="13">
        <f t="shared" si="286"/>
        <v>0.13681241184767279</v>
      </c>
      <c r="FB23" s="9">
        <f t="shared" ref="FB23:FB31" si="290">SUM(ED23:EG23)</f>
        <v>2732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638</v>
      </c>
      <c r="EA24" s="10">
        <f t="shared" si="291"/>
        <v>518</v>
      </c>
      <c r="EB24" s="10">
        <f t="shared" si="291"/>
        <v>609</v>
      </c>
      <c r="EC24" s="10">
        <f t="shared" si="291"/>
        <v>592</v>
      </c>
      <c r="ED24" s="10">
        <f t="shared" si="291"/>
        <v>438</v>
      </c>
      <c r="EE24" s="10">
        <f t="shared" si="291"/>
        <v>601</v>
      </c>
      <c r="EF24" s="10">
        <f t="shared" si="291"/>
        <v>860</v>
      </c>
      <c r="EG24" s="10">
        <f t="shared" si="291"/>
        <v>928</v>
      </c>
      <c r="EH24" s="10">
        <f t="shared" si="291"/>
        <v>877</v>
      </c>
      <c r="EI24" s="10">
        <f t="shared" si="291"/>
        <v>865</v>
      </c>
      <c r="EJ24" s="10">
        <f t="shared" si="291"/>
        <v>905</v>
      </c>
      <c r="EK24" s="10">
        <f t="shared" si="291"/>
        <v>946</v>
      </c>
      <c r="EL24" s="10">
        <f t="shared" si="291"/>
        <v>925</v>
      </c>
      <c r="EM24" s="10">
        <f t="shared" si="291"/>
        <v>853</v>
      </c>
      <c r="EN24" s="10">
        <f t="shared" si="291"/>
        <v>829</v>
      </c>
      <c r="EO24" s="10">
        <f t="shared" si="291"/>
        <v>804</v>
      </c>
      <c r="EP24" s="10">
        <f t="shared" si="291"/>
        <v>811</v>
      </c>
      <c r="EQ24" s="10">
        <f t="shared" si="291"/>
        <v>539</v>
      </c>
      <c r="ER24" s="10">
        <f t="shared" si="291"/>
        <v>342</v>
      </c>
      <c r="ES24" s="10">
        <f t="shared" si="291"/>
        <v>126</v>
      </c>
      <c r="ET24" s="10">
        <f t="shared" si="291"/>
        <v>27</v>
      </c>
      <c r="EU24" s="10">
        <f t="shared" si="289"/>
        <v>14033</v>
      </c>
      <c r="EV24" s="10">
        <f t="shared" si="282"/>
        <v>676.2</v>
      </c>
      <c r="EW24" s="10">
        <f t="shared" si="283"/>
        <v>362</v>
      </c>
      <c r="EX24" s="10">
        <f t="shared" si="280"/>
        <v>4331</v>
      </c>
      <c r="EY24" s="10">
        <f t="shared" si="284"/>
        <v>2649</v>
      </c>
      <c r="EZ24" s="14">
        <f t="shared" si="285"/>
        <v>0.30862965866172593</v>
      </c>
      <c r="FA24" s="14">
        <f t="shared" si="286"/>
        <v>0.18876932943775387</v>
      </c>
      <c r="FB24" s="10">
        <f t="shared" si="290"/>
        <v>2827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1266</v>
      </c>
      <c r="EA25" s="16">
        <f t="shared" ref="EA25:ET25" si="292">EA23+EA24</f>
        <v>1043</v>
      </c>
      <c r="EB25" s="16">
        <f t="shared" si="292"/>
        <v>1207</v>
      </c>
      <c r="EC25" s="16">
        <f t="shared" si="292"/>
        <v>1150</v>
      </c>
      <c r="ED25" s="16">
        <f t="shared" si="292"/>
        <v>806</v>
      </c>
      <c r="EE25" s="16">
        <f t="shared" si="292"/>
        <v>1165</v>
      </c>
      <c r="EF25" s="16">
        <f t="shared" si="292"/>
        <v>1722</v>
      </c>
      <c r="EG25" s="16">
        <f t="shared" si="292"/>
        <v>1866</v>
      </c>
      <c r="EH25" s="16">
        <f t="shared" si="292"/>
        <v>1654</v>
      </c>
      <c r="EI25" s="16">
        <f t="shared" si="292"/>
        <v>1580</v>
      </c>
      <c r="EJ25" s="16">
        <f t="shared" si="292"/>
        <v>1722</v>
      </c>
      <c r="EK25" s="16">
        <f t="shared" si="292"/>
        <v>1789</v>
      </c>
      <c r="EL25" s="16">
        <f t="shared" si="292"/>
        <v>1679</v>
      </c>
      <c r="EM25" s="16">
        <f t="shared" si="292"/>
        <v>1631</v>
      </c>
      <c r="EN25" s="16">
        <f t="shared" si="292"/>
        <v>1508</v>
      </c>
      <c r="EO25" s="16">
        <f t="shared" si="292"/>
        <v>1449</v>
      </c>
      <c r="EP25" s="16">
        <f t="shared" si="292"/>
        <v>1336</v>
      </c>
      <c r="EQ25" s="16">
        <f t="shared" si="292"/>
        <v>859</v>
      </c>
      <c r="ER25" s="16">
        <f t="shared" si="292"/>
        <v>474</v>
      </c>
      <c r="ES25" s="16">
        <f t="shared" si="292"/>
        <v>153</v>
      </c>
      <c r="ET25" s="16">
        <f t="shared" si="292"/>
        <v>27</v>
      </c>
      <c r="EU25" s="11">
        <f t="shared" si="289"/>
        <v>26086</v>
      </c>
      <c r="EV25" s="11">
        <f t="shared" si="282"/>
        <v>1350</v>
      </c>
      <c r="EW25" s="11">
        <f t="shared" si="283"/>
        <v>712.8</v>
      </c>
      <c r="EX25" s="11">
        <f t="shared" si="280"/>
        <v>7437</v>
      </c>
      <c r="EY25" s="11">
        <f t="shared" si="284"/>
        <v>4298</v>
      </c>
      <c r="EZ25" s="15">
        <f t="shared" si="285"/>
        <v>0.28509545349996168</v>
      </c>
      <c r="FA25" s="15">
        <f t="shared" si="286"/>
        <v>0.16476270796595877</v>
      </c>
      <c r="FB25" s="11">
        <f t="shared" si="290"/>
        <v>5559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651</v>
      </c>
      <c r="EA26" s="9">
        <f t="shared" si="293"/>
        <v>673</v>
      </c>
      <c r="EB26" s="9">
        <f t="shared" si="293"/>
        <v>525</v>
      </c>
      <c r="EC26" s="9">
        <f t="shared" si="293"/>
        <v>523</v>
      </c>
      <c r="ED26" s="9">
        <f t="shared" si="293"/>
        <v>370</v>
      </c>
      <c r="EE26" s="9">
        <f t="shared" si="293"/>
        <v>592</v>
      </c>
      <c r="EF26" s="9">
        <f t="shared" si="293"/>
        <v>785</v>
      </c>
      <c r="EG26" s="9">
        <f t="shared" si="293"/>
        <v>1045</v>
      </c>
      <c r="EH26" s="9">
        <f t="shared" si="293"/>
        <v>976</v>
      </c>
      <c r="EI26" s="9">
        <f t="shared" si="293"/>
        <v>765</v>
      </c>
      <c r="EJ26" s="9">
        <f t="shared" si="293"/>
        <v>701</v>
      </c>
      <c r="EK26" s="9">
        <f t="shared" si="293"/>
        <v>798</v>
      </c>
      <c r="EL26" s="9">
        <f t="shared" si="293"/>
        <v>852</v>
      </c>
      <c r="EM26" s="9">
        <f t="shared" si="293"/>
        <v>713</v>
      </c>
      <c r="EN26" s="9">
        <f t="shared" si="293"/>
        <v>743</v>
      </c>
      <c r="EO26" s="9">
        <f t="shared" si="293"/>
        <v>605</v>
      </c>
      <c r="EP26" s="9">
        <f t="shared" si="293"/>
        <v>517</v>
      </c>
      <c r="EQ26" s="9">
        <f t="shared" si="293"/>
        <v>382</v>
      </c>
      <c r="ER26" s="9">
        <f t="shared" si="293"/>
        <v>140</v>
      </c>
      <c r="ES26" s="9">
        <f t="shared" si="293"/>
        <v>24</v>
      </c>
      <c r="ET26" s="9">
        <f t="shared" si="293"/>
        <v>1</v>
      </c>
      <c r="EU26" s="9">
        <f t="shared" si="289"/>
        <v>12381</v>
      </c>
      <c r="EV26" s="9">
        <f t="shared" si="282"/>
        <v>718.8</v>
      </c>
      <c r="EW26" s="9">
        <f t="shared" si="283"/>
        <v>314.60000000000002</v>
      </c>
      <c r="EX26" s="9">
        <f t="shared" si="280"/>
        <v>3125</v>
      </c>
      <c r="EY26" s="9">
        <f t="shared" si="284"/>
        <v>1669</v>
      </c>
      <c r="EZ26" s="13">
        <f t="shared" si="285"/>
        <v>0.25240287537355627</v>
      </c>
      <c r="FA26" s="13">
        <f t="shared" si="286"/>
        <v>0.13480332767950892</v>
      </c>
      <c r="FB26" s="9">
        <f t="shared" si="290"/>
        <v>2792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663</v>
      </c>
      <c r="EA27" s="10">
        <f t="shared" si="294"/>
        <v>664</v>
      </c>
      <c r="EB27" s="10">
        <f t="shared" si="294"/>
        <v>534</v>
      </c>
      <c r="EC27" s="10">
        <f t="shared" si="294"/>
        <v>575</v>
      </c>
      <c r="ED27" s="10">
        <f t="shared" si="294"/>
        <v>439</v>
      </c>
      <c r="EE27" s="10">
        <f t="shared" si="294"/>
        <v>629</v>
      </c>
      <c r="EF27" s="10">
        <f t="shared" si="294"/>
        <v>810</v>
      </c>
      <c r="EG27" s="10">
        <f t="shared" si="294"/>
        <v>1055</v>
      </c>
      <c r="EH27" s="10">
        <f t="shared" si="294"/>
        <v>938</v>
      </c>
      <c r="EI27" s="10">
        <f t="shared" si="294"/>
        <v>894</v>
      </c>
      <c r="EJ27" s="10">
        <f t="shared" si="294"/>
        <v>845</v>
      </c>
      <c r="EK27" s="10">
        <f t="shared" si="294"/>
        <v>894</v>
      </c>
      <c r="EL27" s="10">
        <f t="shared" si="294"/>
        <v>941</v>
      </c>
      <c r="EM27" s="10">
        <f t="shared" si="294"/>
        <v>913</v>
      </c>
      <c r="EN27" s="10">
        <f t="shared" si="294"/>
        <v>824</v>
      </c>
      <c r="EO27" s="10">
        <f t="shared" si="294"/>
        <v>771</v>
      </c>
      <c r="EP27" s="10">
        <f t="shared" si="294"/>
        <v>744</v>
      </c>
      <c r="EQ27" s="10">
        <f t="shared" si="294"/>
        <v>645</v>
      </c>
      <c r="ER27" s="10">
        <f t="shared" si="294"/>
        <v>352</v>
      </c>
      <c r="ES27" s="10">
        <f t="shared" si="294"/>
        <v>127</v>
      </c>
      <c r="ET27" s="10">
        <f t="shared" si="294"/>
        <v>32</v>
      </c>
      <c r="EU27" s="10">
        <f t="shared" si="289"/>
        <v>14289</v>
      </c>
      <c r="EV27" s="10">
        <f t="shared" si="282"/>
        <v>718.8</v>
      </c>
      <c r="EW27" s="10">
        <f t="shared" si="283"/>
        <v>328.6</v>
      </c>
      <c r="EX27" s="10">
        <f t="shared" si="280"/>
        <v>4408</v>
      </c>
      <c r="EY27" s="10">
        <f t="shared" si="284"/>
        <v>2671</v>
      </c>
      <c r="EZ27" s="14">
        <f t="shared" si="285"/>
        <v>0.30848904751907064</v>
      </c>
      <c r="FA27" s="14">
        <f t="shared" si="286"/>
        <v>0.18692700678843865</v>
      </c>
      <c r="FB27" s="10">
        <f t="shared" si="290"/>
        <v>2933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1314</v>
      </c>
      <c r="EA28" s="16">
        <f t="shared" ref="EA28:ET28" si="295">EA26+EA27</f>
        <v>1337</v>
      </c>
      <c r="EB28" s="16">
        <f t="shared" si="295"/>
        <v>1059</v>
      </c>
      <c r="EC28" s="16">
        <f t="shared" si="295"/>
        <v>1098</v>
      </c>
      <c r="ED28" s="16">
        <f t="shared" si="295"/>
        <v>809</v>
      </c>
      <c r="EE28" s="16">
        <f t="shared" si="295"/>
        <v>1221</v>
      </c>
      <c r="EF28" s="16">
        <f t="shared" si="295"/>
        <v>1595</v>
      </c>
      <c r="EG28" s="16">
        <f t="shared" si="295"/>
        <v>2100</v>
      </c>
      <c r="EH28" s="16">
        <f t="shared" si="295"/>
        <v>1914</v>
      </c>
      <c r="EI28" s="16">
        <f t="shared" si="295"/>
        <v>1659</v>
      </c>
      <c r="EJ28" s="16">
        <f t="shared" si="295"/>
        <v>1546</v>
      </c>
      <c r="EK28" s="16">
        <f t="shared" si="295"/>
        <v>1692</v>
      </c>
      <c r="EL28" s="16">
        <f t="shared" si="295"/>
        <v>1793</v>
      </c>
      <c r="EM28" s="16">
        <f t="shared" si="295"/>
        <v>1626</v>
      </c>
      <c r="EN28" s="16">
        <f t="shared" si="295"/>
        <v>1567</v>
      </c>
      <c r="EO28" s="16">
        <f t="shared" si="295"/>
        <v>1376</v>
      </c>
      <c r="EP28" s="16">
        <f t="shared" si="295"/>
        <v>1261</v>
      </c>
      <c r="EQ28" s="16">
        <f t="shared" si="295"/>
        <v>1027</v>
      </c>
      <c r="ER28" s="16">
        <f t="shared" si="295"/>
        <v>492</v>
      </c>
      <c r="ES28" s="16">
        <f t="shared" si="295"/>
        <v>151</v>
      </c>
      <c r="ET28" s="16">
        <f t="shared" si="295"/>
        <v>33</v>
      </c>
      <c r="EU28" s="11">
        <f t="shared" si="289"/>
        <v>26670</v>
      </c>
      <c r="EV28" s="11">
        <f t="shared" si="282"/>
        <v>1437.6</v>
      </c>
      <c r="EW28" s="11">
        <f t="shared" si="283"/>
        <v>643.20000000000005</v>
      </c>
      <c r="EX28" s="11">
        <f t="shared" si="280"/>
        <v>7533</v>
      </c>
      <c r="EY28" s="11">
        <f t="shared" si="284"/>
        <v>4340</v>
      </c>
      <c r="EZ28" s="15">
        <f t="shared" si="285"/>
        <v>0.28245219347581552</v>
      </c>
      <c r="FA28" s="15">
        <f t="shared" si="286"/>
        <v>0.16272965879265092</v>
      </c>
      <c r="FB28" s="11">
        <f t="shared" si="290"/>
        <v>5725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644</v>
      </c>
      <c r="EA29" s="9">
        <f t="shared" si="296"/>
        <v>699</v>
      </c>
      <c r="EB29" s="9">
        <f t="shared" si="296"/>
        <v>673</v>
      </c>
      <c r="EC29" s="9">
        <f t="shared" si="296"/>
        <v>459</v>
      </c>
      <c r="ED29" s="9">
        <f t="shared" si="296"/>
        <v>347</v>
      </c>
      <c r="EE29" s="9">
        <f t="shared" si="296"/>
        <v>595</v>
      </c>
      <c r="EF29" s="9">
        <f t="shared" si="296"/>
        <v>816</v>
      </c>
      <c r="EG29" s="9">
        <f t="shared" si="296"/>
        <v>965</v>
      </c>
      <c r="EH29" s="9">
        <f t="shared" si="296"/>
        <v>1087</v>
      </c>
      <c r="EI29" s="9">
        <f t="shared" si="296"/>
        <v>961</v>
      </c>
      <c r="EJ29" s="9">
        <f t="shared" si="296"/>
        <v>750</v>
      </c>
      <c r="EK29" s="9">
        <f t="shared" si="296"/>
        <v>685</v>
      </c>
      <c r="EL29" s="9">
        <f t="shared" si="296"/>
        <v>807</v>
      </c>
      <c r="EM29" s="9">
        <f t="shared" si="296"/>
        <v>806</v>
      </c>
      <c r="EN29" s="9">
        <f t="shared" si="296"/>
        <v>681</v>
      </c>
      <c r="EO29" s="9">
        <f t="shared" si="296"/>
        <v>662</v>
      </c>
      <c r="EP29" s="9">
        <f t="shared" si="296"/>
        <v>485</v>
      </c>
      <c r="EQ29" s="9">
        <f t="shared" si="296"/>
        <v>376</v>
      </c>
      <c r="ER29" s="9">
        <f t="shared" si="296"/>
        <v>167</v>
      </c>
      <c r="ES29" s="9">
        <f t="shared" si="296"/>
        <v>25</v>
      </c>
      <c r="ET29" s="9">
        <f t="shared" si="296"/>
        <v>0</v>
      </c>
      <c r="EU29" s="9">
        <f t="shared" si="289"/>
        <v>12690</v>
      </c>
      <c r="EV29" s="9">
        <f t="shared" si="282"/>
        <v>823.2</v>
      </c>
      <c r="EW29" s="9">
        <f t="shared" si="283"/>
        <v>361</v>
      </c>
      <c r="EX29" s="9">
        <f t="shared" si="280"/>
        <v>3202</v>
      </c>
      <c r="EY29" s="9">
        <f t="shared" si="284"/>
        <v>1715</v>
      </c>
      <c r="EZ29" s="13">
        <f t="shared" si="285"/>
        <v>0.25232466509062251</v>
      </c>
      <c r="FA29" s="13">
        <f t="shared" si="286"/>
        <v>0.1351457840819543</v>
      </c>
      <c r="FB29" s="9">
        <f t="shared" si="290"/>
        <v>2723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655</v>
      </c>
      <c r="EA30" s="10">
        <f t="shared" si="297"/>
        <v>689</v>
      </c>
      <c r="EB30" s="10">
        <f t="shared" si="297"/>
        <v>686</v>
      </c>
      <c r="EC30" s="10">
        <f t="shared" si="297"/>
        <v>504</v>
      </c>
      <c r="ED30" s="10">
        <f t="shared" si="297"/>
        <v>427</v>
      </c>
      <c r="EE30" s="10">
        <f t="shared" si="297"/>
        <v>630</v>
      </c>
      <c r="EF30" s="10">
        <f t="shared" si="297"/>
        <v>840</v>
      </c>
      <c r="EG30" s="10">
        <f t="shared" si="297"/>
        <v>1002</v>
      </c>
      <c r="EH30" s="10">
        <f t="shared" si="297"/>
        <v>1067</v>
      </c>
      <c r="EI30" s="10">
        <f t="shared" si="297"/>
        <v>956</v>
      </c>
      <c r="EJ30" s="10">
        <f t="shared" si="297"/>
        <v>874</v>
      </c>
      <c r="EK30" s="10">
        <f t="shared" si="297"/>
        <v>834</v>
      </c>
      <c r="EL30" s="10">
        <f t="shared" si="297"/>
        <v>888</v>
      </c>
      <c r="EM30" s="10">
        <f t="shared" si="297"/>
        <v>929</v>
      </c>
      <c r="EN30" s="10">
        <f t="shared" si="297"/>
        <v>882</v>
      </c>
      <c r="EO30" s="10">
        <f t="shared" si="297"/>
        <v>766</v>
      </c>
      <c r="EP30" s="10">
        <f t="shared" si="297"/>
        <v>713</v>
      </c>
      <c r="EQ30" s="10">
        <f t="shared" si="297"/>
        <v>591</v>
      </c>
      <c r="ER30" s="10">
        <f t="shared" si="297"/>
        <v>421</v>
      </c>
      <c r="ES30" s="10">
        <f t="shared" si="297"/>
        <v>131</v>
      </c>
      <c r="ET30" s="10">
        <f t="shared" si="297"/>
        <v>32</v>
      </c>
      <c r="EU30" s="10">
        <f t="shared" si="289"/>
        <v>14517</v>
      </c>
      <c r="EV30" s="10">
        <f t="shared" si="282"/>
        <v>825</v>
      </c>
      <c r="EW30" s="10">
        <f t="shared" si="283"/>
        <v>375.2</v>
      </c>
      <c r="EX30" s="10">
        <f t="shared" si="280"/>
        <v>4465</v>
      </c>
      <c r="EY30" s="10">
        <f t="shared" si="284"/>
        <v>2654</v>
      </c>
      <c r="EZ30" s="14">
        <f t="shared" si="285"/>
        <v>0.30757043466280914</v>
      </c>
      <c r="FA30" s="14">
        <f t="shared" si="286"/>
        <v>0.18282014190259696</v>
      </c>
      <c r="FB30" s="10">
        <f t="shared" si="290"/>
        <v>2899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1299</v>
      </c>
      <c r="EA31" s="16">
        <f t="shared" ref="EA31:ET31" si="298">EA29+EA30</f>
        <v>1388</v>
      </c>
      <c r="EB31" s="16">
        <f t="shared" si="298"/>
        <v>1359</v>
      </c>
      <c r="EC31" s="16">
        <f t="shared" si="298"/>
        <v>963</v>
      </c>
      <c r="ED31" s="16">
        <f t="shared" si="298"/>
        <v>774</v>
      </c>
      <c r="EE31" s="16">
        <f t="shared" si="298"/>
        <v>1225</v>
      </c>
      <c r="EF31" s="16">
        <f t="shared" si="298"/>
        <v>1656</v>
      </c>
      <c r="EG31" s="16">
        <f t="shared" si="298"/>
        <v>1967</v>
      </c>
      <c r="EH31" s="16">
        <f t="shared" si="298"/>
        <v>2154</v>
      </c>
      <c r="EI31" s="16">
        <f t="shared" si="298"/>
        <v>1917</v>
      </c>
      <c r="EJ31" s="16">
        <f t="shared" si="298"/>
        <v>1624</v>
      </c>
      <c r="EK31" s="16">
        <f t="shared" si="298"/>
        <v>1519</v>
      </c>
      <c r="EL31" s="16">
        <f t="shared" si="298"/>
        <v>1695</v>
      </c>
      <c r="EM31" s="16">
        <f t="shared" si="298"/>
        <v>1735</v>
      </c>
      <c r="EN31" s="16">
        <f t="shared" si="298"/>
        <v>1563</v>
      </c>
      <c r="EO31" s="16">
        <f t="shared" si="298"/>
        <v>1428</v>
      </c>
      <c r="EP31" s="16">
        <f t="shared" si="298"/>
        <v>1198</v>
      </c>
      <c r="EQ31" s="16">
        <f t="shared" si="298"/>
        <v>967</v>
      </c>
      <c r="ER31" s="16">
        <f t="shared" si="298"/>
        <v>588</v>
      </c>
      <c r="ES31" s="16">
        <f t="shared" si="298"/>
        <v>156</v>
      </c>
      <c r="ET31" s="16">
        <f t="shared" si="298"/>
        <v>32</v>
      </c>
      <c r="EU31" s="11">
        <f t="shared" si="289"/>
        <v>27207</v>
      </c>
      <c r="EV31" s="11">
        <f t="shared" si="282"/>
        <v>1648.1999999999998</v>
      </c>
      <c r="EW31" s="11">
        <f t="shared" si="283"/>
        <v>736.2</v>
      </c>
      <c r="EX31" s="11">
        <f t="shared" si="280"/>
        <v>7667</v>
      </c>
      <c r="EY31" s="11">
        <f t="shared" si="284"/>
        <v>4369</v>
      </c>
      <c r="EZ31" s="15">
        <f t="shared" si="285"/>
        <v>0.28180247730363511</v>
      </c>
      <c r="FA31" s="15">
        <f t="shared" si="286"/>
        <v>0.16058367331936635</v>
      </c>
      <c r="FB31" s="11">
        <f t="shared" si="290"/>
        <v>5622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11664</v>
      </c>
      <c r="D4" s="17">
        <f>SUM(C41:C61)</f>
        <v>13596</v>
      </c>
      <c r="E4" s="17">
        <f>C4+D4</f>
        <v>25260</v>
      </c>
      <c r="F4" s="85"/>
      <c r="G4" s="1" t="s">
        <v>58</v>
      </c>
      <c r="H4" s="1">
        <f>B4</f>
        <v>2010</v>
      </c>
      <c r="I4" s="17">
        <f>C4</f>
        <v>11664</v>
      </c>
      <c r="J4" s="17">
        <f>D4</f>
        <v>13596</v>
      </c>
      <c r="K4" s="17">
        <f>I4+J4</f>
        <v>25260</v>
      </c>
      <c r="N4" s="1" t="s">
        <v>58</v>
      </c>
      <c r="O4" s="1">
        <f>H4</f>
        <v>2010</v>
      </c>
      <c r="P4" s="17">
        <f>I4</f>
        <v>11664</v>
      </c>
      <c r="Q4" s="17">
        <f t="shared" ref="Q4:R4" si="0">J4</f>
        <v>13596</v>
      </c>
      <c r="R4" s="17">
        <f t="shared" si="0"/>
        <v>25260</v>
      </c>
      <c r="S4" s="1"/>
      <c r="T4" s="1"/>
      <c r="U4" s="1"/>
    </row>
    <row r="5" spans="1:21" x14ac:dyDescent="0.15">
      <c r="A5" s="1" t="s">
        <v>61</v>
      </c>
      <c r="B5" s="1">
        <f>管理者入力シート!B6</f>
        <v>2015</v>
      </c>
      <c r="C5" s="17">
        <f>SUM(B65:B85)</f>
        <v>11519</v>
      </c>
      <c r="D5" s="17">
        <f>SUM(C65:C85)</f>
        <v>13536</v>
      </c>
      <c r="E5" s="17">
        <f t="shared" ref="E5" si="1">C5+D5</f>
        <v>25055</v>
      </c>
      <c r="F5" s="85"/>
      <c r="G5" s="1" t="s">
        <v>57</v>
      </c>
      <c r="H5" s="1">
        <f t="shared" ref="H5:H6" si="2">B5</f>
        <v>2015</v>
      </c>
      <c r="I5" s="17">
        <f t="shared" ref="I5" si="3">C5</f>
        <v>11519</v>
      </c>
      <c r="J5" s="17">
        <f>D5</f>
        <v>13536</v>
      </c>
      <c r="K5" s="17">
        <f t="shared" ref="K5:K10" si="4">I5+J5</f>
        <v>25055</v>
      </c>
      <c r="N5" s="1" t="s">
        <v>57</v>
      </c>
      <c r="O5" s="1">
        <f t="shared" ref="O5:O10" si="5">H5</f>
        <v>2015</v>
      </c>
      <c r="P5" s="17">
        <f t="shared" ref="P5:P10" si="6">I5</f>
        <v>11519</v>
      </c>
      <c r="Q5" s="17">
        <f t="shared" ref="Q5:Q10" si="7">J5</f>
        <v>13536</v>
      </c>
      <c r="R5" s="17">
        <f t="shared" ref="R5:R10" si="8">K5</f>
        <v>25055</v>
      </c>
      <c r="S5" s="1"/>
      <c r="T5" s="1"/>
      <c r="U5" s="1"/>
    </row>
    <row r="6" spans="1:21" x14ac:dyDescent="0.15">
      <c r="A6" s="1" t="s">
        <v>62</v>
      </c>
      <c r="B6" s="1">
        <f>管理者入力シート!B5</f>
        <v>2020</v>
      </c>
      <c r="C6" s="17">
        <f>SUM(B89:B109)</f>
        <v>11557</v>
      </c>
      <c r="D6" s="17">
        <f>SUM(C89:C109)</f>
        <v>13570</v>
      </c>
      <c r="E6" s="17">
        <f>C6+D6</f>
        <v>25127</v>
      </c>
      <c r="F6" s="85"/>
      <c r="G6" s="1" t="s">
        <v>62</v>
      </c>
      <c r="H6" s="1">
        <f t="shared" si="2"/>
        <v>2020</v>
      </c>
      <c r="I6" s="17">
        <f>C6</f>
        <v>11557</v>
      </c>
      <c r="J6" s="17">
        <f>D6</f>
        <v>13570</v>
      </c>
      <c r="K6" s="17">
        <f t="shared" si="4"/>
        <v>25127</v>
      </c>
      <c r="N6" s="1" t="s">
        <v>62</v>
      </c>
      <c r="O6" s="1">
        <f t="shared" si="5"/>
        <v>2020</v>
      </c>
      <c r="P6" s="17">
        <f t="shared" si="6"/>
        <v>11557</v>
      </c>
      <c r="Q6" s="17">
        <f t="shared" si="7"/>
        <v>13570</v>
      </c>
      <c r="R6" s="17">
        <f t="shared" si="8"/>
        <v>25127</v>
      </c>
      <c r="S6" s="1"/>
      <c r="T6" s="1"/>
      <c r="U6" s="1"/>
    </row>
    <row r="7" spans="1:21" x14ac:dyDescent="0.15">
      <c r="G7" s="1" t="s">
        <v>106</v>
      </c>
      <c r="H7" s="1">
        <f>管理者入力シート!B8</f>
        <v>2025</v>
      </c>
      <c r="I7" s="17">
        <f>SUM(H69:H89)</f>
        <v>11293</v>
      </c>
      <c r="J7" s="17">
        <f>SUM(I69:I89)</f>
        <v>13305</v>
      </c>
      <c r="K7" s="17">
        <f t="shared" si="4"/>
        <v>24598</v>
      </c>
      <c r="N7" s="1" t="s">
        <v>106</v>
      </c>
      <c r="O7" s="1">
        <f t="shared" si="5"/>
        <v>2025</v>
      </c>
      <c r="P7" s="17">
        <f t="shared" si="6"/>
        <v>11293</v>
      </c>
      <c r="Q7" s="17">
        <f t="shared" si="7"/>
        <v>13305</v>
      </c>
      <c r="R7" s="17">
        <f t="shared" si="8"/>
        <v>24598</v>
      </c>
      <c r="S7" s="236">
        <f>SUM(O69:O89)</f>
        <v>11297</v>
      </c>
      <c r="T7" s="236">
        <f>SUM(P69:P89)</f>
        <v>13310</v>
      </c>
      <c r="U7" s="236">
        <f>S7+T7</f>
        <v>24607</v>
      </c>
    </row>
    <row r="8" spans="1:21" x14ac:dyDescent="0.15">
      <c r="A8" s="69" t="s">
        <v>71</v>
      </c>
      <c r="G8" s="1" t="s">
        <v>107</v>
      </c>
      <c r="H8" s="1">
        <f>管理者入力シート!B9</f>
        <v>2030</v>
      </c>
      <c r="I8" s="17">
        <f>SUM(H93:H113)</f>
        <v>10924</v>
      </c>
      <c r="J8" s="17">
        <f>SUM(I93:I113)</f>
        <v>12907</v>
      </c>
      <c r="K8" s="17">
        <f t="shared" si="4"/>
        <v>23831</v>
      </c>
      <c r="N8" s="1" t="s">
        <v>107</v>
      </c>
      <c r="O8" s="1">
        <f t="shared" si="5"/>
        <v>2030</v>
      </c>
      <c r="P8" s="17">
        <f t="shared" si="6"/>
        <v>10924</v>
      </c>
      <c r="Q8" s="17">
        <f t="shared" si="7"/>
        <v>12907</v>
      </c>
      <c r="R8" s="17">
        <f t="shared" si="8"/>
        <v>23831</v>
      </c>
      <c r="S8" s="236">
        <f>SUM(O93:O113)</f>
        <v>10933</v>
      </c>
      <c r="T8" s="236">
        <f>SUM(P93:P113)</f>
        <v>12918</v>
      </c>
      <c r="U8" s="236">
        <f t="shared" ref="U8:U10" si="9">S8+T8</f>
        <v>23851</v>
      </c>
    </row>
    <row r="9" spans="1:21" x14ac:dyDescent="0.15">
      <c r="A9" s="2" t="s">
        <v>72</v>
      </c>
      <c r="G9" s="1" t="s">
        <v>108</v>
      </c>
      <c r="H9" s="1">
        <f>管理者入力シート!B10</f>
        <v>2035</v>
      </c>
      <c r="I9" s="17">
        <f>SUM(H117:H137)</f>
        <v>10523</v>
      </c>
      <c r="J9" s="17">
        <f>SUM(I117:I137)</f>
        <v>12440</v>
      </c>
      <c r="K9" s="17">
        <f t="shared" si="4"/>
        <v>22963</v>
      </c>
      <c r="N9" s="1" t="s">
        <v>108</v>
      </c>
      <c r="O9" s="1">
        <f t="shared" si="5"/>
        <v>2035</v>
      </c>
      <c r="P9" s="17">
        <f t="shared" si="6"/>
        <v>10523</v>
      </c>
      <c r="Q9" s="17">
        <f t="shared" si="7"/>
        <v>12440</v>
      </c>
      <c r="R9" s="17">
        <f t="shared" si="8"/>
        <v>22963</v>
      </c>
      <c r="S9" s="236">
        <f>SUM(O117:O137)</f>
        <v>10538</v>
      </c>
      <c r="T9" s="236">
        <f>SUM(P117:P137)</f>
        <v>12458</v>
      </c>
      <c r="U9" s="236">
        <f t="shared" si="9"/>
        <v>22996</v>
      </c>
    </row>
    <row r="10" spans="1:21" x14ac:dyDescent="0.15">
      <c r="A10" s="1" t="s">
        <v>58</v>
      </c>
      <c r="B10" s="1">
        <f>B4</f>
        <v>2010</v>
      </c>
      <c r="C10" s="17">
        <f>ROUND(VLOOKUP(B10&amp;"_3",管理者用人口入力シート!A:AA,26,FALSE),0)</f>
        <v>1506</v>
      </c>
      <c r="D10" s="12"/>
      <c r="E10" s="12"/>
      <c r="G10" s="1" t="s">
        <v>109</v>
      </c>
      <c r="H10" s="1">
        <f>管理者入力シート!B11</f>
        <v>2040</v>
      </c>
      <c r="I10" s="17">
        <f>SUM(H141:H161)</f>
        <v>10098</v>
      </c>
      <c r="J10" s="17">
        <f>SUM(I141:I161)</f>
        <v>11934</v>
      </c>
      <c r="K10" s="17">
        <f t="shared" si="4"/>
        <v>22032</v>
      </c>
      <c r="N10" s="1" t="s">
        <v>109</v>
      </c>
      <c r="O10" s="1">
        <f t="shared" si="5"/>
        <v>2040</v>
      </c>
      <c r="P10" s="17">
        <f t="shared" si="6"/>
        <v>10098</v>
      </c>
      <c r="Q10" s="17">
        <f t="shared" si="7"/>
        <v>11934</v>
      </c>
      <c r="R10" s="17">
        <f t="shared" si="8"/>
        <v>22032</v>
      </c>
      <c r="S10" s="236">
        <f>SUM(O141:O161)</f>
        <v>10120</v>
      </c>
      <c r="T10" s="236">
        <f>SUM(P141:P161)</f>
        <v>11958</v>
      </c>
      <c r="U10" s="236">
        <f t="shared" si="9"/>
        <v>22078</v>
      </c>
    </row>
    <row r="11" spans="1:21" x14ac:dyDescent="0.15">
      <c r="A11" s="1" t="s">
        <v>61</v>
      </c>
      <c r="B11" s="1">
        <f t="shared" ref="B11:B12" si="10">B5</f>
        <v>2015</v>
      </c>
      <c r="C11" s="17">
        <f>ROUND(VLOOKUP(B11&amp;"_3",管理者用人口入力シート!A:AA,26,FALSE),0)</f>
        <v>1477</v>
      </c>
      <c r="D11" s="12"/>
      <c r="E11" s="12"/>
      <c r="I11" s="12"/>
      <c r="J11" s="12"/>
      <c r="K11" s="12"/>
      <c r="P11" s="12"/>
    </row>
    <row r="12" spans="1:21" x14ac:dyDescent="0.15">
      <c r="A12" s="1" t="s">
        <v>62</v>
      </c>
      <c r="B12" s="1">
        <f t="shared" si="10"/>
        <v>2020</v>
      </c>
      <c r="C12" s="17">
        <f>ROUND(VLOOKUP(B12&amp;"_3",管理者用人口入力シート!A:AA,26,FALSE),0)</f>
        <v>1502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802</v>
      </c>
      <c r="D14" s="12"/>
      <c r="E14" s="12"/>
      <c r="G14" s="1" t="s">
        <v>58</v>
      </c>
      <c r="H14" s="1">
        <f>H4</f>
        <v>2010</v>
      </c>
      <c r="I14" s="17">
        <f>C10</f>
        <v>1506</v>
      </c>
      <c r="J14" s="12"/>
      <c r="K14" s="12"/>
      <c r="N14" s="1" t="s">
        <v>58</v>
      </c>
      <c r="O14" s="1">
        <f>O4</f>
        <v>2010</v>
      </c>
      <c r="P14" s="17">
        <f>I14</f>
        <v>1506</v>
      </c>
      <c r="Q14" s="17"/>
    </row>
    <row r="15" spans="1:21" x14ac:dyDescent="0.15">
      <c r="A15" s="1" t="s">
        <v>61</v>
      </c>
      <c r="B15" s="1">
        <f t="shared" ref="B15:B16" si="11">B5</f>
        <v>2015</v>
      </c>
      <c r="C15" s="17">
        <f>ROUND(VLOOKUP(B15&amp;"_3",管理者用人口入力シート!A:AA,27,FALSE),0)</f>
        <v>728</v>
      </c>
      <c r="D15" s="12"/>
      <c r="E15" s="12"/>
      <c r="G15" s="1" t="s">
        <v>57</v>
      </c>
      <c r="H15" s="1">
        <f t="shared" ref="H15:H20" si="12">H5</f>
        <v>2015</v>
      </c>
      <c r="I15" s="17">
        <f>C11</f>
        <v>1477</v>
      </c>
      <c r="J15" s="12"/>
      <c r="K15" s="12"/>
      <c r="N15" s="1" t="s">
        <v>57</v>
      </c>
      <c r="O15" s="1">
        <f t="shared" ref="O15:O20" si="13">O5</f>
        <v>2015</v>
      </c>
      <c r="P15" s="17">
        <f t="shared" ref="P15:P20" si="14">I15</f>
        <v>1477</v>
      </c>
      <c r="Q15" s="17"/>
    </row>
    <row r="16" spans="1:21" x14ac:dyDescent="0.15">
      <c r="A16" s="1" t="s">
        <v>62</v>
      </c>
      <c r="B16" s="1">
        <f t="shared" si="11"/>
        <v>2020</v>
      </c>
      <c r="C16" s="17">
        <f>ROUND(VLOOKUP(B16&amp;"_3",管理者用人口入力シート!A:AA,27,FALSE),0)</f>
        <v>718</v>
      </c>
      <c r="D16" s="12"/>
      <c r="E16" s="12"/>
      <c r="G16" s="1" t="s">
        <v>62</v>
      </c>
      <c r="H16" s="1">
        <f t="shared" si="12"/>
        <v>2020</v>
      </c>
      <c r="I16" s="17">
        <f>C12</f>
        <v>1502</v>
      </c>
      <c r="J16" s="12"/>
      <c r="K16" s="12"/>
      <c r="N16" s="1" t="s">
        <v>62</v>
      </c>
      <c r="O16" s="1">
        <f t="shared" si="13"/>
        <v>2020</v>
      </c>
      <c r="P16" s="17">
        <f t="shared" si="14"/>
        <v>1502</v>
      </c>
      <c r="Q16" s="17"/>
    </row>
    <row r="17" spans="1:17" x14ac:dyDescent="0.15">
      <c r="G17" s="1" t="s">
        <v>106</v>
      </c>
      <c r="H17" s="1">
        <f t="shared" si="12"/>
        <v>2025</v>
      </c>
      <c r="I17" s="17">
        <f>ROUND(VLOOKUP(H17&amp;"_3",管理者用人口入力シート!BH:CM,26,FALSE),0)</f>
        <v>1472</v>
      </c>
      <c r="J17" s="12"/>
      <c r="K17" s="12"/>
      <c r="N17" s="1" t="s">
        <v>106</v>
      </c>
      <c r="O17" s="1">
        <f t="shared" si="13"/>
        <v>2025</v>
      </c>
      <c r="P17" s="17">
        <f t="shared" si="14"/>
        <v>1472</v>
      </c>
      <c r="Q17" s="17">
        <f>ROUND(VLOOKUP(H17&amp;"_3",管理者用人口入力シート!CO:DT,26,FALSE),0)</f>
        <v>1473</v>
      </c>
    </row>
    <row r="18" spans="1:17" x14ac:dyDescent="0.15">
      <c r="A18" s="69" t="s">
        <v>110</v>
      </c>
      <c r="G18" s="1" t="s">
        <v>107</v>
      </c>
      <c r="H18" s="1">
        <f t="shared" si="12"/>
        <v>2030</v>
      </c>
      <c r="I18" s="17">
        <f>ROUND(VLOOKUP(H18&amp;"_3",管理者用人口入力シート!BH:CM,26,FALSE),0)</f>
        <v>1350</v>
      </c>
      <c r="J18" s="12"/>
      <c r="K18" s="12"/>
      <c r="N18" s="1" t="s">
        <v>107</v>
      </c>
      <c r="O18" s="1">
        <f t="shared" si="13"/>
        <v>2030</v>
      </c>
      <c r="P18" s="17">
        <f t="shared" si="14"/>
        <v>1350</v>
      </c>
      <c r="Q18" s="17">
        <f>ROUND(VLOOKUP(H18&amp;"_3",管理者用人口入力シート!CO:DT,26,FALSE),0)</f>
        <v>1352</v>
      </c>
    </row>
    <row r="19" spans="1:17" x14ac:dyDescent="0.15">
      <c r="A19" s="2" t="s">
        <v>84</v>
      </c>
      <c r="G19" s="1" t="s">
        <v>108</v>
      </c>
      <c r="H19" s="1">
        <f t="shared" si="12"/>
        <v>2035</v>
      </c>
      <c r="I19" s="17">
        <f>ROUND(VLOOKUP(H19&amp;"_3",管理者用人口入力シート!BH:CM,26,FALSE),0)</f>
        <v>1213</v>
      </c>
      <c r="J19" s="12"/>
      <c r="K19" s="12"/>
      <c r="N19" s="1" t="s">
        <v>108</v>
      </c>
      <c r="O19" s="1">
        <f t="shared" si="13"/>
        <v>2035</v>
      </c>
      <c r="P19" s="17">
        <f t="shared" si="14"/>
        <v>1213</v>
      </c>
      <c r="Q19" s="17">
        <f>ROUND(VLOOKUP(H19&amp;"_3",管理者用人口入力シート!CO:DT,26,FALSE),0)</f>
        <v>1218</v>
      </c>
    </row>
    <row r="20" spans="1:17" x14ac:dyDescent="0.15">
      <c r="A20" s="1" t="s">
        <v>58</v>
      </c>
      <c r="B20" s="1">
        <f>B4</f>
        <v>2010</v>
      </c>
      <c r="C20" s="17">
        <f>SUM(B54:C61)</f>
        <v>5763</v>
      </c>
      <c r="D20" s="12"/>
      <c r="E20" s="12"/>
      <c r="G20" s="1" t="s">
        <v>109</v>
      </c>
      <c r="H20" s="1">
        <f t="shared" si="12"/>
        <v>2040</v>
      </c>
      <c r="I20" s="17">
        <f>ROUND(VLOOKUP(H20&amp;"_3",管理者用人口入力シート!BH:CM,26,FALSE),0)</f>
        <v>1145</v>
      </c>
      <c r="J20" s="12"/>
      <c r="K20" s="12"/>
      <c r="N20" s="1" t="s">
        <v>109</v>
      </c>
      <c r="O20" s="1">
        <f t="shared" si="13"/>
        <v>2040</v>
      </c>
      <c r="P20" s="17">
        <f t="shared" si="14"/>
        <v>1145</v>
      </c>
      <c r="Q20" s="17">
        <f>ROUND(VLOOKUP(H20&amp;"_3",管理者用人口入力シート!CO:DT,26,FALSE),0)</f>
        <v>1152</v>
      </c>
    </row>
    <row r="21" spans="1:17" x14ac:dyDescent="0.15">
      <c r="A21" s="1" t="s">
        <v>61</v>
      </c>
      <c r="B21" s="1">
        <f t="shared" ref="B21:B22" si="15">B5</f>
        <v>2015</v>
      </c>
      <c r="C21" s="17">
        <f>SUM(B78:C85)</f>
        <v>6520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7076</v>
      </c>
      <c r="D22" s="12"/>
      <c r="E22" s="12"/>
      <c r="G22" s="1" t="s">
        <v>58</v>
      </c>
      <c r="H22" s="1">
        <f>H4</f>
        <v>2010</v>
      </c>
      <c r="I22" s="17">
        <f>C14</f>
        <v>802</v>
      </c>
      <c r="J22" s="12"/>
      <c r="K22" s="12"/>
      <c r="N22" s="1" t="s">
        <v>58</v>
      </c>
      <c r="O22" s="1">
        <f>O4</f>
        <v>2010</v>
      </c>
      <c r="P22" s="17">
        <f>I22</f>
        <v>802</v>
      </c>
      <c r="Q22" s="17"/>
    </row>
    <row r="23" spans="1:17" x14ac:dyDescent="0.15">
      <c r="A23" s="2" t="s">
        <v>86</v>
      </c>
      <c r="G23" s="1" t="s">
        <v>57</v>
      </c>
      <c r="H23" s="1">
        <f t="shared" ref="H23:H28" si="16">H5</f>
        <v>2015</v>
      </c>
      <c r="I23" s="17">
        <f t="shared" ref="I23:I24" si="17">C15</f>
        <v>728</v>
      </c>
      <c r="J23" s="12"/>
      <c r="K23" s="12"/>
      <c r="N23" s="1" t="s">
        <v>57</v>
      </c>
      <c r="O23" s="1">
        <f t="shared" ref="O23:O28" si="18">O5</f>
        <v>2015</v>
      </c>
      <c r="P23" s="17">
        <f t="shared" ref="P23:P28" si="19">I23</f>
        <v>728</v>
      </c>
      <c r="Q23" s="17"/>
    </row>
    <row r="24" spans="1:17" x14ac:dyDescent="0.15">
      <c r="A24" s="1" t="s">
        <v>58</v>
      </c>
      <c r="B24" s="1">
        <f>B4</f>
        <v>2010</v>
      </c>
      <c r="C24" s="17">
        <f>SUM(B56:C61)</f>
        <v>2954</v>
      </c>
      <c r="D24" s="12"/>
      <c r="E24" s="12"/>
      <c r="G24" s="1" t="s">
        <v>62</v>
      </c>
      <c r="H24" s="1">
        <f t="shared" si="16"/>
        <v>2020</v>
      </c>
      <c r="I24" s="17">
        <f t="shared" si="17"/>
        <v>718</v>
      </c>
      <c r="J24" s="12"/>
      <c r="K24" s="12"/>
      <c r="N24" s="1" t="s">
        <v>62</v>
      </c>
      <c r="O24" s="1">
        <f t="shared" si="18"/>
        <v>2020</v>
      </c>
      <c r="P24" s="17">
        <f t="shared" si="19"/>
        <v>718</v>
      </c>
      <c r="Q24" s="17"/>
    </row>
    <row r="25" spans="1:17" x14ac:dyDescent="0.15">
      <c r="A25" s="1" t="s">
        <v>61</v>
      </c>
      <c r="B25" s="1">
        <f t="shared" ref="B25:B26" si="20">B5</f>
        <v>2015</v>
      </c>
      <c r="C25" s="17">
        <f>SUM(B80:C85)</f>
        <v>3352</v>
      </c>
      <c r="D25" s="12"/>
      <c r="E25" s="12"/>
      <c r="G25" s="1" t="s">
        <v>106</v>
      </c>
      <c r="H25" s="1">
        <f t="shared" si="16"/>
        <v>2025</v>
      </c>
      <c r="I25" s="17">
        <f>ROUND(VLOOKUP(H25&amp;"_3",管理者用人口入力シート!BH:CM,27,FALSE),0)</f>
        <v>735</v>
      </c>
      <c r="J25" s="12"/>
      <c r="K25" s="12"/>
      <c r="N25" s="1" t="s">
        <v>106</v>
      </c>
      <c r="O25" s="1">
        <f t="shared" si="18"/>
        <v>2025</v>
      </c>
      <c r="P25" s="17">
        <f t="shared" si="19"/>
        <v>735</v>
      </c>
      <c r="Q25" s="17">
        <f>ROUND(VLOOKUP(H17&amp;"_3",管理者用人口入力シート!CO:DT,27,FALSE),0)</f>
        <v>735</v>
      </c>
    </row>
    <row r="26" spans="1:17" x14ac:dyDescent="0.15">
      <c r="A26" s="1" t="s">
        <v>62</v>
      </c>
      <c r="B26" s="1">
        <f t="shared" si="20"/>
        <v>2020</v>
      </c>
      <c r="C26" s="17">
        <f>SUM(B104:C109)</f>
        <v>3744</v>
      </c>
      <c r="D26" s="12"/>
      <c r="E26" s="12"/>
      <c r="G26" s="1" t="s">
        <v>107</v>
      </c>
      <c r="H26" s="1">
        <f t="shared" si="16"/>
        <v>2030</v>
      </c>
      <c r="I26" s="17">
        <f>ROUND(VLOOKUP(H26&amp;"_3",管理者用人口入力シート!BH:CM,27,FALSE),0)</f>
        <v>713</v>
      </c>
      <c r="J26" s="12"/>
      <c r="K26" s="12"/>
      <c r="N26" s="1" t="s">
        <v>107</v>
      </c>
      <c r="O26" s="1">
        <f t="shared" si="18"/>
        <v>2030</v>
      </c>
      <c r="P26" s="17">
        <f t="shared" si="19"/>
        <v>713</v>
      </c>
      <c r="Q26" s="17">
        <f>ROUND(VLOOKUP(H18&amp;"_3",管理者用人口入力シート!CO:DT,27,FALSE),0)</f>
        <v>714</v>
      </c>
    </row>
    <row r="27" spans="1:17" x14ac:dyDescent="0.15">
      <c r="G27" s="1" t="s">
        <v>108</v>
      </c>
      <c r="H27" s="1">
        <f t="shared" si="16"/>
        <v>2035</v>
      </c>
      <c r="I27" s="17">
        <f>ROUND(VLOOKUP(H27&amp;"_3",管理者用人口入力シート!BH:CM,27,FALSE),0)</f>
        <v>643</v>
      </c>
      <c r="J27" s="12"/>
      <c r="K27" s="12"/>
      <c r="N27" s="1" t="s">
        <v>108</v>
      </c>
      <c r="O27" s="1">
        <f t="shared" si="18"/>
        <v>2035</v>
      </c>
      <c r="P27" s="17">
        <f t="shared" si="19"/>
        <v>643</v>
      </c>
      <c r="Q27" s="17">
        <f>ROUND(VLOOKUP(H19&amp;"_3",管理者用人口入力シート!CO:DT,27,FALSE),0)</f>
        <v>645</v>
      </c>
    </row>
    <row r="28" spans="1:17" x14ac:dyDescent="0.15">
      <c r="A28" s="69" t="s">
        <v>85</v>
      </c>
      <c r="G28" s="1" t="s">
        <v>109</v>
      </c>
      <c r="H28" s="1">
        <f t="shared" si="16"/>
        <v>2040</v>
      </c>
      <c r="I28" s="17">
        <f>ROUND(VLOOKUP(H28&amp;"_3",管理者用人口入力シート!BH:CM,27,FALSE),0)</f>
        <v>584</v>
      </c>
      <c r="J28" s="12"/>
      <c r="K28" s="12"/>
      <c r="N28" s="1" t="s">
        <v>109</v>
      </c>
      <c r="O28" s="1">
        <f t="shared" si="18"/>
        <v>2040</v>
      </c>
      <c r="P28" s="17">
        <f t="shared" si="19"/>
        <v>584</v>
      </c>
      <c r="Q28" s="17">
        <f>ROUND(VLOOKUP(H20&amp;"_3",管理者用人口入力シート!CO:DT,27,FALSE),0)</f>
        <v>587</v>
      </c>
    </row>
    <row r="29" spans="1:17" x14ac:dyDescent="0.15">
      <c r="A29" s="2" t="s">
        <v>84</v>
      </c>
    </row>
    <row r="30" spans="1:17" x14ac:dyDescent="0.15">
      <c r="A30" s="1" t="s">
        <v>58</v>
      </c>
      <c r="B30" s="1">
        <f>B4</f>
        <v>2010</v>
      </c>
      <c r="C30" s="38">
        <f>ROUND((SUM(B54:C61)/SUM(B41:C61)),2)</f>
        <v>0.23</v>
      </c>
      <c r="D30" s="205"/>
      <c r="E30" s="205"/>
      <c r="G30" s="69" t="s">
        <v>110</v>
      </c>
      <c r="N30" s="69" t="s">
        <v>110</v>
      </c>
    </row>
    <row r="31" spans="1:17" x14ac:dyDescent="0.15">
      <c r="A31" s="1" t="s">
        <v>61</v>
      </c>
      <c r="B31" s="1">
        <f t="shared" ref="B31:B32" si="21">B5</f>
        <v>2015</v>
      </c>
      <c r="C31" s="38">
        <f>ROUND((SUM(B78:C85)/SUM(B65:C85)),2)</f>
        <v>0.26</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0.28000000000000003</v>
      </c>
      <c r="D32" s="205"/>
      <c r="E32" s="205"/>
      <c r="G32" s="1" t="s">
        <v>58</v>
      </c>
      <c r="H32" s="1">
        <f>H4</f>
        <v>2010</v>
      </c>
      <c r="I32" s="17">
        <f>C20</f>
        <v>5763</v>
      </c>
      <c r="J32" s="12"/>
      <c r="K32" s="12"/>
      <c r="N32" s="1" t="s">
        <v>58</v>
      </c>
      <c r="O32" s="1">
        <f>O4</f>
        <v>2010</v>
      </c>
      <c r="P32" s="17">
        <f>I32</f>
        <v>5763</v>
      </c>
      <c r="Q32" s="17"/>
    </row>
    <row r="33" spans="1:17" x14ac:dyDescent="0.15">
      <c r="A33" s="2" t="s">
        <v>86</v>
      </c>
      <c r="G33" s="1" t="s">
        <v>57</v>
      </c>
      <c r="H33" s="1">
        <f t="shared" ref="H33:H38" si="22">H5</f>
        <v>2015</v>
      </c>
      <c r="I33" s="17">
        <f>C21</f>
        <v>6520</v>
      </c>
      <c r="J33" s="12"/>
      <c r="K33" s="12"/>
      <c r="N33" s="1" t="s">
        <v>57</v>
      </c>
      <c r="O33" s="1">
        <f t="shared" ref="O33:O38" si="23">O5</f>
        <v>2015</v>
      </c>
      <c r="P33" s="17">
        <f t="shared" ref="P33:P38" si="24">I33</f>
        <v>6520</v>
      </c>
      <c r="Q33" s="17"/>
    </row>
    <row r="34" spans="1:17" x14ac:dyDescent="0.15">
      <c r="A34" s="1" t="s">
        <v>58</v>
      </c>
      <c r="B34" s="1">
        <f>B4</f>
        <v>2010</v>
      </c>
      <c r="C34" s="38">
        <f>ROUND((SUM(B56:C61)/SUM(B41:C61)),2)</f>
        <v>0.12</v>
      </c>
      <c r="D34" s="205"/>
      <c r="E34" s="205"/>
      <c r="G34" s="1" t="s">
        <v>62</v>
      </c>
      <c r="H34" s="1">
        <f t="shared" si="22"/>
        <v>2020</v>
      </c>
      <c r="I34" s="17">
        <f>C22</f>
        <v>7076</v>
      </c>
      <c r="J34" s="12"/>
      <c r="K34" s="12"/>
      <c r="N34" s="1" t="s">
        <v>62</v>
      </c>
      <c r="O34" s="1">
        <f t="shared" si="23"/>
        <v>2020</v>
      </c>
      <c r="P34" s="17">
        <f t="shared" si="24"/>
        <v>7076</v>
      </c>
      <c r="Q34" s="17"/>
    </row>
    <row r="35" spans="1:17" x14ac:dyDescent="0.15">
      <c r="A35" s="1" t="s">
        <v>61</v>
      </c>
      <c r="B35" s="1">
        <f t="shared" ref="B35:B36" si="25">B5</f>
        <v>2015</v>
      </c>
      <c r="C35" s="38">
        <f>ROUND((SUM(B80:C85)/SUM(B65:C85)),2)</f>
        <v>0.13</v>
      </c>
      <c r="D35" s="205"/>
      <c r="E35" s="205"/>
      <c r="G35" s="1" t="s">
        <v>106</v>
      </c>
      <c r="H35" s="1">
        <f t="shared" si="22"/>
        <v>2025</v>
      </c>
      <c r="I35" s="17">
        <f>SUM(H82:I89)</f>
        <v>7273</v>
      </c>
      <c r="J35" s="12"/>
      <c r="K35" s="12"/>
      <c r="N35" s="1" t="s">
        <v>106</v>
      </c>
      <c r="O35" s="1">
        <f t="shared" si="23"/>
        <v>2025</v>
      </c>
      <c r="P35" s="17">
        <f t="shared" si="24"/>
        <v>7273</v>
      </c>
      <c r="Q35" s="17">
        <f>SUM(O82:P89)</f>
        <v>7273</v>
      </c>
    </row>
    <row r="36" spans="1:17" x14ac:dyDescent="0.15">
      <c r="A36" s="1" t="s">
        <v>62</v>
      </c>
      <c r="B36" s="1">
        <f t="shared" si="25"/>
        <v>2020</v>
      </c>
      <c r="C36" s="38">
        <f>ROUND((SUM(B104:C109)/SUM(B89:C109)),2)</f>
        <v>0.15</v>
      </c>
      <c r="D36" s="205"/>
      <c r="E36" s="205"/>
      <c r="G36" s="1" t="s">
        <v>107</v>
      </c>
      <c r="H36" s="1">
        <f t="shared" si="22"/>
        <v>2030</v>
      </c>
      <c r="I36" s="17">
        <f>SUM(H106:I113)</f>
        <v>7437</v>
      </c>
      <c r="J36" s="12"/>
      <c r="K36" s="12"/>
      <c r="N36" s="1" t="s">
        <v>107</v>
      </c>
      <c r="O36" s="1">
        <f t="shared" si="23"/>
        <v>2030</v>
      </c>
      <c r="P36" s="17">
        <f t="shared" si="24"/>
        <v>7437</v>
      </c>
      <c r="Q36" s="17">
        <f>SUM(O106:P113)</f>
        <v>7437</v>
      </c>
    </row>
    <row r="37" spans="1:17" x14ac:dyDescent="0.15">
      <c r="G37" s="1" t="s">
        <v>108</v>
      </c>
      <c r="H37" s="1">
        <f t="shared" si="22"/>
        <v>2035</v>
      </c>
      <c r="I37" s="17">
        <f>SUM(H130:I137)</f>
        <v>7533</v>
      </c>
      <c r="J37" s="12"/>
      <c r="K37" s="12"/>
      <c r="N37" s="1" t="s">
        <v>108</v>
      </c>
      <c r="O37" s="1">
        <f t="shared" si="23"/>
        <v>2035</v>
      </c>
      <c r="P37" s="17">
        <f t="shared" si="24"/>
        <v>7533</v>
      </c>
      <c r="Q37" s="17">
        <f>SUM(O130:P137)</f>
        <v>7533</v>
      </c>
    </row>
    <row r="38" spans="1:17" x14ac:dyDescent="0.15">
      <c r="A38" s="69" t="s">
        <v>113</v>
      </c>
      <c r="G38" s="1" t="s">
        <v>109</v>
      </c>
      <c r="H38" s="1">
        <f t="shared" si="22"/>
        <v>2040</v>
      </c>
      <c r="I38" s="17">
        <f>SUM(H154:I161)</f>
        <v>7667</v>
      </c>
      <c r="J38" s="12"/>
      <c r="K38" s="12"/>
      <c r="N38" s="1" t="s">
        <v>109</v>
      </c>
      <c r="O38" s="1">
        <f t="shared" si="23"/>
        <v>2040</v>
      </c>
      <c r="P38" s="17">
        <f t="shared" si="24"/>
        <v>7667</v>
      </c>
      <c r="Q38" s="17">
        <f>SUM(O154:P161)</f>
        <v>7667</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2954</v>
      </c>
      <c r="J40" s="12"/>
      <c r="K40" s="12"/>
      <c r="N40" s="1" t="s">
        <v>58</v>
      </c>
      <c r="O40" s="1">
        <f>O4</f>
        <v>2010</v>
      </c>
      <c r="P40" s="17">
        <f>I40</f>
        <v>2954</v>
      </c>
      <c r="Q40" s="17"/>
    </row>
    <row r="41" spans="1:17" x14ac:dyDescent="0.15">
      <c r="A41" s="2" t="s">
        <v>0</v>
      </c>
      <c r="B41" s="17">
        <f>ROUND(VLOOKUP(B$39&amp;"_1",管理者用人口入力シート!A:X,D41,FALSE),0)</f>
        <v>611</v>
      </c>
      <c r="C41" s="17">
        <f>ROUND(VLOOKUP(B$39&amp;"_2",管理者用人口入力シート!A:X,D41,FALSE),0)</f>
        <v>597</v>
      </c>
      <c r="D41" s="2">
        <v>4</v>
      </c>
      <c r="G41" s="1" t="s">
        <v>57</v>
      </c>
      <c r="H41" s="1">
        <f t="shared" ref="H41:H46" si="26">H5</f>
        <v>2015</v>
      </c>
      <c r="I41" s="17">
        <f>C25</f>
        <v>3352</v>
      </c>
      <c r="J41" s="12"/>
      <c r="K41" s="12"/>
      <c r="N41" s="1" t="s">
        <v>57</v>
      </c>
      <c r="O41" s="1">
        <f t="shared" ref="O41:O46" si="27">O5</f>
        <v>2015</v>
      </c>
      <c r="P41" s="17">
        <f t="shared" ref="P41:P46" si="28">I41</f>
        <v>3352</v>
      </c>
      <c r="Q41" s="17"/>
    </row>
    <row r="42" spans="1:17" x14ac:dyDescent="0.15">
      <c r="A42" s="2" t="s">
        <v>1</v>
      </c>
      <c r="B42" s="17">
        <f>ROUND(VLOOKUP(B$39&amp;"_1",管理者用人口入力シート!A:X,D42,FALSE),0)</f>
        <v>574</v>
      </c>
      <c r="C42" s="17">
        <f>ROUND(VLOOKUP(B$39&amp;"_2",管理者用人口入力シート!A:X,D42,FALSE),0)</f>
        <v>576</v>
      </c>
      <c r="D42" s="2">
        <v>5</v>
      </c>
      <c r="G42" s="1" t="s">
        <v>62</v>
      </c>
      <c r="H42" s="1">
        <f t="shared" si="26"/>
        <v>2020</v>
      </c>
      <c r="I42" s="17">
        <f>C26</f>
        <v>3744</v>
      </c>
      <c r="J42" s="12"/>
      <c r="K42" s="12"/>
      <c r="N42" s="1" t="s">
        <v>62</v>
      </c>
      <c r="O42" s="1">
        <f t="shared" si="27"/>
        <v>2020</v>
      </c>
      <c r="P42" s="17">
        <f t="shared" si="28"/>
        <v>3744</v>
      </c>
      <c r="Q42" s="17"/>
    </row>
    <row r="43" spans="1:17" x14ac:dyDescent="0.15">
      <c r="A43" s="2" t="s">
        <v>2</v>
      </c>
      <c r="B43" s="17">
        <f>ROUND(VLOOKUP(B$39&amp;"_1",管理者用人口入力シート!A:X,D43,FALSE),0)</f>
        <v>712</v>
      </c>
      <c r="C43" s="17">
        <f>ROUND(VLOOKUP(B$39&amp;"_2",管理者用人口入力シート!A:X,D43,FALSE),0)</f>
        <v>649</v>
      </c>
      <c r="D43" s="2">
        <v>6</v>
      </c>
      <c r="G43" s="1" t="s">
        <v>106</v>
      </c>
      <c r="H43" s="1">
        <f t="shared" si="26"/>
        <v>2025</v>
      </c>
      <c r="I43" s="17">
        <f>SUM(H84:I89)</f>
        <v>4116</v>
      </c>
      <c r="J43" s="12"/>
      <c r="K43" s="12"/>
      <c r="N43" s="1" t="s">
        <v>106</v>
      </c>
      <c r="O43" s="1">
        <f t="shared" si="27"/>
        <v>2025</v>
      </c>
      <c r="P43" s="17">
        <f t="shared" si="28"/>
        <v>4116</v>
      </c>
      <c r="Q43" s="17">
        <f>SUM(O84:P89)</f>
        <v>4116</v>
      </c>
    </row>
    <row r="44" spans="1:17" x14ac:dyDescent="0.15">
      <c r="A44" s="2" t="s">
        <v>3</v>
      </c>
      <c r="B44" s="17">
        <f>ROUND(VLOOKUP(B$39&amp;"_1",管理者用人口入力シート!A:X,D44,FALSE),0)</f>
        <v>639</v>
      </c>
      <c r="C44" s="17">
        <f>ROUND(VLOOKUP(B$39&amp;"_2",管理者用人口入力シート!A:X,D44,FALSE),0)</f>
        <v>649</v>
      </c>
      <c r="D44" s="2">
        <v>7</v>
      </c>
      <c r="G44" s="1" t="s">
        <v>107</v>
      </c>
      <c r="H44" s="1">
        <f t="shared" si="26"/>
        <v>2030</v>
      </c>
      <c r="I44" s="17">
        <f>SUM(H108:I113)</f>
        <v>4298</v>
      </c>
      <c r="J44" s="12"/>
      <c r="K44" s="12"/>
      <c r="N44" s="1" t="s">
        <v>107</v>
      </c>
      <c r="O44" s="1">
        <f t="shared" si="27"/>
        <v>2030</v>
      </c>
      <c r="P44" s="17">
        <f t="shared" si="28"/>
        <v>4298</v>
      </c>
      <c r="Q44" s="17">
        <f>SUM(O108:P113)</f>
        <v>4298</v>
      </c>
    </row>
    <row r="45" spans="1:17" x14ac:dyDescent="0.15">
      <c r="A45" s="2" t="s">
        <v>4</v>
      </c>
      <c r="B45" s="17">
        <f>ROUND(VLOOKUP(B$39&amp;"_1",管理者用人口入力シート!A:X,D45,FALSE),0)</f>
        <v>430</v>
      </c>
      <c r="C45" s="17">
        <f>ROUND(VLOOKUP(B$39&amp;"_2",管理者用人口入力シート!A:X,D45,FALSE),0)</f>
        <v>555</v>
      </c>
      <c r="D45" s="2">
        <v>8</v>
      </c>
      <c r="G45" s="1" t="s">
        <v>108</v>
      </c>
      <c r="H45" s="1">
        <f t="shared" si="26"/>
        <v>2035</v>
      </c>
      <c r="I45" s="17">
        <f>SUM(H132:I137)</f>
        <v>4340</v>
      </c>
      <c r="J45" s="12"/>
      <c r="K45" s="12"/>
      <c r="N45" s="1" t="s">
        <v>108</v>
      </c>
      <c r="O45" s="1">
        <f t="shared" si="27"/>
        <v>2035</v>
      </c>
      <c r="P45" s="17">
        <f t="shared" si="28"/>
        <v>4340</v>
      </c>
      <c r="Q45" s="17">
        <f>SUM(O132:P137)</f>
        <v>4340</v>
      </c>
    </row>
    <row r="46" spans="1:17" x14ac:dyDescent="0.15">
      <c r="A46" s="2" t="s">
        <v>5</v>
      </c>
      <c r="B46" s="17">
        <f>ROUND(VLOOKUP(B$39&amp;"_1",管理者用人口入力シート!A:X,D46,FALSE),0)</f>
        <v>618</v>
      </c>
      <c r="C46" s="17">
        <f>ROUND(VLOOKUP(B$39&amp;"_2",管理者用人口入力シート!A:X,D46,FALSE),0)</f>
        <v>749</v>
      </c>
      <c r="D46" s="2">
        <v>9</v>
      </c>
      <c r="G46" s="1" t="s">
        <v>109</v>
      </c>
      <c r="H46" s="1">
        <f t="shared" si="26"/>
        <v>2040</v>
      </c>
      <c r="I46" s="17">
        <f>SUM(H156:I161)</f>
        <v>4369</v>
      </c>
      <c r="J46" s="12"/>
      <c r="K46" s="12"/>
      <c r="N46" s="1" t="s">
        <v>109</v>
      </c>
      <c r="O46" s="1">
        <f t="shared" si="27"/>
        <v>2040</v>
      </c>
      <c r="P46" s="17">
        <f t="shared" si="28"/>
        <v>4369</v>
      </c>
      <c r="Q46" s="17">
        <f>SUM(O156:P161)</f>
        <v>4369</v>
      </c>
    </row>
    <row r="47" spans="1:17" x14ac:dyDescent="0.15">
      <c r="A47" s="2" t="s">
        <v>6</v>
      </c>
      <c r="B47" s="17">
        <f>ROUND(VLOOKUP(B$39&amp;"_1",管理者用人口入力シート!A:X,D47,FALSE),0)</f>
        <v>788</v>
      </c>
      <c r="C47" s="17">
        <f>ROUND(VLOOKUP(B$39&amp;"_2",管理者用人口入力シート!A:X,D47,FALSE),0)</f>
        <v>833</v>
      </c>
      <c r="D47" s="2">
        <v>10</v>
      </c>
    </row>
    <row r="48" spans="1:17" x14ac:dyDescent="0.15">
      <c r="A48" s="2" t="s">
        <v>7</v>
      </c>
      <c r="B48" s="17">
        <f>ROUND(VLOOKUP(B$39&amp;"_1",管理者用人口入力シート!A:X,D48,FALSE),0)</f>
        <v>904</v>
      </c>
      <c r="C48" s="17">
        <f>ROUND(VLOOKUP(B$39&amp;"_2",管理者用人口入力シート!A:X,D48,FALSE),0)</f>
        <v>976</v>
      </c>
      <c r="D48" s="2">
        <v>11</v>
      </c>
      <c r="G48" s="69" t="s">
        <v>85</v>
      </c>
      <c r="N48" s="69" t="s">
        <v>85</v>
      </c>
    </row>
    <row r="49" spans="1:17" x14ac:dyDescent="0.15">
      <c r="A49" s="2" t="s">
        <v>8</v>
      </c>
      <c r="B49" s="17">
        <f>ROUND(VLOOKUP(B$39&amp;"_1",管理者用人口入力シート!A:X,D49,FALSE),0)</f>
        <v>757</v>
      </c>
      <c r="C49" s="17">
        <f>ROUND(VLOOKUP(B$39&amp;"_2",管理者用人口入力シート!A:X,D49,FALSE),0)</f>
        <v>919</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856</v>
      </c>
      <c r="C50" s="17">
        <f>ROUND(VLOOKUP(B$39&amp;"_2",管理者用人口入力シート!A:X,D50,FALSE),0)</f>
        <v>930</v>
      </c>
      <c r="D50" s="2">
        <v>13</v>
      </c>
      <c r="G50" s="1" t="s">
        <v>58</v>
      </c>
      <c r="H50" s="1">
        <f>H4</f>
        <v>2010</v>
      </c>
      <c r="I50" s="38">
        <f>C30</f>
        <v>0.23</v>
      </c>
      <c r="J50" s="205"/>
      <c r="K50" s="205"/>
      <c r="N50" s="1" t="s">
        <v>58</v>
      </c>
      <c r="O50" s="1">
        <f>O4</f>
        <v>2010</v>
      </c>
      <c r="P50" s="38">
        <f t="shared" ref="P50:P56" si="29">I50</f>
        <v>0.23</v>
      </c>
      <c r="Q50" s="1"/>
    </row>
    <row r="51" spans="1:17" x14ac:dyDescent="0.15">
      <c r="A51" s="2" t="s">
        <v>10</v>
      </c>
      <c r="B51" s="17">
        <f>ROUND(VLOOKUP(B$39&amp;"_1",管理者用人口入力シート!A:X,D51,FALSE),0)</f>
        <v>743</v>
      </c>
      <c r="C51" s="17">
        <f>ROUND(VLOOKUP(B$39&amp;"_2",管理者用人口入力シート!A:X,D51,FALSE),0)</f>
        <v>881</v>
      </c>
      <c r="D51" s="2">
        <v>14</v>
      </c>
      <c r="G51" s="1" t="s">
        <v>57</v>
      </c>
      <c r="H51" s="1">
        <f t="shared" ref="H51:H56" si="30">H5</f>
        <v>2015</v>
      </c>
      <c r="I51" s="38">
        <f t="shared" ref="I51:I52" si="31">C31</f>
        <v>0.26</v>
      </c>
      <c r="J51" s="205"/>
      <c r="K51" s="205"/>
      <c r="N51" s="1" t="s">
        <v>57</v>
      </c>
      <c r="O51" s="1">
        <f t="shared" ref="O51:O56" si="32">O5</f>
        <v>2015</v>
      </c>
      <c r="P51" s="38">
        <f t="shared" si="29"/>
        <v>0.26</v>
      </c>
      <c r="Q51" s="1"/>
    </row>
    <row r="52" spans="1:17" x14ac:dyDescent="0.15">
      <c r="A52" s="2" t="s">
        <v>11</v>
      </c>
      <c r="B52" s="17">
        <f>ROUND(VLOOKUP(B$39&amp;"_1",管理者用人口入力シート!A:X,D52,FALSE),0)</f>
        <v>818</v>
      </c>
      <c r="C52" s="17">
        <f>ROUND(VLOOKUP(B$39&amp;"_2",管理者用人口入力シート!A:X,D52,FALSE),0)</f>
        <v>913</v>
      </c>
      <c r="D52" s="2">
        <v>15</v>
      </c>
      <c r="G52" s="1" t="s">
        <v>62</v>
      </c>
      <c r="H52" s="1">
        <f t="shared" si="30"/>
        <v>2020</v>
      </c>
      <c r="I52" s="38">
        <f t="shared" si="31"/>
        <v>0.28000000000000003</v>
      </c>
      <c r="J52" s="205"/>
      <c r="K52" s="205"/>
      <c r="N52" s="1" t="s">
        <v>62</v>
      </c>
      <c r="O52" s="1">
        <f t="shared" si="32"/>
        <v>2020</v>
      </c>
      <c r="P52" s="38">
        <f t="shared" si="29"/>
        <v>0.28000000000000003</v>
      </c>
      <c r="Q52" s="1"/>
    </row>
    <row r="53" spans="1:17" x14ac:dyDescent="0.15">
      <c r="A53" s="2" t="s">
        <v>12</v>
      </c>
      <c r="B53" s="17">
        <f>ROUND(VLOOKUP(B$39&amp;"_1",管理者用人口入力シート!A:X,D53,FALSE),0)</f>
        <v>820</v>
      </c>
      <c r="C53" s="17">
        <f>ROUND(VLOOKUP(B$39&amp;"_2",管理者用人口入力シート!A:X,D53,FALSE),0)</f>
        <v>1000</v>
      </c>
      <c r="D53" s="2">
        <v>16</v>
      </c>
      <c r="G53" s="1" t="s">
        <v>106</v>
      </c>
      <c r="H53" s="1">
        <f t="shared" si="30"/>
        <v>2025</v>
      </c>
      <c r="I53" s="38">
        <f>ROUND((SUM(H82:I89)/SUM(H69:I89)),2)</f>
        <v>0.3</v>
      </c>
      <c r="J53" s="205"/>
      <c r="K53" s="205"/>
      <c r="L53" s="70"/>
      <c r="M53" s="70"/>
      <c r="N53" s="1" t="s">
        <v>106</v>
      </c>
      <c r="O53" s="1">
        <f t="shared" si="32"/>
        <v>2025</v>
      </c>
      <c r="P53" s="38">
        <f t="shared" si="29"/>
        <v>0.3</v>
      </c>
      <c r="Q53" s="38">
        <f>ROUND((SUM(O82:P89)/SUM(O69:P89)),2)</f>
        <v>0.3</v>
      </c>
    </row>
    <row r="54" spans="1:17" x14ac:dyDescent="0.15">
      <c r="A54" s="2" t="s">
        <v>13</v>
      </c>
      <c r="B54" s="17">
        <f>ROUND(VLOOKUP(B$39&amp;"_1",管理者用人口入力シート!A:X,D54,FALSE),0)</f>
        <v>668</v>
      </c>
      <c r="C54" s="17">
        <f>ROUND(VLOOKUP(B$39&amp;"_2",管理者用人口入力シート!A:X,D54,FALSE),0)</f>
        <v>814</v>
      </c>
      <c r="D54" s="2">
        <v>17</v>
      </c>
      <c r="G54" s="1" t="s">
        <v>107</v>
      </c>
      <c r="H54" s="1">
        <f t="shared" si="30"/>
        <v>2030</v>
      </c>
      <c r="I54" s="38">
        <f>ROUND((SUM(H106:I113)/SUM(H93:I113)),2)</f>
        <v>0.31</v>
      </c>
      <c r="J54" s="205"/>
      <c r="K54" s="205"/>
      <c r="N54" s="1" t="s">
        <v>107</v>
      </c>
      <c r="O54" s="1">
        <f t="shared" si="32"/>
        <v>2030</v>
      </c>
      <c r="P54" s="38">
        <f t="shared" si="29"/>
        <v>0.31</v>
      </c>
      <c r="Q54" s="38">
        <f>ROUND((SUM(O106:P113)/SUM(O93:P113)),2)</f>
        <v>0.31</v>
      </c>
    </row>
    <row r="55" spans="1:17" x14ac:dyDescent="0.15">
      <c r="A55" s="2" t="s">
        <v>14</v>
      </c>
      <c r="B55" s="17">
        <f>ROUND(VLOOKUP(B$39&amp;"_1",管理者用人口入力シート!A:X,D55,FALSE),0)</f>
        <v>572</v>
      </c>
      <c r="C55" s="17">
        <f>ROUND(VLOOKUP(B$39&amp;"_2",管理者用人口入力シート!A:X,D55,FALSE),0)</f>
        <v>755</v>
      </c>
      <c r="D55" s="2">
        <v>18</v>
      </c>
      <c r="G55" s="1" t="s">
        <v>108</v>
      </c>
      <c r="H55" s="1">
        <f t="shared" si="30"/>
        <v>2035</v>
      </c>
      <c r="I55" s="38">
        <f>ROUND((SUM(H130:I137)/SUM(H117:I137)),2)</f>
        <v>0.33</v>
      </c>
      <c r="J55" s="205"/>
      <c r="K55" s="205"/>
      <c r="N55" s="1" t="s">
        <v>108</v>
      </c>
      <c r="O55" s="1">
        <f t="shared" si="32"/>
        <v>2035</v>
      </c>
      <c r="P55" s="38">
        <f t="shared" si="29"/>
        <v>0.33</v>
      </c>
      <c r="Q55" s="38">
        <f>ROUND((SUM(O130:P137)/SUM(O117:P137)),2)</f>
        <v>0.33</v>
      </c>
    </row>
    <row r="56" spans="1:17" x14ac:dyDescent="0.15">
      <c r="A56" s="2" t="s">
        <v>15</v>
      </c>
      <c r="B56" s="17">
        <f>ROUND(VLOOKUP(B$39&amp;"_1",管理者用人口入力シート!A:X,D56,FALSE),0)</f>
        <v>564</v>
      </c>
      <c r="C56" s="17">
        <f>ROUND(VLOOKUP(B$39&amp;"_2",管理者用人口入力シート!A:X,D56,FALSE),0)</f>
        <v>692</v>
      </c>
      <c r="D56" s="2">
        <v>19</v>
      </c>
      <c r="G56" s="1" t="s">
        <v>109</v>
      </c>
      <c r="H56" s="1">
        <f t="shared" si="30"/>
        <v>2040</v>
      </c>
      <c r="I56" s="38">
        <f>ROUND((SUM(H154:I161)/SUM(H141:I161)),2)</f>
        <v>0.35</v>
      </c>
      <c r="J56" s="205"/>
      <c r="K56" s="205"/>
      <c r="N56" s="1" t="s">
        <v>109</v>
      </c>
      <c r="O56" s="1">
        <f t="shared" si="32"/>
        <v>2040</v>
      </c>
      <c r="P56" s="38">
        <f t="shared" si="29"/>
        <v>0.35</v>
      </c>
      <c r="Q56" s="38">
        <f>ROUND((SUM(O154:P161)/SUM(O141:P161)),2)</f>
        <v>0.35</v>
      </c>
    </row>
    <row r="57" spans="1:17" x14ac:dyDescent="0.15">
      <c r="A57" s="2" t="s">
        <v>16</v>
      </c>
      <c r="B57" s="17">
        <f>ROUND(VLOOKUP(B$39&amp;"_1",管理者用人口入力シート!A:X,D57,FALSE),0)</f>
        <v>352</v>
      </c>
      <c r="C57" s="17">
        <f>ROUND(VLOOKUP(B$39&amp;"_2",管理者用人口入力シート!A:X,D57,FALSE),0)</f>
        <v>571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164</v>
      </c>
      <c r="C58" s="17">
        <f>ROUND(VLOOKUP(B$39&amp;"_2",管理者用人口入力シート!A:X,D58,FALSE),0)</f>
        <v>327</v>
      </c>
      <c r="D58" s="2">
        <v>21</v>
      </c>
      <c r="G58" s="1" t="s">
        <v>58</v>
      </c>
      <c r="H58" s="1">
        <f>H4</f>
        <v>2010</v>
      </c>
      <c r="I58" s="38">
        <f>C34</f>
        <v>0.12</v>
      </c>
      <c r="J58" s="205"/>
      <c r="K58" s="205"/>
      <c r="N58" s="1" t="s">
        <v>58</v>
      </c>
      <c r="O58" s="1">
        <f>O4</f>
        <v>2010</v>
      </c>
      <c r="P58" s="38">
        <f t="shared" ref="P58:P64" si="33">I58</f>
        <v>0.12</v>
      </c>
      <c r="Q58" s="1"/>
    </row>
    <row r="59" spans="1:17" x14ac:dyDescent="0.15">
      <c r="A59" s="2" t="s">
        <v>18</v>
      </c>
      <c r="B59" s="17">
        <f>ROUND(VLOOKUP(B$39&amp;"_1",管理者用人口入力シート!A:X,D59,FALSE),0)</f>
        <v>66</v>
      </c>
      <c r="C59" s="17">
        <f>ROUND(VLOOKUP(B$39&amp;"_2",管理者用人口入力シート!A:X,D59,FALSE),0)</f>
        <v>148</v>
      </c>
      <c r="D59" s="2">
        <v>22</v>
      </c>
      <c r="G59" s="1" t="s">
        <v>57</v>
      </c>
      <c r="H59" s="1">
        <f t="shared" ref="H59:H64" si="34">H5</f>
        <v>2015</v>
      </c>
      <c r="I59" s="38">
        <f t="shared" ref="I59:I60" si="35">C35</f>
        <v>0.13</v>
      </c>
      <c r="J59" s="205"/>
      <c r="K59" s="205"/>
      <c r="N59" s="1" t="s">
        <v>57</v>
      </c>
      <c r="O59" s="1">
        <f t="shared" ref="O59:O64" si="36">O5</f>
        <v>2015</v>
      </c>
      <c r="P59" s="38">
        <f t="shared" si="33"/>
        <v>0.13</v>
      </c>
      <c r="Q59" s="1"/>
    </row>
    <row r="60" spans="1:17" x14ac:dyDescent="0.15">
      <c r="A60" s="2" t="s">
        <v>19</v>
      </c>
      <c r="B60" s="17">
        <f>ROUND(VLOOKUP(B$39&amp;"_1",管理者用人口入力シート!A:X,D60,FALSE),0)</f>
        <v>8</v>
      </c>
      <c r="C60" s="17">
        <f>ROUND(VLOOKUP(B$39&amp;"_2",管理者用人口入力シート!A:X,D60,FALSE),0)</f>
        <v>49</v>
      </c>
      <c r="D60" s="2">
        <v>23</v>
      </c>
      <c r="G60" s="1" t="s">
        <v>62</v>
      </c>
      <c r="H60" s="1">
        <f t="shared" si="34"/>
        <v>2020</v>
      </c>
      <c r="I60" s="38">
        <f t="shared" si="35"/>
        <v>0.15</v>
      </c>
      <c r="J60" s="205"/>
      <c r="K60" s="205"/>
      <c r="N60" s="1" t="s">
        <v>62</v>
      </c>
      <c r="O60" s="1">
        <f t="shared" si="36"/>
        <v>2020</v>
      </c>
      <c r="P60" s="38">
        <f t="shared" si="33"/>
        <v>0.15</v>
      </c>
      <c r="Q60" s="1"/>
    </row>
    <row r="61" spans="1:17" x14ac:dyDescent="0.15">
      <c r="A61" s="2" t="s">
        <v>20</v>
      </c>
      <c r="B61" s="17">
        <f>ROUND(VLOOKUP(B$39&amp;"_1",管理者用人口入力シート!A:X,D61,FALSE),0)</f>
        <v>0</v>
      </c>
      <c r="C61" s="17">
        <f>ROUND(VLOOKUP(B$39&amp;"_2",管理者用人口入力シート!A:X,D61,FALSE),0)</f>
        <v>13</v>
      </c>
      <c r="D61" s="2">
        <v>24</v>
      </c>
      <c r="G61" s="1" t="s">
        <v>106</v>
      </c>
      <c r="H61" s="1">
        <f t="shared" si="34"/>
        <v>2025</v>
      </c>
      <c r="I61" s="38">
        <f>ROUND((SUM(H84:I89)/SUM(H69:I89)),2)</f>
        <v>0.17</v>
      </c>
      <c r="J61" s="205"/>
      <c r="K61" s="205"/>
      <c r="N61" s="1" t="s">
        <v>106</v>
      </c>
      <c r="O61" s="1">
        <f t="shared" si="36"/>
        <v>2025</v>
      </c>
      <c r="P61" s="38">
        <f t="shared" si="33"/>
        <v>0.17</v>
      </c>
      <c r="Q61" s="38">
        <f>ROUND((SUM(O84:P89)/SUM(O69:P89)),2)</f>
        <v>0.17</v>
      </c>
    </row>
    <row r="62" spans="1:17" x14ac:dyDescent="0.15">
      <c r="G62" s="1" t="s">
        <v>107</v>
      </c>
      <c r="H62" s="1">
        <f t="shared" si="34"/>
        <v>2030</v>
      </c>
      <c r="I62" s="38">
        <f>ROUND((SUM(H108:I113)/SUM(H93:I113)),2)</f>
        <v>0.18</v>
      </c>
      <c r="J62" s="205"/>
      <c r="K62" s="205"/>
      <c r="N62" s="1" t="s">
        <v>107</v>
      </c>
      <c r="O62" s="1">
        <f t="shared" si="36"/>
        <v>2030</v>
      </c>
      <c r="P62" s="38">
        <f t="shared" si="33"/>
        <v>0.18</v>
      </c>
      <c r="Q62" s="38">
        <f>ROUND((SUM(O108:P113)/SUM(O93:P113)),2)</f>
        <v>0.18</v>
      </c>
    </row>
    <row r="63" spans="1:17" x14ac:dyDescent="0.15">
      <c r="A63" s="2" t="s">
        <v>384</v>
      </c>
      <c r="B63" s="316">
        <f>管理者入力シート!B6</f>
        <v>2015</v>
      </c>
      <c r="C63" s="317"/>
      <c r="D63" s="2" t="s">
        <v>114</v>
      </c>
      <c r="G63" s="1" t="s">
        <v>108</v>
      </c>
      <c r="H63" s="1">
        <f t="shared" si="34"/>
        <v>2035</v>
      </c>
      <c r="I63" s="38">
        <f>ROUND((SUM(H132:I137)/SUM(H117:I137)),2)</f>
        <v>0.19</v>
      </c>
      <c r="J63" s="205"/>
      <c r="K63" s="205"/>
      <c r="N63" s="1" t="s">
        <v>108</v>
      </c>
      <c r="O63" s="1">
        <f t="shared" si="36"/>
        <v>2035</v>
      </c>
      <c r="P63" s="38">
        <f t="shared" si="33"/>
        <v>0.19</v>
      </c>
      <c r="Q63" s="38">
        <f>ROUND((SUM(O132:P137)/SUM(O117:P137)),2)</f>
        <v>0.19</v>
      </c>
    </row>
    <row r="64" spans="1:17" x14ac:dyDescent="0.15">
      <c r="A64" s="2" t="s">
        <v>115</v>
      </c>
      <c r="B64" s="18" t="s">
        <v>21</v>
      </c>
      <c r="C64" s="18" t="s">
        <v>22</v>
      </c>
      <c r="G64" s="1" t="s">
        <v>109</v>
      </c>
      <c r="H64" s="1">
        <f t="shared" si="34"/>
        <v>2040</v>
      </c>
      <c r="I64" s="38">
        <f>ROUND((SUM(H156:I161)/SUM(H141:I161)),2)</f>
        <v>0.2</v>
      </c>
      <c r="J64" s="205"/>
      <c r="K64" s="205"/>
      <c r="N64" s="1" t="s">
        <v>109</v>
      </c>
      <c r="O64" s="1">
        <f t="shared" si="36"/>
        <v>2040</v>
      </c>
      <c r="P64" s="38">
        <f t="shared" si="33"/>
        <v>0.2</v>
      </c>
      <c r="Q64" s="38">
        <f>ROUND((SUM(O156:P161)/SUM(O141:P161)),2)</f>
        <v>0.2</v>
      </c>
    </row>
    <row r="65" spans="1:21" x14ac:dyDescent="0.15">
      <c r="A65" s="2" t="s">
        <v>0</v>
      </c>
      <c r="B65" s="17">
        <f>ROUND(VLOOKUP(B$63&amp;"_1",管理者用人口入力シート!A:X,D65,FALSE),0)</f>
        <v>585</v>
      </c>
      <c r="C65" s="17">
        <f>ROUND(VLOOKUP(B$63&amp;"_2",管理者用人口入力シート!A:X,D65,FALSE),0)</f>
        <v>585</v>
      </c>
      <c r="D65" s="2">
        <v>4</v>
      </c>
    </row>
    <row r="66" spans="1:21" x14ac:dyDescent="0.15">
      <c r="A66" s="2" t="s">
        <v>1</v>
      </c>
      <c r="B66" s="17">
        <f>ROUND(VLOOKUP(B$63&amp;"_1",管理者用人口入力シート!A:X,D66,FALSE),0)</f>
        <v>646</v>
      </c>
      <c r="C66" s="17">
        <f>ROUND(VLOOKUP(B$63&amp;"_2",管理者用人口入力シート!A:X,D66,FALSE),0)</f>
        <v>622</v>
      </c>
      <c r="D66" s="2">
        <v>5</v>
      </c>
      <c r="G66" s="69" t="s">
        <v>113</v>
      </c>
      <c r="N66" s="69" t="s">
        <v>113</v>
      </c>
    </row>
    <row r="67" spans="1:21" x14ac:dyDescent="0.15">
      <c r="A67" s="2" t="s">
        <v>2</v>
      </c>
      <c r="B67" s="17">
        <f>ROUND(VLOOKUP(B$63&amp;"_1",管理者用人口入力シート!A:X,D67,FALSE),0)</f>
        <v>585</v>
      </c>
      <c r="C67" s="17">
        <f>ROUND(VLOOKUP(B$63&amp;"_2",管理者用人口入力シート!A:X,D67,FALSE),0)</f>
        <v>610</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615</v>
      </c>
      <c r="C68" s="17">
        <f>ROUND(VLOOKUP(B$63&amp;"_2",管理者用人口入力シート!A:X,D68,FALSE),0)</f>
        <v>635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431</v>
      </c>
      <c r="C69" s="17">
        <f>ROUND(VLOOKUP(B$63&amp;"_2",管理者用人口入力シート!A:X,D69,FALSE),0)</f>
        <v>499</v>
      </c>
      <c r="D69" s="2">
        <v>8</v>
      </c>
      <c r="G69" s="2" t="s">
        <v>0</v>
      </c>
      <c r="H69" s="17">
        <f>ROUND(VLOOKUP(H$67&amp;"_1",管理者用人口入力シート!BH:CE,J69,FALSE),0)</f>
        <v>489</v>
      </c>
      <c r="I69" s="17">
        <f>ROUND(VLOOKUP(H$67&amp;"_2",管理者用人口入力シート!BH:CE,J69,FALSE),0)</f>
        <v>498</v>
      </c>
      <c r="J69" s="2">
        <v>4</v>
      </c>
      <c r="K69" s="12"/>
      <c r="N69" s="2" t="s">
        <v>0</v>
      </c>
      <c r="O69" s="17">
        <f>ROUND(VLOOKUP(O$67&amp;"_1",管理者用人口入力シート!CO:DL,Q69,FALSE),0)</f>
        <v>490</v>
      </c>
      <c r="P69" s="17">
        <f>ROUND(VLOOKUP(O$67&amp;"_2",管理者用人口入力シート!CO:DL,Q69,FALSE),0)</f>
        <v>499</v>
      </c>
      <c r="Q69" s="2">
        <v>4</v>
      </c>
      <c r="U69" s="85"/>
    </row>
    <row r="70" spans="1:21" x14ac:dyDescent="0.15">
      <c r="A70" s="2" t="s">
        <v>5</v>
      </c>
      <c r="B70" s="17">
        <f>ROUND(VLOOKUP(B$63&amp;"_1",管理者用人口入力シート!A:X,D70,FALSE),0)</f>
        <v>485</v>
      </c>
      <c r="C70" s="17">
        <f>ROUND(VLOOKUP(B$63&amp;"_2",管理者用人口入力シート!A:X,D70,FALSE),0)</f>
        <v>609</v>
      </c>
      <c r="D70" s="2">
        <v>9</v>
      </c>
      <c r="G70" s="2" t="s">
        <v>1</v>
      </c>
      <c r="H70" s="17">
        <f>ROUND(VLOOKUP(H$67&amp;"_1",管理者用人口入力シート!BH:CE,J70,FALSE),0)</f>
        <v>598</v>
      </c>
      <c r="I70" s="17">
        <f>ROUND(VLOOKUP(H$67&amp;"_2",管理者用人口入力シート!BH:CE,J70,FALSE),0)</f>
        <v>590</v>
      </c>
      <c r="J70" s="2">
        <v>5</v>
      </c>
      <c r="K70" s="12"/>
      <c r="N70" s="2" t="s">
        <v>1</v>
      </c>
      <c r="O70" s="17">
        <f>ROUND(VLOOKUP(O$67&amp;"_1",管理者用人口入力シート!CO:DL,Q70,FALSE),0)</f>
        <v>598</v>
      </c>
      <c r="P70" s="17">
        <f>ROUND(VLOOKUP(O$67&amp;"_2",管理者用人口入力シート!CO:DL,Q70,FALSE),0)</f>
        <v>590</v>
      </c>
      <c r="Q70" s="2">
        <v>5</v>
      </c>
      <c r="U70" s="85"/>
    </row>
    <row r="71" spans="1:21" x14ac:dyDescent="0.15">
      <c r="A71" s="2" t="s">
        <v>6</v>
      </c>
      <c r="B71" s="17">
        <f>ROUND(VLOOKUP(B$63&amp;"_1",管理者用人口入力シート!A:X,D71,FALSE),0)</f>
        <v>655</v>
      </c>
      <c r="C71" s="17">
        <f>ROUND(VLOOKUP(B$63&amp;"_2",管理者用人口入力シート!A:X,D71,FALSE),0)</f>
        <v>797</v>
      </c>
      <c r="D71" s="2">
        <v>10</v>
      </c>
      <c r="G71" s="2" t="s">
        <v>2</v>
      </c>
      <c r="H71" s="17">
        <f>ROUND(VLOOKUP(H$67&amp;"_1",管理者用人口入力シート!BH:CE,J71,FALSE),0)</f>
        <v>637</v>
      </c>
      <c r="I71" s="17">
        <f>ROUND(VLOOKUP(H$67&amp;"_2",管理者用人口入力シート!BH:CE,J71,FALSE),0)</f>
        <v>627</v>
      </c>
      <c r="J71" s="2">
        <v>6</v>
      </c>
      <c r="K71" s="12"/>
      <c r="N71" s="2" t="s">
        <v>2</v>
      </c>
      <c r="O71" s="17">
        <f>ROUND(VLOOKUP(O$67&amp;"_1",管理者用人口入力シート!CO:DL,Q71,FALSE),0)</f>
        <v>638</v>
      </c>
      <c r="P71" s="17">
        <f>ROUND(VLOOKUP(O$67&amp;"_2",管理者用人口入力シート!CO:DL,Q71,FALSE),0)</f>
        <v>628</v>
      </c>
      <c r="Q71" s="2">
        <v>6</v>
      </c>
      <c r="U71" s="85"/>
    </row>
    <row r="72" spans="1:21" x14ac:dyDescent="0.15">
      <c r="A72" s="2" t="s">
        <v>7</v>
      </c>
      <c r="B72" s="17">
        <f>ROUND(VLOOKUP(B$63&amp;"_1",管理者用人口入力シート!A:X,D72,FALSE),0)</f>
        <v>788</v>
      </c>
      <c r="C72" s="17">
        <f>ROUND(VLOOKUP(B$63&amp;"_2",管理者用人口入力シート!A:X,D72,FALSE),0)</f>
        <v>869</v>
      </c>
      <c r="D72" s="2">
        <v>11</v>
      </c>
      <c r="G72" s="2" t="s">
        <v>3</v>
      </c>
      <c r="H72" s="17">
        <f>ROUND(VLOOKUP(H$67&amp;"_1",管理者用人口入力シート!BH:CE,J72,FALSE),0)</f>
        <v>554</v>
      </c>
      <c r="I72" s="17">
        <f>ROUND(VLOOKUP(H$67&amp;"_2",管理者用人口入力シート!BH:CE,J72,FALSE),0)</f>
        <v>590</v>
      </c>
      <c r="J72" s="2">
        <v>7</v>
      </c>
      <c r="K72" s="12"/>
      <c r="N72" s="2" t="s">
        <v>3</v>
      </c>
      <c r="O72" s="17">
        <f>ROUND(VLOOKUP(O$67&amp;"_1",管理者用人口入力シート!CO:DL,Q72,FALSE),0)</f>
        <v>554</v>
      </c>
      <c r="P72" s="17">
        <f>ROUND(VLOOKUP(O$67&amp;"_2",管理者用人口入力シート!CO:DL,Q72,FALSE),0)</f>
        <v>590</v>
      </c>
      <c r="Q72" s="2">
        <v>7</v>
      </c>
      <c r="U72" s="85"/>
    </row>
    <row r="73" spans="1:21" x14ac:dyDescent="0.15">
      <c r="A73" s="2" t="s">
        <v>8</v>
      </c>
      <c r="B73" s="17">
        <f>ROUND(VLOOKUP(B$63&amp;"_1",管理者用人口入力シート!A:X,D73,FALSE),0)</f>
        <v>912</v>
      </c>
      <c r="C73" s="17">
        <f>ROUND(VLOOKUP(B$63&amp;"_2",管理者用人口入力シート!A:X,D73,FALSE),0)</f>
        <v>954</v>
      </c>
      <c r="D73" s="2">
        <v>12</v>
      </c>
      <c r="G73" s="2" t="s">
        <v>4</v>
      </c>
      <c r="H73" s="17">
        <f>ROUND(VLOOKUP(H$67&amp;"_1",管理者用人口入力シート!BH:CE,J73,FALSE),0)</f>
        <v>344</v>
      </c>
      <c r="I73" s="17">
        <f>ROUND(VLOOKUP(H$67&amp;"_2",管理者用人口入力シート!BH:CE,J73,FALSE),0)</f>
        <v>412</v>
      </c>
      <c r="J73" s="2">
        <v>8</v>
      </c>
      <c r="K73" s="12"/>
      <c r="N73" s="2" t="s">
        <v>4</v>
      </c>
      <c r="O73" s="17">
        <f>ROUND(VLOOKUP(O$67&amp;"_1",管理者用人口入力シート!CO:DL,Q73,FALSE),0)</f>
        <v>344</v>
      </c>
      <c r="P73" s="17">
        <f>ROUND(VLOOKUP(O$67&amp;"_2",管理者用人口入力シート!CO:DL,Q73,FALSE),0)</f>
        <v>412</v>
      </c>
      <c r="Q73" s="2">
        <v>8</v>
      </c>
      <c r="U73" s="85"/>
    </row>
    <row r="74" spans="1:21" x14ac:dyDescent="0.15">
      <c r="A74" s="2" t="s">
        <v>9</v>
      </c>
      <c r="B74" s="17">
        <f>ROUND(VLOOKUP(B$63&amp;"_1",管理者用人口入力シート!A:X,D74,FALSE),0)</f>
        <v>760</v>
      </c>
      <c r="C74" s="17">
        <f>ROUND(VLOOKUP(B$63&amp;"_2",管理者用人口入力シート!A:X,D74,FALSE),0)</f>
        <v>929</v>
      </c>
      <c r="D74" s="2">
        <v>13</v>
      </c>
      <c r="G74" s="2" t="s">
        <v>5</v>
      </c>
      <c r="H74" s="17">
        <f>ROUND(VLOOKUP(H$67&amp;"_1",管理者用人口入力シート!BH:CE,J74,FALSE),0)</f>
        <v>479</v>
      </c>
      <c r="I74" s="17">
        <f>ROUND(VLOOKUP(H$67&amp;"_2",管理者用人口入力シート!BH:CE,J74,FALSE),0)</f>
        <v>493</v>
      </c>
      <c r="J74" s="2">
        <v>9</v>
      </c>
      <c r="K74" s="12"/>
      <c r="N74" s="2" t="s">
        <v>5</v>
      </c>
      <c r="O74" s="17">
        <f>ROUND(VLOOKUP(O$67&amp;"_1",管理者用人口入力シート!CO:DL,Q74,FALSE),0)</f>
        <v>481</v>
      </c>
      <c r="P74" s="17">
        <f>ROUND(VLOOKUP(O$67&amp;"_2",管理者用人口入力シート!CO:DL,Q74,FALSE),0)</f>
        <v>495</v>
      </c>
      <c r="Q74" s="2">
        <v>9</v>
      </c>
      <c r="U74" s="85"/>
    </row>
    <row r="75" spans="1:21" x14ac:dyDescent="0.15">
      <c r="A75" s="2" t="s">
        <v>10</v>
      </c>
      <c r="B75" s="17">
        <f>ROUND(VLOOKUP(B$63&amp;"_1",管理者用人口入力シート!A:X,D75,FALSE),0)</f>
        <v>820</v>
      </c>
      <c r="C75" s="17">
        <f>ROUND(VLOOKUP(B$63&amp;"_2",管理者用人口入力シート!A:X,D75,FALSE),0)</f>
        <v>874</v>
      </c>
      <c r="D75" s="2">
        <v>14</v>
      </c>
      <c r="G75" s="2" t="s">
        <v>6</v>
      </c>
      <c r="H75" s="17">
        <f>ROUND(VLOOKUP(H$67&amp;"_1",管理者用人口入力シート!BH:CE,J75,FALSE),0)</f>
        <v>605</v>
      </c>
      <c r="I75" s="17">
        <f>ROUND(VLOOKUP(H$67&amp;"_2",管理者用人口入力シート!BH:CE,J75,FALSE),0)</f>
        <v>584</v>
      </c>
      <c r="J75" s="2">
        <v>10</v>
      </c>
      <c r="K75" s="12"/>
      <c r="N75" s="2" t="s">
        <v>6</v>
      </c>
      <c r="O75" s="17">
        <f>ROUND(VLOOKUP(O$67&amp;"_1",管理者用人口入力シート!CO:DL,Q75,FALSE),0)</f>
        <v>605</v>
      </c>
      <c r="P75" s="17">
        <f>ROUND(VLOOKUP(O$67&amp;"_2",管理者用人口入力シート!CO:DL,Q75,FALSE),0)</f>
        <v>584</v>
      </c>
      <c r="Q75" s="2">
        <v>10</v>
      </c>
      <c r="U75" s="85"/>
    </row>
    <row r="76" spans="1:21" x14ac:dyDescent="0.15">
      <c r="A76" s="2" t="s">
        <v>11</v>
      </c>
      <c r="B76" s="17">
        <f>ROUND(VLOOKUP(B$63&amp;"_1",管理者用人口入力シート!A:X,D76,FALSE),0)</f>
        <v>715</v>
      </c>
      <c r="C76" s="17">
        <f>ROUND(VLOOKUP(B$63&amp;"_2",管理者用人口入力シート!A:X,D76,FALSE),0)</f>
        <v>863</v>
      </c>
      <c r="D76" s="2">
        <v>15</v>
      </c>
      <c r="G76" s="2" t="s">
        <v>7</v>
      </c>
      <c r="H76" s="17">
        <f>ROUND(VLOOKUP(H$67&amp;"_1",管理者用人口入力シート!BH:CE,J76,FALSE),0)</f>
        <v>593</v>
      </c>
      <c r="I76" s="17">
        <f>ROUND(VLOOKUP(H$67&amp;"_2",管理者用人口入力シート!BH:CE,J76,FALSE),0)</f>
        <v>713</v>
      </c>
      <c r="J76" s="2">
        <v>11</v>
      </c>
      <c r="K76" s="12"/>
      <c r="N76" s="2" t="s">
        <v>7</v>
      </c>
      <c r="O76" s="17">
        <f>ROUND(VLOOKUP(O$67&amp;"_1",管理者用人口入力シート!CO:DL,Q76,FALSE),0)</f>
        <v>593</v>
      </c>
      <c r="P76" s="17">
        <f>ROUND(VLOOKUP(O$67&amp;"_2",管理者用人口入力シート!CO:DL,Q76,FALSE),0)</f>
        <v>713</v>
      </c>
      <c r="Q76" s="2">
        <v>11</v>
      </c>
      <c r="U76" s="85"/>
    </row>
    <row r="77" spans="1:21" x14ac:dyDescent="0.15">
      <c r="A77" s="2" t="s">
        <v>12</v>
      </c>
      <c r="B77" s="17">
        <f>ROUND(VLOOKUP(B$63&amp;"_1",管理者用人口入力シート!A:X,D77,FALSE),0)</f>
        <v>796</v>
      </c>
      <c r="C77" s="17">
        <f>ROUND(VLOOKUP(B$63&amp;"_2",管理者用人口入力シート!A:X,D77,FALSE),0)</f>
        <v>896</v>
      </c>
      <c r="D77" s="2">
        <v>16</v>
      </c>
      <c r="G77" s="2" t="s">
        <v>8</v>
      </c>
      <c r="H77" s="17">
        <f>ROUND(VLOOKUP(H$67&amp;"_1",管理者用人口入力シート!BH:CE,J77,FALSE),0)</f>
        <v>727</v>
      </c>
      <c r="I77" s="17">
        <f>ROUND(VLOOKUP(H$67&amp;"_2",管理者用人口入力シート!BH:CE,J77,FALSE),0)</f>
        <v>849</v>
      </c>
      <c r="J77" s="2">
        <v>12</v>
      </c>
      <c r="K77" s="12"/>
      <c r="N77" s="2" t="s">
        <v>8</v>
      </c>
      <c r="O77" s="17">
        <f>ROUND(VLOOKUP(O$67&amp;"_1",管理者用人口入力シート!CO:DL,Q77,FALSE),0)</f>
        <v>727</v>
      </c>
      <c r="P77" s="17">
        <f>ROUND(VLOOKUP(O$67&amp;"_2",管理者用人口入力シート!CO:DL,Q77,FALSE),0)</f>
        <v>850</v>
      </c>
      <c r="Q77" s="2">
        <v>12</v>
      </c>
      <c r="U77" s="85"/>
    </row>
    <row r="78" spans="1:21" x14ac:dyDescent="0.15">
      <c r="A78" s="2" t="s">
        <v>13</v>
      </c>
      <c r="B78" s="17">
        <f>ROUND(VLOOKUP(B$63&amp;"_1",管理者用人口入力シート!A:X,D78,FALSE),0)</f>
        <v>770</v>
      </c>
      <c r="C78" s="17">
        <f>ROUND(VLOOKUP(B$63&amp;"_2",管理者用人口入力シート!A:X,D78,FALSE),0)</f>
        <v>975</v>
      </c>
      <c r="D78" s="2">
        <v>17</v>
      </c>
      <c r="G78" s="2" t="s">
        <v>9</v>
      </c>
      <c r="H78" s="17">
        <f>ROUND(VLOOKUP(H$67&amp;"_1",管理者用人口入力シート!BH:CE,J78,FALSE),0)</f>
        <v>833</v>
      </c>
      <c r="I78" s="17">
        <f>ROUND(VLOOKUP(H$67&amp;"_2",管理者用人口入力シート!BH:CE,J78,FALSE),0)</f>
        <v>927</v>
      </c>
      <c r="J78" s="2">
        <v>13</v>
      </c>
      <c r="K78" s="12"/>
      <c r="N78" s="2" t="s">
        <v>9</v>
      </c>
      <c r="O78" s="17">
        <f>ROUND(VLOOKUP(O$67&amp;"_1",管理者用人口入力シート!CO:DL,Q78,FALSE),0)</f>
        <v>833</v>
      </c>
      <c r="P78" s="17">
        <f>ROUND(VLOOKUP(O$67&amp;"_2",管理者用人口入力シート!CO:DL,Q78,FALSE),0)</f>
        <v>927</v>
      </c>
      <c r="Q78" s="2">
        <v>13</v>
      </c>
      <c r="U78" s="85"/>
    </row>
    <row r="79" spans="1:21" x14ac:dyDescent="0.15">
      <c r="A79" s="2" t="s">
        <v>14</v>
      </c>
      <c r="B79" s="17">
        <f>ROUND(VLOOKUP(B$63&amp;"_1",管理者用人口入力シート!A:X,D79,FALSE),0)</f>
        <v>638</v>
      </c>
      <c r="C79" s="17">
        <f>ROUND(VLOOKUP(B$63&amp;"_2",管理者用人口入力シート!A:X,D79,FALSE),0)</f>
        <v>785</v>
      </c>
      <c r="D79" s="2">
        <v>18</v>
      </c>
      <c r="G79" s="2" t="s">
        <v>10</v>
      </c>
      <c r="H79" s="17">
        <f>ROUND(VLOOKUP(H$67&amp;"_1",管理者用人口入力シート!BH:CE,J79,FALSE),0)</f>
        <v>862</v>
      </c>
      <c r="I79" s="17">
        <f>ROUND(VLOOKUP(H$67&amp;"_2",管理者用人口入力シート!BH:CE,J79,FALSE),0)</f>
        <v>958</v>
      </c>
      <c r="J79" s="2">
        <v>14</v>
      </c>
      <c r="K79" s="12"/>
      <c r="N79" s="2" t="s">
        <v>10</v>
      </c>
      <c r="O79" s="17">
        <f>ROUND(VLOOKUP(O$67&amp;"_1",管理者用人口入力シート!CO:DL,Q79,FALSE),0)</f>
        <v>862</v>
      </c>
      <c r="P79" s="17">
        <f>ROUND(VLOOKUP(O$67&amp;"_2",管理者用人口入力シート!CO:DL,Q79,FALSE),0)</f>
        <v>958</v>
      </c>
      <c r="Q79" s="2">
        <v>14</v>
      </c>
      <c r="U79" s="85"/>
    </row>
    <row r="80" spans="1:21" x14ac:dyDescent="0.15">
      <c r="A80" s="2" t="s">
        <v>15</v>
      </c>
      <c r="B80" s="17">
        <f>ROUND(VLOOKUP(B$63&amp;"_1",管理者用人口入力シート!A:X,D80,FALSE),0)</f>
        <v>529</v>
      </c>
      <c r="C80" s="17">
        <f>ROUND(VLOOKUP(B$63&amp;"_2",管理者用人口入力シート!A:X,D80,FALSE),0)</f>
        <v>698</v>
      </c>
      <c r="D80" s="2">
        <v>19</v>
      </c>
      <c r="G80" s="2" t="s">
        <v>11</v>
      </c>
      <c r="H80" s="17">
        <f>ROUND(VLOOKUP(H$67&amp;"_1",管理者用人口入力シート!BH:CE,J80,FALSE),0)</f>
        <v>746</v>
      </c>
      <c r="I80" s="17">
        <f>ROUND(VLOOKUP(H$67&amp;"_2",管理者用人口入力シート!BH:CE,J80,FALSE),0)</f>
        <v>930</v>
      </c>
      <c r="J80" s="2">
        <v>15</v>
      </c>
      <c r="K80" s="12"/>
      <c r="N80" s="2" t="s">
        <v>11</v>
      </c>
      <c r="O80" s="17">
        <f>ROUND(VLOOKUP(O$67&amp;"_1",管理者用人口入力シート!CO:DL,Q80,FALSE),0)</f>
        <v>746</v>
      </c>
      <c r="P80" s="17">
        <f>ROUND(VLOOKUP(O$67&amp;"_2",管理者用人口入力シート!CO:DL,Q80,FALSE),0)</f>
        <v>930</v>
      </c>
      <c r="Q80" s="2">
        <v>15</v>
      </c>
      <c r="U80" s="85"/>
    </row>
    <row r="81" spans="1:21" x14ac:dyDescent="0.15">
      <c r="A81" s="2" t="s">
        <v>16</v>
      </c>
      <c r="B81" s="17">
        <f>ROUND(VLOOKUP(B$63&amp;"_1",管理者用人口入力シート!A:X,D81,FALSE),0)</f>
        <v>464</v>
      </c>
      <c r="C81" s="17">
        <f>ROUND(VLOOKUP(B$63&amp;"_2",管理者用人口入力シート!A:X,D81,FALSE),0)</f>
        <v>626</v>
      </c>
      <c r="D81" s="2">
        <v>20</v>
      </c>
      <c r="G81" s="2" t="s">
        <v>12</v>
      </c>
      <c r="H81" s="17">
        <f>ROUND(VLOOKUP(H$67&amp;"_1",管理者用人口入力シート!BH:CE,J81,FALSE),0)</f>
        <v>823</v>
      </c>
      <c r="I81" s="17">
        <f>ROUND(VLOOKUP(H$67&amp;"_2",管理者用人口入力シート!BH:CE,J81,FALSE),0)</f>
        <v>864</v>
      </c>
      <c r="J81" s="2">
        <v>16</v>
      </c>
      <c r="K81" s="12"/>
      <c r="N81" s="2" t="s">
        <v>12</v>
      </c>
      <c r="O81" s="17">
        <f>ROUND(VLOOKUP(O$67&amp;"_1",管理者用人口入力シート!CO:DL,Q81,FALSE),0)</f>
        <v>823</v>
      </c>
      <c r="P81" s="17">
        <f>ROUND(VLOOKUP(O$67&amp;"_2",管理者用人口入力シート!CO:DL,Q81,FALSE),0)</f>
        <v>864</v>
      </c>
      <c r="Q81" s="2">
        <v>16</v>
      </c>
      <c r="U81" s="85"/>
    </row>
    <row r="82" spans="1:21" x14ac:dyDescent="0.15">
      <c r="A82" s="2" t="s">
        <v>17</v>
      </c>
      <c r="B82" s="17">
        <f>ROUND(VLOOKUP(B$63&amp;"_1",管理者用人口入力シート!A:X,D82,FALSE),0)</f>
        <v>250</v>
      </c>
      <c r="C82" s="17">
        <f>ROUND(VLOOKUP(B$63&amp;"_2",管理者用人口入力シート!A:X,D82,FALSE),0)</f>
        <v>437</v>
      </c>
      <c r="D82" s="2">
        <v>21</v>
      </c>
      <c r="G82" s="2" t="s">
        <v>13</v>
      </c>
      <c r="H82" s="17">
        <f>ROUND(VLOOKUP(H$67&amp;"_1",管理者用人口入力シート!BH:CE,J82,FALSE),0)</f>
        <v>711</v>
      </c>
      <c r="I82" s="17">
        <f>ROUND(VLOOKUP(H$67&amp;"_2",管理者用人口入力シート!BH:CE,J82,FALSE),0)</f>
        <v>858</v>
      </c>
      <c r="J82" s="2">
        <v>17</v>
      </c>
      <c r="K82" s="12"/>
      <c r="N82" s="2" t="s">
        <v>13</v>
      </c>
      <c r="O82" s="17">
        <f>ROUND(VLOOKUP(O$67&amp;"_1",管理者用人口入力シート!CO:DL,Q82,FALSE),0)</f>
        <v>711</v>
      </c>
      <c r="P82" s="17">
        <f>ROUND(VLOOKUP(O$67&amp;"_2",管理者用人口入力シート!CO:DL,Q82,FALSE),0)</f>
        <v>858</v>
      </c>
      <c r="Q82" s="2">
        <v>17</v>
      </c>
      <c r="U82" s="85"/>
    </row>
    <row r="83" spans="1:21" x14ac:dyDescent="0.15">
      <c r="A83" s="2" t="s">
        <v>18</v>
      </c>
      <c r="B83" s="17">
        <f>ROUND(VLOOKUP(B$63&amp;"_1",管理者用人口入力シート!A:X,D83,FALSE),0)</f>
        <v>64</v>
      </c>
      <c r="C83" s="17">
        <f>ROUND(VLOOKUP(B$63&amp;"_2",管理者用人口入力シート!A:X,D83,FALSE),0)</f>
        <v>209</v>
      </c>
      <c r="D83" s="2">
        <v>22</v>
      </c>
      <c r="G83" s="2" t="s">
        <v>14</v>
      </c>
      <c r="H83" s="17">
        <f>ROUND(VLOOKUP(H$67&amp;"_1",管理者用人口入力シート!BH:CE,J83,FALSE),0)</f>
        <v>723</v>
      </c>
      <c r="I83" s="17">
        <f>ROUND(VLOOKUP(H$67&amp;"_2",管理者用人口入力シート!BH:CE,J83,FALSE),0)</f>
        <v>865</v>
      </c>
      <c r="J83" s="2">
        <v>18</v>
      </c>
      <c r="K83" s="12"/>
      <c r="N83" s="2" t="s">
        <v>14</v>
      </c>
      <c r="O83" s="17">
        <f>ROUND(VLOOKUP(O$67&amp;"_1",管理者用人口入力シート!CO:DL,Q83,FALSE),0)</f>
        <v>723</v>
      </c>
      <c r="P83" s="17">
        <f>ROUND(VLOOKUP(O$67&amp;"_2",管理者用人口入力シート!CO:DL,Q83,FALSE),0)</f>
        <v>865</v>
      </c>
      <c r="Q83" s="2">
        <v>18</v>
      </c>
      <c r="U83" s="85"/>
    </row>
    <row r="84" spans="1:21" x14ac:dyDescent="0.15">
      <c r="A84" s="2" t="s">
        <v>19</v>
      </c>
      <c r="B84" s="17">
        <f>ROUND(VLOOKUP(B$63&amp;"_1",管理者用人口入力シート!A:X,D84,FALSE),0)</f>
        <v>11</v>
      </c>
      <c r="C84" s="17">
        <f>ROUND(VLOOKUP(B$63&amp;"_2",管理者用人口入力シート!A:X,D84,FALSE),0)</f>
        <v>51</v>
      </c>
      <c r="D84" s="2">
        <v>23</v>
      </c>
      <c r="G84" s="2" t="s">
        <v>15</v>
      </c>
      <c r="H84" s="17">
        <f>ROUND(VLOOKUP(H$67&amp;"_1",管理者用人口入力シート!BH:CE,J84,FALSE),0)</f>
        <v>655</v>
      </c>
      <c r="I84" s="17">
        <f>ROUND(VLOOKUP(H$67&amp;"_2",管理者用人口入力シート!BH:CE,J84,FALSE),0)</f>
        <v>878</v>
      </c>
      <c r="J84" s="2">
        <v>19</v>
      </c>
      <c r="K84" s="12"/>
      <c r="N84" s="2" t="s">
        <v>15</v>
      </c>
      <c r="O84" s="17">
        <f>ROUND(VLOOKUP(O$67&amp;"_1",管理者用人口入力シート!CO:DL,Q84,FALSE),0)</f>
        <v>655</v>
      </c>
      <c r="P84" s="17">
        <f>ROUND(VLOOKUP(O$67&amp;"_2",管理者用人口入力シート!CO:DL,Q84,FALSE),0)</f>
        <v>878</v>
      </c>
      <c r="Q84" s="2">
        <v>19</v>
      </c>
      <c r="U84" s="85"/>
    </row>
    <row r="85" spans="1:21" x14ac:dyDescent="0.15">
      <c r="A85" s="2" t="s">
        <v>20</v>
      </c>
      <c r="B85" s="17">
        <f>ROUND(VLOOKUP(B$63&amp;"_1",管理者用人口入力シート!A:X,D85,FALSE),0)</f>
        <v>0</v>
      </c>
      <c r="C85" s="17">
        <f>ROUND(VLOOKUP(B$63&amp;"_2",管理者用人口入力シート!A:X,D85,FALSE),0)</f>
        <v>13</v>
      </c>
      <c r="D85" s="2">
        <v>24</v>
      </c>
      <c r="G85" s="2" t="s">
        <v>16</v>
      </c>
      <c r="H85" s="17">
        <f>ROUND(VLOOKUP(H$67&amp;"_1",管理者用人口入力シート!BH:CE,J85,FALSE),0)</f>
        <v>439</v>
      </c>
      <c r="I85" s="17">
        <f>ROUND(VLOOKUP(H$67&amp;"_2",管理者用人口入力シート!BH:CE,J85,FALSE),0)</f>
        <v>679</v>
      </c>
      <c r="J85" s="2">
        <v>20</v>
      </c>
      <c r="K85" s="12"/>
      <c r="N85" s="2" t="s">
        <v>16</v>
      </c>
      <c r="O85" s="17">
        <f>ROUND(VLOOKUP(O$67&amp;"_1",管理者用人口入力シート!CO:DL,Q85,FALSE),0)</f>
        <v>439</v>
      </c>
      <c r="P85" s="17">
        <f>ROUND(VLOOKUP(O$67&amp;"_2",管理者用人口入力シート!CO:DL,Q85,FALSE),0)</f>
        <v>679</v>
      </c>
      <c r="Q85" s="2">
        <v>20</v>
      </c>
      <c r="U85" s="85"/>
    </row>
    <row r="86" spans="1:21" x14ac:dyDescent="0.15">
      <c r="G86" s="2" t="s">
        <v>17</v>
      </c>
      <c r="H86" s="17">
        <f>ROUND(VLOOKUP(H$67&amp;"_1",管理者用人口入力シート!BH:CE,J86,FALSE),0)</f>
        <v>301</v>
      </c>
      <c r="I86" s="17">
        <f>ROUND(VLOOKUP(H$67&amp;"_2",管理者用人口入力シート!BH:CE,J86,FALSE),0)</f>
        <v>523</v>
      </c>
      <c r="J86" s="2">
        <v>21</v>
      </c>
      <c r="K86" s="12"/>
      <c r="N86" s="2" t="s">
        <v>17</v>
      </c>
      <c r="O86" s="17">
        <f>ROUND(VLOOKUP(O$67&amp;"_1",管理者用人口入力シート!CO:DL,Q86,FALSE),0)</f>
        <v>301</v>
      </c>
      <c r="P86" s="17">
        <f>ROUND(VLOOKUP(O$67&amp;"_2",管理者用人口入力シート!CO:DL,Q86,FALSE),0)</f>
        <v>523</v>
      </c>
      <c r="Q86" s="2">
        <v>21</v>
      </c>
      <c r="U86" s="85"/>
    </row>
    <row r="87" spans="1:21" x14ac:dyDescent="0.15">
      <c r="A87" s="2" t="s">
        <v>62</v>
      </c>
      <c r="B87" s="316">
        <f>管理者入力シート!B5</f>
        <v>2020</v>
      </c>
      <c r="C87" s="317"/>
      <c r="D87" s="2" t="s">
        <v>114</v>
      </c>
      <c r="G87" s="2" t="s">
        <v>18</v>
      </c>
      <c r="H87" s="17">
        <f>ROUND(VLOOKUP(H$67&amp;"_1",管理者用人口入力シート!BH:CE,J87,FALSE),0)</f>
        <v>152</v>
      </c>
      <c r="I87" s="17">
        <f>ROUND(VLOOKUP(H$67&amp;"_2",管理者用人口入力シート!BH:CE,J87,FALSE),0)</f>
        <v>337</v>
      </c>
      <c r="J87" s="2">
        <v>22</v>
      </c>
      <c r="K87" s="12"/>
      <c r="N87" s="2" t="s">
        <v>18</v>
      </c>
      <c r="O87" s="17">
        <f>ROUND(VLOOKUP(O$67&amp;"_1",管理者用人口入力シート!CO:DL,Q87,FALSE),0)</f>
        <v>152</v>
      </c>
      <c r="P87" s="17">
        <f>ROUND(VLOOKUP(O$67&amp;"_2",管理者用人口入力シート!CO:DL,Q87,FALSE),0)</f>
        <v>337</v>
      </c>
      <c r="Q87" s="2">
        <v>22</v>
      </c>
      <c r="U87" s="85"/>
    </row>
    <row r="88" spans="1:21" x14ac:dyDescent="0.15">
      <c r="A88" s="2" t="s">
        <v>115</v>
      </c>
      <c r="B88" s="18" t="s">
        <v>21</v>
      </c>
      <c r="C88" s="18" t="s">
        <v>22</v>
      </c>
      <c r="G88" s="2" t="s">
        <v>19</v>
      </c>
      <c r="H88" s="17">
        <f>ROUND(VLOOKUP(H$67&amp;"_1",管理者用人口入力シート!BH:CE,J88,FALSE),0)</f>
        <v>22</v>
      </c>
      <c r="I88" s="17">
        <f>ROUND(VLOOKUP(H$67&amp;"_2",管理者用人口入力シート!BH:CE,J88,FALSE),0)</f>
        <v>109</v>
      </c>
      <c r="J88" s="2">
        <v>23</v>
      </c>
      <c r="K88" s="12"/>
      <c r="N88" s="2" t="s">
        <v>19</v>
      </c>
      <c r="O88" s="17">
        <f>ROUND(VLOOKUP(O$67&amp;"_1",管理者用人口入力シート!CO:DL,Q88,FALSE),0)</f>
        <v>22</v>
      </c>
      <c r="P88" s="17">
        <f>ROUND(VLOOKUP(O$67&amp;"_2",管理者用人口入力シート!CO:DL,Q88,FALSE),0)</f>
        <v>109</v>
      </c>
      <c r="Q88" s="2">
        <v>23</v>
      </c>
      <c r="U88" s="85"/>
    </row>
    <row r="89" spans="1:21" x14ac:dyDescent="0.15">
      <c r="A89" s="2" t="s">
        <v>0</v>
      </c>
      <c r="B89" s="17">
        <f>ROUND(VLOOKUP(B$87&amp;"_1",管理者用人口入力シート!A:X,D89,FALSE),0)</f>
        <v>558</v>
      </c>
      <c r="C89" s="17">
        <f>ROUND(VLOOKUP(B$87&amp;"_2",管理者用人口入力シート!A:X,D89,FALSE),0)</f>
        <v>567</v>
      </c>
      <c r="D89" s="2">
        <v>4</v>
      </c>
      <c r="G89" s="2" t="s">
        <v>20</v>
      </c>
      <c r="H89" s="17">
        <f>ROUND(VLOOKUP(H$67&amp;"_1",管理者用人口入力シート!BH:CE,J89,FALSE),0)</f>
        <v>0</v>
      </c>
      <c r="I89" s="17">
        <f>ROUND(VLOOKUP(H$67&amp;"_2",管理者用人口入力シート!BH:CE,J89,FALSE),0)</f>
        <v>21</v>
      </c>
      <c r="J89" s="2">
        <v>24</v>
      </c>
      <c r="K89" s="12"/>
      <c r="N89" s="2" t="s">
        <v>20</v>
      </c>
      <c r="O89" s="17">
        <f>ROUND(VLOOKUP(O$67&amp;"_1",管理者用人口入力シート!CO:DL,Q89,FALSE),0)</f>
        <v>0</v>
      </c>
      <c r="P89" s="17">
        <f>ROUND(VLOOKUP(O$67&amp;"_2",管理者用人口入力シート!CO:DL,Q89,FALSE),0)</f>
        <v>21</v>
      </c>
      <c r="Q89" s="2">
        <v>24</v>
      </c>
      <c r="U89" s="85"/>
    </row>
    <row r="90" spans="1:21" x14ac:dyDescent="0.15">
      <c r="A90" s="2" t="s">
        <v>1</v>
      </c>
      <c r="B90" s="17">
        <f>ROUND(VLOOKUP(B$87&amp;"_1",管理者用人口入力シート!A:X,D90,FALSE),0)</f>
        <v>637</v>
      </c>
      <c r="C90" s="17">
        <f>ROUND(VLOOKUP(B$87&amp;"_2",管理者用人口入力シート!A:X,D90,FALSE),0)</f>
        <v>608</v>
      </c>
      <c r="D90" s="2">
        <v>5</v>
      </c>
    </row>
    <row r="91" spans="1:21" x14ac:dyDescent="0.15">
      <c r="A91" s="2" t="s">
        <v>2</v>
      </c>
      <c r="B91" s="17">
        <f>ROUND(VLOOKUP(B$87&amp;"_1",管理者用人口入力シート!A:X,D91,FALSE),0)</f>
        <v>633</v>
      </c>
      <c r="C91" s="17">
        <f>ROUND(VLOOKUP(B$87&amp;"_2",管理者用人口入力シート!A:X,D91,FALSE),0)</f>
        <v>625</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519</v>
      </c>
      <c r="C92" s="17">
        <f>ROUND(VLOOKUP(B$87&amp;"_2",管理者用人口入力シート!A:X,D92,FALSE),0)</f>
        <v>555</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402</v>
      </c>
      <c r="C93" s="17">
        <f>ROUND(VLOOKUP(B$87&amp;"_2",管理者用人口入力シート!A:X,D93,FALSE),0)</f>
        <v>455</v>
      </c>
      <c r="D93" s="2">
        <v>8</v>
      </c>
      <c r="G93" s="2" t="s">
        <v>0</v>
      </c>
      <c r="H93" s="17">
        <f>ROUND(VLOOKUP(H$91&amp;"_1",管理者用人口入力シート!BH:CE,J93,FALSE),0)</f>
        <v>452</v>
      </c>
      <c r="I93" s="17">
        <f>ROUND(VLOOKUP(H$91&amp;"_2",管理者用人口入力シート!BH:CE,J93,FALSE),0)</f>
        <v>460</v>
      </c>
      <c r="J93" s="2">
        <v>4</v>
      </c>
      <c r="K93" s="12"/>
      <c r="N93" s="2" t="s">
        <v>0</v>
      </c>
      <c r="O93" s="17">
        <f>ROUND(VLOOKUP(O$91&amp;"_1",管理者用人口入力シート!CO:DL,Q93,FALSE),0)</f>
        <v>454</v>
      </c>
      <c r="P93" s="17">
        <f>ROUND(VLOOKUP(O$91&amp;"_2",管理者用人口入力シート!CO:DL,Q93,FALSE),0)</f>
        <v>462</v>
      </c>
      <c r="Q93" s="2">
        <v>4</v>
      </c>
      <c r="T93" s="85"/>
    </row>
    <row r="94" spans="1:21" x14ac:dyDescent="0.15">
      <c r="A94" s="2" t="s">
        <v>5</v>
      </c>
      <c r="B94" s="17">
        <f>ROUND(VLOOKUP(B$87&amp;"_1",管理者用人口入力シート!A:X,D94,FALSE),0)</f>
        <v>541</v>
      </c>
      <c r="C94" s="17">
        <f>ROUND(VLOOKUP(B$87&amp;"_2",管理者用人口入力シート!A:X,D94,FALSE),0)</f>
        <v>535</v>
      </c>
      <c r="D94" s="2">
        <v>9</v>
      </c>
      <c r="G94" s="2" t="s">
        <v>1</v>
      </c>
      <c r="H94" s="17">
        <f>ROUND(VLOOKUP(H$91&amp;"_1",管理者用人口入力シート!BH:CE,J94,FALSE),0)</f>
        <v>525</v>
      </c>
      <c r="I94" s="17">
        <f>ROUND(VLOOKUP(H$91&amp;"_2",管理者用人口入力シート!BH:CE,J94,FALSE),0)</f>
        <v>518</v>
      </c>
      <c r="J94" s="2">
        <v>5</v>
      </c>
      <c r="K94" s="12"/>
      <c r="N94" s="2" t="s">
        <v>1</v>
      </c>
      <c r="O94" s="17">
        <f>ROUND(VLOOKUP(O$91&amp;"_1",管理者用人口入力シート!CO:DL,Q94,FALSE),0)</f>
        <v>526</v>
      </c>
      <c r="P94" s="17">
        <f>ROUND(VLOOKUP(O$91&amp;"_2",管理者用人口入力シート!CO:DL,Q94,FALSE),0)</f>
        <v>519</v>
      </c>
      <c r="Q94" s="2">
        <v>5</v>
      </c>
      <c r="T94" s="85"/>
    </row>
    <row r="95" spans="1:21" x14ac:dyDescent="0.15">
      <c r="A95" s="2" t="s">
        <v>6</v>
      </c>
      <c r="B95" s="17">
        <f>ROUND(VLOOKUP(B$87&amp;"_1",管理者用人口入力シート!A:X,D95,FALSE),0)</f>
        <v>574</v>
      </c>
      <c r="C95" s="17">
        <f>ROUND(VLOOKUP(B$87&amp;"_2",管理者用人口入力シート!A:X,D95,FALSE),0)</f>
        <v>681</v>
      </c>
      <c r="D95" s="2">
        <v>10</v>
      </c>
      <c r="G95" s="2" t="s">
        <v>2</v>
      </c>
      <c r="H95" s="17">
        <f>ROUND(VLOOKUP(H$91&amp;"_1",管理者用人口入力シート!BH:CE,J95,FALSE),0)</f>
        <v>598</v>
      </c>
      <c r="I95" s="17">
        <f>ROUND(VLOOKUP(H$91&amp;"_2",管理者用人口入力シート!BH:CE,J95,FALSE),0)</f>
        <v>609</v>
      </c>
      <c r="J95" s="2">
        <v>6</v>
      </c>
      <c r="K95" s="12"/>
      <c r="N95" s="2" t="s">
        <v>2</v>
      </c>
      <c r="O95" s="17">
        <f>ROUND(VLOOKUP(O$91&amp;"_1",管理者用人口入力シート!CO:DL,Q95,FALSE),0)</f>
        <v>599</v>
      </c>
      <c r="P95" s="17">
        <f>ROUND(VLOOKUP(O$91&amp;"_2",管理者用人口入力シート!CO:DL,Q95,FALSE),0)</f>
        <v>610</v>
      </c>
      <c r="Q95" s="2">
        <v>6</v>
      </c>
      <c r="T95" s="85"/>
    </row>
    <row r="96" spans="1:21" x14ac:dyDescent="0.15">
      <c r="A96" s="2" t="s">
        <v>7</v>
      </c>
      <c r="B96" s="17">
        <f>ROUND(VLOOKUP(B$87&amp;"_1",管理者用人口入力シート!A:X,D96,FALSE),0)</f>
        <v>698</v>
      </c>
      <c r="C96" s="17">
        <f>ROUND(VLOOKUP(B$87&amp;"_2",管理者用人口入力シート!A:X,D96,FALSE),0)</f>
        <v>839</v>
      </c>
      <c r="D96" s="2">
        <v>11</v>
      </c>
      <c r="G96" s="2" t="s">
        <v>3</v>
      </c>
      <c r="H96" s="17">
        <f>ROUND(VLOOKUP(H$91&amp;"_1",管理者用人口入力シート!BH:CE,J96,FALSE),0)</f>
        <v>558</v>
      </c>
      <c r="I96" s="17">
        <f>ROUND(VLOOKUP(H$91&amp;"_2",管理者用人口入力シート!BH:CE,J96,FALSE),0)</f>
        <v>592</v>
      </c>
      <c r="J96" s="2">
        <v>7</v>
      </c>
      <c r="K96" s="12"/>
      <c r="N96" s="2" t="s">
        <v>3</v>
      </c>
      <c r="O96" s="17">
        <f>ROUND(VLOOKUP(O$91&amp;"_1",管理者用人口入力シート!CO:DL,Q96,FALSE),0)</f>
        <v>559</v>
      </c>
      <c r="P96" s="17">
        <f>ROUND(VLOOKUP(O$91&amp;"_2",管理者用人口入力シート!CO:DL,Q96,FALSE),0)</f>
        <v>593</v>
      </c>
      <c r="Q96" s="2">
        <v>7</v>
      </c>
      <c r="T96" s="85"/>
    </row>
    <row r="97" spans="1:20" x14ac:dyDescent="0.15">
      <c r="A97" s="2" t="s">
        <v>8</v>
      </c>
      <c r="B97" s="17">
        <f>ROUND(VLOOKUP(B$87&amp;"_1",管理者用人口入力シート!A:X,D97,FALSE),0)</f>
        <v>846</v>
      </c>
      <c r="C97" s="17">
        <f>ROUND(VLOOKUP(B$87&amp;"_2",管理者用人口入力シート!A:X,D97,FALSE),0)</f>
        <v>909</v>
      </c>
      <c r="D97" s="2">
        <v>12</v>
      </c>
      <c r="G97" s="2" t="s">
        <v>4</v>
      </c>
      <c r="H97" s="17">
        <f>ROUND(VLOOKUP(H$91&amp;"_1",管理者用人口入力シート!BH:CE,J97,FALSE),0)</f>
        <v>368</v>
      </c>
      <c r="I97" s="17">
        <f>ROUND(VLOOKUP(H$91&amp;"_2",管理者用人口入力シート!BH:CE,J97,FALSE),0)</f>
        <v>438</v>
      </c>
      <c r="J97" s="2">
        <v>8</v>
      </c>
      <c r="K97" s="12"/>
      <c r="N97" s="2" t="s">
        <v>4</v>
      </c>
      <c r="O97" s="17">
        <f>ROUND(VLOOKUP(O$91&amp;"_1",管理者用人口入力シート!CO:DL,Q97,FALSE),0)</f>
        <v>368</v>
      </c>
      <c r="P97" s="17">
        <f>ROUND(VLOOKUP(O$91&amp;"_2",管理者用人口入力シート!CO:DL,Q97,FALSE),0)</f>
        <v>438</v>
      </c>
      <c r="Q97" s="2">
        <v>8</v>
      </c>
      <c r="T97" s="85"/>
    </row>
    <row r="98" spans="1:20" x14ac:dyDescent="0.15">
      <c r="A98" s="2" t="s">
        <v>9</v>
      </c>
      <c r="B98" s="17">
        <f>ROUND(VLOOKUP(B$87&amp;"_1",管理者用人口入力シート!A:X,D98,FALSE),0)</f>
        <v>880</v>
      </c>
      <c r="C98" s="17">
        <f>ROUND(VLOOKUP(B$87&amp;"_2",管理者用人口入力シート!A:X,D98,FALSE),0)</f>
        <v>981</v>
      </c>
      <c r="D98" s="2">
        <v>13</v>
      </c>
      <c r="G98" s="2" t="s">
        <v>5</v>
      </c>
      <c r="H98" s="17">
        <f>ROUND(VLOOKUP(H$91&amp;"_1",管理者用人口入力シート!BH:CE,J98,FALSE),0)</f>
        <v>410</v>
      </c>
      <c r="I98" s="17">
        <f>ROUND(VLOOKUP(H$91&amp;"_2",管理者用人口入力シート!BH:CE,J98,FALSE),0)</f>
        <v>447</v>
      </c>
      <c r="J98" s="2">
        <v>9</v>
      </c>
      <c r="K98" s="12"/>
      <c r="N98" s="2" t="s">
        <v>5</v>
      </c>
      <c r="O98" s="17">
        <f>ROUND(VLOOKUP(O$91&amp;"_1",管理者用人口入力シート!CO:DL,Q98,FALSE),0)</f>
        <v>412</v>
      </c>
      <c r="P98" s="17">
        <f>ROUND(VLOOKUP(O$91&amp;"_2",管理者用人口入力シート!CO:DL,Q98,FALSE),0)</f>
        <v>449</v>
      </c>
      <c r="Q98" s="2">
        <v>9</v>
      </c>
      <c r="T98" s="85"/>
    </row>
    <row r="99" spans="1:20" x14ac:dyDescent="0.15">
      <c r="A99" s="2" t="s">
        <v>10</v>
      </c>
      <c r="B99" s="17">
        <f>ROUND(VLOOKUP(B$87&amp;"_1",管理者用人口入力シート!A:X,D99,FALSE),0)</f>
        <v>763</v>
      </c>
      <c r="C99" s="17">
        <f>ROUND(VLOOKUP(B$87&amp;"_2",管理者用人口入力シート!A:X,D99,FALSE),0)</f>
        <v>942</v>
      </c>
      <c r="D99" s="2">
        <v>14</v>
      </c>
      <c r="G99" s="2" t="s">
        <v>6</v>
      </c>
      <c r="H99" s="17">
        <f>ROUND(VLOOKUP(H$91&amp;"_1",管理者用人口入力シート!BH:CE,J99,FALSE),0)</f>
        <v>536</v>
      </c>
      <c r="I99" s="17">
        <f>ROUND(VLOOKUP(H$91&amp;"_2",管理者用人口入力シート!BH:CE,J99,FALSE),0)</f>
        <v>538</v>
      </c>
      <c r="J99" s="2">
        <v>10</v>
      </c>
      <c r="K99" s="12"/>
      <c r="N99" s="2" t="s">
        <v>6</v>
      </c>
      <c r="O99" s="17">
        <f>ROUND(VLOOKUP(O$91&amp;"_1",管理者用人口入力シート!CO:DL,Q99,FALSE),0)</f>
        <v>538</v>
      </c>
      <c r="P99" s="17">
        <f>ROUND(VLOOKUP(O$91&amp;"_2",管理者用人口入力シート!CO:DL,Q99,FALSE),0)</f>
        <v>540</v>
      </c>
      <c r="Q99" s="2">
        <v>10</v>
      </c>
      <c r="T99" s="85"/>
    </row>
    <row r="100" spans="1:20" x14ac:dyDescent="0.15">
      <c r="A100" s="2" t="s">
        <v>11</v>
      </c>
      <c r="B100" s="17">
        <f>ROUND(VLOOKUP(B$87&amp;"_1",管理者用人口入力シート!A:X,D100,FALSE),0)</f>
        <v>813</v>
      </c>
      <c r="C100" s="17">
        <f>ROUND(VLOOKUP(B$87&amp;"_2",管理者用人口入力シート!A:X,D100,FALSE),0)</f>
        <v>869</v>
      </c>
      <c r="D100" s="2">
        <v>15</v>
      </c>
      <c r="G100" s="2" t="s">
        <v>7</v>
      </c>
      <c r="H100" s="17">
        <f>ROUND(VLOOKUP(H$91&amp;"_1",管理者用人口入力シート!BH:CE,J100,FALSE),0)</f>
        <v>625</v>
      </c>
      <c r="I100" s="17">
        <f>ROUND(VLOOKUP(H$91&amp;"_2",管理者用人口入力シート!BH:CE,J100,FALSE),0)</f>
        <v>612</v>
      </c>
      <c r="J100" s="2">
        <v>11</v>
      </c>
      <c r="K100" s="12"/>
      <c r="N100" s="2" t="s">
        <v>7</v>
      </c>
      <c r="O100" s="17">
        <f>ROUND(VLOOKUP(O$91&amp;"_1",管理者用人口入力シート!CO:DL,Q100,FALSE),0)</f>
        <v>625</v>
      </c>
      <c r="P100" s="17">
        <f>ROUND(VLOOKUP(O$91&amp;"_2",管理者用人口入力シート!CO:DL,Q100,FALSE),0)</f>
        <v>612</v>
      </c>
      <c r="Q100" s="2">
        <v>11</v>
      </c>
      <c r="T100" s="85"/>
    </row>
    <row r="101" spans="1:20" x14ac:dyDescent="0.15">
      <c r="A101" s="2" t="s">
        <v>12</v>
      </c>
      <c r="B101" s="17">
        <f>ROUND(VLOOKUP(B$87&amp;"_1",管理者用人口入力シート!A:X,D101,FALSE),0)</f>
        <v>752</v>
      </c>
      <c r="C101" s="17">
        <f>ROUND(VLOOKUP(B$87&amp;"_2",管理者用人口入力シート!A:X,D101,FALSE),0)</f>
        <v>869</v>
      </c>
      <c r="D101" s="2">
        <v>16</v>
      </c>
      <c r="G101" s="2" t="s">
        <v>8</v>
      </c>
      <c r="H101" s="17">
        <f>ROUND(VLOOKUP(H$91&amp;"_1",管理者用人口入力シート!BH:CE,J101,FALSE),0)</f>
        <v>617</v>
      </c>
      <c r="I101" s="17">
        <f>ROUND(VLOOKUP(H$91&amp;"_2",管理者用人口入力シート!BH:CE,J101,FALSE),0)</f>
        <v>721</v>
      </c>
      <c r="J101" s="2">
        <v>12</v>
      </c>
      <c r="K101" s="12"/>
      <c r="N101" s="2" t="s">
        <v>8</v>
      </c>
      <c r="O101" s="17">
        <f>ROUND(VLOOKUP(O$91&amp;"_1",管理者用人口入力シート!CO:DL,Q101,FALSE),0)</f>
        <v>617</v>
      </c>
      <c r="P101" s="17">
        <f>ROUND(VLOOKUP(O$91&amp;"_2",管理者用人口入力シート!CO:DL,Q101,FALSE),0)</f>
        <v>722</v>
      </c>
      <c r="Q101" s="2">
        <v>12</v>
      </c>
      <c r="T101" s="85"/>
    </row>
    <row r="102" spans="1:20" x14ac:dyDescent="0.15">
      <c r="A102" s="2" t="s">
        <v>13</v>
      </c>
      <c r="B102" s="17">
        <f>ROUND(VLOOKUP(B$87&amp;"_1",管理者用人口入力シート!A:X,D102,FALSE),0)</f>
        <v>758</v>
      </c>
      <c r="C102" s="17">
        <f>ROUND(VLOOKUP(B$87&amp;"_2",管理者用人口入力シート!A:X,D102,FALSE),0)</f>
        <v>895</v>
      </c>
      <c r="D102" s="2">
        <v>17</v>
      </c>
      <c r="G102" s="2" t="s">
        <v>9</v>
      </c>
      <c r="H102" s="17">
        <f>ROUND(VLOOKUP(H$91&amp;"_1",管理者用人口入力シート!BH:CE,J102,FALSE),0)</f>
        <v>715</v>
      </c>
      <c r="I102" s="17">
        <f>ROUND(VLOOKUP(H$91&amp;"_2",管理者用人口入力シート!BH:CE,J102,FALSE),0)</f>
        <v>865</v>
      </c>
      <c r="J102" s="2">
        <v>13</v>
      </c>
      <c r="K102" s="12"/>
      <c r="N102" s="2" t="s">
        <v>9</v>
      </c>
      <c r="O102" s="17">
        <f>ROUND(VLOOKUP(O$91&amp;"_1",管理者用人口入力シート!CO:DL,Q102,FALSE),0)</f>
        <v>715</v>
      </c>
      <c r="P102" s="17">
        <f>ROUND(VLOOKUP(O$91&amp;"_2",管理者用人口入力シート!CO:DL,Q102,FALSE),0)</f>
        <v>866</v>
      </c>
      <c r="Q102" s="2">
        <v>13</v>
      </c>
      <c r="T102" s="85"/>
    </row>
    <row r="103" spans="1:20" x14ac:dyDescent="0.15">
      <c r="A103" s="2" t="s">
        <v>14</v>
      </c>
      <c r="B103" s="17">
        <f>ROUND(VLOOKUP(B$87&amp;"_1",管理者用人口入力シート!A:X,D103,FALSE),0)</f>
        <v>735</v>
      </c>
      <c r="C103" s="17">
        <f>ROUND(VLOOKUP(B$87&amp;"_2",管理者用人口入力シート!A:X,D103,FALSE),0)</f>
        <v>944</v>
      </c>
      <c r="D103" s="2">
        <v>18</v>
      </c>
      <c r="G103" s="2" t="s">
        <v>10</v>
      </c>
      <c r="H103" s="17">
        <f>ROUND(VLOOKUP(H$91&amp;"_1",管理者用人口入力シート!BH:CE,J103,FALSE),0)</f>
        <v>817</v>
      </c>
      <c r="I103" s="17">
        <f>ROUND(VLOOKUP(H$91&amp;"_2",管理者用人口入力シート!BH:CE,J103,FALSE),0)</f>
        <v>905</v>
      </c>
      <c r="J103" s="2">
        <v>14</v>
      </c>
      <c r="K103" s="12"/>
      <c r="N103" s="2" t="s">
        <v>10</v>
      </c>
      <c r="O103" s="17">
        <f>ROUND(VLOOKUP(O$91&amp;"_1",管理者用人口入力シート!CO:DL,Q103,FALSE),0)</f>
        <v>817</v>
      </c>
      <c r="P103" s="17">
        <f>ROUND(VLOOKUP(O$91&amp;"_2",管理者用人口入力シート!CO:DL,Q103,FALSE),0)</f>
        <v>905</v>
      </c>
      <c r="Q103" s="2">
        <v>14</v>
      </c>
      <c r="T103" s="85"/>
    </row>
    <row r="104" spans="1:20" x14ac:dyDescent="0.15">
      <c r="A104" s="2" t="s">
        <v>15</v>
      </c>
      <c r="B104" s="17">
        <f>ROUND(VLOOKUP(B$87&amp;"_1",管理者用人口入力シート!A:X,D104,FALSE),0)</f>
        <v>548</v>
      </c>
      <c r="C104" s="17">
        <f>ROUND(VLOOKUP(B$87&amp;"_2",管理者用人口入力シート!A:X,D104,FALSE),0)</f>
        <v>734</v>
      </c>
      <c r="D104" s="2">
        <v>19</v>
      </c>
      <c r="G104" s="2" t="s">
        <v>11</v>
      </c>
      <c r="H104" s="17">
        <f>ROUND(VLOOKUP(H$91&amp;"_1",管理者用人口入力シート!BH:CE,J104,FALSE),0)</f>
        <v>843</v>
      </c>
      <c r="I104" s="17">
        <f>ROUND(VLOOKUP(H$91&amp;"_2",管理者用人口入力シート!BH:CE,J104,FALSE),0)</f>
        <v>946</v>
      </c>
      <c r="J104" s="2">
        <v>15</v>
      </c>
      <c r="K104" s="12"/>
      <c r="N104" s="2" t="s">
        <v>11</v>
      </c>
      <c r="O104" s="17">
        <f>ROUND(VLOOKUP(O$91&amp;"_1",管理者用人口入力シート!CO:DL,Q104,FALSE),0)</f>
        <v>843</v>
      </c>
      <c r="P104" s="17">
        <f>ROUND(VLOOKUP(O$91&amp;"_2",管理者用人口入力シート!CO:DL,Q104,FALSE),0)</f>
        <v>946</v>
      </c>
      <c r="Q104" s="2">
        <v>15</v>
      </c>
      <c r="T104" s="85"/>
    </row>
    <row r="105" spans="1:20" x14ac:dyDescent="0.15">
      <c r="A105" s="2" t="s">
        <v>16</v>
      </c>
      <c r="B105" s="17">
        <f>ROUND(VLOOKUP(B$87&amp;"_1",管理者用人口入力シート!A:X,D105,FALSE),0)</f>
        <v>414</v>
      </c>
      <c r="C105" s="17">
        <f>ROUND(VLOOKUP(B$87&amp;"_2",管理者用人口入力シート!A:X,D105,FALSE),0)</f>
        <v>659</v>
      </c>
      <c r="D105" s="2">
        <v>20</v>
      </c>
      <c r="G105" s="2" t="s">
        <v>12</v>
      </c>
      <c r="H105" s="17">
        <f>ROUND(VLOOKUP(H$91&amp;"_1",管理者用人口入力シート!BH:CE,J105,FALSE),0)</f>
        <v>754</v>
      </c>
      <c r="I105" s="17">
        <f>ROUND(VLOOKUP(H$91&amp;"_2",管理者用人口入力シート!BH:CE,J105,FALSE),0)</f>
        <v>925</v>
      </c>
      <c r="J105" s="2">
        <v>16</v>
      </c>
      <c r="K105" s="12"/>
      <c r="N105" s="2" t="s">
        <v>12</v>
      </c>
      <c r="O105" s="17">
        <f>ROUND(VLOOKUP(O$91&amp;"_1",管理者用人口入力シート!CO:DL,Q105,FALSE),0)</f>
        <v>754</v>
      </c>
      <c r="P105" s="17">
        <f>ROUND(VLOOKUP(O$91&amp;"_2",管理者用人口入力シート!CO:DL,Q105,FALSE),0)</f>
        <v>925</v>
      </c>
      <c r="Q105" s="2">
        <v>16</v>
      </c>
      <c r="T105" s="85"/>
    </row>
    <row r="106" spans="1:20" x14ac:dyDescent="0.15">
      <c r="A106" s="2" t="s">
        <v>17</v>
      </c>
      <c r="B106" s="17">
        <f>ROUND(VLOOKUP(B$87&amp;"_1",管理者用人口入力シート!A:X,D106,FALSE),0)</f>
        <v>347</v>
      </c>
      <c r="C106" s="17">
        <f>ROUND(VLOOKUP(B$87&amp;"_2",管理者用人口入力シート!A:X,D106,FALSE),0)</f>
        <v>516</v>
      </c>
      <c r="D106" s="2">
        <v>21</v>
      </c>
      <c r="G106" s="2" t="s">
        <v>13</v>
      </c>
      <c r="H106" s="17">
        <f>ROUND(VLOOKUP(H$91&amp;"_1",管理者用人口入力シート!BH:CE,J106,FALSE),0)</f>
        <v>778</v>
      </c>
      <c r="I106" s="17">
        <f>ROUND(VLOOKUP(H$91&amp;"_2",管理者用人口入力シート!BH:CE,J106,FALSE),0)</f>
        <v>853</v>
      </c>
      <c r="J106" s="2">
        <v>17</v>
      </c>
      <c r="K106" s="12"/>
      <c r="N106" s="2" t="s">
        <v>13</v>
      </c>
      <c r="O106" s="17">
        <f>ROUND(VLOOKUP(O$91&amp;"_1",管理者用人口入力シート!CO:DL,Q106,FALSE),0)</f>
        <v>778</v>
      </c>
      <c r="P106" s="17">
        <f>ROUND(VLOOKUP(O$91&amp;"_2",管理者用人口入力シート!CO:DL,Q106,FALSE),0)</f>
        <v>853</v>
      </c>
      <c r="Q106" s="2">
        <v>17</v>
      </c>
      <c r="T106" s="85"/>
    </row>
    <row r="107" spans="1:20" x14ac:dyDescent="0.15">
      <c r="A107" s="2" t="s">
        <v>18</v>
      </c>
      <c r="B107" s="17">
        <f>ROUND(VLOOKUP(B$87&amp;"_1",管理者用人口入力シート!A:X,D107,FALSE),0)</f>
        <v>123</v>
      </c>
      <c r="C107" s="17">
        <f>ROUND(VLOOKUP(B$87&amp;"_2",管理者用人口入力シート!A:X,D107,FALSE),0)</f>
        <v>292</v>
      </c>
      <c r="D107" s="2">
        <v>22</v>
      </c>
      <c r="G107" s="2" t="s">
        <v>14</v>
      </c>
      <c r="H107" s="17">
        <f>ROUND(VLOOKUP(H$91&amp;"_1",管理者用人口入力シート!BH:CE,J107,FALSE),0)</f>
        <v>679</v>
      </c>
      <c r="I107" s="17">
        <f>ROUND(VLOOKUP(H$91&amp;"_2",管理者用人口入力シート!BH:CE,J107,FALSE),0)</f>
        <v>829</v>
      </c>
      <c r="J107" s="2">
        <v>18</v>
      </c>
      <c r="K107" s="12"/>
      <c r="N107" s="2" t="s">
        <v>14</v>
      </c>
      <c r="O107" s="17">
        <f>ROUND(VLOOKUP(O$91&amp;"_1",管理者用人口入力シート!CO:DL,Q107,FALSE),0)</f>
        <v>679</v>
      </c>
      <c r="P107" s="17">
        <f>ROUND(VLOOKUP(O$91&amp;"_2",管理者用人口入力シート!CO:DL,Q107,FALSE),0)</f>
        <v>829</v>
      </c>
      <c r="Q107" s="2">
        <v>18</v>
      </c>
      <c r="T107" s="85"/>
    </row>
    <row r="108" spans="1:20" x14ac:dyDescent="0.15">
      <c r="A108" s="2" t="s">
        <v>19</v>
      </c>
      <c r="B108" s="17">
        <f>ROUND(VLOOKUP(B$87&amp;"_1",管理者用人口入力シート!A:X,D108,FALSE),0)</f>
        <v>12</v>
      </c>
      <c r="C108" s="17">
        <f>ROUND(VLOOKUP(B$87&amp;"_2",管理者用人口入力シート!A:X,D108,FALSE),0)</f>
        <v>83</v>
      </c>
      <c r="D108" s="2">
        <v>23</v>
      </c>
      <c r="G108" s="2" t="s">
        <v>15</v>
      </c>
      <c r="H108" s="17">
        <f>ROUND(VLOOKUP(H$91&amp;"_1",管理者用人口入力シート!BH:CE,J108,FALSE),0)</f>
        <v>645</v>
      </c>
      <c r="I108" s="17">
        <f>ROUND(VLOOKUP(H$91&amp;"_2",管理者用人口入力シート!BH:CE,J108,FALSE),0)</f>
        <v>804</v>
      </c>
      <c r="J108" s="2">
        <v>19</v>
      </c>
      <c r="K108" s="12"/>
      <c r="N108" s="2" t="s">
        <v>15</v>
      </c>
      <c r="O108" s="17">
        <f>ROUND(VLOOKUP(O$91&amp;"_1",管理者用人口入力シート!CO:DL,Q108,FALSE),0)</f>
        <v>645</v>
      </c>
      <c r="P108" s="17">
        <f>ROUND(VLOOKUP(O$91&amp;"_2",管理者用人口入力シート!CO:DL,Q108,FALSE),0)</f>
        <v>804</v>
      </c>
      <c r="Q108" s="2">
        <v>19</v>
      </c>
      <c r="T108" s="85"/>
    </row>
    <row r="109" spans="1:20" x14ac:dyDescent="0.15">
      <c r="A109" s="2" t="s">
        <v>20</v>
      </c>
      <c r="B109" s="17">
        <f>ROUND(VLOOKUP(B$87&amp;"_1",管理者用人口入力シート!A:X,D109,FALSE),0)</f>
        <v>4</v>
      </c>
      <c r="C109" s="17">
        <f>ROUND(VLOOKUP(B$87&amp;"_2",管理者用人口入力シート!A:X,D109,FALSE),0)</f>
        <v>12</v>
      </c>
      <c r="D109" s="2">
        <v>24</v>
      </c>
      <c r="G109" s="2" t="s">
        <v>16</v>
      </c>
      <c r="H109" s="17">
        <f>ROUND(VLOOKUP(H$91&amp;"_1",管理者用人口入力シート!BH:CE,J109,FALSE),0)</f>
        <v>525</v>
      </c>
      <c r="I109" s="17">
        <f>ROUND(VLOOKUP(H$91&amp;"_2",管理者用人口入力シート!BH:CE,J109,FALSE),0)</f>
        <v>811</v>
      </c>
      <c r="J109" s="2">
        <v>20</v>
      </c>
      <c r="K109" s="12"/>
      <c r="N109" s="2" t="s">
        <v>16</v>
      </c>
      <c r="O109" s="17">
        <f>ROUND(VLOOKUP(O$91&amp;"_1",管理者用人口入力シート!CO:DL,Q109,FALSE),0)</f>
        <v>525</v>
      </c>
      <c r="P109" s="17">
        <f>ROUND(VLOOKUP(O$91&amp;"_2",管理者用人口入力シート!CO:DL,Q109,FALSE),0)</f>
        <v>811</v>
      </c>
      <c r="Q109" s="2">
        <v>20</v>
      </c>
      <c r="T109" s="85"/>
    </row>
    <row r="110" spans="1:20" x14ac:dyDescent="0.15">
      <c r="G110" s="2" t="s">
        <v>17</v>
      </c>
      <c r="H110" s="17">
        <f>ROUND(VLOOKUP(H$91&amp;"_1",管理者用人口入力シート!BH:CE,J110,FALSE),0)</f>
        <v>320</v>
      </c>
      <c r="I110" s="17">
        <f>ROUND(VLOOKUP(H$91&amp;"_2",管理者用人口入力シート!BH:CE,J110,FALSE),0)</f>
        <v>539</v>
      </c>
      <c r="J110" s="2">
        <v>21</v>
      </c>
      <c r="K110" s="12"/>
      <c r="N110" s="2" t="s">
        <v>17</v>
      </c>
      <c r="O110" s="17">
        <f>ROUND(VLOOKUP(O$91&amp;"_1",管理者用人口入力シート!CO:DL,Q110,FALSE),0)</f>
        <v>320</v>
      </c>
      <c r="P110" s="17">
        <f>ROUND(VLOOKUP(O$91&amp;"_2",管理者用人口入力シート!CO:DL,Q110,FALSE),0)</f>
        <v>539</v>
      </c>
      <c r="Q110" s="2">
        <v>21</v>
      </c>
      <c r="T110" s="85"/>
    </row>
    <row r="111" spans="1:20" x14ac:dyDescent="0.15">
      <c r="G111" s="2" t="s">
        <v>18</v>
      </c>
      <c r="H111" s="17">
        <f>ROUND(VLOOKUP(H$91&amp;"_1",管理者用人口入力シート!BH:CE,J111,FALSE),0)</f>
        <v>132</v>
      </c>
      <c r="I111" s="17">
        <f>ROUND(VLOOKUP(H$91&amp;"_2",管理者用人口入力シート!BH:CE,J111,FALSE),0)</f>
        <v>342</v>
      </c>
      <c r="J111" s="2">
        <v>22</v>
      </c>
      <c r="K111" s="12"/>
      <c r="N111" s="2" t="s">
        <v>18</v>
      </c>
      <c r="O111" s="17">
        <f>ROUND(VLOOKUP(O$91&amp;"_1",管理者用人口入力シート!CO:DL,Q111,FALSE),0)</f>
        <v>132</v>
      </c>
      <c r="P111" s="17">
        <f>ROUND(VLOOKUP(O$91&amp;"_2",管理者用人口入力シート!CO:DL,Q111,FALSE),0)</f>
        <v>342</v>
      </c>
      <c r="Q111" s="2">
        <v>22</v>
      </c>
      <c r="T111" s="85"/>
    </row>
    <row r="112" spans="1:20" x14ac:dyDescent="0.15">
      <c r="G112" s="2" t="s">
        <v>19</v>
      </c>
      <c r="H112" s="17">
        <f>ROUND(VLOOKUP(H$91&amp;"_1",管理者用人口入力シート!BH:CE,J112,FALSE),0)</f>
        <v>27</v>
      </c>
      <c r="I112" s="17">
        <f>ROUND(VLOOKUP(H$91&amp;"_2",管理者用人口入力シート!BH:CE,J112,FALSE),0)</f>
        <v>126</v>
      </c>
      <c r="J112" s="2">
        <v>23</v>
      </c>
      <c r="K112" s="12"/>
      <c r="N112" s="2" t="s">
        <v>19</v>
      </c>
      <c r="O112" s="17">
        <f>ROUND(VLOOKUP(O$91&amp;"_1",管理者用人口入力シート!CO:DL,Q112,FALSE),0)</f>
        <v>27</v>
      </c>
      <c r="P112" s="17">
        <f>ROUND(VLOOKUP(O$91&amp;"_2",管理者用人口入力シート!CO:DL,Q112,FALSE),0)</f>
        <v>126</v>
      </c>
      <c r="Q112" s="2">
        <v>23</v>
      </c>
      <c r="T112" s="85"/>
    </row>
    <row r="113" spans="7:20" x14ac:dyDescent="0.15">
      <c r="G113" s="2" t="s">
        <v>20</v>
      </c>
      <c r="H113" s="17">
        <f>ROUND(VLOOKUP(H$91&amp;"_1",管理者用人口入力シート!BH:CE,J113,FALSE),0)</f>
        <v>0</v>
      </c>
      <c r="I113" s="17">
        <f>ROUND(VLOOKUP(H$91&amp;"_2",管理者用人口入力シート!BH:CE,J113,FALSE),0)</f>
        <v>27</v>
      </c>
      <c r="J113" s="2">
        <v>24</v>
      </c>
      <c r="K113" s="12"/>
      <c r="N113" s="2" t="s">
        <v>20</v>
      </c>
      <c r="O113" s="17">
        <f>ROUND(VLOOKUP(O$91&amp;"_1",管理者用人口入力シート!CO:DL,Q113,FALSE),0)</f>
        <v>0</v>
      </c>
      <c r="P113" s="17">
        <f>ROUND(VLOOKUP(O$91&amp;"_2",管理者用人口入力シート!CO:DL,Q113,FALSE),0)</f>
        <v>27</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436</v>
      </c>
      <c r="I117" s="17">
        <f>ROUND(VLOOKUP(H$115&amp;"_2",管理者用人口入力シート!BH:CE,J117,FALSE),0)</f>
        <v>444</v>
      </c>
      <c r="J117" s="2">
        <v>4</v>
      </c>
      <c r="N117" s="2" t="s">
        <v>0</v>
      </c>
      <c r="O117" s="17">
        <f>ROUND(VLOOKUP(O$115&amp;"_1",管理者用人口入力シート!CO:DL,Q117,FALSE),0)</f>
        <v>439</v>
      </c>
      <c r="P117" s="17">
        <f>ROUND(VLOOKUP(O$115&amp;"_2",管理者用人口入力シート!CO:DL,Q117,FALSE),0)</f>
        <v>447</v>
      </c>
      <c r="Q117" s="2">
        <v>4</v>
      </c>
      <c r="T117" s="85"/>
    </row>
    <row r="118" spans="7:20" x14ac:dyDescent="0.15">
      <c r="G118" s="2" t="s">
        <v>1</v>
      </c>
      <c r="H118" s="17">
        <f>ROUND(VLOOKUP(H$115&amp;"_1",管理者用人口入力シート!BH:CE,J118,FALSE),0)</f>
        <v>485</v>
      </c>
      <c r="I118" s="17">
        <f>ROUND(VLOOKUP(H$115&amp;"_2",管理者用人口入力シート!BH:CE,J118,FALSE),0)</f>
        <v>478</v>
      </c>
      <c r="J118" s="2">
        <v>5</v>
      </c>
      <c r="N118" s="2" t="s">
        <v>1</v>
      </c>
      <c r="O118" s="17">
        <f>ROUND(VLOOKUP(O$115&amp;"_1",管理者用人口入力シート!CO:DL,Q118,FALSE),0)</f>
        <v>487</v>
      </c>
      <c r="P118" s="17">
        <f>ROUND(VLOOKUP(O$115&amp;"_2",管理者用人口入力シート!CO:DL,Q118,FALSE),0)</f>
        <v>480</v>
      </c>
      <c r="Q118" s="2">
        <v>5</v>
      </c>
      <c r="T118" s="85"/>
    </row>
    <row r="119" spans="7:20" x14ac:dyDescent="0.15">
      <c r="G119" s="2" t="s">
        <v>2</v>
      </c>
      <c r="H119" s="17">
        <f>ROUND(VLOOKUP(H$115&amp;"_1",管理者用人口入力シート!BH:CE,J119,FALSE),0)</f>
        <v>525</v>
      </c>
      <c r="I119" s="17">
        <f>ROUND(VLOOKUP(H$115&amp;"_2",管理者用人口入力シート!BH:CE,J119,FALSE),0)</f>
        <v>534</v>
      </c>
      <c r="J119" s="2">
        <v>6</v>
      </c>
      <c r="N119" s="2" t="s">
        <v>2</v>
      </c>
      <c r="O119" s="17">
        <f>ROUND(VLOOKUP(O$115&amp;"_1",管理者用人口入力シート!CO:DL,Q119,FALSE),0)</f>
        <v>527</v>
      </c>
      <c r="P119" s="17">
        <f>ROUND(VLOOKUP(O$115&amp;"_2",管理者用人口入力シート!CO:DL,Q119,FALSE),0)</f>
        <v>537</v>
      </c>
      <c r="Q119" s="2">
        <v>6</v>
      </c>
      <c r="T119" s="85"/>
    </row>
    <row r="120" spans="7:20" x14ac:dyDescent="0.15">
      <c r="G120" s="2" t="s">
        <v>3</v>
      </c>
      <c r="H120" s="17">
        <f>ROUND(VLOOKUP(H$115&amp;"_1",管理者用人口入力シート!BH:CE,J120,FALSE),0)</f>
        <v>523</v>
      </c>
      <c r="I120" s="17">
        <f>ROUND(VLOOKUP(H$115&amp;"_2",管理者用人口入力シート!BH:CE,J120,FALSE),0)</f>
        <v>575</v>
      </c>
      <c r="J120" s="2">
        <v>7</v>
      </c>
      <c r="N120" s="2" t="s">
        <v>3</v>
      </c>
      <c r="O120" s="17">
        <f>ROUND(VLOOKUP(O$115&amp;"_1",管理者用人口入力シート!CO:DL,Q120,FALSE),0)</f>
        <v>524</v>
      </c>
      <c r="P120" s="17">
        <f>ROUND(VLOOKUP(O$115&amp;"_2",管理者用人口入力シート!CO:DL,Q120,FALSE),0)</f>
        <v>575</v>
      </c>
      <c r="Q120" s="2">
        <v>7</v>
      </c>
      <c r="T120" s="85"/>
    </row>
    <row r="121" spans="7:20" x14ac:dyDescent="0.15">
      <c r="G121" s="2" t="s">
        <v>4</v>
      </c>
      <c r="H121" s="17">
        <f>ROUND(VLOOKUP(H$115&amp;"_1",管理者用人口入力シート!BH:CE,J121,FALSE),0)</f>
        <v>370</v>
      </c>
      <c r="I121" s="17">
        <f>ROUND(VLOOKUP(H$115&amp;"_2",管理者用人口入力シート!BH:CE,J121,FALSE),0)</f>
        <v>439</v>
      </c>
      <c r="J121" s="2">
        <v>8</v>
      </c>
      <c r="N121" s="2" t="s">
        <v>4</v>
      </c>
      <c r="O121" s="17">
        <f>ROUND(VLOOKUP(O$115&amp;"_1",管理者用人口入力シート!CO:DL,Q121,FALSE),0)</f>
        <v>371</v>
      </c>
      <c r="P121" s="17">
        <f>ROUND(VLOOKUP(O$115&amp;"_2",管理者用人口入力シート!CO:DL,Q121,FALSE),0)</f>
        <v>440</v>
      </c>
      <c r="Q121" s="2">
        <v>8</v>
      </c>
      <c r="T121" s="85"/>
    </row>
    <row r="122" spans="7:20" x14ac:dyDescent="0.15">
      <c r="G122" s="2" t="s">
        <v>5</v>
      </c>
      <c r="H122" s="17">
        <f>ROUND(VLOOKUP(H$115&amp;"_1",管理者用人口入力シート!BH:CE,J122,FALSE),0)</f>
        <v>438</v>
      </c>
      <c r="I122" s="17">
        <f>ROUND(VLOOKUP(H$115&amp;"_2",管理者用人口入力シート!BH:CE,J122,FALSE),0)</f>
        <v>475</v>
      </c>
      <c r="J122" s="2">
        <v>9</v>
      </c>
      <c r="N122" s="2" t="s">
        <v>5</v>
      </c>
      <c r="O122" s="17">
        <f>ROUND(VLOOKUP(O$115&amp;"_1",管理者用人口入力シート!CO:DL,Q122,FALSE),0)</f>
        <v>440</v>
      </c>
      <c r="P122" s="17">
        <f>ROUND(VLOOKUP(O$115&amp;"_2",管理者用人口入力シート!CO:DL,Q122,FALSE),0)</f>
        <v>477</v>
      </c>
      <c r="Q122" s="2">
        <v>9</v>
      </c>
      <c r="T122" s="85"/>
    </row>
    <row r="123" spans="7:20" x14ac:dyDescent="0.15">
      <c r="G123" s="2" t="s">
        <v>6</v>
      </c>
      <c r="H123" s="17">
        <f>ROUND(VLOOKUP(H$115&amp;"_1",管理者用人口入力シート!BH:CE,J123,FALSE),0)</f>
        <v>459</v>
      </c>
      <c r="I123" s="17">
        <f>ROUND(VLOOKUP(H$115&amp;"_2",管理者用人口入力シート!BH:CE,J123,FALSE),0)</f>
        <v>488</v>
      </c>
      <c r="J123" s="2">
        <v>10</v>
      </c>
      <c r="N123" s="2" t="s">
        <v>6</v>
      </c>
      <c r="O123" s="17">
        <f>ROUND(VLOOKUP(O$115&amp;"_1",管理者用人口入力シート!CO:DL,Q123,FALSE),0)</f>
        <v>461</v>
      </c>
      <c r="P123" s="17">
        <f>ROUND(VLOOKUP(O$115&amp;"_2",管理者用人口入力シート!CO:DL,Q123,FALSE),0)</f>
        <v>490</v>
      </c>
      <c r="Q123" s="2">
        <v>10</v>
      </c>
      <c r="T123" s="85"/>
    </row>
    <row r="124" spans="7:20" x14ac:dyDescent="0.15">
      <c r="G124" s="2" t="s">
        <v>7</v>
      </c>
      <c r="H124" s="17">
        <f>ROUND(VLOOKUP(H$115&amp;"_1",管理者用人口入力シート!BH:CE,J124,FALSE),0)</f>
        <v>554</v>
      </c>
      <c r="I124" s="17">
        <f>ROUND(VLOOKUP(H$115&amp;"_2",管理者用人口入力シート!BH:CE,J124,FALSE),0)</f>
        <v>564</v>
      </c>
      <c r="J124" s="2">
        <v>11</v>
      </c>
      <c r="N124" s="2" t="s">
        <v>7</v>
      </c>
      <c r="O124" s="17">
        <f>ROUND(VLOOKUP(O$115&amp;"_1",管理者用人口入力シート!CO:DL,Q124,FALSE),0)</f>
        <v>556</v>
      </c>
      <c r="P124" s="17">
        <f>ROUND(VLOOKUP(O$115&amp;"_2",管理者用人口入力シート!CO:DL,Q124,FALSE),0)</f>
        <v>566</v>
      </c>
      <c r="Q124" s="2">
        <v>11</v>
      </c>
      <c r="T124" s="85"/>
    </row>
    <row r="125" spans="7:20" x14ac:dyDescent="0.15">
      <c r="G125" s="2" t="s">
        <v>8</v>
      </c>
      <c r="H125" s="17">
        <f>ROUND(VLOOKUP(H$115&amp;"_1",管理者用人口入力シート!BH:CE,J125,FALSE),0)</f>
        <v>650</v>
      </c>
      <c r="I125" s="17">
        <f>ROUND(VLOOKUP(H$115&amp;"_2",管理者用人口入力シート!BH:CE,J125,FALSE),0)</f>
        <v>619</v>
      </c>
      <c r="J125" s="2">
        <v>12</v>
      </c>
      <c r="N125" s="2" t="s">
        <v>8</v>
      </c>
      <c r="O125" s="17">
        <f>ROUND(VLOOKUP(O$115&amp;"_1",管理者用人口入力シート!CO:DL,Q125,FALSE),0)</f>
        <v>650</v>
      </c>
      <c r="P125" s="17">
        <f>ROUND(VLOOKUP(O$115&amp;"_2",管理者用人口入力シート!CO:DL,Q125,FALSE),0)</f>
        <v>620</v>
      </c>
      <c r="Q125" s="2">
        <v>12</v>
      </c>
      <c r="T125" s="85"/>
    </row>
    <row r="126" spans="7:20" x14ac:dyDescent="0.15">
      <c r="G126" s="2" t="s">
        <v>9</v>
      </c>
      <c r="H126" s="17">
        <f>ROUND(VLOOKUP(H$115&amp;"_1",管理者用人口入力シート!BH:CE,J126,FALSE),0)</f>
        <v>607</v>
      </c>
      <c r="I126" s="17">
        <f>ROUND(VLOOKUP(H$115&amp;"_2",管理者用人口入力シート!BH:CE,J126,FALSE),0)</f>
        <v>736</v>
      </c>
      <c r="J126" s="2">
        <v>13</v>
      </c>
      <c r="N126" s="2" t="s">
        <v>9</v>
      </c>
      <c r="O126" s="17">
        <f>ROUND(VLOOKUP(O$115&amp;"_1",管理者用人口入力シート!CO:DL,Q126,FALSE),0)</f>
        <v>607</v>
      </c>
      <c r="P126" s="17">
        <f>ROUND(VLOOKUP(O$115&amp;"_2",管理者用人口入力シート!CO:DL,Q126,FALSE),0)</f>
        <v>737</v>
      </c>
      <c r="Q126" s="2">
        <v>13</v>
      </c>
      <c r="T126" s="85"/>
    </row>
    <row r="127" spans="7:20" x14ac:dyDescent="0.15">
      <c r="G127" s="2" t="s">
        <v>10</v>
      </c>
      <c r="H127" s="17">
        <f>ROUND(VLOOKUP(H$115&amp;"_1",管理者用人口入力シート!BH:CE,J127,FALSE),0)</f>
        <v>701</v>
      </c>
      <c r="I127" s="17">
        <f>ROUND(VLOOKUP(H$115&amp;"_2",管理者用人口入力シート!BH:CE,J127,FALSE),0)</f>
        <v>845</v>
      </c>
      <c r="J127" s="2">
        <v>14</v>
      </c>
      <c r="N127" s="2" t="s">
        <v>10</v>
      </c>
      <c r="O127" s="17">
        <f>ROUND(VLOOKUP(O$115&amp;"_1",管理者用人口入力シート!CO:DL,Q127,FALSE),0)</f>
        <v>701</v>
      </c>
      <c r="P127" s="17">
        <f>ROUND(VLOOKUP(O$115&amp;"_2",管理者用人口入力シート!CO:DL,Q127,FALSE),0)</f>
        <v>846</v>
      </c>
      <c r="Q127" s="2">
        <v>14</v>
      </c>
      <c r="T127" s="85"/>
    </row>
    <row r="128" spans="7:20" x14ac:dyDescent="0.15">
      <c r="G128" s="2" t="s">
        <v>11</v>
      </c>
      <c r="H128" s="17">
        <f>ROUND(VLOOKUP(H$115&amp;"_1",管理者用人口入力シート!BH:CE,J128,FALSE),0)</f>
        <v>798</v>
      </c>
      <c r="I128" s="17">
        <f>ROUND(VLOOKUP(H$115&amp;"_2",管理者用人口入力シート!BH:CE,J128,FALSE),0)</f>
        <v>894</v>
      </c>
      <c r="J128" s="2">
        <v>15</v>
      </c>
      <c r="N128" s="2" t="s">
        <v>11</v>
      </c>
      <c r="O128" s="17">
        <f>ROUND(VLOOKUP(O$115&amp;"_1",管理者用人口入力シート!CO:DL,Q128,FALSE),0)</f>
        <v>798</v>
      </c>
      <c r="P128" s="17">
        <f>ROUND(VLOOKUP(O$115&amp;"_2",管理者用人口入力シート!CO:DL,Q128,FALSE),0)</f>
        <v>894</v>
      </c>
      <c r="Q128" s="2">
        <v>15</v>
      </c>
      <c r="T128" s="85"/>
    </row>
    <row r="129" spans="7:20" x14ac:dyDescent="0.15">
      <c r="G129" s="2" t="s">
        <v>12</v>
      </c>
      <c r="H129" s="17">
        <f>ROUND(VLOOKUP(H$115&amp;"_1",管理者用人口入力シート!BH:CE,J129,FALSE),0)</f>
        <v>852</v>
      </c>
      <c r="I129" s="17">
        <f>ROUND(VLOOKUP(H$115&amp;"_2",管理者用人口入力シート!BH:CE,J129,FALSE),0)</f>
        <v>941</v>
      </c>
      <c r="J129" s="2">
        <v>16</v>
      </c>
      <c r="N129" s="2" t="s">
        <v>12</v>
      </c>
      <c r="O129" s="17">
        <f>ROUND(VLOOKUP(O$115&amp;"_1",管理者用人口入力シート!CO:DL,Q129,FALSE),0)</f>
        <v>852</v>
      </c>
      <c r="P129" s="17">
        <f>ROUND(VLOOKUP(O$115&amp;"_2",管理者用人口入力シート!CO:DL,Q129,FALSE),0)</f>
        <v>941</v>
      </c>
      <c r="Q129" s="2">
        <v>16</v>
      </c>
      <c r="T129" s="85"/>
    </row>
    <row r="130" spans="7:20" x14ac:dyDescent="0.15">
      <c r="G130" s="2" t="s">
        <v>13</v>
      </c>
      <c r="H130" s="17">
        <f>ROUND(VLOOKUP(H$115&amp;"_1",管理者用人口入力シート!BH:CE,J130,FALSE),0)</f>
        <v>713</v>
      </c>
      <c r="I130" s="17">
        <f>ROUND(VLOOKUP(H$115&amp;"_2",管理者用人口入力シート!BH:CE,J130,FALSE),0)</f>
        <v>913</v>
      </c>
      <c r="J130" s="2">
        <v>17</v>
      </c>
      <c r="N130" s="2" t="s">
        <v>13</v>
      </c>
      <c r="O130" s="17">
        <f>ROUND(VLOOKUP(O$115&amp;"_1",管理者用人口入力シート!CO:DL,Q130,FALSE),0)</f>
        <v>713</v>
      </c>
      <c r="P130" s="17">
        <f>ROUND(VLOOKUP(O$115&amp;"_2",管理者用人口入力シート!CO:DL,Q130,FALSE),0)</f>
        <v>913</v>
      </c>
      <c r="Q130" s="2">
        <v>17</v>
      </c>
      <c r="T130" s="85"/>
    </row>
    <row r="131" spans="7:20" x14ac:dyDescent="0.15">
      <c r="G131" s="2" t="s">
        <v>14</v>
      </c>
      <c r="H131" s="17">
        <f>ROUND(VLOOKUP(H$115&amp;"_1",管理者用人口入力シート!BH:CE,J131,FALSE),0)</f>
        <v>743</v>
      </c>
      <c r="I131" s="17">
        <f>ROUND(VLOOKUP(H$115&amp;"_2",管理者用人口入力シート!BH:CE,J131,FALSE),0)</f>
        <v>824</v>
      </c>
      <c r="J131" s="2">
        <v>18</v>
      </c>
      <c r="N131" s="2" t="s">
        <v>14</v>
      </c>
      <c r="O131" s="17">
        <f>ROUND(VLOOKUP(O$115&amp;"_1",管理者用人口入力シート!CO:DL,Q131,FALSE),0)</f>
        <v>743</v>
      </c>
      <c r="P131" s="17">
        <f>ROUND(VLOOKUP(O$115&amp;"_2",管理者用人口入力シート!CO:DL,Q131,FALSE),0)</f>
        <v>824</v>
      </c>
      <c r="Q131" s="2">
        <v>18</v>
      </c>
      <c r="T131" s="85"/>
    </row>
    <row r="132" spans="7:20" x14ac:dyDescent="0.15">
      <c r="G132" s="2" t="s">
        <v>15</v>
      </c>
      <c r="H132" s="17">
        <f>ROUND(VLOOKUP(H$115&amp;"_1",管理者用人口入力シート!BH:CE,J132,FALSE),0)</f>
        <v>605</v>
      </c>
      <c r="I132" s="17">
        <f>ROUND(VLOOKUP(H$115&amp;"_2",管理者用人口入力シート!BH:CE,J132,FALSE),0)</f>
        <v>771</v>
      </c>
      <c r="J132" s="2">
        <v>19</v>
      </c>
      <c r="N132" s="2" t="s">
        <v>15</v>
      </c>
      <c r="O132" s="17">
        <f>ROUND(VLOOKUP(O$115&amp;"_1",管理者用人口入力シート!CO:DL,Q132,FALSE),0)</f>
        <v>605</v>
      </c>
      <c r="P132" s="17">
        <f>ROUND(VLOOKUP(O$115&amp;"_2",管理者用人口入力シート!CO:DL,Q132,FALSE),0)</f>
        <v>771</v>
      </c>
      <c r="Q132" s="2">
        <v>19</v>
      </c>
      <c r="T132" s="85"/>
    </row>
    <row r="133" spans="7:20" x14ac:dyDescent="0.15">
      <c r="G133" s="2" t="s">
        <v>16</v>
      </c>
      <c r="H133" s="17">
        <f>ROUND(VLOOKUP(H$115&amp;"_1",管理者用人口入力シート!BH:CE,J133,FALSE),0)</f>
        <v>517</v>
      </c>
      <c r="I133" s="17">
        <f>ROUND(VLOOKUP(H$115&amp;"_2",管理者用人口入力シート!BH:CE,J133,FALSE),0)</f>
        <v>744</v>
      </c>
      <c r="J133" s="2">
        <v>20</v>
      </c>
      <c r="N133" s="2" t="s">
        <v>16</v>
      </c>
      <c r="O133" s="17">
        <f>ROUND(VLOOKUP(O$115&amp;"_1",管理者用人口入力シート!CO:DL,Q133,FALSE),0)</f>
        <v>517</v>
      </c>
      <c r="P133" s="17">
        <f>ROUND(VLOOKUP(O$115&amp;"_2",管理者用人口入力シート!CO:DL,Q133,FALSE),0)</f>
        <v>744</v>
      </c>
      <c r="Q133" s="2">
        <v>20</v>
      </c>
      <c r="T133" s="85"/>
    </row>
    <row r="134" spans="7:20" x14ac:dyDescent="0.15">
      <c r="G134" s="2" t="s">
        <v>17</v>
      </c>
      <c r="H134" s="17">
        <f>ROUND(VLOOKUP(H$115&amp;"_1",管理者用人口入力シート!BH:CE,J134,FALSE),0)</f>
        <v>382</v>
      </c>
      <c r="I134" s="17">
        <f>ROUND(VLOOKUP(H$115&amp;"_2",管理者用人口入力シート!BH:CE,J134,FALSE),0)</f>
        <v>645</v>
      </c>
      <c r="J134" s="2">
        <v>21</v>
      </c>
      <c r="N134" s="2" t="s">
        <v>17</v>
      </c>
      <c r="O134" s="17">
        <f>ROUND(VLOOKUP(O$115&amp;"_1",管理者用人口入力シート!CO:DL,Q134,FALSE),0)</f>
        <v>382</v>
      </c>
      <c r="P134" s="17">
        <f>ROUND(VLOOKUP(O$115&amp;"_2",管理者用人口入力シート!CO:DL,Q134,FALSE),0)</f>
        <v>645</v>
      </c>
      <c r="Q134" s="2">
        <v>21</v>
      </c>
      <c r="T134" s="85"/>
    </row>
    <row r="135" spans="7:20" x14ac:dyDescent="0.15">
      <c r="G135" s="2" t="s">
        <v>18</v>
      </c>
      <c r="H135" s="17">
        <f>ROUND(VLOOKUP(H$115&amp;"_1",管理者用人口入力シート!BH:CE,J135,FALSE),0)</f>
        <v>140</v>
      </c>
      <c r="I135" s="17">
        <f>ROUND(VLOOKUP(H$115&amp;"_2",管理者用人口入力シート!BH:CE,J135,FALSE),0)</f>
        <v>352</v>
      </c>
      <c r="J135" s="2">
        <v>22</v>
      </c>
      <c r="N135" s="2" t="s">
        <v>18</v>
      </c>
      <c r="O135" s="17">
        <f>ROUND(VLOOKUP(O$115&amp;"_1",管理者用人口入力シート!CO:DL,Q135,FALSE),0)</f>
        <v>140</v>
      </c>
      <c r="P135" s="17">
        <f>ROUND(VLOOKUP(O$115&amp;"_2",管理者用人口入力シート!CO:DL,Q135,FALSE),0)</f>
        <v>352</v>
      </c>
      <c r="Q135" s="2">
        <v>22</v>
      </c>
      <c r="T135" s="85"/>
    </row>
    <row r="136" spans="7:20" x14ac:dyDescent="0.15">
      <c r="G136" s="2" t="s">
        <v>19</v>
      </c>
      <c r="H136" s="17">
        <f>ROUND(VLOOKUP(H$115&amp;"_1",管理者用人口入力シート!BH:CE,J136,FALSE),0)</f>
        <v>24</v>
      </c>
      <c r="I136" s="17">
        <f>ROUND(VLOOKUP(H$115&amp;"_2",管理者用人口入力シート!BH:CE,J136,FALSE),0)</f>
        <v>127</v>
      </c>
      <c r="J136" s="2">
        <v>23</v>
      </c>
      <c r="N136" s="2" t="s">
        <v>19</v>
      </c>
      <c r="O136" s="17">
        <f>ROUND(VLOOKUP(O$115&amp;"_1",管理者用人口入力シート!CO:DL,Q136,FALSE),0)</f>
        <v>24</v>
      </c>
      <c r="P136" s="17">
        <f>ROUND(VLOOKUP(O$115&amp;"_2",管理者用人口入力シート!CO:DL,Q136,FALSE),0)</f>
        <v>127</v>
      </c>
      <c r="Q136" s="2">
        <v>23</v>
      </c>
      <c r="T136" s="85"/>
    </row>
    <row r="137" spans="7:20" x14ac:dyDescent="0.15">
      <c r="G137" s="2" t="s">
        <v>20</v>
      </c>
      <c r="H137" s="17">
        <f>ROUND(VLOOKUP(H$115&amp;"_1",管理者用人口入力シート!BH:CE,J137,FALSE),0)</f>
        <v>1</v>
      </c>
      <c r="I137" s="17">
        <f>ROUND(VLOOKUP(H$115&amp;"_2",管理者用人口入力シート!BH:CE,J137,FALSE),0)</f>
        <v>32</v>
      </c>
      <c r="J137" s="2">
        <v>24</v>
      </c>
      <c r="N137" s="2" t="s">
        <v>20</v>
      </c>
      <c r="O137" s="17">
        <f>ROUND(VLOOKUP(O$115&amp;"_1",管理者用人口入力シート!CO:DL,Q137,FALSE),0)</f>
        <v>1</v>
      </c>
      <c r="P137" s="17">
        <f>ROUND(VLOOKUP(O$115&amp;"_2",管理者用人口入力シート!CO:DL,Q137,FALSE),0)</f>
        <v>32</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429</v>
      </c>
      <c r="I141" s="17">
        <f>ROUND(VLOOKUP(H$139&amp;"_2",管理者用人口入力シート!BH:CE,J141,FALSE),0)</f>
        <v>436</v>
      </c>
      <c r="J141" s="2">
        <v>4</v>
      </c>
      <c r="N141" s="2" t="s">
        <v>0</v>
      </c>
      <c r="O141" s="17">
        <f>ROUND(VLOOKUP(O$139&amp;"_1",管理者用人口入力シート!CO:DL,Q141,FALSE),0)</f>
        <v>432</v>
      </c>
      <c r="P141" s="17">
        <f>ROUND(VLOOKUP(O$139&amp;"_2",管理者用人口入力シート!CO:DL,Q141,FALSE),0)</f>
        <v>439</v>
      </c>
      <c r="Q141" s="2">
        <v>4</v>
      </c>
    </row>
    <row r="142" spans="7:20" x14ac:dyDescent="0.15">
      <c r="G142" s="2" t="s">
        <v>1</v>
      </c>
      <c r="H142" s="17">
        <f>ROUND(VLOOKUP(H$139&amp;"_1",管理者用人口入力シート!BH:CE,J142,FALSE),0)</f>
        <v>468</v>
      </c>
      <c r="I142" s="17">
        <f>ROUND(VLOOKUP(H$139&amp;"_2",管理者用人口入力シート!BH:CE,J142,FALSE),0)</f>
        <v>462</v>
      </c>
      <c r="J142" s="2">
        <v>5</v>
      </c>
      <c r="N142" s="2" t="s">
        <v>1</v>
      </c>
      <c r="O142" s="17">
        <f>ROUND(VLOOKUP(O$139&amp;"_1",管理者用人口入力シート!CO:DL,Q142,FALSE),0)</f>
        <v>471</v>
      </c>
      <c r="P142" s="17">
        <f>ROUND(VLOOKUP(O$139&amp;"_2",管理者用人口入力シート!CO:DL,Q142,FALSE),0)</f>
        <v>465</v>
      </c>
      <c r="Q142" s="2">
        <v>5</v>
      </c>
    </row>
    <row r="143" spans="7:20" x14ac:dyDescent="0.15">
      <c r="G143" s="2" t="s">
        <v>2</v>
      </c>
      <c r="H143" s="17">
        <f>ROUND(VLOOKUP(H$139&amp;"_1",管理者用人口入力シート!BH:CE,J143,FALSE),0)</f>
        <v>485</v>
      </c>
      <c r="I143" s="17">
        <f>ROUND(VLOOKUP(H$139&amp;"_2",管理者用人口入力シート!BH:CE,J143,FALSE),0)</f>
        <v>494</v>
      </c>
      <c r="J143" s="2">
        <v>6</v>
      </c>
      <c r="N143" s="2" t="s">
        <v>2</v>
      </c>
      <c r="O143" s="17">
        <f>ROUND(VLOOKUP(O$139&amp;"_1",管理者用人口入力シート!CO:DL,Q143,FALSE),0)</f>
        <v>488</v>
      </c>
      <c r="P143" s="17">
        <f>ROUND(VLOOKUP(O$139&amp;"_2",管理者用人口入力シート!CO:DL,Q143,FALSE),0)</f>
        <v>497</v>
      </c>
      <c r="Q143" s="2">
        <v>6</v>
      </c>
    </row>
    <row r="144" spans="7:20" x14ac:dyDescent="0.15">
      <c r="G144" s="2" t="s">
        <v>3</v>
      </c>
      <c r="H144" s="17">
        <f>ROUND(VLOOKUP(H$139&amp;"_1",管理者用人口入力シート!BH:CE,J144,FALSE),0)</f>
        <v>459</v>
      </c>
      <c r="I144" s="17">
        <f>ROUND(VLOOKUP(H$139&amp;"_2",管理者用人口入力シート!BH:CE,J144,FALSE),0)</f>
        <v>504</v>
      </c>
      <c r="J144" s="2">
        <v>7</v>
      </c>
      <c r="N144" s="2" t="s">
        <v>3</v>
      </c>
      <c r="O144" s="17">
        <f>ROUND(VLOOKUP(O$139&amp;"_1",管理者用人口入力シート!CO:DL,Q144,FALSE),0)</f>
        <v>461</v>
      </c>
      <c r="P144" s="17">
        <f>ROUND(VLOOKUP(O$139&amp;"_2",管理者用人口入力シート!CO:DL,Q144,FALSE),0)</f>
        <v>506</v>
      </c>
      <c r="Q144" s="2">
        <v>7</v>
      </c>
    </row>
    <row r="145" spans="7:17" x14ac:dyDescent="0.15">
      <c r="G145" s="2" t="s">
        <v>4</v>
      </c>
      <c r="H145" s="17">
        <f>ROUND(VLOOKUP(H$139&amp;"_1",管理者用人口入力シート!BH:CE,J145,FALSE),0)</f>
        <v>347</v>
      </c>
      <c r="I145" s="17">
        <f>ROUND(VLOOKUP(H$139&amp;"_2",管理者用人口入力シート!BH:CE,J145,FALSE),0)</f>
        <v>427</v>
      </c>
      <c r="J145" s="2">
        <v>8</v>
      </c>
      <c r="N145" s="2" t="s">
        <v>4</v>
      </c>
      <c r="O145" s="17">
        <f>ROUND(VLOOKUP(O$139&amp;"_1",管理者用人口入力シート!CO:DL,Q145,FALSE),0)</f>
        <v>348</v>
      </c>
      <c r="P145" s="17">
        <f>ROUND(VLOOKUP(O$139&amp;"_2",管理者用人口入力シート!CO:DL,Q145,FALSE),0)</f>
        <v>427</v>
      </c>
      <c r="Q145" s="2">
        <v>8</v>
      </c>
    </row>
    <row r="146" spans="7:17" x14ac:dyDescent="0.15">
      <c r="G146" s="2" t="s">
        <v>5</v>
      </c>
      <c r="H146" s="17">
        <f>ROUND(VLOOKUP(H$139&amp;"_1",管理者用人口入力シート!BH:CE,J146,FALSE),0)</f>
        <v>441</v>
      </c>
      <c r="I146" s="17">
        <f>ROUND(VLOOKUP(H$139&amp;"_2",管理者用人口入力シート!BH:CE,J146,FALSE),0)</f>
        <v>476</v>
      </c>
      <c r="J146" s="2">
        <v>9</v>
      </c>
      <c r="N146" s="2" t="s">
        <v>5</v>
      </c>
      <c r="O146" s="17">
        <f>ROUND(VLOOKUP(O$139&amp;"_1",管理者用人口入力シート!CO:DL,Q146,FALSE),0)</f>
        <v>444</v>
      </c>
      <c r="P146" s="17">
        <f>ROUND(VLOOKUP(O$139&amp;"_2",管理者用人口入力シート!CO:DL,Q146,FALSE),0)</f>
        <v>479</v>
      </c>
      <c r="Q146" s="2">
        <v>9</v>
      </c>
    </row>
    <row r="147" spans="7:17" x14ac:dyDescent="0.15">
      <c r="G147" s="2" t="s">
        <v>6</v>
      </c>
      <c r="H147" s="17">
        <f>ROUND(VLOOKUP(H$139&amp;"_1",管理者用人口入力シート!BH:CE,J147,FALSE),0)</f>
        <v>490</v>
      </c>
      <c r="I147" s="17">
        <f>ROUND(VLOOKUP(H$139&amp;"_2",管理者用人口入力シート!BH:CE,J147,FALSE),0)</f>
        <v>518</v>
      </c>
      <c r="J147" s="2">
        <v>10</v>
      </c>
      <c r="N147" s="2" t="s">
        <v>6</v>
      </c>
      <c r="O147" s="17">
        <f>ROUND(VLOOKUP(O$139&amp;"_1",管理者用人口入力シート!CO:DL,Q147,FALSE),0)</f>
        <v>492</v>
      </c>
      <c r="P147" s="17">
        <f>ROUND(VLOOKUP(O$139&amp;"_2",管理者用人口入力シート!CO:DL,Q147,FALSE),0)</f>
        <v>520</v>
      </c>
      <c r="Q147" s="2">
        <v>10</v>
      </c>
    </row>
    <row r="148" spans="7:17" x14ac:dyDescent="0.15">
      <c r="G148" s="2" t="s">
        <v>7</v>
      </c>
      <c r="H148" s="17">
        <f>ROUND(VLOOKUP(H$139&amp;"_1",管理者用人口入力シート!BH:CE,J148,FALSE),0)</f>
        <v>474</v>
      </c>
      <c r="I148" s="17">
        <f>ROUND(VLOOKUP(H$139&amp;"_2",管理者用人口入力シート!BH:CE,J148,FALSE),0)</f>
        <v>511</v>
      </c>
      <c r="J148" s="2">
        <v>11</v>
      </c>
      <c r="N148" s="2" t="s">
        <v>7</v>
      </c>
      <c r="O148" s="17">
        <f>ROUND(VLOOKUP(O$139&amp;"_1",管理者用人口入力シート!CO:DL,Q148,FALSE),0)</f>
        <v>476</v>
      </c>
      <c r="P148" s="17">
        <f>ROUND(VLOOKUP(O$139&amp;"_2",管理者用人口入力シート!CO:DL,Q148,FALSE),0)</f>
        <v>513</v>
      </c>
      <c r="Q148" s="2">
        <v>11</v>
      </c>
    </row>
    <row r="149" spans="7:17" x14ac:dyDescent="0.15">
      <c r="G149" s="2" t="s">
        <v>8</v>
      </c>
      <c r="H149" s="17">
        <f>ROUND(VLOOKUP(H$139&amp;"_1",管理者用人口入力シート!BH:CE,J149,FALSE),0)</f>
        <v>576</v>
      </c>
      <c r="I149" s="17">
        <f>ROUND(VLOOKUP(H$139&amp;"_2",管理者用人口入力シート!BH:CE,J149,FALSE),0)</f>
        <v>570</v>
      </c>
      <c r="J149" s="2">
        <v>12</v>
      </c>
      <c r="N149" s="2" t="s">
        <v>8</v>
      </c>
      <c r="O149" s="17">
        <f>ROUND(VLOOKUP(O$139&amp;"_1",管理者用人口入力シート!CO:DL,Q149,FALSE),0)</f>
        <v>579</v>
      </c>
      <c r="P149" s="17">
        <f>ROUND(VLOOKUP(O$139&amp;"_2",管理者用人口入力シート!CO:DL,Q149,FALSE),0)</f>
        <v>573</v>
      </c>
      <c r="Q149" s="2">
        <v>12</v>
      </c>
    </row>
    <row r="150" spans="7:17" x14ac:dyDescent="0.15">
      <c r="G150" s="2" t="s">
        <v>9</v>
      </c>
      <c r="H150" s="17">
        <f>ROUND(VLOOKUP(H$139&amp;"_1",管理者用人口入力シート!BH:CE,J150,FALSE),0)</f>
        <v>640</v>
      </c>
      <c r="I150" s="17">
        <f>ROUND(VLOOKUP(H$139&amp;"_2",管理者用人口入力シート!BH:CE,J150,FALSE),0)</f>
        <v>631</v>
      </c>
      <c r="J150" s="2">
        <v>13</v>
      </c>
      <c r="N150" s="2" t="s">
        <v>9</v>
      </c>
      <c r="O150" s="17">
        <f>ROUND(VLOOKUP(O$139&amp;"_1",管理者用人口入力シート!CO:DL,Q150,FALSE),0)</f>
        <v>640</v>
      </c>
      <c r="P150" s="17">
        <f>ROUND(VLOOKUP(O$139&amp;"_2",管理者用人口入力シート!CO:DL,Q150,FALSE),0)</f>
        <v>632</v>
      </c>
      <c r="Q150" s="2">
        <v>13</v>
      </c>
    </row>
    <row r="151" spans="7:17" x14ac:dyDescent="0.15">
      <c r="G151" s="2" t="s">
        <v>10</v>
      </c>
      <c r="H151" s="17">
        <f>ROUND(VLOOKUP(H$139&amp;"_1",管理者用人口入力シート!BH:CE,J151,FALSE),0)</f>
        <v>595</v>
      </c>
      <c r="I151" s="17">
        <f>ROUND(VLOOKUP(H$139&amp;"_2",管理者用人口入力シート!BH:CE,J151,FALSE),0)</f>
        <v>718</v>
      </c>
      <c r="J151" s="2">
        <v>14</v>
      </c>
      <c r="N151" s="2" t="s">
        <v>10</v>
      </c>
      <c r="O151" s="17">
        <f>ROUND(VLOOKUP(O$139&amp;"_1",管理者用人口入力シート!CO:DL,Q151,FALSE),0)</f>
        <v>595</v>
      </c>
      <c r="P151" s="17">
        <f>ROUND(VLOOKUP(O$139&amp;"_2",管理者用人口入力シート!CO:DL,Q151,FALSE),0)</f>
        <v>719</v>
      </c>
      <c r="Q151" s="2">
        <v>14</v>
      </c>
    </row>
    <row r="152" spans="7:17" x14ac:dyDescent="0.15">
      <c r="G152" s="2" t="s">
        <v>11</v>
      </c>
      <c r="H152" s="17">
        <f>ROUND(VLOOKUP(H$139&amp;"_1",管理者用人口入力シート!BH:CE,J152,FALSE),0)</f>
        <v>685</v>
      </c>
      <c r="I152" s="17">
        <f>ROUND(VLOOKUP(H$139&amp;"_2",管理者用人口入力シート!BH:CE,J152,FALSE),0)</f>
        <v>834</v>
      </c>
      <c r="J152" s="2">
        <v>15</v>
      </c>
      <c r="N152" s="2" t="s">
        <v>11</v>
      </c>
      <c r="O152" s="17">
        <f>ROUND(VLOOKUP(O$139&amp;"_1",管理者用人口入力シート!CO:DL,Q152,FALSE),0)</f>
        <v>685</v>
      </c>
      <c r="P152" s="17">
        <f>ROUND(VLOOKUP(O$139&amp;"_2",管理者用人口入力シート!CO:DL,Q152,FALSE),0)</f>
        <v>835</v>
      </c>
      <c r="Q152" s="2">
        <v>15</v>
      </c>
    </row>
    <row r="153" spans="7:17" x14ac:dyDescent="0.15">
      <c r="G153" s="2" t="s">
        <v>12</v>
      </c>
      <c r="H153" s="17">
        <f>ROUND(VLOOKUP(H$139&amp;"_1",管理者用人口入力シート!BH:CE,J153,FALSE),0)</f>
        <v>807</v>
      </c>
      <c r="I153" s="17">
        <f>ROUND(VLOOKUP(H$139&amp;"_2",管理者用人口入力シート!BH:CE,J153,FALSE),0)</f>
        <v>888</v>
      </c>
      <c r="J153" s="2">
        <v>16</v>
      </c>
      <c r="N153" s="2" t="s">
        <v>12</v>
      </c>
      <c r="O153" s="17">
        <f>ROUND(VLOOKUP(O$139&amp;"_1",管理者用人口入力シート!CO:DL,Q153,FALSE),0)</f>
        <v>807</v>
      </c>
      <c r="P153" s="17">
        <f>ROUND(VLOOKUP(O$139&amp;"_2",管理者用人口入力シート!CO:DL,Q153,FALSE),0)</f>
        <v>888</v>
      </c>
      <c r="Q153" s="2">
        <v>16</v>
      </c>
    </row>
    <row r="154" spans="7:17" x14ac:dyDescent="0.15">
      <c r="G154" s="2" t="s">
        <v>13</v>
      </c>
      <c r="H154" s="17">
        <f>ROUND(VLOOKUP(H$139&amp;"_1",管理者用人口入力シート!BH:CE,J154,FALSE),0)</f>
        <v>806</v>
      </c>
      <c r="I154" s="17">
        <f>ROUND(VLOOKUP(H$139&amp;"_2",管理者用人口入力シート!BH:CE,J154,FALSE),0)</f>
        <v>929</v>
      </c>
      <c r="J154" s="2">
        <v>17</v>
      </c>
      <c r="N154" s="2" t="s">
        <v>13</v>
      </c>
      <c r="O154" s="17">
        <f>ROUND(VLOOKUP(O$139&amp;"_1",管理者用人口入力シート!CO:DL,Q154,FALSE),0)</f>
        <v>806</v>
      </c>
      <c r="P154" s="17">
        <f>ROUND(VLOOKUP(O$139&amp;"_2",管理者用人口入力シート!CO:DL,Q154,FALSE),0)</f>
        <v>929</v>
      </c>
      <c r="Q154" s="2">
        <v>17</v>
      </c>
    </row>
    <row r="155" spans="7:17" x14ac:dyDescent="0.15">
      <c r="G155" s="2" t="s">
        <v>14</v>
      </c>
      <c r="H155" s="17">
        <f>ROUND(VLOOKUP(H$139&amp;"_1",管理者用人口入力シート!BH:CE,J155,FALSE),0)</f>
        <v>681</v>
      </c>
      <c r="I155" s="17">
        <f>ROUND(VLOOKUP(H$139&amp;"_2",管理者用人口入力シート!BH:CE,J155,FALSE),0)</f>
        <v>882</v>
      </c>
      <c r="J155" s="2">
        <v>18</v>
      </c>
      <c r="N155" s="2" t="s">
        <v>14</v>
      </c>
      <c r="O155" s="17">
        <f>ROUND(VLOOKUP(O$139&amp;"_1",管理者用人口入力シート!CO:DL,Q155,FALSE),0)</f>
        <v>681</v>
      </c>
      <c r="P155" s="17">
        <f>ROUND(VLOOKUP(O$139&amp;"_2",管理者用人口入力シート!CO:DL,Q155,FALSE),0)</f>
        <v>882</v>
      </c>
      <c r="Q155" s="2">
        <v>18</v>
      </c>
    </row>
    <row r="156" spans="7:17" x14ac:dyDescent="0.15">
      <c r="G156" s="2" t="s">
        <v>15</v>
      </c>
      <c r="H156" s="17">
        <f>ROUND(VLOOKUP(H$139&amp;"_1",管理者用人口入力シート!BH:CE,J156,FALSE),0)</f>
        <v>662</v>
      </c>
      <c r="I156" s="17">
        <f>ROUND(VLOOKUP(H$139&amp;"_2",管理者用人口入力シート!BH:CE,J156,FALSE),0)</f>
        <v>766</v>
      </c>
      <c r="J156" s="2">
        <v>19</v>
      </c>
      <c r="N156" s="2" t="s">
        <v>15</v>
      </c>
      <c r="O156" s="17">
        <f>ROUND(VLOOKUP(O$139&amp;"_1",管理者用人口入力シート!CO:DL,Q156,FALSE),0)</f>
        <v>662</v>
      </c>
      <c r="P156" s="17">
        <f>ROUND(VLOOKUP(O$139&amp;"_2",管理者用人口入力シート!CO:DL,Q156,FALSE),0)</f>
        <v>766</v>
      </c>
      <c r="Q156" s="2">
        <v>19</v>
      </c>
    </row>
    <row r="157" spans="7:17" x14ac:dyDescent="0.15">
      <c r="G157" s="2" t="s">
        <v>16</v>
      </c>
      <c r="H157" s="17">
        <f>ROUND(VLOOKUP(H$139&amp;"_1",管理者用人口入力シート!BH:CE,J157,FALSE),0)</f>
        <v>485</v>
      </c>
      <c r="I157" s="17">
        <f>ROUND(VLOOKUP(H$139&amp;"_2",管理者用人口入力シート!BH:CE,J157,FALSE),0)</f>
        <v>713</v>
      </c>
      <c r="J157" s="2">
        <v>20</v>
      </c>
      <c r="N157" s="2" t="s">
        <v>16</v>
      </c>
      <c r="O157" s="17">
        <f>ROUND(VLOOKUP(O$139&amp;"_1",管理者用人口入力シート!CO:DL,Q157,FALSE),0)</f>
        <v>485</v>
      </c>
      <c r="P157" s="17">
        <f>ROUND(VLOOKUP(O$139&amp;"_2",管理者用人口入力シート!CO:DL,Q157,FALSE),0)</f>
        <v>713</v>
      </c>
      <c r="Q157" s="2">
        <v>20</v>
      </c>
    </row>
    <row r="158" spans="7:17" x14ac:dyDescent="0.15">
      <c r="G158" s="2" t="s">
        <v>17</v>
      </c>
      <c r="H158" s="17">
        <f>ROUND(VLOOKUP(H$139&amp;"_1",管理者用人口入力シート!BH:CE,J158,FALSE),0)</f>
        <v>376</v>
      </c>
      <c r="I158" s="17">
        <f>ROUND(VLOOKUP(H$139&amp;"_2",管理者用人口入力シート!BH:CE,J158,FALSE),0)</f>
        <v>591</v>
      </c>
      <c r="J158" s="2">
        <v>21</v>
      </c>
      <c r="N158" s="2" t="s">
        <v>17</v>
      </c>
      <c r="O158" s="17">
        <f>ROUND(VLOOKUP(O$139&amp;"_1",管理者用人口入力シート!CO:DL,Q158,FALSE),0)</f>
        <v>376</v>
      </c>
      <c r="P158" s="17">
        <f>ROUND(VLOOKUP(O$139&amp;"_2",管理者用人口入力シート!CO:DL,Q158,FALSE),0)</f>
        <v>591</v>
      </c>
      <c r="Q158" s="2">
        <v>21</v>
      </c>
    </row>
    <row r="159" spans="7:17" x14ac:dyDescent="0.15">
      <c r="G159" s="2" t="s">
        <v>18</v>
      </c>
      <c r="H159" s="17">
        <f>ROUND(VLOOKUP(H$139&amp;"_1",管理者用人口入力シート!BH:CE,J159,FALSE),0)</f>
        <v>167</v>
      </c>
      <c r="I159" s="17">
        <f>ROUND(VLOOKUP(H$139&amp;"_2",管理者用人口入力シート!BH:CE,J159,FALSE),0)</f>
        <v>421</v>
      </c>
      <c r="J159" s="2">
        <v>22</v>
      </c>
      <c r="N159" s="2" t="s">
        <v>18</v>
      </c>
      <c r="O159" s="17">
        <f>ROUND(VLOOKUP(O$139&amp;"_1",管理者用人口入力シート!CO:DL,Q159,FALSE),0)</f>
        <v>167</v>
      </c>
      <c r="P159" s="17">
        <f>ROUND(VLOOKUP(O$139&amp;"_2",管理者用人口入力シート!CO:DL,Q159,FALSE),0)</f>
        <v>421</v>
      </c>
      <c r="Q159" s="2">
        <v>22</v>
      </c>
    </row>
    <row r="160" spans="7:17" x14ac:dyDescent="0.15">
      <c r="G160" s="2" t="s">
        <v>19</v>
      </c>
      <c r="H160" s="17">
        <f>ROUND(VLOOKUP(H$139&amp;"_1",管理者用人口入力シート!BH:CE,J160,FALSE),0)</f>
        <v>25</v>
      </c>
      <c r="I160" s="17">
        <f>ROUND(VLOOKUP(H$139&amp;"_2",管理者用人口入力シート!BH:CE,J160,FALSE),0)</f>
        <v>131</v>
      </c>
      <c r="J160" s="2">
        <v>23</v>
      </c>
      <c r="N160" s="2" t="s">
        <v>19</v>
      </c>
      <c r="O160" s="17">
        <f>ROUND(VLOOKUP(O$139&amp;"_1",管理者用人口入力シート!CO:DL,Q160,FALSE),0)</f>
        <v>25</v>
      </c>
      <c r="P160" s="17">
        <f>ROUND(VLOOKUP(O$139&amp;"_2",管理者用人口入力シート!CO:DL,Q160,FALSE),0)</f>
        <v>131</v>
      </c>
      <c r="Q160" s="2">
        <v>23</v>
      </c>
    </row>
    <row r="161" spans="7:17" x14ac:dyDescent="0.15">
      <c r="G161" s="2" t="s">
        <v>20</v>
      </c>
      <c r="H161" s="17">
        <f>ROUND(VLOOKUP(H$139&amp;"_1",管理者用人口入力シート!BH:CE,J161,FALSE),0)</f>
        <v>0</v>
      </c>
      <c r="I161" s="17">
        <f>ROUND(VLOOKUP(H$139&amp;"_2",管理者用人口入力シート!BH:CE,J161,FALSE),0)</f>
        <v>32</v>
      </c>
      <c r="J161" s="2">
        <v>24</v>
      </c>
      <c r="N161" s="2" t="s">
        <v>20</v>
      </c>
      <c r="O161" s="17">
        <f>ROUND(VLOOKUP(O$139&amp;"_1",管理者用人口入力シート!CO:DL,Q161,FALSE),0)</f>
        <v>0</v>
      </c>
      <c r="P161" s="17">
        <f>ROUND(VLOOKUP(O$139&amp;"_2",管理者用人口入力シート!CO:DL,Q161,FALSE),0)</f>
        <v>32</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422</v>
      </c>
      <c r="I165" s="17">
        <f>ROUND(VLOOKUP(H$163&amp;"_2",管理者用人口入力シート!BH:CE,J165,FALSE),0)</f>
        <v>429</v>
      </c>
      <c r="J165" s="2">
        <v>4</v>
      </c>
      <c r="N165" s="2" t="s">
        <v>0</v>
      </c>
      <c r="O165" s="17">
        <f>ROUND(VLOOKUP(O$163&amp;"_1",管理者用人口入力シート!CO:DL,Q165,FALSE),0)</f>
        <v>425</v>
      </c>
      <c r="P165" s="17">
        <f>ROUND(VLOOKUP(O$163&amp;"_2",管理者用人口入力シート!CO:DL,Q165,FALSE),0)</f>
        <v>432</v>
      </c>
      <c r="Q165" s="2">
        <v>4</v>
      </c>
    </row>
    <row r="166" spans="7:17" x14ac:dyDescent="0.15">
      <c r="G166" s="2" t="s">
        <v>1</v>
      </c>
      <c r="H166" s="17">
        <f>ROUND(VLOOKUP(H$163&amp;"_1",管理者用人口入力シート!BH:CE,J166,FALSE),0)</f>
        <v>460</v>
      </c>
      <c r="I166" s="17">
        <f>ROUND(VLOOKUP(H$163&amp;"_2",管理者用人口入力シート!BH:CE,J166,FALSE),0)</f>
        <v>454</v>
      </c>
      <c r="J166" s="2">
        <v>5</v>
      </c>
      <c r="N166" s="2" t="s">
        <v>1</v>
      </c>
      <c r="O166" s="17">
        <f>ROUND(VLOOKUP(O$163&amp;"_1",管理者用人口入力シート!CO:DL,Q166,FALSE),0)</f>
        <v>463</v>
      </c>
      <c r="P166" s="17">
        <f>ROUND(VLOOKUP(O$163&amp;"_2",管理者用人口入力シート!CO:DL,Q166,FALSE),0)</f>
        <v>457</v>
      </c>
      <c r="Q166" s="2">
        <v>5</v>
      </c>
    </row>
    <row r="167" spans="7:17" x14ac:dyDescent="0.15">
      <c r="G167" s="2" t="s">
        <v>2</v>
      </c>
      <c r="H167" s="17">
        <f>ROUND(VLOOKUP(H$163&amp;"_1",管理者用人口入力シート!BH:CE,J167,FALSE),0)</f>
        <v>468</v>
      </c>
      <c r="I167" s="17">
        <f>ROUND(VLOOKUP(H$163&amp;"_2",管理者用人口入力シート!BH:CE,J167,FALSE),0)</f>
        <v>477</v>
      </c>
      <c r="J167" s="2">
        <v>6</v>
      </c>
      <c r="N167" s="2" t="s">
        <v>2</v>
      </c>
      <c r="O167" s="17">
        <f>ROUND(VLOOKUP(O$163&amp;"_1",管理者用人口入力シート!CO:DL,Q167,FALSE),0)</f>
        <v>472</v>
      </c>
      <c r="P167" s="17">
        <f>ROUND(VLOOKUP(O$163&amp;"_2",管理者用人口入力シート!CO:DL,Q167,FALSE),0)</f>
        <v>481</v>
      </c>
      <c r="Q167" s="2">
        <v>6</v>
      </c>
    </row>
    <row r="168" spans="7:17" x14ac:dyDescent="0.15">
      <c r="G168" s="2" t="s">
        <v>3</v>
      </c>
      <c r="H168" s="17">
        <f>ROUND(VLOOKUP(H$163&amp;"_1",管理者用人口入力シート!BH:CE,J168,FALSE),0)</f>
        <v>424</v>
      </c>
      <c r="I168" s="17">
        <f>ROUND(VLOOKUP(H$163&amp;"_2",管理者用人口入力シート!BH:CE,J168,FALSE),0)</f>
        <v>466</v>
      </c>
      <c r="J168" s="2">
        <v>7</v>
      </c>
      <c r="N168" s="2" t="s">
        <v>3</v>
      </c>
      <c r="O168" s="17">
        <f>ROUND(VLOOKUP(O$163&amp;"_1",管理者用人口入力シート!CO:DL,Q168,FALSE),0)</f>
        <v>427</v>
      </c>
      <c r="P168" s="17">
        <f>ROUND(VLOOKUP(O$163&amp;"_2",管理者用人口入力シート!CO:DL,Q168,FALSE),0)</f>
        <v>469</v>
      </c>
      <c r="Q168" s="2">
        <v>7</v>
      </c>
    </row>
    <row r="169" spans="7:17" x14ac:dyDescent="0.15">
      <c r="G169" s="2" t="s">
        <v>4</v>
      </c>
      <c r="H169" s="17">
        <f>ROUND(VLOOKUP(H$163&amp;"_1",管理者用人口入力シート!BH:CE,J169,FALSE),0)</f>
        <v>305</v>
      </c>
      <c r="I169" s="17">
        <f>ROUND(VLOOKUP(H$163&amp;"_2",管理者用人口入力シート!BH:CE,J169,FALSE),0)</f>
        <v>374</v>
      </c>
      <c r="J169" s="2">
        <v>8</v>
      </c>
      <c r="N169" s="2" t="s">
        <v>4</v>
      </c>
      <c r="O169" s="17">
        <f>ROUND(VLOOKUP(O$163&amp;"_1",管理者用人口入力シート!CO:DL,Q169,FALSE),0)</f>
        <v>306</v>
      </c>
      <c r="P169" s="17">
        <f>ROUND(VLOOKUP(O$163&amp;"_2",管理者用人口入力シート!CO:DL,Q169,FALSE),0)</f>
        <v>376</v>
      </c>
      <c r="Q169" s="2">
        <v>8</v>
      </c>
    </row>
    <row r="170" spans="7:17" x14ac:dyDescent="0.15">
      <c r="G170" s="2" t="s">
        <v>5</v>
      </c>
      <c r="H170" s="17">
        <f>ROUND(VLOOKUP(H$163&amp;"_1",管理者用人口入力シート!BH:CE,J170,FALSE),0)</f>
        <v>414</v>
      </c>
      <c r="I170" s="17">
        <f>ROUND(VLOOKUP(H$163&amp;"_2",管理者用人口入力シート!BH:CE,J170,FALSE),0)</f>
        <v>462</v>
      </c>
      <c r="J170" s="2">
        <v>9</v>
      </c>
      <c r="N170" s="2" t="s">
        <v>5</v>
      </c>
      <c r="O170" s="17">
        <f>ROUND(VLOOKUP(O$163&amp;"_1",管理者用人口入力シート!CO:DL,Q170,FALSE),0)</f>
        <v>416</v>
      </c>
      <c r="P170" s="17">
        <f>ROUND(VLOOKUP(O$163&amp;"_2",管理者用人口入力シート!CO:DL,Q170,FALSE),0)</f>
        <v>465</v>
      </c>
      <c r="Q170" s="2">
        <v>9</v>
      </c>
    </row>
    <row r="171" spans="7:17" x14ac:dyDescent="0.15">
      <c r="G171" s="2" t="s">
        <v>6</v>
      </c>
      <c r="H171" s="17">
        <f>ROUND(VLOOKUP(H$163&amp;"_1",管理者用人口入力シート!BH:CE,J171,FALSE),0)</f>
        <v>493</v>
      </c>
      <c r="I171" s="17">
        <f>ROUND(VLOOKUP(H$163&amp;"_2",管理者用人口入力シート!BH:CE,J171,FALSE),0)</f>
        <v>520</v>
      </c>
      <c r="J171" s="2">
        <v>10</v>
      </c>
      <c r="N171" s="2" t="s">
        <v>6</v>
      </c>
      <c r="O171" s="17">
        <f>ROUND(VLOOKUP(O$163&amp;"_1",管理者用人口入力シート!CO:DL,Q171,FALSE),0)</f>
        <v>496</v>
      </c>
      <c r="P171" s="17">
        <f>ROUND(VLOOKUP(O$163&amp;"_2",管理者用人口入力シート!CO:DL,Q171,FALSE),0)</f>
        <v>523</v>
      </c>
      <c r="Q171" s="2">
        <v>10</v>
      </c>
    </row>
    <row r="172" spans="7:17" x14ac:dyDescent="0.15">
      <c r="G172" s="2" t="s">
        <v>7</v>
      </c>
      <c r="H172" s="17">
        <f>ROUND(VLOOKUP(H$163&amp;"_1",管理者用人口入力シート!BH:CE,J172,FALSE),0)</f>
        <v>506</v>
      </c>
      <c r="I172" s="17">
        <f>ROUND(VLOOKUP(H$163&amp;"_2",管理者用人口入力シート!BH:CE,J172,FALSE),0)</f>
        <v>543</v>
      </c>
      <c r="J172" s="2">
        <v>11</v>
      </c>
      <c r="N172" s="2" t="s">
        <v>7</v>
      </c>
      <c r="O172" s="17">
        <f>ROUND(VLOOKUP(O$163&amp;"_1",管理者用人口入力シート!CO:DL,Q172,FALSE),0)</f>
        <v>509</v>
      </c>
      <c r="P172" s="17">
        <f>ROUND(VLOOKUP(O$163&amp;"_2",管理者用人口入力シート!CO:DL,Q172,FALSE),0)</f>
        <v>545</v>
      </c>
      <c r="Q172" s="2">
        <v>11</v>
      </c>
    </row>
    <row r="173" spans="7:17" x14ac:dyDescent="0.15">
      <c r="G173" s="2" t="s">
        <v>8</v>
      </c>
      <c r="H173" s="17">
        <f>ROUND(VLOOKUP(H$163&amp;"_1",管理者用人口入力シート!BH:CE,J173,FALSE),0)</f>
        <v>493</v>
      </c>
      <c r="I173" s="17">
        <f>ROUND(VLOOKUP(H$163&amp;"_2",管理者用人口入力シート!BH:CE,J173,FALSE),0)</f>
        <v>517</v>
      </c>
      <c r="J173" s="2">
        <v>12</v>
      </c>
      <c r="N173" s="2" t="s">
        <v>8</v>
      </c>
      <c r="O173" s="17">
        <f>ROUND(VLOOKUP(O$163&amp;"_1",管理者用人口入力シート!CO:DL,Q173,FALSE),0)</f>
        <v>495</v>
      </c>
      <c r="P173" s="17">
        <f>ROUND(VLOOKUP(O$163&amp;"_2",管理者用人口入力シート!CO:DL,Q173,FALSE),0)</f>
        <v>520</v>
      </c>
      <c r="Q173" s="2">
        <v>12</v>
      </c>
    </row>
    <row r="174" spans="7:17" x14ac:dyDescent="0.15">
      <c r="G174" s="2" t="s">
        <v>9</v>
      </c>
      <c r="H174" s="17">
        <f>ROUND(VLOOKUP(H$163&amp;"_1",管理者用人口入力シート!BH:CE,J174,FALSE),0)</f>
        <v>567</v>
      </c>
      <c r="I174" s="17">
        <f>ROUND(VLOOKUP(H$163&amp;"_2",管理者用人口入力シート!BH:CE,J174,FALSE),0)</f>
        <v>581</v>
      </c>
      <c r="J174" s="2">
        <v>13</v>
      </c>
      <c r="N174" s="2" t="s">
        <v>9</v>
      </c>
      <c r="O174" s="17">
        <f>ROUND(VLOOKUP(O$163&amp;"_1",管理者用人口入力シート!CO:DL,Q174,FALSE),0)</f>
        <v>569</v>
      </c>
      <c r="P174" s="17">
        <f>ROUND(VLOOKUP(O$163&amp;"_2",管理者用人口入力シート!CO:DL,Q174,FALSE),0)</f>
        <v>584</v>
      </c>
      <c r="Q174" s="2">
        <v>13</v>
      </c>
    </row>
    <row r="175" spans="7:17" x14ac:dyDescent="0.15">
      <c r="G175" s="2" t="s">
        <v>10</v>
      </c>
      <c r="H175" s="17">
        <f>ROUND(VLOOKUP(H$163&amp;"_1",管理者用人口入力シート!BH:CE,J175,FALSE),0)</f>
        <v>628</v>
      </c>
      <c r="I175" s="17">
        <f>ROUND(VLOOKUP(H$163&amp;"_2",管理者用人口入力シート!BH:CE,J175,FALSE),0)</f>
        <v>617</v>
      </c>
      <c r="J175" s="2">
        <v>14</v>
      </c>
      <c r="N175" s="2" t="s">
        <v>10</v>
      </c>
      <c r="O175" s="17">
        <f>ROUND(VLOOKUP(O$163&amp;"_1",管理者用人口入力シート!CO:DL,Q175,FALSE),0)</f>
        <v>628</v>
      </c>
      <c r="P175" s="17">
        <f>ROUND(VLOOKUP(O$163&amp;"_2",管理者用人口入力シート!CO:DL,Q175,FALSE),0)</f>
        <v>618</v>
      </c>
      <c r="Q175" s="2">
        <v>14</v>
      </c>
    </row>
    <row r="176" spans="7:17" x14ac:dyDescent="0.15">
      <c r="G176" s="2" t="s">
        <v>11</v>
      </c>
      <c r="H176" s="17">
        <f>ROUND(VLOOKUP(H$163&amp;"_1",管理者用人口入力シート!BH:CE,J176,FALSE),0)</f>
        <v>582</v>
      </c>
      <c r="I176" s="17">
        <f>ROUND(VLOOKUP(H$163&amp;"_2",管理者用人口入力シート!BH:CE,J176,FALSE),0)</f>
        <v>709</v>
      </c>
      <c r="J176" s="2">
        <v>15</v>
      </c>
      <c r="N176" s="2" t="s">
        <v>11</v>
      </c>
      <c r="O176" s="17">
        <f>ROUND(VLOOKUP(O$163&amp;"_1",管理者用人口入力シート!CO:DL,Q176,FALSE),0)</f>
        <v>582</v>
      </c>
      <c r="P176" s="17">
        <f>ROUND(VLOOKUP(O$163&amp;"_2",管理者用人口入力シート!CO:DL,Q176,FALSE),0)</f>
        <v>710</v>
      </c>
      <c r="Q176" s="2">
        <v>15</v>
      </c>
    </row>
    <row r="177" spans="7:17" x14ac:dyDescent="0.15">
      <c r="G177" s="2" t="s">
        <v>12</v>
      </c>
      <c r="H177" s="17">
        <f>ROUND(VLOOKUP(H$163&amp;"_1",管理者用人口入力シート!BH:CE,J177,FALSE),0)</f>
        <v>693</v>
      </c>
      <c r="I177" s="17">
        <f>ROUND(VLOOKUP(H$163&amp;"_2",管理者用人口入力シート!BH:CE,J177,FALSE),0)</f>
        <v>830</v>
      </c>
      <c r="J177" s="2">
        <v>16</v>
      </c>
      <c r="N177" s="2" t="s">
        <v>12</v>
      </c>
      <c r="O177" s="17">
        <f>ROUND(VLOOKUP(O$163&amp;"_1",管理者用人口入力シート!CO:DL,Q177,FALSE),0)</f>
        <v>693</v>
      </c>
      <c r="P177" s="17">
        <f>ROUND(VLOOKUP(O$163&amp;"_2",管理者用人口入力シート!CO:DL,Q177,FALSE),0)</f>
        <v>831</v>
      </c>
      <c r="Q177" s="2">
        <v>16</v>
      </c>
    </row>
    <row r="178" spans="7:17" x14ac:dyDescent="0.15">
      <c r="G178" s="2" t="s">
        <v>13</v>
      </c>
      <c r="H178" s="17">
        <f>ROUND(VLOOKUP(H$163&amp;"_1",管理者用人口入力シート!BH:CE,J178,FALSE),0)</f>
        <v>763</v>
      </c>
      <c r="I178" s="17">
        <f>ROUND(VLOOKUP(H$163&amp;"_2",管理者用人口入力シート!BH:CE,J178,FALSE),0)</f>
        <v>877</v>
      </c>
      <c r="J178" s="2">
        <v>17</v>
      </c>
      <c r="N178" s="2" t="s">
        <v>13</v>
      </c>
      <c r="O178" s="17">
        <f>ROUND(VLOOKUP(O$163&amp;"_1",管理者用人口入力シート!CO:DL,Q178,FALSE),0)</f>
        <v>763</v>
      </c>
      <c r="P178" s="17">
        <f>ROUND(VLOOKUP(O$163&amp;"_2",管理者用人口入力シート!CO:DL,Q178,FALSE),0)</f>
        <v>877</v>
      </c>
      <c r="Q178" s="2">
        <v>17</v>
      </c>
    </row>
    <row r="179" spans="7:17" x14ac:dyDescent="0.15">
      <c r="G179" s="2" t="s">
        <v>14</v>
      </c>
      <c r="H179" s="17">
        <f>ROUND(VLOOKUP(H$163&amp;"_1",管理者用人口入力シート!BH:CE,J179,FALSE),0)</f>
        <v>769</v>
      </c>
      <c r="I179" s="17">
        <f>ROUND(VLOOKUP(H$163&amp;"_2",管理者用人口入力シート!BH:CE,J179,FALSE),0)</f>
        <v>897</v>
      </c>
      <c r="J179" s="2">
        <v>18</v>
      </c>
      <c r="N179" s="2" t="s">
        <v>14</v>
      </c>
      <c r="O179" s="17">
        <f>ROUND(VLOOKUP(O$163&amp;"_1",管理者用人口入力シート!CO:DL,Q179,FALSE),0)</f>
        <v>769</v>
      </c>
      <c r="P179" s="17">
        <f>ROUND(VLOOKUP(O$163&amp;"_2",管理者用人口入力シート!CO:DL,Q179,FALSE),0)</f>
        <v>897</v>
      </c>
      <c r="Q179" s="2">
        <v>18</v>
      </c>
    </row>
    <row r="180" spans="7:17" x14ac:dyDescent="0.15">
      <c r="G180" s="2" t="s">
        <v>15</v>
      </c>
      <c r="H180" s="17">
        <f>ROUND(VLOOKUP(H$163&amp;"_1",管理者用人口入力シート!BH:CE,J180,FALSE),0)</f>
        <v>607</v>
      </c>
      <c r="I180" s="17">
        <f>ROUND(VLOOKUP(H$163&amp;"_2",管理者用人口入力シート!BH:CE,J180,FALSE),0)</f>
        <v>820</v>
      </c>
      <c r="J180" s="2">
        <v>19</v>
      </c>
      <c r="N180" s="2" t="s">
        <v>15</v>
      </c>
      <c r="O180" s="17">
        <f>ROUND(VLOOKUP(O$163&amp;"_1",管理者用人口入力シート!CO:DL,Q180,FALSE),0)</f>
        <v>607</v>
      </c>
      <c r="P180" s="17">
        <f>ROUND(VLOOKUP(O$163&amp;"_2",管理者用人口入力シート!CO:DL,Q180,FALSE),0)</f>
        <v>820</v>
      </c>
      <c r="Q180" s="2">
        <v>19</v>
      </c>
    </row>
    <row r="181" spans="7:17" x14ac:dyDescent="0.15">
      <c r="G181" s="2" t="s">
        <v>16</v>
      </c>
      <c r="H181" s="17">
        <f>ROUND(VLOOKUP(H$163&amp;"_1",管理者用人口入力シート!BH:CE,J181,FALSE),0)</f>
        <v>530</v>
      </c>
      <c r="I181" s="17">
        <f>ROUND(VLOOKUP(H$163&amp;"_2",管理者用人口入力シート!BH:CE,J181,FALSE),0)</f>
        <v>708</v>
      </c>
      <c r="J181" s="2">
        <v>20</v>
      </c>
      <c r="N181" s="2" t="s">
        <v>16</v>
      </c>
      <c r="O181" s="17">
        <f>ROUND(VLOOKUP(O$163&amp;"_1",管理者用人口入力シート!CO:DL,Q181,FALSE),0)</f>
        <v>530</v>
      </c>
      <c r="P181" s="17">
        <f>ROUND(VLOOKUP(O$163&amp;"_2",管理者用人口入力シート!CO:DL,Q181,FALSE),0)</f>
        <v>708</v>
      </c>
      <c r="Q181" s="2">
        <v>20</v>
      </c>
    </row>
    <row r="182" spans="7:17" x14ac:dyDescent="0.15">
      <c r="G182" s="2" t="s">
        <v>17</v>
      </c>
      <c r="H182" s="17">
        <f>ROUND(VLOOKUP(H$163&amp;"_1",管理者用人口入力シート!BH:CE,J182,FALSE),0)</f>
        <v>353</v>
      </c>
      <c r="I182" s="17">
        <f>ROUND(VLOOKUP(H$163&amp;"_2",管理者用人口入力シート!BH:CE,J182,FALSE),0)</f>
        <v>566</v>
      </c>
      <c r="J182" s="2">
        <v>21</v>
      </c>
      <c r="N182" s="2" t="s">
        <v>17</v>
      </c>
      <c r="O182" s="17">
        <f>ROUND(VLOOKUP(O$163&amp;"_1",管理者用人口入力シート!CO:DL,Q182,FALSE),0)</f>
        <v>353</v>
      </c>
      <c r="P182" s="17">
        <f>ROUND(VLOOKUP(O$163&amp;"_2",管理者用人口入力シート!CO:DL,Q182,FALSE),0)</f>
        <v>566</v>
      </c>
      <c r="Q182" s="2">
        <v>21</v>
      </c>
    </row>
    <row r="183" spans="7:17" x14ac:dyDescent="0.15">
      <c r="G183" s="2" t="s">
        <v>18</v>
      </c>
      <c r="H183" s="17">
        <f>ROUND(VLOOKUP(H$163&amp;"_1",管理者用人口入力シート!BH:CE,J183,FALSE),0)</f>
        <v>165</v>
      </c>
      <c r="I183" s="17">
        <f>ROUND(VLOOKUP(H$163&amp;"_2",管理者用人口入力シート!BH:CE,J183,FALSE),0)</f>
        <v>386</v>
      </c>
      <c r="J183" s="2">
        <v>22</v>
      </c>
      <c r="N183" s="2" t="s">
        <v>18</v>
      </c>
      <c r="O183" s="17">
        <f>ROUND(VLOOKUP(O$163&amp;"_1",管理者用人口入力シート!CO:DL,Q183,FALSE),0)</f>
        <v>165</v>
      </c>
      <c r="P183" s="17">
        <f>ROUND(VLOOKUP(O$163&amp;"_2",管理者用人口入力シート!CO:DL,Q183,FALSE),0)</f>
        <v>386</v>
      </c>
      <c r="Q183" s="2">
        <v>22</v>
      </c>
    </row>
    <row r="184" spans="7:17" x14ac:dyDescent="0.15">
      <c r="G184" s="2" t="s">
        <v>19</v>
      </c>
      <c r="H184" s="17">
        <f>ROUND(VLOOKUP(H$163&amp;"_1",管理者用人口入力シート!BH:CE,J184,FALSE),0)</f>
        <v>30</v>
      </c>
      <c r="I184" s="17">
        <f>ROUND(VLOOKUP(H$163&amp;"_2",管理者用人口入力シート!BH:CE,J184,FALSE),0)</f>
        <v>157</v>
      </c>
      <c r="J184" s="2">
        <v>23</v>
      </c>
      <c r="N184" s="2" t="s">
        <v>19</v>
      </c>
      <c r="O184" s="17">
        <f>ROUND(VLOOKUP(O$163&amp;"_1",管理者用人口入力シート!CO:DL,Q184,FALSE),0)</f>
        <v>30</v>
      </c>
      <c r="P184" s="17">
        <f>ROUND(VLOOKUP(O$163&amp;"_2",管理者用人口入力シート!CO:DL,Q184,FALSE),0)</f>
        <v>157</v>
      </c>
      <c r="Q184" s="2">
        <v>23</v>
      </c>
    </row>
    <row r="185" spans="7:17" x14ac:dyDescent="0.15">
      <c r="G185" s="2" t="s">
        <v>20</v>
      </c>
      <c r="H185" s="17">
        <f>ROUND(VLOOKUP(H$163&amp;"_1",管理者用人口入力シート!BH:CE,J185,FALSE),0)</f>
        <v>0</v>
      </c>
      <c r="I185" s="17">
        <f>ROUND(VLOOKUP(H$163&amp;"_2",管理者用人口入力シート!BH:CE,J185,FALSE),0)</f>
        <v>33</v>
      </c>
      <c r="J185" s="2">
        <v>24</v>
      </c>
      <c r="N185" s="2" t="s">
        <v>20</v>
      </c>
      <c r="O185" s="17">
        <f>ROUND(VLOOKUP(O$163&amp;"_1",管理者用人口入力シート!CO:DL,Q185,FALSE),0)</f>
        <v>0</v>
      </c>
      <c r="P185" s="17">
        <f>ROUND(VLOOKUP(O$163&amp;"_2",管理者用人口入力シート!CO:DL,Q185,FALSE),0)</f>
        <v>33</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400</v>
      </c>
      <c r="I189" s="17">
        <f>ROUND(VLOOKUP(H$187&amp;"_2",管理者用人口入力シート!BH:CE,J189,FALSE),0)</f>
        <v>407</v>
      </c>
      <c r="J189" s="2">
        <v>4</v>
      </c>
      <c r="N189" s="2" t="s">
        <v>0</v>
      </c>
      <c r="O189" s="17">
        <f>ROUND(VLOOKUP(O$187&amp;"_1",管理者用人口入力シート!CO:DL,Q189,FALSE),0)</f>
        <v>404</v>
      </c>
      <c r="P189" s="17">
        <f>ROUND(VLOOKUP(O$187&amp;"_2",管理者用人口入力シート!CO:DL,Q189,FALSE),0)</f>
        <v>410</v>
      </c>
      <c r="Q189" s="2">
        <v>4</v>
      </c>
    </row>
    <row r="190" spans="7:17" x14ac:dyDescent="0.15">
      <c r="G190" s="2" t="s">
        <v>1</v>
      </c>
      <c r="H190" s="17">
        <f>ROUND(VLOOKUP(H$187&amp;"_1",管理者用人口入力シート!BH:CE,J190,FALSE),0)</f>
        <v>453</v>
      </c>
      <c r="I190" s="17">
        <f>ROUND(VLOOKUP(H$187&amp;"_2",管理者用人口入力シート!BH:CE,J190,FALSE),0)</f>
        <v>447</v>
      </c>
      <c r="J190" s="2">
        <v>5</v>
      </c>
      <c r="N190" s="2" t="s">
        <v>1</v>
      </c>
      <c r="O190" s="17">
        <f>ROUND(VLOOKUP(O$187&amp;"_1",管理者用人口入力シート!CO:DL,Q190,FALSE),0)</f>
        <v>456</v>
      </c>
      <c r="P190" s="17">
        <f>ROUND(VLOOKUP(O$187&amp;"_2",管理者用人口入力シート!CO:DL,Q190,FALSE),0)</f>
        <v>450</v>
      </c>
      <c r="Q190" s="2">
        <v>5</v>
      </c>
    </row>
    <row r="191" spans="7:17" x14ac:dyDescent="0.15">
      <c r="G191" s="2" t="s">
        <v>2</v>
      </c>
      <c r="H191" s="17">
        <f>ROUND(VLOOKUP(H$187&amp;"_1",管理者用人口入力シート!BH:CE,J191,FALSE),0)</f>
        <v>460</v>
      </c>
      <c r="I191" s="17">
        <f>ROUND(VLOOKUP(H$187&amp;"_2",管理者用人口入力シート!BH:CE,J191,FALSE),0)</f>
        <v>469</v>
      </c>
      <c r="J191" s="2">
        <v>6</v>
      </c>
      <c r="N191" s="2" t="s">
        <v>2</v>
      </c>
      <c r="O191" s="17">
        <f>ROUND(VLOOKUP(O$187&amp;"_1",管理者用人口入力シート!CO:DL,Q191,FALSE),0)</f>
        <v>464</v>
      </c>
      <c r="P191" s="17">
        <f>ROUND(VLOOKUP(O$187&amp;"_2",管理者用人口入力シート!CO:DL,Q191,FALSE),0)</f>
        <v>473</v>
      </c>
      <c r="Q191" s="2">
        <v>6</v>
      </c>
    </row>
    <row r="192" spans="7:17" x14ac:dyDescent="0.15">
      <c r="G192" s="2" t="s">
        <v>3</v>
      </c>
      <c r="H192" s="17">
        <f>ROUND(VLOOKUP(H$187&amp;"_1",管理者用人口入力シート!BH:CE,J192,FALSE),0)</f>
        <v>410</v>
      </c>
      <c r="I192" s="17">
        <f>ROUND(VLOOKUP(H$187&amp;"_2",管理者用人口入力シート!BH:CE,J192,FALSE),0)</f>
        <v>450</v>
      </c>
      <c r="J192" s="2">
        <v>7</v>
      </c>
      <c r="N192" s="2" t="s">
        <v>3</v>
      </c>
      <c r="O192" s="17">
        <f>ROUND(VLOOKUP(O$187&amp;"_1",管理者用人口入力シート!CO:DL,Q192,FALSE),0)</f>
        <v>413</v>
      </c>
      <c r="P192" s="17">
        <f>ROUND(VLOOKUP(O$187&amp;"_2",管理者用人口入力シート!CO:DL,Q192,FALSE),0)</f>
        <v>453</v>
      </c>
      <c r="Q192" s="2">
        <v>7</v>
      </c>
    </row>
    <row r="193" spans="7:17" x14ac:dyDescent="0.15">
      <c r="G193" s="2" t="s">
        <v>4</v>
      </c>
      <c r="H193" s="17">
        <f>ROUND(VLOOKUP(H$187&amp;"_1",管理者用人口入力シート!BH:CE,J193,FALSE),0)</f>
        <v>282</v>
      </c>
      <c r="I193" s="17">
        <f>ROUND(VLOOKUP(H$187&amp;"_2",管理者用人口入力シート!BH:CE,J193,FALSE),0)</f>
        <v>346</v>
      </c>
      <c r="J193" s="2">
        <v>8</v>
      </c>
      <c r="N193" s="2" t="s">
        <v>4</v>
      </c>
      <c r="O193" s="17">
        <f>ROUND(VLOOKUP(O$187&amp;"_1",管理者用人口入力シート!CO:DL,Q193,FALSE),0)</f>
        <v>283</v>
      </c>
      <c r="P193" s="17">
        <f>ROUND(VLOOKUP(O$187&amp;"_2",管理者用人口入力シート!CO:DL,Q193,FALSE),0)</f>
        <v>348</v>
      </c>
      <c r="Q193" s="2">
        <v>8</v>
      </c>
    </row>
    <row r="194" spans="7:17" x14ac:dyDescent="0.15">
      <c r="G194" s="2" t="s">
        <v>5</v>
      </c>
      <c r="H194" s="17">
        <f>ROUND(VLOOKUP(H$187&amp;"_1",管理者用人口入力シート!BH:CE,J194,FALSE),0)</f>
        <v>363</v>
      </c>
      <c r="I194" s="17">
        <f>ROUND(VLOOKUP(H$187&amp;"_2",管理者用人口入力シート!BH:CE,J194,FALSE),0)</f>
        <v>406</v>
      </c>
      <c r="J194" s="2">
        <v>9</v>
      </c>
      <c r="N194" s="2" t="s">
        <v>5</v>
      </c>
      <c r="O194" s="17">
        <f>ROUND(VLOOKUP(O$187&amp;"_1",管理者用人口入力シート!CO:DL,Q194,FALSE),0)</f>
        <v>366</v>
      </c>
      <c r="P194" s="17">
        <f>ROUND(VLOOKUP(O$187&amp;"_2",管理者用人口入力シート!CO:DL,Q194,FALSE),0)</f>
        <v>409</v>
      </c>
      <c r="Q194" s="2">
        <v>9</v>
      </c>
    </row>
    <row r="195" spans="7:17" x14ac:dyDescent="0.15">
      <c r="G195" s="2" t="s">
        <v>6</v>
      </c>
      <c r="H195" s="17">
        <f>ROUND(VLOOKUP(H$187&amp;"_1",管理者用人口入力シート!BH:CE,J195,FALSE),0)</f>
        <v>463</v>
      </c>
      <c r="I195" s="17">
        <f>ROUND(VLOOKUP(H$187&amp;"_2",管理者用人口入力シート!BH:CE,J195,FALSE),0)</f>
        <v>505</v>
      </c>
      <c r="J195" s="2">
        <v>10</v>
      </c>
      <c r="N195" s="2" t="s">
        <v>6</v>
      </c>
      <c r="O195" s="17">
        <f>ROUND(VLOOKUP(O$187&amp;"_1",管理者用人口入力シート!CO:DL,Q195,FALSE),0)</f>
        <v>466</v>
      </c>
      <c r="P195" s="17">
        <f>ROUND(VLOOKUP(O$187&amp;"_2",管理者用人口入力シート!CO:DL,Q195,FALSE),0)</f>
        <v>508</v>
      </c>
      <c r="Q195" s="2">
        <v>10</v>
      </c>
    </row>
    <row r="196" spans="7:17" x14ac:dyDescent="0.15">
      <c r="G196" s="2" t="s">
        <v>7</v>
      </c>
      <c r="H196" s="17">
        <f>ROUND(VLOOKUP(H$187&amp;"_1",管理者用人口入力シート!BH:CE,J196,FALSE),0)</f>
        <v>510</v>
      </c>
      <c r="I196" s="17">
        <f>ROUND(VLOOKUP(H$187&amp;"_2",管理者用人口入力シート!BH:CE,J196,FALSE),0)</f>
        <v>545</v>
      </c>
      <c r="J196" s="2">
        <v>11</v>
      </c>
      <c r="N196" s="2" t="s">
        <v>7</v>
      </c>
      <c r="O196" s="17">
        <f>ROUND(VLOOKUP(O$187&amp;"_1",管理者用人口入力シート!CO:DL,Q196,FALSE),0)</f>
        <v>513</v>
      </c>
      <c r="P196" s="17">
        <f>ROUND(VLOOKUP(O$187&amp;"_2",管理者用人口入力シート!CO:DL,Q196,FALSE),0)</f>
        <v>548</v>
      </c>
      <c r="Q196" s="2">
        <v>11</v>
      </c>
    </row>
    <row r="197" spans="7:17" x14ac:dyDescent="0.15">
      <c r="G197" s="2" t="s">
        <v>8</v>
      </c>
      <c r="H197" s="17">
        <f>ROUND(VLOOKUP(H$187&amp;"_1",管理者用人口入力シート!BH:CE,J197,FALSE),0)</f>
        <v>527</v>
      </c>
      <c r="I197" s="17">
        <f>ROUND(VLOOKUP(H$187&amp;"_2",管理者用人口入力シート!BH:CE,J197,FALSE),0)</f>
        <v>549</v>
      </c>
      <c r="J197" s="2">
        <v>12</v>
      </c>
      <c r="N197" s="2" t="s">
        <v>8</v>
      </c>
      <c r="O197" s="17">
        <f>ROUND(VLOOKUP(O$187&amp;"_1",管理者用人口入力シート!CO:DL,Q197,FALSE),0)</f>
        <v>529</v>
      </c>
      <c r="P197" s="17">
        <f>ROUND(VLOOKUP(O$187&amp;"_2",管理者用人口入力シート!CO:DL,Q197,FALSE),0)</f>
        <v>552</v>
      </c>
      <c r="Q197" s="2">
        <v>12</v>
      </c>
    </row>
    <row r="198" spans="7:17" x14ac:dyDescent="0.15">
      <c r="G198" s="2" t="s">
        <v>9</v>
      </c>
      <c r="H198" s="17">
        <f>ROUND(VLOOKUP(H$187&amp;"_1",管理者用人口入力シート!BH:CE,J198,FALSE),0)</f>
        <v>485</v>
      </c>
      <c r="I198" s="17">
        <f>ROUND(VLOOKUP(H$187&amp;"_2",管理者用人口入力シート!BH:CE,J198,FALSE),0)</f>
        <v>527</v>
      </c>
      <c r="J198" s="2">
        <v>13</v>
      </c>
      <c r="N198" s="2" t="s">
        <v>9</v>
      </c>
      <c r="O198" s="17">
        <f>ROUND(VLOOKUP(O$187&amp;"_1",管理者用人口入力シート!CO:DL,Q198,FALSE),0)</f>
        <v>488</v>
      </c>
      <c r="P198" s="17">
        <f>ROUND(VLOOKUP(O$187&amp;"_2",管理者用人口入力シート!CO:DL,Q198,FALSE),0)</f>
        <v>530</v>
      </c>
      <c r="Q198" s="2">
        <v>13</v>
      </c>
    </row>
    <row r="199" spans="7:17" x14ac:dyDescent="0.15">
      <c r="G199" s="2" t="s">
        <v>10</v>
      </c>
      <c r="H199" s="17">
        <f>ROUND(VLOOKUP(H$187&amp;"_1",管理者用人口入力シート!BH:CE,J199,FALSE),0)</f>
        <v>556</v>
      </c>
      <c r="I199" s="17">
        <f>ROUND(VLOOKUP(H$187&amp;"_2",管理者用人口入力シート!BH:CE,J199,FALSE),0)</f>
        <v>568</v>
      </c>
      <c r="J199" s="2">
        <v>14</v>
      </c>
      <c r="N199" s="2" t="s">
        <v>10</v>
      </c>
      <c r="O199" s="17">
        <f>ROUND(VLOOKUP(O$187&amp;"_1",管理者用人口入力シート!CO:DL,Q199,FALSE),0)</f>
        <v>558</v>
      </c>
      <c r="P199" s="17">
        <f>ROUND(VLOOKUP(O$187&amp;"_2",管理者用人口入力シート!CO:DL,Q199,FALSE),0)</f>
        <v>571</v>
      </c>
      <c r="Q199" s="2">
        <v>14</v>
      </c>
    </row>
    <row r="200" spans="7:17" x14ac:dyDescent="0.15">
      <c r="G200" s="2" t="s">
        <v>11</v>
      </c>
      <c r="H200" s="17">
        <f>ROUND(VLOOKUP(H$187&amp;"_1",管理者用人口入力シート!BH:CE,J200,FALSE),0)</f>
        <v>613</v>
      </c>
      <c r="I200" s="17">
        <f>ROUND(VLOOKUP(H$187&amp;"_2",管理者用人口入力シート!BH:CE,J200,FALSE),0)</f>
        <v>609</v>
      </c>
      <c r="J200" s="2">
        <v>15</v>
      </c>
      <c r="N200" s="2" t="s">
        <v>11</v>
      </c>
      <c r="O200" s="17">
        <f>ROUND(VLOOKUP(O$187&amp;"_1",管理者用人口入力シート!CO:DL,Q200,FALSE),0)</f>
        <v>613</v>
      </c>
      <c r="P200" s="17">
        <f>ROUND(VLOOKUP(O$187&amp;"_2",管理者用人口入力シート!CO:DL,Q200,FALSE),0)</f>
        <v>610</v>
      </c>
      <c r="Q200" s="2">
        <v>15</v>
      </c>
    </row>
    <row r="201" spans="7:17" x14ac:dyDescent="0.15">
      <c r="G201" s="2" t="s">
        <v>12</v>
      </c>
      <c r="H201" s="17">
        <f>ROUND(VLOOKUP(H$187&amp;"_1",管理者用人口入力シート!BH:CE,J201,FALSE),0)</f>
        <v>588</v>
      </c>
      <c r="I201" s="17">
        <f>ROUND(VLOOKUP(H$187&amp;"_2",管理者用人口入力シート!BH:CE,J201,FALSE),0)</f>
        <v>705</v>
      </c>
      <c r="J201" s="2">
        <v>16</v>
      </c>
      <c r="N201" s="2" t="s">
        <v>12</v>
      </c>
      <c r="O201" s="17">
        <f>ROUND(VLOOKUP(O$187&amp;"_1",管理者用人口入力シート!CO:DL,Q201,FALSE),0)</f>
        <v>588</v>
      </c>
      <c r="P201" s="17">
        <f>ROUND(VLOOKUP(O$187&amp;"_2",管理者用人口入力シート!CO:DL,Q201,FALSE),0)</f>
        <v>706</v>
      </c>
      <c r="Q201" s="2">
        <v>16</v>
      </c>
    </row>
    <row r="202" spans="7:17" x14ac:dyDescent="0.15">
      <c r="G202" s="2" t="s">
        <v>13</v>
      </c>
      <c r="H202" s="17">
        <f>ROUND(VLOOKUP(H$187&amp;"_1",管理者用人口入力シート!BH:CE,J202,FALSE),0)</f>
        <v>656</v>
      </c>
      <c r="I202" s="17">
        <f>ROUND(VLOOKUP(H$187&amp;"_2",管理者用人口入力シート!BH:CE,J202,FALSE),0)</f>
        <v>819</v>
      </c>
      <c r="J202" s="2">
        <v>17</v>
      </c>
      <c r="N202" s="2" t="s">
        <v>13</v>
      </c>
      <c r="O202" s="17">
        <f>ROUND(VLOOKUP(O$187&amp;"_1",管理者用人口入力シート!CO:DL,Q202,FALSE),0)</f>
        <v>656</v>
      </c>
      <c r="P202" s="17">
        <f>ROUND(VLOOKUP(O$187&amp;"_2",管理者用人口入力シート!CO:DL,Q202,FALSE),0)</f>
        <v>820</v>
      </c>
      <c r="Q202" s="2">
        <v>17</v>
      </c>
    </row>
    <row r="203" spans="7:17" x14ac:dyDescent="0.15">
      <c r="G203" s="2" t="s">
        <v>14</v>
      </c>
      <c r="H203" s="17">
        <f>ROUND(VLOOKUP(H$187&amp;"_1",管理者用人口入力シート!BH:CE,J203,FALSE),0)</f>
        <v>728</v>
      </c>
      <c r="I203" s="17">
        <f>ROUND(VLOOKUP(H$187&amp;"_2",管理者用人口入力シート!BH:CE,J203,FALSE),0)</f>
        <v>847</v>
      </c>
      <c r="J203" s="2">
        <v>18</v>
      </c>
      <c r="N203" s="2" t="s">
        <v>14</v>
      </c>
      <c r="O203" s="17">
        <f>ROUND(VLOOKUP(O$187&amp;"_1",管理者用人口入力シート!CO:DL,Q203,FALSE),0)</f>
        <v>728</v>
      </c>
      <c r="P203" s="17">
        <f>ROUND(VLOOKUP(O$187&amp;"_2",管理者用人口入力シート!CO:DL,Q203,FALSE),0)</f>
        <v>847</v>
      </c>
      <c r="Q203" s="2">
        <v>18</v>
      </c>
    </row>
    <row r="204" spans="7:17" x14ac:dyDescent="0.15">
      <c r="G204" s="2" t="s">
        <v>15</v>
      </c>
      <c r="H204" s="17">
        <f>ROUND(VLOOKUP(H$187&amp;"_1",管理者用人口入力シート!BH:CE,J204,FALSE),0)</f>
        <v>686</v>
      </c>
      <c r="I204" s="17">
        <f>ROUND(VLOOKUP(H$187&amp;"_2",管理者用人口入力シート!BH:CE,J204,FALSE),0)</f>
        <v>834</v>
      </c>
      <c r="J204" s="2">
        <v>19</v>
      </c>
      <c r="N204" s="2" t="s">
        <v>15</v>
      </c>
      <c r="O204" s="17">
        <f>ROUND(VLOOKUP(O$187&amp;"_1",管理者用人口入力シート!CO:DL,Q204,FALSE),0)</f>
        <v>686</v>
      </c>
      <c r="P204" s="17">
        <f>ROUND(VLOOKUP(O$187&amp;"_2",管理者用人口入力シート!CO:DL,Q204,FALSE),0)</f>
        <v>834</v>
      </c>
      <c r="Q204" s="2">
        <v>19</v>
      </c>
    </row>
    <row r="205" spans="7:17" x14ac:dyDescent="0.15">
      <c r="G205" s="2" t="s">
        <v>16</v>
      </c>
      <c r="H205" s="17">
        <f>ROUND(VLOOKUP(H$187&amp;"_1",管理者用人口入力シート!BH:CE,J205,FALSE),0)</f>
        <v>486</v>
      </c>
      <c r="I205" s="17">
        <f>ROUND(VLOOKUP(H$187&amp;"_2",管理者用人口入力シート!BH:CE,J205,FALSE),0)</f>
        <v>758</v>
      </c>
      <c r="J205" s="2">
        <v>20</v>
      </c>
      <c r="N205" s="2" t="s">
        <v>16</v>
      </c>
      <c r="O205" s="17">
        <f>ROUND(VLOOKUP(O$187&amp;"_1",管理者用人口入力シート!CO:DL,Q205,FALSE),0)</f>
        <v>486</v>
      </c>
      <c r="P205" s="17">
        <f>ROUND(VLOOKUP(O$187&amp;"_2",管理者用人口入力シート!CO:DL,Q205,FALSE),0)</f>
        <v>758</v>
      </c>
      <c r="Q205" s="2">
        <v>20</v>
      </c>
    </row>
    <row r="206" spans="7:17" x14ac:dyDescent="0.15">
      <c r="G206" s="2" t="s">
        <v>17</v>
      </c>
      <c r="H206" s="17">
        <f>ROUND(VLOOKUP(H$187&amp;"_1",管理者用人口入力シート!BH:CE,J206,FALSE),0)</f>
        <v>386</v>
      </c>
      <c r="I206" s="17">
        <f>ROUND(VLOOKUP(H$187&amp;"_2",管理者用人口入力シート!BH:CE,J206,FALSE),0)</f>
        <v>563</v>
      </c>
      <c r="J206" s="2">
        <v>21</v>
      </c>
      <c r="N206" s="2" t="s">
        <v>17</v>
      </c>
      <c r="O206" s="17">
        <f>ROUND(VLOOKUP(O$187&amp;"_1",管理者用人口入力シート!CO:DL,Q206,FALSE),0)</f>
        <v>386</v>
      </c>
      <c r="P206" s="17">
        <f>ROUND(VLOOKUP(O$187&amp;"_2",管理者用人口入力シート!CO:DL,Q206,FALSE),0)</f>
        <v>563</v>
      </c>
      <c r="Q206" s="2">
        <v>21</v>
      </c>
    </row>
    <row r="207" spans="7:17" x14ac:dyDescent="0.15">
      <c r="G207" s="2" t="s">
        <v>18</v>
      </c>
      <c r="H207" s="17">
        <f>ROUND(VLOOKUP(H$187&amp;"_1",管理者用人口入力シート!BH:CE,J207,FALSE),0)</f>
        <v>155</v>
      </c>
      <c r="I207" s="17">
        <f>ROUND(VLOOKUP(H$187&amp;"_2",管理者用人口入力シート!BH:CE,J207,FALSE),0)</f>
        <v>370</v>
      </c>
      <c r="J207" s="2">
        <v>22</v>
      </c>
      <c r="N207" s="2" t="s">
        <v>18</v>
      </c>
      <c r="O207" s="17">
        <f>ROUND(VLOOKUP(O$187&amp;"_1",管理者用人口入力シート!CO:DL,Q207,FALSE),0)</f>
        <v>155</v>
      </c>
      <c r="P207" s="17">
        <f>ROUND(VLOOKUP(O$187&amp;"_2",管理者用人口入力シート!CO:DL,Q207,FALSE),0)</f>
        <v>370</v>
      </c>
      <c r="Q207" s="2">
        <v>22</v>
      </c>
    </row>
    <row r="208" spans="7:17" x14ac:dyDescent="0.15">
      <c r="G208" s="2" t="s">
        <v>19</v>
      </c>
      <c r="H208" s="17">
        <f>ROUND(VLOOKUP(H$187&amp;"_1",管理者用人口入力シート!BH:CE,J208,FALSE),0)</f>
        <v>30</v>
      </c>
      <c r="I208" s="17">
        <f>ROUND(VLOOKUP(H$187&amp;"_2",管理者用人口入力シート!BH:CE,J208,FALSE),0)</f>
        <v>144</v>
      </c>
      <c r="J208" s="2">
        <v>23</v>
      </c>
      <c r="N208" s="2" t="s">
        <v>19</v>
      </c>
      <c r="O208" s="17">
        <f>ROUND(VLOOKUP(O$187&amp;"_1",管理者用人口入力シート!CO:DL,Q208,FALSE),0)</f>
        <v>30</v>
      </c>
      <c r="P208" s="17">
        <f>ROUND(VLOOKUP(O$187&amp;"_2",管理者用人口入力シート!CO:DL,Q208,FALSE),0)</f>
        <v>144</v>
      </c>
      <c r="Q208" s="2">
        <v>23</v>
      </c>
    </row>
    <row r="209" spans="7:17" x14ac:dyDescent="0.15">
      <c r="G209" s="2" t="s">
        <v>20</v>
      </c>
      <c r="H209" s="17">
        <f>ROUND(VLOOKUP(H$187&amp;"_1",管理者用人口入力シート!BH:CE,J209,FALSE),0)</f>
        <v>1</v>
      </c>
      <c r="I209" s="17">
        <f>ROUND(VLOOKUP(H$187&amp;"_2",管理者用人口入力シート!BH:CE,J209,FALSE),0)</f>
        <v>39</v>
      </c>
      <c r="J209" s="2">
        <v>24</v>
      </c>
      <c r="N209" s="2" t="s">
        <v>20</v>
      </c>
      <c r="O209" s="17">
        <f>ROUND(VLOOKUP(O$187&amp;"_1",管理者用人口入力シート!CO:DL,Q209,FALSE),0)</f>
        <v>1</v>
      </c>
      <c r="P209" s="17">
        <f>ROUND(VLOOKUP(O$187&amp;"_2",管理者用人口入力シート!CO:DL,Q209,FALSE),0)</f>
        <v>39</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912</v>
      </c>
      <c r="P214" s="17">
        <f>O93+P93</f>
        <v>916</v>
      </c>
      <c r="Q214" s="2">
        <v>4</v>
      </c>
    </row>
    <row r="215" spans="7:17" x14ac:dyDescent="0.15">
      <c r="N215" s="2" t="s">
        <v>1</v>
      </c>
      <c r="O215" s="17">
        <f t="shared" ref="O215:O233" si="37">H94+I94</f>
        <v>1043</v>
      </c>
      <c r="P215" s="17">
        <f t="shared" ref="P215:P233" si="38">O94+P94</f>
        <v>1045</v>
      </c>
      <c r="Q215" s="2">
        <v>5</v>
      </c>
    </row>
    <row r="216" spans="7:17" x14ac:dyDescent="0.15">
      <c r="N216" s="2" t="s">
        <v>2</v>
      </c>
      <c r="O216" s="17">
        <f t="shared" si="37"/>
        <v>1207</v>
      </c>
      <c r="P216" s="17">
        <f t="shared" si="38"/>
        <v>1209</v>
      </c>
      <c r="Q216" s="2">
        <v>6</v>
      </c>
    </row>
    <row r="217" spans="7:17" x14ac:dyDescent="0.15">
      <c r="N217" s="2" t="s">
        <v>3</v>
      </c>
      <c r="O217" s="17">
        <f t="shared" si="37"/>
        <v>1150</v>
      </c>
      <c r="P217" s="17">
        <f t="shared" si="38"/>
        <v>1152</v>
      </c>
      <c r="Q217" s="2">
        <v>7</v>
      </c>
    </row>
    <row r="218" spans="7:17" x14ac:dyDescent="0.15">
      <c r="N218" s="2" t="s">
        <v>4</v>
      </c>
      <c r="O218" s="17">
        <f t="shared" si="37"/>
        <v>806</v>
      </c>
      <c r="P218" s="17">
        <f t="shared" si="38"/>
        <v>806</v>
      </c>
      <c r="Q218" s="2">
        <v>8</v>
      </c>
    </row>
    <row r="219" spans="7:17" x14ac:dyDescent="0.15">
      <c r="N219" s="2" t="s">
        <v>5</v>
      </c>
      <c r="O219" s="17">
        <f t="shared" si="37"/>
        <v>857</v>
      </c>
      <c r="P219" s="17">
        <f t="shared" si="38"/>
        <v>861</v>
      </c>
      <c r="Q219" s="2">
        <v>9</v>
      </c>
    </row>
    <row r="220" spans="7:17" x14ac:dyDescent="0.15">
      <c r="N220" s="2" t="s">
        <v>6</v>
      </c>
      <c r="O220" s="17">
        <f t="shared" si="37"/>
        <v>1074</v>
      </c>
      <c r="P220" s="17">
        <f t="shared" si="38"/>
        <v>1078</v>
      </c>
      <c r="Q220" s="2">
        <v>10</v>
      </c>
    </row>
    <row r="221" spans="7:17" x14ac:dyDescent="0.15">
      <c r="N221" s="2" t="s">
        <v>7</v>
      </c>
      <c r="O221" s="17">
        <f t="shared" si="37"/>
        <v>1237</v>
      </c>
      <c r="P221" s="17">
        <f t="shared" si="38"/>
        <v>1237</v>
      </c>
      <c r="Q221" s="2">
        <v>11</v>
      </c>
    </row>
    <row r="222" spans="7:17" x14ac:dyDescent="0.15">
      <c r="N222" s="2" t="s">
        <v>8</v>
      </c>
      <c r="O222" s="17">
        <f t="shared" si="37"/>
        <v>1338</v>
      </c>
      <c r="P222" s="17">
        <f t="shared" si="38"/>
        <v>1339</v>
      </c>
      <c r="Q222" s="2">
        <v>12</v>
      </c>
    </row>
    <row r="223" spans="7:17" x14ac:dyDescent="0.15">
      <c r="N223" s="2" t="s">
        <v>9</v>
      </c>
      <c r="O223" s="17">
        <f t="shared" si="37"/>
        <v>1580</v>
      </c>
      <c r="P223" s="17">
        <f t="shared" si="38"/>
        <v>1581</v>
      </c>
      <c r="Q223" s="2">
        <v>13</v>
      </c>
    </row>
    <row r="224" spans="7:17" x14ac:dyDescent="0.15">
      <c r="N224" s="2" t="s">
        <v>10</v>
      </c>
      <c r="O224" s="17">
        <f t="shared" si="37"/>
        <v>1722</v>
      </c>
      <c r="P224" s="17">
        <f t="shared" si="38"/>
        <v>1722</v>
      </c>
      <c r="Q224" s="2">
        <v>14</v>
      </c>
    </row>
    <row r="225" spans="14:17" x14ac:dyDescent="0.15">
      <c r="N225" s="2" t="s">
        <v>11</v>
      </c>
      <c r="O225" s="17">
        <f t="shared" si="37"/>
        <v>1789</v>
      </c>
      <c r="P225" s="17">
        <f t="shared" si="38"/>
        <v>1789</v>
      </c>
      <c r="Q225" s="2">
        <v>15</v>
      </c>
    </row>
    <row r="226" spans="14:17" x14ac:dyDescent="0.15">
      <c r="N226" s="2" t="s">
        <v>12</v>
      </c>
      <c r="O226" s="17">
        <f t="shared" si="37"/>
        <v>1679</v>
      </c>
      <c r="P226" s="17">
        <f t="shared" si="38"/>
        <v>1679</v>
      </c>
      <c r="Q226" s="2">
        <v>16</v>
      </c>
    </row>
    <row r="227" spans="14:17" x14ac:dyDescent="0.15">
      <c r="N227" s="2" t="s">
        <v>13</v>
      </c>
      <c r="O227" s="17">
        <f t="shared" si="37"/>
        <v>1631</v>
      </c>
      <c r="P227" s="17">
        <f t="shared" si="38"/>
        <v>1631</v>
      </c>
      <c r="Q227" s="2">
        <v>17</v>
      </c>
    </row>
    <row r="228" spans="14:17" x14ac:dyDescent="0.15">
      <c r="N228" s="2" t="s">
        <v>14</v>
      </c>
      <c r="O228" s="17">
        <f t="shared" si="37"/>
        <v>1508</v>
      </c>
      <c r="P228" s="17">
        <f t="shared" si="38"/>
        <v>1508</v>
      </c>
      <c r="Q228" s="2">
        <v>18</v>
      </c>
    </row>
    <row r="229" spans="14:17" x14ac:dyDescent="0.15">
      <c r="N229" s="2" t="s">
        <v>15</v>
      </c>
      <c r="O229" s="17">
        <f t="shared" si="37"/>
        <v>1449</v>
      </c>
      <c r="P229" s="17">
        <f t="shared" si="38"/>
        <v>1449</v>
      </c>
      <c r="Q229" s="2">
        <v>19</v>
      </c>
    </row>
    <row r="230" spans="14:17" x14ac:dyDescent="0.15">
      <c r="N230" s="2" t="s">
        <v>16</v>
      </c>
      <c r="O230" s="17">
        <f t="shared" si="37"/>
        <v>1336</v>
      </c>
      <c r="P230" s="17">
        <f t="shared" si="38"/>
        <v>1336</v>
      </c>
      <c r="Q230" s="2">
        <v>20</v>
      </c>
    </row>
    <row r="231" spans="14:17" x14ac:dyDescent="0.15">
      <c r="N231" s="2" t="s">
        <v>17</v>
      </c>
      <c r="O231" s="17">
        <f t="shared" si="37"/>
        <v>859</v>
      </c>
      <c r="P231" s="17">
        <f t="shared" si="38"/>
        <v>859</v>
      </c>
      <c r="Q231" s="2">
        <v>21</v>
      </c>
    </row>
    <row r="232" spans="14:17" x14ac:dyDescent="0.15">
      <c r="N232" s="2" t="s">
        <v>18</v>
      </c>
      <c r="O232" s="17">
        <f t="shared" si="37"/>
        <v>474</v>
      </c>
      <c r="P232" s="17">
        <f t="shared" si="38"/>
        <v>474</v>
      </c>
      <c r="Q232" s="2">
        <v>22</v>
      </c>
    </row>
    <row r="233" spans="14:17" x14ac:dyDescent="0.15">
      <c r="N233" s="2" t="s">
        <v>19</v>
      </c>
      <c r="O233" s="17">
        <f t="shared" si="37"/>
        <v>153</v>
      </c>
      <c r="P233" s="17">
        <f t="shared" si="38"/>
        <v>153</v>
      </c>
      <c r="Q233" s="2">
        <v>23</v>
      </c>
    </row>
    <row r="234" spans="14:17" x14ac:dyDescent="0.15">
      <c r="N234" s="2" t="s">
        <v>20</v>
      </c>
      <c r="O234" s="17">
        <f>H113+I113</f>
        <v>27</v>
      </c>
      <c r="P234" s="17">
        <f>O113+P113</f>
        <v>27</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865</v>
      </c>
      <c r="P238" s="17">
        <f>O141+P141</f>
        <v>871</v>
      </c>
      <c r="Q238" s="2">
        <v>4</v>
      </c>
    </row>
    <row r="239" spans="14:17" x14ac:dyDescent="0.15">
      <c r="N239" s="2" t="s">
        <v>1</v>
      </c>
      <c r="O239" s="17">
        <f t="shared" ref="O239:O257" si="39">H142+I142</f>
        <v>930</v>
      </c>
      <c r="P239" s="17">
        <f t="shared" ref="P239:P257" si="40">O142+P142</f>
        <v>936</v>
      </c>
      <c r="Q239" s="2">
        <v>5</v>
      </c>
    </row>
    <row r="240" spans="14:17" x14ac:dyDescent="0.15">
      <c r="N240" s="2" t="s">
        <v>2</v>
      </c>
      <c r="O240" s="17">
        <f t="shared" si="39"/>
        <v>979</v>
      </c>
      <c r="P240" s="17">
        <f t="shared" si="40"/>
        <v>985</v>
      </c>
      <c r="Q240" s="2">
        <v>6</v>
      </c>
    </row>
    <row r="241" spans="14:17" x14ac:dyDescent="0.15">
      <c r="N241" s="2" t="s">
        <v>3</v>
      </c>
      <c r="O241" s="17">
        <f t="shared" si="39"/>
        <v>963</v>
      </c>
      <c r="P241" s="17">
        <f t="shared" si="40"/>
        <v>967</v>
      </c>
      <c r="Q241" s="2">
        <v>7</v>
      </c>
    </row>
    <row r="242" spans="14:17" x14ac:dyDescent="0.15">
      <c r="N242" s="2" t="s">
        <v>4</v>
      </c>
      <c r="O242" s="17">
        <f t="shared" si="39"/>
        <v>774</v>
      </c>
      <c r="P242" s="17">
        <f t="shared" si="40"/>
        <v>775</v>
      </c>
      <c r="Q242" s="2">
        <v>8</v>
      </c>
    </row>
    <row r="243" spans="14:17" x14ac:dyDescent="0.15">
      <c r="N243" s="2" t="s">
        <v>5</v>
      </c>
      <c r="O243" s="17">
        <f t="shared" si="39"/>
        <v>917</v>
      </c>
      <c r="P243" s="17">
        <f t="shared" si="40"/>
        <v>923</v>
      </c>
      <c r="Q243" s="2">
        <v>9</v>
      </c>
    </row>
    <row r="244" spans="14:17" x14ac:dyDescent="0.15">
      <c r="N244" s="2" t="s">
        <v>6</v>
      </c>
      <c r="O244" s="17">
        <f t="shared" si="39"/>
        <v>1008</v>
      </c>
      <c r="P244" s="17">
        <f t="shared" si="40"/>
        <v>1012</v>
      </c>
      <c r="Q244" s="2">
        <v>10</v>
      </c>
    </row>
    <row r="245" spans="14:17" x14ac:dyDescent="0.15">
      <c r="N245" s="2" t="s">
        <v>7</v>
      </c>
      <c r="O245" s="17">
        <f t="shared" si="39"/>
        <v>985</v>
      </c>
      <c r="P245" s="17">
        <f t="shared" si="40"/>
        <v>989</v>
      </c>
      <c r="Q245" s="2">
        <v>11</v>
      </c>
    </row>
    <row r="246" spans="14:17" x14ac:dyDescent="0.15">
      <c r="N246" s="2" t="s">
        <v>8</v>
      </c>
      <c r="O246" s="17">
        <f t="shared" si="39"/>
        <v>1146</v>
      </c>
      <c r="P246" s="17">
        <f t="shared" si="40"/>
        <v>1152</v>
      </c>
      <c r="Q246" s="2">
        <v>12</v>
      </c>
    </row>
    <row r="247" spans="14:17" x14ac:dyDescent="0.15">
      <c r="N247" s="2" t="s">
        <v>9</v>
      </c>
      <c r="O247" s="17">
        <f t="shared" si="39"/>
        <v>1271</v>
      </c>
      <c r="P247" s="17">
        <f t="shared" si="40"/>
        <v>1272</v>
      </c>
      <c r="Q247" s="2">
        <v>13</v>
      </c>
    </row>
    <row r="248" spans="14:17" x14ac:dyDescent="0.15">
      <c r="N248" s="2" t="s">
        <v>10</v>
      </c>
      <c r="O248" s="17">
        <f t="shared" si="39"/>
        <v>1313</v>
      </c>
      <c r="P248" s="17">
        <f t="shared" si="40"/>
        <v>1314</v>
      </c>
      <c r="Q248" s="2">
        <v>14</v>
      </c>
    </row>
    <row r="249" spans="14:17" x14ac:dyDescent="0.15">
      <c r="N249" s="2" t="s">
        <v>11</v>
      </c>
      <c r="O249" s="17">
        <f t="shared" si="39"/>
        <v>1519</v>
      </c>
      <c r="P249" s="17">
        <f t="shared" si="40"/>
        <v>1520</v>
      </c>
      <c r="Q249" s="2">
        <v>15</v>
      </c>
    </row>
    <row r="250" spans="14:17" x14ac:dyDescent="0.15">
      <c r="N250" s="2" t="s">
        <v>12</v>
      </c>
      <c r="O250" s="17">
        <f t="shared" si="39"/>
        <v>1695</v>
      </c>
      <c r="P250" s="17">
        <f t="shared" si="40"/>
        <v>1695</v>
      </c>
      <c r="Q250" s="2">
        <v>16</v>
      </c>
    </row>
    <row r="251" spans="14:17" x14ac:dyDescent="0.15">
      <c r="N251" s="2" t="s">
        <v>13</v>
      </c>
      <c r="O251" s="17">
        <f t="shared" si="39"/>
        <v>1735</v>
      </c>
      <c r="P251" s="17">
        <f t="shared" si="40"/>
        <v>1735</v>
      </c>
      <c r="Q251" s="2">
        <v>17</v>
      </c>
    </row>
    <row r="252" spans="14:17" x14ac:dyDescent="0.15">
      <c r="N252" s="2" t="s">
        <v>14</v>
      </c>
      <c r="O252" s="17">
        <f t="shared" si="39"/>
        <v>1563</v>
      </c>
      <c r="P252" s="17">
        <f t="shared" si="40"/>
        <v>1563</v>
      </c>
      <c r="Q252" s="2">
        <v>18</v>
      </c>
    </row>
    <row r="253" spans="14:17" x14ac:dyDescent="0.15">
      <c r="N253" s="2" t="s">
        <v>15</v>
      </c>
      <c r="O253" s="17">
        <f t="shared" si="39"/>
        <v>1428</v>
      </c>
      <c r="P253" s="17">
        <f t="shared" si="40"/>
        <v>1428</v>
      </c>
      <c r="Q253" s="2">
        <v>19</v>
      </c>
    </row>
    <row r="254" spans="14:17" x14ac:dyDescent="0.15">
      <c r="N254" s="2" t="s">
        <v>16</v>
      </c>
      <c r="O254" s="17">
        <f t="shared" si="39"/>
        <v>1198</v>
      </c>
      <c r="P254" s="17">
        <f t="shared" si="40"/>
        <v>1198</v>
      </c>
      <c r="Q254" s="2">
        <v>20</v>
      </c>
    </row>
    <row r="255" spans="14:17" x14ac:dyDescent="0.15">
      <c r="N255" s="2" t="s">
        <v>17</v>
      </c>
      <c r="O255" s="17">
        <f t="shared" si="39"/>
        <v>967</v>
      </c>
      <c r="P255" s="17">
        <f t="shared" si="40"/>
        <v>967</v>
      </c>
      <c r="Q255" s="2">
        <v>21</v>
      </c>
    </row>
    <row r="256" spans="14:17" x14ac:dyDescent="0.15">
      <c r="N256" s="2" t="s">
        <v>18</v>
      </c>
      <c r="O256" s="17">
        <f t="shared" si="39"/>
        <v>588</v>
      </c>
      <c r="P256" s="17">
        <f t="shared" si="40"/>
        <v>588</v>
      </c>
      <c r="Q256" s="2">
        <v>22</v>
      </c>
    </row>
    <row r="257" spans="14:17" x14ac:dyDescent="0.15">
      <c r="N257" s="2" t="s">
        <v>19</v>
      </c>
      <c r="O257" s="17">
        <f t="shared" si="39"/>
        <v>156</v>
      </c>
      <c r="P257" s="17">
        <f t="shared" si="40"/>
        <v>156</v>
      </c>
      <c r="Q257" s="2">
        <v>23</v>
      </c>
    </row>
    <row r="258" spans="14:17" x14ac:dyDescent="0.15">
      <c r="N258" s="2" t="s">
        <v>20</v>
      </c>
      <c r="O258" s="17">
        <f>H161+I161</f>
        <v>32</v>
      </c>
      <c r="P258" s="17">
        <f>O161+P161</f>
        <v>32</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2019-03-15T04:49:58Z</cp:lastPrinted>
  <dcterms:created xsi:type="dcterms:W3CDTF">2018-08-17T00:57:13Z</dcterms:created>
  <dcterms:modified xsi:type="dcterms:W3CDTF">2023-03-06T05:54:41Z</dcterms:modified>
</cp:coreProperties>
</file>