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p3N4cMW/P18NKFp83WTVHUGq/NapGFzQrKzNDS43R3sCHOSkysN54qluqrwqiPGPbXlxd0Uo5KaUKrNJU2Hm2w==" workbookSaltValue="zbBQpPuvqTCQmEDqvCiPd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W3" i="17"/>
  <c r="CC3" i="17"/>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P8" i="17" l="1"/>
  <c r="BO4" i="17" s="1"/>
  <c r="AT8" i="17"/>
  <c r="BS4" i="17" s="1"/>
  <c r="AX8" i="17"/>
  <c r="BW4" i="17" s="1"/>
  <c r="BW5"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EQ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ER4" i="17"/>
  <c r="DA4" i="17"/>
  <c r="DB7" i="17" s="1"/>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DI7" i="17" s="1"/>
  <c r="CM3" i="17"/>
  <c r="DG3" i="17"/>
  <c r="CA6" i="17"/>
  <c r="CJ3" i="17"/>
  <c r="DF3" i="17"/>
  <c r="BZ6" i="17"/>
  <c r="DE3" i="17"/>
  <c r="BY6" i="17"/>
  <c r="CI3" i="17"/>
  <c r="DH3" i="17"/>
  <c r="CB6" i="17"/>
  <c r="CA5" i="17"/>
  <c r="BN6" i="17"/>
  <c r="BO5" i="17"/>
  <c r="BS5" i="17"/>
  <c r="BV6" i="17"/>
  <c r="BU7" i="17"/>
  <c r="BX6" i="17"/>
  <c r="BP6" i="17"/>
  <c r="BT6" i="17"/>
  <c r="O42" i="18"/>
  <c r="O60" i="18"/>
  <c r="O52" i="18"/>
  <c r="O24" i="18"/>
  <c r="O34" i="18"/>
  <c r="O16" i="18"/>
  <c r="BQ5" i="17" l="1"/>
  <c r="O75" i="18"/>
  <c r="BU5" i="17"/>
  <c r="CC5" i="17"/>
  <c r="CJ5" i="17" s="1"/>
  <c r="DG4" i="17"/>
  <c r="DH7" i="17" s="1"/>
  <c r="P85" i="18"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R7" i="17"/>
  <c r="EQ21" i="17"/>
  <c r="EQ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P87" i="18"/>
  <c r="DL5" i="17"/>
  <c r="DA9" i="17"/>
  <c r="DO3" i="17"/>
  <c r="DC6" i="17"/>
  <c r="DD5" i="17"/>
  <c r="DC10" i="17"/>
  <c r="EQ6" i="17"/>
  <c r="EQ23" i="17" s="1"/>
  <c r="EP5" i="17"/>
  <c r="EC7" i="17"/>
  <c r="ED5" i="17"/>
  <c r="EL5" i="17"/>
  <c r="EM6" i="17"/>
  <c r="EM23" i="17" s="1"/>
  <c r="EQ5" i="17"/>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G5" i="17" l="1"/>
  <c r="EV4" i="17"/>
  <c r="CM5" i="17"/>
  <c r="CD10" i="17"/>
  <c r="CE13" i="17" s="1"/>
  <c r="I113" i="18" s="1"/>
  <c r="O234" i="18" s="1"/>
  <c r="P84" i="18"/>
  <c r="BS10" i="17"/>
  <c r="BT13" i="17" s="1"/>
  <c r="I150" i="18" s="1"/>
  <c r="DK5"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E13" i="17"/>
  <c r="DF16" i="17" s="1"/>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O247" i="18" s="1"/>
  <c r="BT11" i="17"/>
  <c r="BU12" i="17"/>
  <c r="H151" i="18" s="1"/>
  <c r="O248" i="18" s="1"/>
  <c r="BR12" i="17"/>
  <c r="H148" i="18" s="1"/>
  <c r="DE9" i="17"/>
  <c r="O130" i="18" s="1"/>
  <c r="DD8" i="17"/>
  <c r="DP7" i="17"/>
  <c r="BU11" i="17"/>
  <c r="BV12" i="17"/>
  <c r="H152" i="18" s="1"/>
  <c r="O249" i="18" s="1"/>
  <c r="CD11" i="17" l="1"/>
  <c r="CE14" i="17"/>
  <c r="DQ5" i="17"/>
  <c r="I136" i="18"/>
  <c r="I135" i="18"/>
  <c r="BS11" i="17"/>
  <c r="BU16" i="17"/>
  <c r="BV19" i="17" s="1"/>
  <c r="I200" i="18" s="1"/>
  <c r="I125" i="18"/>
  <c r="EO8" i="17"/>
  <c r="ET8" i="17"/>
  <c r="O256" i="18"/>
  <c r="BZ11" i="17"/>
  <c r="DP5" i="17"/>
  <c r="EO10" i="17"/>
  <c r="EO27" i="17" s="1"/>
  <c r="CI8" i="17"/>
  <c r="O257" i="18"/>
  <c r="DT5"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82"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24" i="18" l="1"/>
  <c r="I175" i="18"/>
  <c r="I45" i="18"/>
  <c r="P45" i="18" s="1"/>
  <c r="P250" i="18"/>
  <c r="CJ11" i="17"/>
  <c r="P248" i="18"/>
  <c r="P226" i="18"/>
  <c r="DB16" i="17"/>
  <c r="DC19" i="17" s="1"/>
  <c r="P200" i="18" s="1"/>
  <c r="P249" i="18"/>
  <c r="CK5" i="17"/>
  <c r="EY8" i="17"/>
  <c r="CI11" i="17"/>
  <c r="EO11" i="17"/>
  <c r="BL8" i="17"/>
  <c r="CG8" i="17" s="1"/>
  <c r="I18" i="18" s="1"/>
  <c r="EC11" i="17"/>
  <c r="CF7" i="17"/>
  <c r="CL7" i="17" s="1"/>
  <c r="CI16" i="17"/>
  <c r="EX8" i="17"/>
  <c r="CC19" i="17"/>
  <c r="I207" i="18" s="1"/>
  <c r="CG7" i="17"/>
  <c r="EP13" i="17"/>
  <c r="EP30" i="17" s="1"/>
  <c r="P150" i="18"/>
  <c r="P247" i="18" s="1"/>
  <c r="DE14" i="17"/>
  <c r="CL4" i="17"/>
  <c r="CJ16" i="17"/>
  <c r="CR5" i="17"/>
  <c r="DM5" i="17" s="1"/>
  <c r="DR5" i="17" s="1"/>
  <c r="CS7" i="17"/>
  <c r="P70" i="18" s="1"/>
  <c r="I94" i="18"/>
  <c r="P69" i="18"/>
  <c r="I93" i="18"/>
  <c r="O214" i="18" s="1"/>
  <c r="CK4" i="17"/>
  <c r="DP13" i="17"/>
  <c r="BK8" i="17"/>
  <c r="ED13" i="17"/>
  <c r="ED14"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DS5" i="17"/>
  <c r="CI14" i="17"/>
  <c r="BM13" i="17"/>
  <c r="CG10" i="17"/>
  <c r="DC20" i="17" l="1"/>
  <c r="P175" i="18"/>
  <c r="EY11" i="17"/>
  <c r="EP14" i="17"/>
  <c r="DB17" i="17"/>
  <c r="DJ19" i="17"/>
  <c r="P207" i="18" s="1"/>
  <c r="ED30" i="17"/>
  <c r="ED31" i="17" s="1"/>
  <c r="H142" i="18"/>
  <c r="CF8" i="17"/>
  <c r="CK8" i="17" s="1"/>
  <c r="EX30" i="17"/>
  <c r="EY30" i="17"/>
  <c r="DN7" i="17"/>
  <c r="EP31" i="17"/>
  <c r="CS8" i="17"/>
  <c r="DN8" i="17" s="1"/>
  <c r="Q18" i="18" s="1"/>
  <c r="CK7" i="17"/>
  <c r="CI19" i="17"/>
  <c r="CJ19" i="17"/>
  <c r="O215" i="18"/>
  <c r="Q53" i="18"/>
  <c r="T7" i="18"/>
  <c r="U7" i="18" s="1"/>
  <c r="DM7" i="17"/>
  <c r="DS7" i="17" s="1"/>
  <c r="CT10" i="17"/>
  <c r="CU13" i="17" s="1"/>
  <c r="P144" i="18" s="1"/>
  <c r="Q61" i="18"/>
  <c r="BM15" i="17"/>
  <c r="BN18" i="17" s="1"/>
  <c r="CR13" i="17"/>
  <c r="P141" i="18" s="1"/>
  <c r="P238" i="18" s="1"/>
  <c r="P256" i="18"/>
  <c r="P173" i="18"/>
  <c r="CZ17" i="17"/>
  <c r="P231" i="18"/>
  <c r="CY20" i="17"/>
  <c r="P232" i="18"/>
  <c r="CS15" i="17"/>
  <c r="CT18" i="17" s="1"/>
  <c r="O191" i="18" s="1"/>
  <c r="BK12" i="17"/>
  <c r="CF12" i="17" s="1"/>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O239" i="18" l="1"/>
  <c r="DW10" i="17"/>
  <c r="DW16" i="17" s="1"/>
  <c r="DO10" i="17"/>
  <c r="DN10" i="17"/>
  <c r="CV16" i="17"/>
  <c r="DT16" i="17" s="1"/>
  <c r="CR15" i="17" s="1"/>
  <c r="O165" i="18" s="1"/>
  <c r="CL8" i="17"/>
  <c r="CK12" i="17"/>
  <c r="DM8" i="17"/>
  <c r="DR8" i="17" s="1"/>
  <c r="P119" i="18"/>
  <c r="T9" i="18" s="1"/>
  <c r="DM10" i="17"/>
  <c r="DR10" i="17" s="1"/>
  <c r="CT11" i="17"/>
  <c r="DM11" i="17" s="1"/>
  <c r="EX31" i="17"/>
  <c r="H167" i="18"/>
  <c r="DR7" i="17"/>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DW8" i="17" s="1"/>
  <c r="EX14" i="17"/>
  <c r="O216" i="18"/>
  <c r="P197" i="18"/>
  <c r="CZ20" i="17"/>
  <c r="DO12" i="17"/>
  <c r="P95" i="18"/>
  <c r="T8" i="18" s="1"/>
  <c r="P143" i="18"/>
  <c r="T10" i="18" s="1"/>
  <c r="P169" i="18"/>
  <c r="DN13" i="17"/>
  <c r="DM13" i="17"/>
  <c r="DS13" i="17" s="1"/>
  <c r="CT14" i="17"/>
  <c r="CU16" i="17"/>
  <c r="P168" i="18" s="1"/>
  <c r="O94" i="18"/>
  <c r="O142" i="18"/>
  <c r="CT15" i="17"/>
  <c r="DO15" i="17" s="1"/>
  <c r="CS14" i="17"/>
  <c r="O95" i="18"/>
  <c r="O143" i="18"/>
  <c r="S9"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DT15" i="17"/>
  <c r="CW1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CW19" i="17" l="1"/>
  <c r="P194" i="18" s="1"/>
  <c r="DN11" i="17"/>
  <c r="Q19" i="18" s="1"/>
  <c r="CV17" i="17"/>
  <c r="DT17" i="17" s="1"/>
  <c r="CK13" i="17"/>
  <c r="DW9" i="17"/>
  <c r="DW17" i="17" s="1"/>
  <c r="DX1" i="17" s="1"/>
  <c r="DO11" i="17"/>
  <c r="Q27" i="18" s="1"/>
  <c r="DS8" i="17"/>
  <c r="DS10" i="17"/>
  <c r="Q55" i="18"/>
  <c r="Q63" i="18"/>
  <c r="P166" i="18"/>
  <c r="CT19" i="17"/>
  <c r="DO19" i="17" s="1"/>
  <c r="DR13" i="17"/>
  <c r="CS17" i="17"/>
  <c r="CL13" i="17"/>
  <c r="BN19" i="17"/>
  <c r="BN20" i="17"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F4" i="17" l="1"/>
  <c r="EF21" i="17" s="1"/>
  <c r="EE3" i="17"/>
  <c r="EE13" i="17"/>
  <c r="EE7" i="17"/>
  <c r="EF10" i="17" s="1"/>
  <c r="EF27" i="17" s="1"/>
  <c r="C37" i="21"/>
  <c r="EG4" i="17"/>
  <c r="EE10" i="17"/>
  <c r="EE4" i="17"/>
  <c r="EG3" i="17"/>
  <c r="EF3" i="17"/>
  <c r="EE9" i="17"/>
  <c r="DX18" i="17"/>
  <c r="EE12" i="17"/>
  <c r="EE6" i="17"/>
  <c r="CL14" i="17"/>
  <c r="DN17" i="17"/>
  <c r="P191" i="18"/>
  <c r="P56" i="18"/>
  <c r="E116" i="21" s="1"/>
  <c r="BK18" i="17"/>
  <c r="H189" i="18" s="1"/>
  <c r="G71" i="19"/>
  <c r="E75" i="19"/>
  <c r="C12" i="19"/>
  <c r="I192" i="18"/>
  <c r="CT20" i="17"/>
  <c r="DN20" i="17" s="1"/>
  <c r="G70" i="19"/>
  <c r="Q10" i="18"/>
  <c r="K10" i="18"/>
  <c r="R10" i="18" s="1"/>
  <c r="C83" i="21"/>
  <c r="CG17" i="17"/>
  <c r="P20" i="18"/>
  <c r="DS15" i="17"/>
  <c r="CV20" i="17"/>
  <c r="DT20" i="17" s="1"/>
  <c r="CH19" i="17"/>
  <c r="H191" i="18"/>
  <c r="BM20" i="17"/>
  <c r="CH20" i="17" s="1"/>
  <c r="CH18" i="17"/>
  <c r="CH17" i="17"/>
  <c r="C82" i="21"/>
  <c r="D6" i="19"/>
  <c r="D7" i="19" s="1"/>
  <c r="R8" i="18"/>
  <c r="P193" i="18"/>
  <c r="DM19" i="17"/>
  <c r="DS19" i="17" s="1"/>
  <c r="P189" i="18"/>
  <c r="CR18" i="17"/>
  <c r="CR20" i="17" s="1"/>
  <c r="DN19" i="17"/>
  <c r="P190" i="18"/>
  <c r="DM17" i="17"/>
  <c r="DR17" i="17" s="1"/>
  <c r="E117" i="21"/>
  <c r="G113" i="21"/>
  <c r="O192" i="18"/>
  <c r="CU20" i="17"/>
  <c r="DO18" i="17"/>
  <c r="DO17" i="17"/>
  <c r="G112" i="21"/>
  <c r="DR16" i="17"/>
  <c r="BL18" i="17"/>
  <c r="BK17" i="17"/>
  <c r="CF17" i="17" s="1"/>
  <c r="CF15" i="17"/>
  <c r="CM20" i="17"/>
  <c r="CF16" i="17"/>
  <c r="BL19" i="17"/>
  <c r="DR14" i="17"/>
  <c r="DS14" i="17"/>
  <c r="DO20" i="17" l="1"/>
  <c r="EG7" i="17"/>
  <c r="EG24" i="17" s="1"/>
  <c r="BK20" i="17"/>
  <c r="EF12" i="17"/>
  <c r="EE26" i="17"/>
  <c r="EE11" i="17"/>
  <c r="EG6" i="17"/>
  <c r="EF5" i="17"/>
  <c r="EF20" i="17"/>
  <c r="EF22" i="17" s="1"/>
  <c r="EH6" i="17"/>
  <c r="EG20" i="17"/>
  <c r="EG5" i="17"/>
  <c r="EF7" i="17"/>
  <c r="FB4" i="17"/>
  <c r="EE21" i="17"/>
  <c r="EU4" i="17"/>
  <c r="EF13" i="17"/>
  <c r="EF30" i="17" s="1"/>
  <c r="EE27" i="17"/>
  <c r="D10" i="19"/>
  <c r="D47" i="21" s="1"/>
  <c r="EG13" i="17"/>
  <c r="EG30" i="17" s="1"/>
  <c r="EG21" i="17"/>
  <c r="EH7" i="17"/>
  <c r="D38" i="21"/>
  <c r="C39" i="21"/>
  <c r="D37" i="21"/>
  <c r="D39" i="21"/>
  <c r="C38" i="21"/>
  <c r="EE24" i="17"/>
  <c r="EE30" i="17"/>
  <c r="D46" i="21"/>
  <c r="EF9" i="17"/>
  <c r="EE23" i="17"/>
  <c r="EE8" i="17"/>
  <c r="EF6" i="17"/>
  <c r="EU3" i="17"/>
  <c r="EE5" i="17"/>
  <c r="EE20" i="17"/>
  <c r="FB3" i="17"/>
  <c r="EE29" i="17"/>
  <c r="EE14"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H10" i="17" l="1"/>
  <c r="EE25" i="17"/>
  <c r="FB13" i="17"/>
  <c r="DZ12" i="17" s="1"/>
  <c r="EG22" i="17"/>
  <c r="D11" i="19"/>
  <c r="EE31" i="17"/>
  <c r="EF24" i="17"/>
  <c r="FB24" i="17" s="1"/>
  <c r="EG10" i="17"/>
  <c r="EI10" i="17"/>
  <c r="EH24" i="17"/>
  <c r="EI9" i="17"/>
  <c r="EH23" i="17"/>
  <c r="EH8" i="17"/>
  <c r="FB7" i="17"/>
  <c r="FB30" i="17"/>
  <c r="EG23" i="17"/>
  <c r="EG25" i="17" s="1"/>
  <c r="EH9" i="17"/>
  <c r="FB5" i="17"/>
  <c r="EU5" i="17"/>
  <c r="EE28" i="17"/>
  <c r="EZ3" i="17"/>
  <c r="FA3" i="17"/>
  <c r="EH27" i="17"/>
  <c r="EI13" i="17"/>
  <c r="EI30" i="17" s="1"/>
  <c r="EF26" i="17"/>
  <c r="EF28" i="17" s="1"/>
  <c r="EF11" i="17"/>
  <c r="EG12" i="17"/>
  <c r="EE22" i="17"/>
  <c r="EU20" i="17"/>
  <c r="FB20" i="17"/>
  <c r="EF23" i="17"/>
  <c r="EF8" i="17"/>
  <c r="EG9" i="17"/>
  <c r="EG8" i="17"/>
  <c r="EZ4" i="17"/>
  <c r="FA4" i="17"/>
  <c r="FB6" i="17"/>
  <c r="FB21" i="17"/>
  <c r="EU21" i="17"/>
  <c r="EF29" i="17"/>
  <c r="EF31" i="17" s="1"/>
  <c r="EF14" i="17"/>
  <c r="CK18" i="17"/>
  <c r="DS20" i="17"/>
  <c r="DS18" i="17"/>
  <c r="CK19" i="17"/>
  <c r="CL19" i="17"/>
  <c r="CF20" i="17"/>
  <c r="DZ13" i="17" l="1"/>
  <c r="DZ30" i="17" s="1"/>
  <c r="EF25" i="17"/>
  <c r="FB25" i="17" s="1"/>
  <c r="FB8" i="17"/>
  <c r="EI11" i="17"/>
  <c r="EJ12" i="17"/>
  <c r="EI26" i="17"/>
  <c r="FA20" i="17"/>
  <c r="EZ20" i="17"/>
  <c r="EH25" i="17"/>
  <c r="FA21" i="17"/>
  <c r="EZ21" i="17"/>
  <c r="EU22" i="17"/>
  <c r="FB22" i="17"/>
  <c r="FA5" i="17"/>
  <c r="EZ5" i="17"/>
  <c r="EJ13" i="17"/>
  <c r="EJ30" i="17" s="1"/>
  <c r="EI27" i="17"/>
  <c r="EG14" i="17"/>
  <c r="FB14" i="17" s="1"/>
  <c r="EG29" i="17"/>
  <c r="FB12" i="17"/>
  <c r="EH26" i="17"/>
  <c r="EH28" i="17" s="1"/>
  <c r="EI12" i="17"/>
  <c r="DZ29" i="17"/>
  <c r="DZ31" i="17" s="1"/>
  <c r="DZ14" i="17"/>
  <c r="FB23" i="17"/>
  <c r="FB10" i="17"/>
  <c r="EH13" i="17"/>
  <c r="EH30" i="17" s="1"/>
  <c r="EG27" i="17"/>
  <c r="FB27" i="17" s="1"/>
  <c r="EG26" i="17"/>
  <c r="EH12" i="17"/>
  <c r="EG11" i="17"/>
  <c r="FB11" i="17" s="1"/>
  <c r="DZ6" i="17"/>
  <c r="DZ7" i="17"/>
  <c r="EH11" i="17"/>
  <c r="FB9" i="17"/>
  <c r="CK20" i="17"/>
  <c r="CL20" i="17"/>
  <c r="EI28" i="17" l="1"/>
  <c r="DZ9" i="17"/>
  <c r="DZ10" i="17"/>
  <c r="EA9" i="17"/>
  <c r="DZ23" i="17"/>
  <c r="EU6" i="17"/>
  <c r="DZ8" i="17"/>
  <c r="EU8" i="17" s="1"/>
  <c r="EI29" i="17"/>
  <c r="EI31" i="17" s="1"/>
  <c r="EI14" i="17"/>
  <c r="EA10" i="17"/>
  <c r="EU7" i="17"/>
  <c r="DZ24" i="17"/>
  <c r="EU24" i="17" s="1"/>
  <c r="EH29" i="17"/>
  <c r="EH31" i="17" s="1"/>
  <c r="EH14" i="17"/>
  <c r="FB29" i="17"/>
  <c r="EG31" i="17"/>
  <c r="FB31" i="17" s="1"/>
  <c r="FA22" i="17"/>
  <c r="H36" i="21"/>
  <c r="EZ22" i="17"/>
  <c r="EJ29" i="17"/>
  <c r="EJ31" i="17" s="1"/>
  <c r="EJ14" i="17"/>
  <c r="EG28" i="17"/>
  <c r="FB28" i="17" s="1"/>
  <c r="FB26" i="17"/>
  <c r="EZ7" i="17" l="1"/>
  <c r="FA7" i="17"/>
  <c r="EU23" i="17"/>
  <c r="DZ25" i="17"/>
  <c r="EU25" i="17" s="1"/>
  <c r="EU9" i="17"/>
  <c r="EB12" i="17"/>
  <c r="EA26" i="17"/>
  <c r="EV9" i="17"/>
  <c r="EA11" i="17"/>
  <c r="EV11" i="17" s="1"/>
  <c r="FA6" i="17"/>
  <c r="EZ6" i="17"/>
  <c r="EV10" i="17"/>
  <c r="EA27" i="17"/>
  <c r="EV27" i="17" s="1"/>
  <c r="EB13" i="17"/>
  <c r="EZ8" i="17"/>
  <c r="FA8" i="17"/>
  <c r="DZ27" i="17"/>
  <c r="EA13" i="17"/>
  <c r="EU10" i="17"/>
  <c r="EZ24" i="17"/>
  <c r="FA24" i="17"/>
  <c r="DZ26" i="17"/>
  <c r="EA12" i="17"/>
  <c r="DZ11" i="17"/>
  <c r="EU11" i="17" s="1"/>
  <c r="EU27" i="17" l="1"/>
  <c r="FA27" i="17" s="1"/>
  <c r="FA11" i="17"/>
  <c r="EZ11" i="17"/>
  <c r="EB14" i="17"/>
  <c r="EW14" i="17" s="1"/>
  <c r="EW12" i="17"/>
  <c r="EB29" i="17"/>
  <c r="EZ10" i="17"/>
  <c r="FA10" i="17"/>
  <c r="EZ9" i="17"/>
  <c r="FA9" i="17"/>
  <c r="EA29" i="17"/>
  <c r="EA14" i="17"/>
  <c r="EV12" i="17"/>
  <c r="EU12" i="17"/>
  <c r="EZ23" i="17"/>
  <c r="FA23" i="17"/>
  <c r="EV26" i="17"/>
  <c r="EA28" i="17"/>
  <c r="EV28" i="17" s="1"/>
  <c r="H37" i="21"/>
  <c r="EZ25" i="17"/>
  <c r="FA25" i="17"/>
  <c r="EV13" i="17"/>
  <c r="EB30" i="17"/>
  <c r="EW30" i="17" s="1"/>
  <c r="EW13" i="17"/>
  <c r="DZ28" i="17"/>
  <c r="EU26" i="17"/>
  <c r="EA30" i="17"/>
  <c r="EU13" i="17"/>
  <c r="EZ27" i="17" l="1"/>
  <c r="EV14" i="17"/>
  <c r="EU14" i="17"/>
  <c r="EA31" i="17"/>
  <c r="EV29" i="17"/>
  <c r="EU29" i="17"/>
  <c r="EZ13" i="17"/>
  <c r="FA13" i="17"/>
  <c r="EW29" i="17"/>
  <c r="EB31" i="17"/>
  <c r="EW31" i="17" s="1"/>
  <c r="EU30" i="17"/>
  <c r="EV30" i="17"/>
  <c r="EZ26" i="17"/>
  <c r="FA26" i="17"/>
  <c r="EU28" i="17"/>
  <c r="FA12" i="17"/>
  <c r="EZ12" i="17"/>
  <c r="EZ30" i="17" l="1"/>
  <c r="FA30" i="17"/>
  <c r="FA29" i="17"/>
  <c r="EZ29" i="17"/>
  <c r="EV31" i="17"/>
  <c r="EU31" i="17"/>
  <c r="H38" i="21"/>
  <c r="FA28" i="17"/>
  <c r="EZ28" i="17"/>
  <c r="FA14" i="17"/>
  <c r="EZ14" i="17"/>
  <c r="H39" i="21" l="1"/>
  <c r="EZ31" i="17"/>
  <c r="FA31" i="17"/>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<sst xmlns="http://schemas.openxmlformats.org/spreadsheetml/2006/main" count="1405" uniqueCount="476">
  <si>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</si>
  <si>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</si>
  <si>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</si>
  <si>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</si>
  <si>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</si>
  <si>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</si>
  <si>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</si>
  <si>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</si>
  <si>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</si>
  <si>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</si>
  <si>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</si>
  <si>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</si>
  <si>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</si>
  <si>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</si>
  <si>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</si>
  <si>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</si>
  <si>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</si>
  <si>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</si>
  <si>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</si>
  <si>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</si>
  <si>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</si>
  <si>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</si>
  <si>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</si>
  <si>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</si>
  <si>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</si>
  <si>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</si>
  <si>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</si>
  <si>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</si>
  <si>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</si>
  <si>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</si>
  <si>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</si>
  <si>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</si>
  <si>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</si>
  <si>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</si>
  <si>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</si>
  <si>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</si>
  <si>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</si>
  <si>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</si>
  <si>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</si>
  <si>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</si>
  <si>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</si>
  <si>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</si>
  <si>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</si>
  <si>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</si>
  <si>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</si>
  <si>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</si>
  <si>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</si>
  <si>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</si>
  <si>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</si>
  <si>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</si>
  <si>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</si>
  <si>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</si>
  <si>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</si>
  <si>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</si>
  <si>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</si>
  <si>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</si>
  <si>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</si>
  <si>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</si>
  <si>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</si>
  <si>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</si>
  <si>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</si>
  <si>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</si>
  <si>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</si>
  <si>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</si>
  <si>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</si>
  <si>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</si>
  <si>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</si>
  <si>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</si>
  <si>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</si>
  <si>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</si>
  <si>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</si>
  <si>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</si>
  <si>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</si>
  <si>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</si>
  <si>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</si>
  <si>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</si>
  <si>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</si>
  <si>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</si>
  <si>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</si>
  <si>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</si>
  <si>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</si>
  <si>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</si>
  <si>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</si>
  <si>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</si>
  <si>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</si>
  <si>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</si>
  <si>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</si>
  <si>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</si>
  <si>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</si>
  <si>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</si>
  <si>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</si>
  <si>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</si>
  <si>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</si>
  <si>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</si>
  <si>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</si>
  <si>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</si>
  <si>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</si>
  <si>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</si>
  <si>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</si>
  <si>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</si>
  <si>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</si>
  <si>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</si>
  <si>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</si>
  <si>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</si>
  <si>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</si>
  <si>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</si>
  <si>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</si>
  <si>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</si>
  <si>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</si>
  <si>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</si>
  <si>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</si>
  <si>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</si>
  <si>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</si>
  <si>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</si>
  <si>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</si>
  <si>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</si>
  <si>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</si>
  <si>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</si>
  <si>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</si>
  <si>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</si>
  <si>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</si>
  <si>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</si>
  <si>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</si>
  <si>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</si>
  <si>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</si>
  <si>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</si>
  <si>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</si>
  <si>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</si>
  <si>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</si>
  <si>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</si>
  <si>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</si>
  <si>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</si>
  <si>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</si>
  <si>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</si>
  <si>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</si>
  <si>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</si>
  <si>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</si>
  <si>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</si>
  <si>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</si>
  <si>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</si>
  <si>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</si>
  <si>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</si>
  <si>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</si>
  <si>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</si>
  <si>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</si>
  <si>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</si>
  <si>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</si>
  <si>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</si>
  <si>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</si>
  <si>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</si>
  <si>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</si>
  <si>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</si>
  <si>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</si>
  <si>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</si>
  <si>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</si>
  <si>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</si>
  <si>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</si>
  <si>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</si>
  <si>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</si>
  <si>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</si>
  <si>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</si>
  <si>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</si>
  <si>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</si>
  <si>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</si>
  <si>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</si>
  <si>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</si>
  <si>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</si>
  <si>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</si>
  <si>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</si>
  <si>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</si>
  <si>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</si>
  <si>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</si>
  <si>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</si>
  <si>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</si>
  <si>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</si>
  <si>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</si>
  <si>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</si>
  <si>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</si>
  <si>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</si>
  <si>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</si>
  <si>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</si>
  <si>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</si>
  <si>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</si>
  <si>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</si>
  <si>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</si>
  <si>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</si>
  <si>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</si>
  <si>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</si>
  <si>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</si>
  <si>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</si>
  <si>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</si>
  <si>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</si>
  <si>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</si>
  <si>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</si>
  <si>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</si>
  <si>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</si>
  <si>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</si>
  <si>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</si>
  <si>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</si>
  <si>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</si>
  <si>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</si>
  <si>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</si>
  <si>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</si>
  <si>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</si>
  <si>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</si>
  <si>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</si>
  <si>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</si>
  <si>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</si>
  <si>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</si>
  <si>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</si>
  <si>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</si>
  <si>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</si>
  <si>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</si>
  <si>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</si>
  <si>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</si>
  <si>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</si>
  <si>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</si>
  <si>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</si>
  <si>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</si>
  <si>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</si>
  <si>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</si>
  <si>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</si>
  <si>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</si>
  <si>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</si>
  <si>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</si>
  <si>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</si>
  <si>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</si>
  <si>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</si>
  <si>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</si>
  <si>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</si>
  <si>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</si>
  <si>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</si>
  <si>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</si>
  <si>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</si>
  <si>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</si>
  <si>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</si>
  <si>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</si>
  <si>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</si>
  <si>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</si>
  <si>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</si>
  <si>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</si>
  <si>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</si>
  <si>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</si>
  <si>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</si>
  <si>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</si>
  <si>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</si>
  <si>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</si>
  <si>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</si>
  <si>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</si>
  <si>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</si>
  <si>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</si>
  <si>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</si>
  <si>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</si>
  <si>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</si>
  <si>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</si>
  <si>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</si>
  <si>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</si>
  <si>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</si>
  <si>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</si>
  <si>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</si>
  <si>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</si>
  <si>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</si>
  <si>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</si>
  <si>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</si>
  <si>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</si>
  <si>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</si>
  <si>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</si>
  <si>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</si>
  <si>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</si>
  <si>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</si>
  <si>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</si>
  <si>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</si>
  <si>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</si>
  <si>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</si>
  <si>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</si>
  <si>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</si>
  <si>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</si>
  <si>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</si>
  <si>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</si>
  <si>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</si>
  <si>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</si>
  <si>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</si>
  <si>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</si>
  <si>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</si>
  <si>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</si>
  <si>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</si>
  <si>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</si>
  <si>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</si>
  <si>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</si>
  <si>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</si>
  <si>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</si>
  <si>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</si>
  <si>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</si>
  <si>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</si>
  <si>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</si>
  <si>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</si>
  <si>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</si>
  <si>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</si>
  <si>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</si>
  <si>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</si>
  <si>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</si>
  <si>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</si>
  <si>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</si>
  <si>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</si>
  <si>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</si>
  <si>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</si>
  <si>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</si>
  <si>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</si>
  <si>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</si>
  <si>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</si>
  <si>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</si>
  <si>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</si>
  <si>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</si>
  <si>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</si>
  <si>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</si>
  <si>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</si>
  <si>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</si>
  <si>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</si>
  <si>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</si>
  <si>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</si>
  <si>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</si>
  <si>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</si>
  <si>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</si>
  <si>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</si>
  <si>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</si>
  <si>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</si>
  <si>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</si>
  <si>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</si>
  <si>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</si>
  <si>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</si>
  <si>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</si>
  <si>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</si>
  <si>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</si>
  <si>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</si>
  <si>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</si>
  <si>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</si>
  <si>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</si>
  <si>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</si>
  <si>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</si>
  <si>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</si>
  <si>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</si>
  <si>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</si>
  <si>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</si>
  <si>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</si>
  <si>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</si>
  <si>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</si>
  <si>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</si>
  <si>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</si>
  <si>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</si>
  <si>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</si>
  <si>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</si>
  <si>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</si>
  <si>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</si>
  <si>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</si>
  <si>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</si>
  <si>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</si>
  <si>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</si>
  <si>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</si>
  <si>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</si>
  <si>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</si>
  <si>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</si>
  <si>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</si>
  <si>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</si>
  <si>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</si>
  <si>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</si>
  <si>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</si>
  <si>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</si>
  <si>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</si>
  <si>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</si>
  <si>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</si>
  <si>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</si>
  <si>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</si>
  <si>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</si>
  <si>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</si>
  <si>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</si>
  <si>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</si>
  <si>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</si>
  <si>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</si>
  <si>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</si>
  <si>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</si>
  <si>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</si>
  <si>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</si>
  <si>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</si>
  <si>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</si>
  <si>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</si>
  <si>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</si>
  <si>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</si>
  <si>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</si>
  <si>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</si>
  <si>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</si>
  <si>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</si>
  <si>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</si>
  <si>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</si>
  <si>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</si>
  <si>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</si>
  <si>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</si>
  <si>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</si>
  <si>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</si>
  <si>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</si>
  <si>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</si>
  <si>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</si>
  <si>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</si>
  <si>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</si>
  <si>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</si>
  <si>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</si>
  <si>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</si>
  <si>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</si>
  <si>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</si>
  <si>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</si>
  <si>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</si>
  <si>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</si>
  <si>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</si>
  <si>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</si>
  <si>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</si>
  <si>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</si>
  <si>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</si>
  <si>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</si>
  <si>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</si>
  <si>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</si>
  <si>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</si>
  <si>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</si>
  <si>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</si>
  <si>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</si>
  <si>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</si>
  <si>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</si>
  <si>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</si>
  <si>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</si>
  <si>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</si>
  <si>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</si>
  <si>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</si>
  <si>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</si>
  <si>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</si>
  <si>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</si>
  <si>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</si>
  <si>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</si>
  <si>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</si>
  <si>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</si>
  <si>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</si>
  <si>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</si>
  <si>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</si>
  <si>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</si>
  <si>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</si>
  <si>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</si>
  <si>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</si>
  <si>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</si>
  <si>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</si>
  <si>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</si>
  <si>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</si>
  <si>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</si>
  <si>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</si>
  <si>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</si>
  <si>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</si>
  <si>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</si>
  <si>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</si>
  <si>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</si>
  <si>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</si>
  <si>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</si>
  <si>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</si>
  <si>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</si>
  <si>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</si>
  <si>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</si>
  <si>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</si>
  <si>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</si>
  <si>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</si>
  <si>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</si>
  <si>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</si>
  <si>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</si>
  <si>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</si>
  <si>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</si>
  <si>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</si>
  <si>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</si>
  <si>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45201_8</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</si>
  <si>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</si>
  <si>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</si>
  <si>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 eb="3">
      <t>ショウライ</t>
    </rPh>
    <rPh sb="3" eb="5">
      <t>ヨソク</t>
    </rPh>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</si>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</sst>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187" fontId="32" fillId="5" borderId="0" xfId="0" applyNumberFormat="1" applyFont="1" applyFill="1" applyAlignment="1">
      <alignment horizontal="center"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2540</c:v>
                </c:pt>
                <c:pt idx="1">
                  <c:v>2414</c:v>
                </c:pt>
                <c:pt idx="2">
                  <c:v>2369</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3717448"/>
        <c:axId val="393715880"/>
      </c:barChart>
      <c:catAx>
        <c:axId val="393717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15880"/>
        <c:crosses val="autoZero"/>
        <c:auto val="1"/>
        <c:lblAlgn val="ctr"/>
        <c:lblOffset val="100"/>
        <c:noMultiLvlLbl val="0"/>
      </c:catAx>
      <c:valAx>
        <c:axId val="3937158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174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1254</c:v>
                </c:pt>
                <c:pt idx="1">
                  <c:v>1207</c:v>
                </c:pt>
                <c:pt idx="2">
                  <c:v>1149</c:v>
                </c:pt>
                <c:pt idx="3">
                  <c:v>1135</c:v>
                </c:pt>
                <c:pt idx="4">
                  <c:v>1092</c:v>
                </c:pt>
                <c:pt idx="5">
                  <c:v>1049</c:v>
                </c:pt>
                <c:pt idx="6">
                  <c:v>1023</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01321312"/>
        <c:axId val="401318960"/>
      </c:barChart>
      <c:catAx>
        <c:axId val="401321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18960"/>
        <c:crosses val="autoZero"/>
        <c:auto val="1"/>
        <c:lblAlgn val="ctr"/>
        <c:lblOffset val="100"/>
        <c:noMultiLvlLbl val="0"/>
      </c:catAx>
      <c:valAx>
        <c:axId val="4013189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213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c:v>
                </c:pt>
                <c:pt idx="1">
                  <c:v>0.23</c:v>
                </c:pt>
                <c:pt idx="2">
                  <c:v>0.25</c:v>
                </c:pt>
                <c:pt idx="3">
                  <c:v>0.26</c:v>
                </c:pt>
                <c:pt idx="4">
                  <c:v>0.27</c:v>
                </c:pt>
                <c:pt idx="5">
                  <c:v>0.28000000000000003</c:v>
                </c:pt>
                <c:pt idx="6">
                  <c:v>0.28999999999999998</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01316608"/>
        <c:axId val="401314648"/>
      </c:barChart>
      <c:catAx>
        <c:axId val="401316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14648"/>
        <c:crosses val="autoZero"/>
        <c:auto val="1"/>
        <c:lblAlgn val="ctr"/>
        <c:lblOffset val="100"/>
        <c:noMultiLvlLbl val="0"/>
      </c:catAx>
      <c:valAx>
        <c:axId val="401314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166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0.11</c:v>
                </c:pt>
                <c:pt idx="1">
                  <c:v>0.12</c:v>
                </c:pt>
                <c:pt idx="2">
                  <c:v>0.12</c:v>
                </c:pt>
                <c:pt idx="3">
                  <c:v>0.14000000000000001</c:v>
                </c:pt>
                <c:pt idx="4">
                  <c:v>0.15</c:v>
                </c:pt>
                <c:pt idx="5">
                  <c:v>0.16</c:v>
                </c:pt>
                <c:pt idx="6">
                  <c:v>0.16</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01315040"/>
        <c:axId val="401315432"/>
      </c:barChart>
      <c:catAx>
        <c:axId val="401315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15432"/>
        <c:crosses val="autoZero"/>
        <c:auto val="1"/>
        <c:lblAlgn val="ctr"/>
        <c:lblOffset val="100"/>
        <c:noMultiLvlLbl val="0"/>
      </c:catAx>
      <c:valAx>
        <c:axId val="4013154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150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0785175581721"/>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2.2873809283071174E-4"/>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90D-4300-A0BF-259C78DAE8F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1063</c:v>
                </c:pt>
                <c:pt idx="1">
                  <c:v>926</c:v>
                </c:pt>
                <c:pt idx="2">
                  <c:v>944</c:v>
                </c:pt>
                <c:pt idx="3">
                  <c:v>884</c:v>
                </c:pt>
                <c:pt idx="4">
                  <c:v>723</c:v>
                </c:pt>
                <c:pt idx="5">
                  <c:v>1083</c:v>
                </c:pt>
                <c:pt idx="6">
                  <c:v>1412</c:v>
                </c:pt>
                <c:pt idx="7">
                  <c:v>1363</c:v>
                </c:pt>
                <c:pt idx="8">
                  <c:v>1252</c:v>
                </c:pt>
                <c:pt idx="9">
                  <c:v>1350</c:v>
                </c:pt>
                <c:pt idx="10">
                  <c:v>1492</c:v>
                </c:pt>
                <c:pt idx="11">
                  <c:v>1604</c:v>
                </c:pt>
                <c:pt idx="12">
                  <c:v>1257</c:v>
                </c:pt>
                <c:pt idx="13">
                  <c:v>1202</c:v>
                </c:pt>
                <c:pt idx="14">
                  <c:v>1074</c:v>
                </c:pt>
                <c:pt idx="15">
                  <c:v>1032</c:v>
                </c:pt>
                <c:pt idx="16">
                  <c:v>862</c:v>
                </c:pt>
                <c:pt idx="17">
                  <c:v>411</c:v>
                </c:pt>
                <c:pt idx="18">
                  <c:v>164</c:v>
                </c:pt>
                <c:pt idx="19">
                  <c:v>59</c:v>
                </c:pt>
                <c:pt idx="20">
                  <c:v>9</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01320920"/>
        <c:axId val="40131974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1012</c:v>
                </c:pt>
                <c:pt idx="1">
                  <c:v>920</c:v>
                </c:pt>
                <c:pt idx="2">
                  <c:v>878</c:v>
                </c:pt>
                <c:pt idx="3">
                  <c:v>932</c:v>
                </c:pt>
                <c:pt idx="4">
                  <c:v>808</c:v>
                </c:pt>
                <c:pt idx="5">
                  <c:v>1176</c:v>
                </c:pt>
                <c:pt idx="6">
                  <c:v>1462</c:v>
                </c:pt>
                <c:pt idx="7">
                  <c:v>1342</c:v>
                </c:pt>
                <c:pt idx="8">
                  <c:v>1317</c:v>
                </c:pt>
                <c:pt idx="9">
                  <c:v>1441</c:v>
                </c:pt>
                <c:pt idx="10">
                  <c:v>1531</c:v>
                </c:pt>
                <c:pt idx="11">
                  <c:v>1683</c:v>
                </c:pt>
                <c:pt idx="12">
                  <c:v>1419</c:v>
                </c:pt>
                <c:pt idx="13">
                  <c:v>1322</c:v>
                </c:pt>
                <c:pt idx="14">
                  <c:v>1200</c:v>
                </c:pt>
                <c:pt idx="15">
                  <c:v>1265</c:v>
                </c:pt>
                <c:pt idx="16">
                  <c:v>1217</c:v>
                </c:pt>
                <c:pt idx="17">
                  <c:v>746</c:v>
                </c:pt>
                <c:pt idx="18">
                  <c:v>468</c:v>
                </c:pt>
                <c:pt idx="19">
                  <c:v>244</c:v>
                </c:pt>
                <c:pt idx="20">
                  <c:v>59</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01320136"/>
        <c:axId val="401317784"/>
      </c:barChart>
      <c:catAx>
        <c:axId val="4013209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19744"/>
        <c:crosses val="autoZero"/>
        <c:auto val="1"/>
        <c:lblAlgn val="ctr"/>
        <c:lblOffset val="100"/>
        <c:noMultiLvlLbl val="0"/>
      </c:catAx>
      <c:valAx>
        <c:axId val="401319744"/>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20920"/>
        <c:crosses val="autoZero"/>
        <c:crossBetween val="between"/>
        <c:majorUnit val="1000"/>
      </c:valAx>
      <c:valAx>
        <c:axId val="401317784"/>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20136"/>
        <c:crosses val="max"/>
        <c:crossBetween val="between"/>
        <c:majorUnit val="1000"/>
      </c:valAx>
      <c:catAx>
        <c:axId val="401320136"/>
        <c:scaling>
          <c:orientation val="minMax"/>
        </c:scaling>
        <c:delete val="1"/>
        <c:axPos val="l"/>
        <c:numFmt formatCode="General" sourceLinked="1"/>
        <c:majorTickMark val="out"/>
        <c:minorTickMark val="none"/>
        <c:tickLblPos val="nextTo"/>
        <c:crossAx val="4013177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0067106270309095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E06-4329-8313-1D0B1BE2FC8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976</c:v>
                </c:pt>
                <c:pt idx="1">
                  <c:v>883</c:v>
                </c:pt>
                <c:pt idx="2">
                  <c:v>895</c:v>
                </c:pt>
                <c:pt idx="3">
                  <c:v>820</c:v>
                </c:pt>
                <c:pt idx="4">
                  <c:v>675</c:v>
                </c:pt>
                <c:pt idx="5">
                  <c:v>1029</c:v>
                </c:pt>
                <c:pt idx="6">
                  <c:v>1256</c:v>
                </c:pt>
                <c:pt idx="7">
                  <c:v>1290</c:v>
                </c:pt>
                <c:pt idx="8">
                  <c:v>1393</c:v>
                </c:pt>
                <c:pt idx="9">
                  <c:v>1368</c:v>
                </c:pt>
                <c:pt idx="10">
                  <c:v>1253</c:v>
                </c:pt>
                <c:pt idx="11">
                  <c:v>1350</c:v>
                </c:pt>
                <c:pt idx="12">
                  <c:v>1459</c:v>
                </c:pt>
                <c:pt idx="13">
                  <c:v>1496</c:v>
                </c:pt>
                <c:pt idx="14">
                  <c:v>1147</c:v>
                </c:pt>
                <c:pt idx="15">
                  <c:v>983</c:v>
                </c:pt>
                <c:pt idx="16">
                  <c:v>750</c:v>
                </c:pt>
                <c:pt idx="17">
                  <c:v>551</c:v>
                </c:pt>
                <c:pt idx="18">
                  <c:v>264</c:v>
                </c:pt>
                <c:pt idx="19">
                  <c:v>66</c:v>
                </c:pt>
                <c:pt idx="20">
                  <c:v>9</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01318568"/>
        <c:axId val="40132052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929</c:v>
                </c:pt>
                <c:pt idx="1">
                  <c:v>877</c:v>
                </c:pt>
                <c:pt idx="2">
                  <c:v>833</c:v>
                </c:pt>
                <c:pt idx="3">
                  <c:v>841</c:v>
                </c:pt>
                <c:pt idx="4">
                  <c:v>773</c:v>
                </c:pt>
                <c:pt idx="5">
                  <c:v>1152</c:v>
                </c:pt>
                <c:pt idx="6">
                  <c:v>1220</c:v>
                </c:pt>
                <c:pt idx="7">
                  <c:v>1253</c:v>
                </c:pt>
                <c:pt idx="8">
                  <c:v>1415</c:v>
                </c:pt>
                <c:pt idx="9">
                  <c:v>1323</c:v>
                </c:pt>
                <c:pt idx="10">
                  <c:v>1318</c:v>
                </c:pt>
                <c:pt idx="11">
                  <c:v>1439</c:v>
                </c:pt>
                <c:pt idx="12">
                  <c:v>1494</c:v>
                </c:pt>
                <c:pt idx="13">
                  <c:v>1602</c:v>
                </c:pt>
                <c:pt idx="14">
                  <c:v>1339</c:v>
                </c:pt>
                <c:pt idx="15">
                  <c:v>1200</c:v>
                </c:pt>
                <c:pt idx="16">
                  <c:v>1013</c:v>
                </c:pt>
                <c:pt idx="17">
                  <c:v>934</c:v>
                </c:pt>
                <c:pt idx="18">
                  <c:v>668</c:v>
                </c:pt>
                <c:pt idx="19">
                  <c:v>243</c:v>
                </c:pt>
                <c:pt idx="20">
                  <c:v>60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01319352"/>
        <c:axId val="401318176"/>
      </c:barChart>
      <c:catAx>
        <c:axId val="4013185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20528"/>
        <c:crosses val="autoZero"/>
        <c:auto val="1"/>
        <c:lblAlgn val="ctr"/>
        <c:lblOffset val="100"/>
        <c:noMultiLvlLbl val="0"/>
      </c:catAx>
      <c:valAx>
        <c:axId val="401320528"/>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18568"/>
        <c:crosses val="autoZero"/>
        <c:crossBetween val="between"/>
        <c:majorUnit val="1000"/>
      </c:valAx>
      <c:valAx>
        <c:axId val="401318176"/>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19352"/>
        <c:crosses val="max"/>
        <c:crossBetween val="between"/>
        <c:majorUnit val="1000"/>
      </c:valAx>
      <c:catAx>
        <c:axId val="401319352"/>
        <c:scaling>
          <c:orientation val="minMax"/>
        </c:scaling>
        <c:delete val="1"/>
        <c:axPos val="l"/>
        <c:numFmt formatCode="General" sourceLinked="1"/>
        <c:majorTickMark val="out"/>
        <c:minorTickMark val="none"/>
        <c:tickLblPos val="nextTo"/>
        <c:crossAx val="4013181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40940</c:v>
                </c:pt>
                <c:pt idx="1">
                  <c:v>41506</c:v>
                </c:pt>
                <c:pt idx="2">
                  <c:v>42286</c:v>
                </c:pt>
                <c:pt idx="3">
                  <c:v>42579</c:v>
                </c:pt>
                <c:pt idx="4">
                  <c:v>42608</c:v>
                </c:pt>
                <c:pt idx="5">
                  <c:v>42348</c:v>
                </c:pt>
                <c:pt idx="6">
                  <c:v>41839</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2D2E-4E4B-9269-B65B14177F68}"/>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2D2E-4E4B-9269-B65B14177F68}"/>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2D2E-4E4B-9269-B65B14177F68}"/>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2D2E-4E4B-9269-B65B14177F6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42588</c:v>
                </c:pt>
                <c:pt idx="4" formatCode="#,##0_);[Red]\(#,##0\)">
                  <c:v>42628</c:v>
                </c:pt>
                <c:pt idx="5" formatCode="#,##0_);[Red]\(#,##0\)">
                  <c:v>42381</c:v>
                </c:pt>
                <c:pt idx="6" formatCode="#,##0_);[Red]\(#,##0\)">
                  <c:v>41881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7326040"/>
        <c:axId val="397327216"/>
      </c:barChart>
      <c:catAx>
        <c:axId val="397326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27216"/>
        <c:crosses val="autoZero"/>
        <c:auto val="1"/>
        <c:lblAlgn val="ctr"/>
        <c:lblOffset val="100"/>
        <c:noMultiLvlLbl val="0"/>
      </c:catAx>
      <c:valAx>
        <c:axId val="3973272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2604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2540</c:v>
                </c:pt>
                <c:pt idx="1">
                  <c:v>2414</c:v>
                </c:pt>
                <c:pt idx="2">
                  <c:v>2369</c:v>
                </c:pt>
                <c:pt idx="3">
                  <c:v>2301</c:v>
                </c:pt>
                <c:pt idx="4">
                  <c:v>2201</c:v>
                </c:pt>
                <c:pt idx="5">
                  <c:v>2144</c:v>
                </c:pt>
                <c:pt idx="6">
                  <c:v>2093</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2302</c:v>
                </c:pt>
                <c:pt idx="4">
                  <c:v>2204</c:v>
                </c:pt>
                <c:pt idx="5">
                  <c:v>2148</c:v>
                </c:pt>
                <c:pt idx="6">
                  <c:v>2098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7327608"/>
        <c:axId val="397328392"/>
      </c:barChart>
      <c:catAx>
        <c:axId val="397327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28392"/>
        <c:crosses val="autoZero"/>
        <c:auto val="1"/>
        <c:lblAlgn val="ctr"/>
        <c:lblOffset val="100"/>
        <c:noMultiLvlLbl val="0"/>
      </c:catAx>
      <c:valAx>
        <c:axId val="3973283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27608"/>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c:v>
                </c:pt>
                <c:pt idx="1">
                  <c:v>0.23</c:v>
                </c:pt>
                <c:pt idx="2">
                  <c:v>0.25</c:v>
                </c:pt>
                <c:pt idx="3">
                  <c:v>0.26</c:v>
                </c:pt>
                <c:pt idx="4">
                  <c:v>0.27</c:v>
                </c:pt>
                <c:pt idx="5">
                  <c:v>0.28000000000000003</c:v>
                </c:pt>
                <c:pt idx="6">
                  <c:v>0.28999999999999998</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6A5-442D-BC01-4531C1066706}"/>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6A5-442D-BC01-4531C1066706}"/>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6A5-442D-BC01-4531C1066706}"/>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6A5-442D-BC01-4531C106670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0.26</c:v>
                </c:pt>
                <c:pt idx="4" formatCode="0%">
                  <c:v>0.27</c:v>
                </c:pt>
                <c:pt idx="5" formatCode="0%">
                  <c:v>0.28000000000000003</c:v>
                </c:pt>
                <c:pt idx="6" formatCode="0%">
                  <c:v>0.28999999999999998</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7328784"/>
        <c:axId val="397329176"/>
      </c:barChart>
      <c:catAx>
        <c:axId val="397328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29176"/>
        <c:crosses val="autoZero"/>
        <c:auto val="1"/>
        <c:lblAlgn val="ctr"/>
        <c:lblOffset val="100"/>
        <c:noMultiLvlLbl val="0"/>
      </c:catAx>
      <c:valAx>
        <c:axId val="3973291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2878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0.11</c:v>
                </c:pt>
                <c:pt idx="1">
                  <c:v>0.12</c:v>
                </c:pt>
                <c:pt idx="2">
                  <c:v>0.12</c:v>
                </c:pt>
                <c:pt idx="3">
                  <c:v>0.14000000000000001</c:v>
                </c:pt>
                <c:pt idx="4">
                  <c:v>0.15</c:v>
                </c:pt>
                <c:pt idx="5">
                  <c:v>0.16</c:v>
                </c:pt>
                <c:pt idx="6">
                  <c:v>0.16</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ACF-46E6-8A35-6FD3BEB2A051}"/>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ACF-46E6-8A35-6FD3BEB2A051}"/>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ACF-46E6-8A35-6FD3BEB2A051}"/>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ACF-46E6-8A35-6FD3BEB2A05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0.14000000000000001</c:v>
                </c:pt>
                <c:pt idx="4" formatCode="0%">
                  <c:v>0.15</c:v>
                </c:pt>
                <c:pt idx="5" formatCode="0%">
                  <c:v>0.16</c:v>
                </c:pt>
                <c:pt idx="6" formatCode="0%">
                  <c:v>0.16</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7324080"/>
        <c:axId val="397324472"/>
      </c:barChart>
      <c:catAx>
        <c:axId val="397324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24472"/>
        <c:crosses val="autoZero"/>
        <c:auto val="1"/>
        <c:lblAlgn val="ctr"/>
        <c:lblOffset val="100"/>
        <c:noMultiLvlLbl val="0"/>
      </c:catAx>
      <c:valAx>
        <c:axId val="397324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2408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1254</c:v>
                </c:pt>
                <c:pt idx="1">
                  <c:v>1207</c:v>
                </c:pt>
                <c:pt idx="2">
                  <c:v>1149</c:v>
                </c:pt>
                <c:pt idx="3">
                  <c:v>1135</c:v>
                </c:pt>
                <c:pt idx="4">
                  <c:v>1092</c:v>
                </c:pt>
                <c:pt idx="5">
                  <c:v>1049</c:v>
                </c:pt>
                <c:pt idx="6">
                  <c:v>1023</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1136</c:v>
                </c:pt>
                <c:pt idx="4">
                  <c:v>1093</c:v>
                </c:pt>
                <c:pt idx="5">
                  <c:v>1051</c:v>
                </c:pt>
                <c:pt idx="6">
                  <c:v>1026</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7329960"/>
        <c:axId val="397330352"/>
      </c:barChart>
      <c:catAx>
        <c:axId val="397329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30352"/>
        <c:crosses val="autoZero"/>
        <c:auto val="1"/>
        <c:lblAlgn val="ctr"/>
        <c:lblOffset val="100"/>
        <c:noMultiLvlLbl val="0"/>
      </c:catAx>
      <c:valAx>
        <c:axId val="3973303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2996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1254</c:v>
                </c:pt>
                <c:pt idx="1">
                  <c:v>1207</c:v>
                </c:pt>
                <c:pt idx="2">
                  <c:v>1149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3718232"/>
        <c:axId val="393716272"/>
      </c:barChart>
      <c:catAx>
        <c:axId val="393718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16272"/>
        <c:crosses val="autoZero"/>
        <c:auto val="1"/>
        <c:lblAlgn val="ctr"/>
        <c:lblOffset val="100"/>
        <c:noMultiLvlLbl val="0"/>
      </c:catAx>
      <c:valAx>
        <c:axId val="3937162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18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2.6559876331679255E-3"/>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CCB-45FC-AE64-86B3116CB1C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1065</c:v>
                </c:pt>
                <c:pt idx="1">
                  <c:v>927</c:v>
                </c:pt>
                <c:pt idx="2">
                  <c:v>945</c:v>
                </c:pt>
                <c:pt idx="3">
                  <c:v>885</c:v>
                </c:pt>
                <c:pt idx="4">
                  <c:v>723</c:v>
                </c:pt>
                <c:pt idx="5">
                  <c:v>1085</c:v>
                </c:pt>
                <c:pt idx="6">
                  <c:v>1414</c:v>
                </c:pt>
                <c:pt idx="7">
                  <c:v>1363</c:v>
                </c:pt>
                <c:pt idx="8">
                  <c:v>1252</c:v>
                </c:pt>
                <c:pt idx="9">
                  <c:v>1350</c:v>
                </c:pt>
                <c:pt idx="10">
                  <c:v>1492</c:v>
                </c:pt>
                <c:pt idx="11">
                  <c:v>1604</c:v>
                </c:pt>
                <c:pt idx="12">
                  <c:v>1257</c:v>
                </c:pt>
                <c:pt idx="13">
                  <c:v>1202</c:v>
                </c:pt>
                <c:pt idx="14">
                  <c:v>1074</c:v>
                </c:pt>
                <c:pt idx="15">
                  <c:v>1032</c:v>
                </c:pt>
                <c:pt idx="16">
                  <c:v>862</c:v>
                </c:pt>
                <c:pt idx="17">
                  <c:v>411</c:v>
                </c:pt>
                <c:pt idx="18">
                  <c:v>164</c:v>
                </c:pt>
                <c:pt idx="19">
                  <c:v>59</c:v>
                </c:pt>
                <c:pt idx="20">
                  <c:v>9</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7330744"/>
        <c:axId val="39732329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1014</c:v>
                </c:pt>
                <c:pt idx="1">
                  <c:v>921</c:v>
                </c:pt>
                <c:pt idx="2">
                  <c:v>879</c:v>
                </c:pt>
                <c:pt idx="3">
                  <c:v>933</c:v>
                </c:pt>
                <c:pt idx="4">
                  <c:v>808</c:v>
                </c:pt>
                <c:pt idx="5">
                  <c:v>1178</c:v>
                </c:pt>
                <c:pt idx="6">
                  <c:v>1464</c:v>
                </c:pt>
                <c:pt idx="7">
                  <c:v>1342</c:v>
                </c:pt>
                <c:pt idx="8">
                  <c:v>1318</c:v>
                </c:pt>
                <c:pt idx="9">
                  <c:v>1442</c:v>
                </c:pt>
                <c:pt idx="10">
                  <c:v>1531</c:v>
                </c:pt>
                <c:pt idx="11">
                  <c:v>1683</c:v>
                </c:pt>
                <c:pt idx="12">
                  <c:v>1419</c:v>
                </c:pt>
                <c:pt idx="13">
                  <c:v>1322</c:v>
                </c:pt>
                <c:pt idx="14">
                  <c:v>1200</c:v>
                </c:pt>
                <c:pt idx="15">
                  <c:v>1265</c:v>
                </c:pt>
                <c:pt idx="16">
                  <c:v>1217</c:v>
                </c:pt>
                <c:pt idx="17">
                  <c:v>746</c:v>
                </c:pt>
                <c:pt idx="18">
                  <c:v>468</c:v>
                </c:pt>
                <c:pt idx="19">
                  <c:v>244</c:v>
                </c:pt>
                <c:pt idx="20">
                  <c:v>59</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7325648"/>
        <c:axId val="397323688"/>
      </c:barChart>
      <c:catAx>
        <c:axId val="3973307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23296"/>
        <c:crosses val="autoZero"/>
        <c:auto val="1"/>
        <c:lblAlgn val="ctr"/>
        <c:lblOffset val="100"/>
        <c:noMultiLvlLbl val="0"/>
      </c:catAx>
      <c:valAx>
        <c:axId val="397323296"/>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30744"/>
        <c:crosses val="autoZero"/>
        <c:crossBetween val="between"/>
        <c:majorUnit val="1000"/>
      </c:valAx>
      <c:valAx>
        <c:axId val="397323688"/>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25648"/>
        <c:crosses val="max"/>
        <c:crossBetween val="between"/>
        <c:majorUnit val="1000"/>
      </c:valAx>
      <c:catAx>
        <c:axId val="397325648"/>
        <c:scaling>
          <c:orientation val="minMax"/>
        </c:scaling>
        <c:delete val="1"/>
        <c:axPos val="l"/>
        <c:numFmt formatCode="General" sourceLinked="1"/>
        <c:majorTickMark val="out"/>
        <c:minorTickMark val="none"/>
        <c:tickLblPos val="nextTo"/>
        <c:crossAx val="3973236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4.8981468289425378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64B-4889-A049-0BAEB175D6A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979</c:v>
                </c:pt>
                <c:pt idx="1">
                  <c:v>885</c:v>
                </c:pt>
                <c:pt idx="2">
                  <c:v>898</c:v>
                </c:pt>
                <c:pt idx="3">
                  <c:v>822</c:v>
                </c:pt>
                <c:pt idx="4">
                  <c:v>676</c:v>
                </c:pt>
                <c:pt idx="5">
                  <c:v>1032</c:v>
                </c:pt>
                <c:pt idx="6">
                  <c:v>1258</c:v>
                </c:pt>
                <c:pt idx="7">
                  <c:v>1293</c:v>
                </c:pt>
                <c:pt idx="8">
                  <c:v>1395</c:v>
                </c:pt>
                <c:pt idx="9">
                  <c:v>1368</c:v>
                </c:pt>
                <c:pt idx="10">
                  <c:v>1253</c:v>
                </c:pt>
                <c:pt idx="11">
                  <c:v>1350</c:v>
                </c:pt>
                <c:pt idx="12">
                  <c:v>1459</c:v>
                </c:pt>
                <c:pt idx="13">
                  <c:v>1496</c:v>
                </c:pt>
                <c:pt idx="14">
                  <c:v>1147</c:v>
                </c:pt>
                <c:pt idx="15">
                  <c:v>983</c:v>
                </c:pt>
                <c:pt idx="16">
                  <c:v>750</c:v>
                </c:pt>
                <c:pt idx="17">
                  <c:v>551</c:v>
                </c:pt>
                <c:pt idx="18">
                  <c:v>264</c:v>
                </c:pt>
                <c:pt idx="19">
                  <c:v>66</c:v>
                </c:pt>
                <c:pt idx="20">
                  <c:v>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926840"/>
        <c:axId val="46193036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932</c:v>
                </c:pt>
                <c:pt idx="1">
                  <c:v>879</c:v>
                </c:pt>
                <c:pt idx="2">
                  <c:v>835</c:v>
                </c:pt>
                <c:pt idx="3">
                  <c:v>842</c:v>
                </c:pt>
                <c:pt idx="4">
                  <c:v>773</c:v>
                </c:pt>
                <c:pt idx="5">
                  <c:v>1155</c:v>
                </c:pt>
                <c:pt idx="6">
                  <c:v>1222</c:v>
                </c:pt>
                <c:pt idx="7">
                  <c:v>1255</c:v>
                </c:pt>
                <c:pt idx="8">
                  <c:v>1418</c:v>
                </c:pt>
                <c:pt idx="9">
                  <c:v>1324</c:v>
                </c:pt>
                <c:pt idx="10">
                  <c:v>1319</c:v>
                </c:pt>
                <c:pt idx="11">
                  <c:v>1440</c:v>
                </c:pt>
                <c:pt idx="12">
                  <c:v>1494</c:v>
                </c:pt>
                <c:pt idx="13">
                  <c:v>1602</c:v>
                </c:pt>
                <c:pt idx="14">
                  <c:v>1339</c:v>
                </c:pt>
                <c:pt idx="15">
                  <c:v>1200</c:v>
                </c:pt>
                <c:pt idx="16">
                  <c:v>1013</c:v>
                </c:pt>
                <c:pt idx="17">
                  <c:v>934</c:v>
                </c:pt>
                <c:pt idx="18">
                  <c:v>668</c:v>
                </c:pt>
                <c:pt idx="19">
                  <c:v>243</c:v>
                </c:pt>
                <c:pt idx="20">
                  <c:v>60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930760"/>
        <c:axId val="461929584"/>
      </c:barChart>
      <c:catAx>
        <c:axId val="4619268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30368"/>
        <c:crosses val="autoZero"/>
        <c:auto val="1"/>
        <c:lblAlgn val="ctr"/>
        <c:lblOffset val="100"/>
        <c:noMultiLvlLbl val="0"/>
      </c:catAx>
      <c:valAx>
        <c:axId val="461930368"/>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26840"/>
        <c:crosses val="autoZero"/>
        <c:crossBetween val="between"/>
        <c:majorUnit val="1000"/>
      </c:valAx>
      <c:valAx>
        <c:axId val="461929584"/>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30760"/>
        <c:crosses val="max"/>
        <c:crossBetween val="between"/>
        <c:majorUnit val="1000"/>
      </c:valAx>
      <c:catAx>
        <c:axId val="461930760"/>
        <c:scaling>
          <c:orientation val="minMax"/>
        </c:scaling>
        <c:delete val="1"/>
        <c:axPos val="l"/>
        <c:numFmt formatCode="General" sourceLinked="1"/>
        <c:majorTickMark val="out"/>
        <c:minorTickMark val="none"/>
        <c:tickLblPos val="nextTo"/>
        <c:crossAx val="4619295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2075</c:v>
                </c:pt>
                <c:pt idx="1">
                  <c:v>1846</c:v>
                </c:pt>
                <c:pt idx="2">
                  <c:v>1822</c:v>
                </c:pt>
                <c:pt idx="3">
                  <c:v>1816</c:v>
                </c:pt>
                <c:pt idx="4">
                  <c:v>1531</c:v>
                </c:pt>
                <c:pt idx="5">
                  <c:v>2259</c:v>
                </c:pt>
                <c:pt idx="6">
                  <c:v>2874</c:v>
                </c:pt>
                <c:pt idx="7">
                  <c:v>2705</c:v>
                </c:pt>
                <c:pt idx="8">
                  <c:v>2569</c:v>
                </c:pt>
                <c:pt idx="9">
                  <c:v>2791</c:v>
                </c:pt>
                <c:pt idx="10">
                  <c:v>3023</c:v>
                </c:pt>
                <c:pt idx="11">
                  <c:v>3287</c:v>
                </c:pt>
                <c:pt idx="12">
                  <c:v>2676</c:v>
                </c:pt>
                <c:pt idx="13">
                  <c:v>2524</c:v>
                </c:pt>
                <c:pt idx="14">
                  <c:v>2274</c:v>
                </c:pt>
                <c:pt idx="15">
                  <c:v>2297</c:v>
                </c:pt>
                <c:pt idx="16">
                  <c:v>2079</c:v>
                </c:pt>
                <c:pt idx="17">
                  <c:v>1157</c:v>
                </c:pt>
                <c:pt idx="18">
                  <c:v>632</c:v>
                </c:pt>
                <c:pt idx="19">
                  <c:v>303</c:v>
                </c:pt>
                <c:pt idx="20">
                  <c:v>68</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927624"/>
        <c:axId val="46192801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2079</c:v>
                </c:pt>
                <c:pt idx="1">
                  <c:v>1848</c:v>
                </c:pt>
                <c:pt idx="2">
                  <c:v>1824</c:v>
                </c:pt>
                <c:pt idx="3">
                  <c:v>1818</c:v>
                </c:pt>
                <c:pt idx="4">
                  <c:v>1531</c:v>
                </c:pt>
                <c:pt idx="5">
                  <c:v>2263</c:v>
                </c:pt>
                <c:pt idx="6">
                  <c:v>2878</c:v>
                </c:pt>
                <c:pt idx="7">
                  <c:v>2705</c:v>
                </c:pt>
                <c:pt idx="8">
                  <c:v>2570</c:v>
                </c:pt>
                <c:pt idx="9">
                  <c:v>2792</c:v>
                </c:pt>
                <c:pt idx="10">
                  <c:v>3023</c:v>
                </c:pt>
                <c:pt idx="11">
                  <c:v>3287</c:v>
                </c:pt>
                <c:pt idx="12">
                  <c:v>2676</c:v>
                </c:pt>
                <c:pt idx="13">
                  <c:v>2524</c:v>
                </c:pt>
                <c:pt idx="14">
                  <c:v>2274</c:v>
                </c:pt>
                <c:pt idx="15">
                  <c:v>2297</c:v>
                </c:pt>
                <c:pt idx="16">
                  <c:v>2079</c:v>
                </c:pt>
                <c:pt idx="17">
                  <c:v>1157</c:v>
                </c:pt>
                <c:pt idx="18">
                  <c:v>632</c:v>
                </c:pt>
                <c:pt idx="19">
                  <c:v>303</c:v>
                </c:pt>
                <c:pt idx="20">
                  <c:v>68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933896"/>
        <c:axId val="461928800"/>
      </c:barChart>
      <c:catAx>
        <c:axId val="4619276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28016"/>
        <c:crosses val="autoZero"/>
        <c:auto val="1"/>
        <c:lblAlgn val="ctr"/>
        <c:lblOffset val="100"/>
        <c:noMultiLvlLbl val="0"/>
      </c:catAx>
      <c:valAx>
        <c:axId val="461928016"/>
        <c:scaling>
          <c:orientation val="maxMin"/>
          <c:max val="4000"/>
          <c:min val="-6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27624"/>
        <c:crosses val="autoZero"/>
        <c:crossBetween val="between"/>
        <c:majorUnit val="2000"/>
      </c:valAx>
      <c:valAx>
        <c:axId val="461928800"/>
        <c:scaling>
          <c:orientation val="minMax"/>
          <c:max val="4000"/>
          <c:min val="-6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33896"/>
        <c:crosses val="max"/>
        <c:crossBetween val="between"/>
        <c:majorUnit val="2000"/>
      </c:valAx>
      <c:catAx>
        <c:axId val="461933896"/>
        <c:scaling>
          <c:orientation val="minMax"/>
        </c:scaling>
        <c:delete val="1"/>
        <c:axPos val="l"/>
        <c:numFmt formatCode="General" sourceLinked="1"/>
        <c:majorTickMark val="out"/>
        <c:minorTickMark val="none"/>
        <c:tickLblPos val="nextTo"/>
        <c:crossAx val="46192880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1905</c:v>
                </c:pt>
                <c:pt idx="1">
                  <c:v>1760</c:v>
                </c:pt>
                <c:pt idx="2">
                  <c:v>1728</c:v>
                </c:pt>
                <c:pt idx="3">
                  <c:v>1661</c:v>
                </c:pt>
                <c:pt idx="4">
                  <c:v>1448</c:v>
                </c:pt>
                <c:pt idx="5">
                  <c:v>2181</c:v>
                </c:pt>
                <c:pt idx="6">
                  <c:v>2476</c:v>
                </c:pt>
                <c:pt idx="7">
                  <c:v>2543</c:v>
                </c:pt>
                <c:pt idx="8">
                  <c:v>2808</c:v>
                </c:pt>
                <c:pt idx="9">
                  <c:v>2691</c:v>
                </c:pt>
                <c:pt idx="10">
                  <c:v>2571</c:v>
                </c:pt>
                <c:pt idx="11">
                  <c:v>2789</c:v>
                </c:pt>
                <c:pt idx="12">
                  <c:v>2953</c:v>
                </c:pt>
                <c:pt idx="13">
                  <c:v>3098</c:v>
                </c:pt>
                <c:pt idx="14">
                  <c:v>2486</c:v>
                </c:pt>
                <c:pt idx="15">
                  <c:v>2183</c:v>
                </c:pt>
                <c:pt idx="16">
                  <c:v>1763</c:v>
                </c:pt>
                <c:pt idx="17">
                  <c:v>1485</c:v>
                </c:pt>
                <c:pt idx="18">
                  <c:v>932</c:v>
                </c:pt>
                <c:pt idx="19">
                  <c:v>309</c:v>
                </c:pt>
                <c:pt idx="20">
                  <c:v>69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931152"/>
        <c:axId val="46192997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1911</c:v>
                </c:pt>
                <c:pt idx="1">
                  <c:v>1764</c:v>
                </c:pt>
                <c:pt idx="2">
                  <c:v>1733</c:v>
                </c:pt>
                <c:pt idx="3">
                  <c:v>1664</c:v>
                </c:pt>
                <c:pt idx="4">
                  <c:v>1449</c:v>
                </c:pt>
                <c:pt idx="5">
                  <c:v>2187</c:v>
                </c:pt>
                <c:pt idx="6">
                  <c:v>2480</c:v>
                </c:pt>
                <c:pt idx="7">
                  <c:v>2548</c:v>
                </c:pt>
                <c:pt idx="8">
                  <c:v>2813</c:v>
                </c:pt>
                <c:pt idx="9">
                  <c:v>2692</c:v>
                </c:pt>
                <c:pt idx="10">
                  <c:v>2572</c:v>
                </c:pt>
                <c:pt idx="11">
                  <c:v>2790</c:v>
                </c:pt>
                <c:pt idx="12">
                  <c:v>2953</c:v>
                </c:pt>
                <c:pt idx="13">
                  <c:v>3098</c:v>
                </c:pt>
                <c:pt idx="14">
                  <c:v>2486</c:v>
                </c:pt>
                <c:pt idx="15">
                  <c:v>2183</c:v>
                </c:pt>
                <c:pt idx="16">
                  <c:v>1763</c:v>
                </c:pt>
                <c:pt idx="17">
                  <c:v>1485</c:v>
                </c:pt>
                <c:pt idx="18">
                  <c:v>932</c:v>
                </c:pt>
                <c:pt idx="19">
                  <c:v>309</c:v>
                </c:pt>
                <c:pt idx="20">
                  <c:v>69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933112"/>
        <c:axId val="461929192"/>
      </c:barChart>
      <c:catAx>
        <c:axId val="4619311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29976"/>
        <c:crosses val="autoZero"/>
        <c:auto val="1"/>
        <c:lblAlgn val="ctr"/>
        <c:lblOffset val="100"/>
        <c:noMultiLvlLbl val="0"/>
      </c:catAx>
      <c:valAx>
        <c:axId val="461929976"/>
        <c:scaling>
          <c:orientation val="maxMin"/>
          <c:max val="4000"/>
          <c:min val="-6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31152"/>
        <c:crosses val="autoZero"/>
        <c:crossBetween val="between"/>
        <c:majorUnit val="2000"/>
      </c:valAx>
      <c:valAx>
        <c:axId val="461929192"/>
        <c:scaling>
          <c:orientation val="minMax"/>
          <c:max val="4000"/>
          <c:min val="-6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33112"/>
        <c:crosses val="max"/>
        <c:crossBetween val="between"/>
        <c:majorUnit val="2000"/>
      </c:valAx>
      <c:catAx>
        <c:axId val="461933112"/>
        <c:scaling>
          <c:orientation val="minMax"/>
        </c:scaling>
        <c:delete val="1"/>
        <c:axPos val="l"/>
        <c:numFmt formatCode="General" sourceLinked="1"/>
        <c:majorTickMark val="out"/>
        <c:minorTickMark val="none"/>
        <c:tickLblPos val="nextTo"/>
        <c:crossAx val="46192919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檍地域自治区</c:v>
                </c:pt>
              </c:strCache>
            </c:strRef>
          </c:cat>
          <c:val>
            <c:numRef>
              <c:f>管理者用地域特徴シート!$H$3:$H$5</c:f>
              <c:numCache>
                <c:formatCode>0.0%</c:formatCode>
                <c:ptCount val="3"/>
                <c:pt idx="0">
                  <c:v>0.46108733927332846</c:v>
                </c:pt>
                <c:pt idx="1">
                  <c:v>0.38017324874035541</c:v>
                </c:pt>
                <c:pt idx="2">
                  <c:v>0.32808815991799078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1931544"/>
        <c:axId val="461931936"/>
      </c:barChart>
      <c:catAx>
        <c:axId val="4619315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31936"/>
        <c:crosses val="autoZero"/>
        <c:auto val="1"/>
        <c:lblAlgn val="ctr"/>
        <c:lblOffset val="100"/>
        <c:noMultiLvlLbl val="0"/>
      </c:catAx>
      <c:valAx>
        <c:axId val="4619319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315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檍地域自治区</c:v>
                </c:pt>
              </c:strCache>
            </c:strRef>
          </c:cat>
          <c:val>
            <c:numRef>
              <c:f>管理者用地域特徴シート!$J$3:$J$5</c:f>
              <c:numCache>
                <c:formatCode>0.0%</c:formatCode>
                <c:ptCount val="3"/>
                <c:pt idx="0">
                  <c:v>0.15075281438403673</c:v>
                </c:pt>
                <c:pt idx="1">
                  <c:v>0.12415252853924759</c:v>
                </c:pt>
                <c:pt idx="2">
                  <c:v>0.10932854946181446</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1932720"/>
        <c:axId val="461933504"/>
      </c:barChart>
      <c:catAx>
        <c:axId val="4619327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33504"/>
        <c:crosses val="autoZero"/>
        <c:auto val="1"/>
        <c:lblAlgn val="ctr"/>
        <c:lblOffset val="100"/>
        <c:noMultiLvlLbl val="0"/>
      </c:catAx>
      <c:valAx>
        <c:axId val="4619335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32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檍地域自治区</c:v>
                </c:pt>
              </c:strCache>
            </c:strRef>
          </c:cat>
          <c:val>
            <c:numRef>
              <c:f>管理者用地域特徴シート!$P$3:$P$5</c:f>
              <c:numCache>
                <c:formatCode>0.0%</c:formatCode>
                <c:ptCount val="3"/>
                <c:pt idx="0">
                  <c:v>0.34758352842621743</c:v>
                </c:pt>
                <c:pt idx="1">
                  <c:v>0.36739016143459768</c:v>
                </c:pt>
                <c:pt idx="2">
                  <c:v>0.41678096769616424</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0855096"/>
        <c:axId val="460849216"/>
      </c:barChart>
      <c:catAx>
        <c:axId val="4608550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49216"/>
        <c:crosses val="autoZero"/>
        <c:auto val="1"/>
        <c:lblAlgn val="ctr"/>
        <c:lblOffset val="100"/>
        <c:noMultiLvlLbl val="0"/>
      </c:catAx>
      <c:valAx>
        <c:axId val="4608492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550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檍地域自治区</c:v>
                </c:pt>
              </c:strCache>
            </c:strRef>
          </c:cat>
          <c:val>
            <c:numRef>
              <c:f>管理者用地域特徴シート!$AO$3:$AO$5</c:f>
              <c:numCache>
                <c:formatCode>0.0%</c:formatCode>
                <c:ptCount val="3"/>
                <c:pt idx="0">
                  <c:v>0.5259093009439566</c:v>
                </c:pt>
                <c:pt idx="1">
                  <c:v>0.52382956571820971</c:v>
                </c:pt>
                <c:pt idx="2">
                  <c:v>0.5256057513091329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0856272"/>
        <c:axId val="460853920"/>
      </c:barChart>
      <c:catAx>
        <c:axId val="4608562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53920"/>
        <c:crosses val="autoZero"/>
        <c:auto val="1"/>
        <c:lblAlgn val="ctr"/>
        <c:lblOffset val="100"/>
        <c:noMultiLvlLbl val="0"/>
      </c:catAx>
      <c:valAx>
        <c:axId val="4608539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562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檍地域自治区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2.0682148040638608E-2</c:v>
                </c:pt>
                <c:pt idx="1">
                  <c:v>1.762388554841385E-3</c:v>
                </c:pt>
                <c:pt idx="2">
                  <c:v>5.1834957495334856E-5</c:v>
                </c:pt>
                <c:pt idx="3">
                  <c:v>7.0340037321169391E-2</c:v>
                </c:pt>
                <c:pt idx="4">
                  <c:v>5.9299191374663072E-2</c:v>
                </c:pt>
                <c:pt idx="5">
                  <c:v>5.6500103669914993E-3</c:v>
                </c:pt>
                <c:pt idx="6">
                  <c:v>2.7990877047480822E-2</c:v>
                </c:pt>
                <c:pt idx="7">
                  <c:v>4.4889073190959985E-2</c:v>
                </c:pt>
                <c:pt idx="8">
                  <c:v>0.19422558573501969</c:v>
                </c:pt>
                <c:pt idx="9">
                  <c:v>3.4522081691893011E-2</c:v>
                </c:pt>
                <c:pt idx="10">
                  <c:v>2.1511507360563963E-2</c:v>
                </c:pt>
                <c:pt idx="11">
                  <c:v>3.638814016172507E-2</c:v>
                </c:pt>
                <c:pt idx="12">
                  <c:v>6.7333609786439971E-2</c:v>
                </c:pt>
                <c:pt idx="13">
                  <c:v>4.2919344806137259E-2</c:v>
                </c:pt>
                <c:pt idx="14">
                  <c:v>5.1731287580344183E-2</c:v>
                </c:pt>
                <c:pt idx="15">
                  <c:v>0.15757827078581796</c:v>
                </c:pt>
                <c:pt idx="16">
                  <c:v>6.2201948994401821E-3</c:v>
                </c:pt>
                <c:pt idx="17">
                  <c:v>6.9044163383786022E-2</c:v>
                </c:pt>
                <c:pt idx="18">
                  <c:v>6.1890939249429816E-2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0854704"/>
        <c:axId val="460855488"/>
      </c:barChart>
      <c:catAx>
        <c:axId val="460854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55488"/>
        <c:crosses val="autoZero"/>
        <c:auto val="1"/>
        <c:lblAlgn val="ctr"/>
        <c:lblOffset val="100"/>
        <c:noMultiLvlLbl val="0"/>
      </c:catAx>
      <c:valAx>
        <c:axId val="46085548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54704"/>
        <c:crosses val="autoZero"/>
        <c:crossBetween val="between"/>
      </c:valAx>
      <c:spPr>
        <a:noFill/>
        <a:ln>
          <a:noFill/>
        </a:ln>
        <a:effectLst/>
      </c:spPr>
    </c:plotArea>
    <c:legend>
      <c:legendPos val="b"/>
      <c:layout>
        <c:manualLayout>
          <c:xMode val="edge"/>
          <c:yMode val="edge"/>
          <c:x val="0.5908819636981996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檍地域自治区</c:v>
                </c:pt>
              </c:strCache>
            </c:strRef>
          </c:cat>
          <c:val>
            <c:numRef>
              <c:f>管理者用地域特徴シート!$CK$3:$CK$5</c:f>
              <c:numCache>
                <c:formatCode>0.0%</c:formatCode>
                <c:ptCount val="3"/>
                <c:pt idx="0">
                  <c:v>0.82747216160708559</c:v>
                </c:pt>
                <c:pt idx="1">
                  <c:v>0.90316971603242813</c:v>
                </c:pt>
                <c:pt idx="2">
                  <c:v>0.92452830188679247</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0855880"/>
        <c:axId val="460851568"/>
      </c:barChart>
      <c:catAx>
        <c:axId val="4608558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51568"/>
        <c:crosses val="autoZero"/>
        <c:auto val="1"/>
        <c:lblAlgn val="ctr"/>
        <c:lblOffset val="100"/>
        <c:noMultiLvlLbl val="0"/>
      </c:catAx>
      <c:valAx>
        <c:axId val="4608515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558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c:v>
                </c:pt>
                <c:pt idx="1">
                  <c:v>0.23</c:v>
                </c:pt>
                <c:pt idx="2">
                  <c:v>0.25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3719800"/>
        <c:axId val="393720192"/>
      </c:barChart>
      <c:catAx>
        <c:axId val="393719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20192"/>
        <c:crosses val="autoZero"/>
        <c:auto val="1"/>
        <c:lblAlgn val="ctr"/>
        <c:lblOffset val="100"/>
        <c:noMultiLvlLbl val="0"/>
      </c:catAx>
      <c:valAx>
        <c:axId val="3937201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198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0.11</c:v>
                </c:pt>
                <c:pt idx="1">
                  <c:v>0.12</c:v>
                </c:pt>
                <c:pt idx="2">
                  <c:v>0.12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400979160"/>
        <c:axId val="400984256"/>
      </c:barChart>
      <c:catAx>
        <c:axId val="400979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84256"/>
        <c:crosses val="autoZero"/>
        <c:auto val="1"/>
        <c:lblAlgn val="ctr"/>
        <c:lblOffset val="100"/>
        <c:noMultiLvlLbl val="0"/>
      </c:catAx>
      <c:valAx>
        <c:axId val="4009842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791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699323488395298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BDC-44C6-A2B0-717F96DA037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1196</c:v>
                </c:pt>
                <c:pt idx="1">
                  <c:v>1070</c:v>
                </c:pt>
                <c:pt idx="2">
                  <c:v>1058</c:v>
                </c:pt>
                <c:pt idx="3">
                  <c:v>1007</c:v>
                </c:pt>
                <c:pt idx="4">
                  <c:v>761</c:v>
                </c:pt>
                <c:pt idx="5">
                  <c:v>1116</c:v>
                </c:pt>
                <c:pt idx="6">
                  <c:v>1477</c:v>
                </c:pt>
                <c:pt idx="7">
                  <c:v>1616</c:v>
                </c:pt>
                <c:pt idx="8">
                  <c:v>1311</c:v>
                </c:pt>
                <c:pt idx="9">
                  <c:v>1236</c:v>
                </c:pt>
                <c:pt idx="10">
                  <c:v>1232</c:v>
                </c:pt>
                <c:pt idx="11">
                  <c:v>1361</c:v>
                </c:pt>
                <c:pt idx="12">
                  <c:v>1370</c:v>
                </c:pt>
                <c:pt idx="13">
                  <c:v>962</c:v>
                </c:pt>
                <c:pt idx="14">
                  <c:v>763</c:v>
                </c:pt>
                <c:pt idx="15">
                  <c:v>678</c:v>
                </c:pt>
                <c:pt idx="16">
                  <c:v>544</c:v>
                </c:pt>
                <c:pt idx="17">
                  <c:v>225</c:v>
                </c:pt>
                <c:pt idx="18">
                  <c:v>69</c:v>
                </c:pt>
                <c:pt idx="19">
                  <c:v>27</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0984648"/>
        <c:axId val="40097876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1129</c:v>
                </c:pt>
                <c:pt idx="1">
                  <c:v>1044</c:v>
                </c:pt>
                <c:pt idx="2">
                  <c:v>1061</c:v>
                </c:pt>
                <c:pt idx="3">
                  <c:v>1023</c:v>
                </c:pt>
                <c:pt idx="4">
                  <c:v>953</c:v>
                </c:pt>
                <c:pt idx="5">
                  <c:v>1317</c:v>
                </c:pt>
                <c:pt idx="6">
                  <c:v>1598</c:v>
                </c:pt>
                <c:pt idx="7">
                  <c:v>1704</c:v>
                </c:pt>
                <c:pt idx="8">
                  <c:v>1472</c:v>
                </c:pt>
                <c:pt idx="9">
                  <c:v>1375</c:v>
                </c:pt>
                <c:pt idx="10">
                  <c:v>1310</c:v>
                </c:pt>
                <c:pt idx="11">
                  <c:v>1468</c:v>
                </c:pt>
                <c:pt idx="12">
                  <c:v>1515</c:v>
                </c:pt>
                <c:pt idx="13">
                  <c:v>1123</c:v>
                </c:pt>
                <c:pt idx="14">
                  <c:v>1003</c:v>
                </c:pt>
                <c:pt idx="15">
                  <c:v>1019</c:v>
                </c:pt>
                <c:pt idx="16">
                  <c:v>834</c:v>
                </c:pt>
                <c:pt idx="17">
                  <c:v>552</c:v>
                </c:pt>
                <c:pt idx="18">
                  <c:v>237</c:v>
                </c:pt>
                <c:pt idx="19">
                  <c:v>102</c:v>
                </c:pt>
                <c:pt idx="20">
                  <c:v>20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0981512"/>
        <c:axId val="400980336"/>
      </c:barChart>
      <c:catAx>
        <c:axId val="4009846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78768"/>
        <c:crosses val="autoZero"/>
        <c:auto val="1"/>
        <c:lblAlgn val="ctr"/>
        <c:lblOffset val="100"/>
        <c:noMultiLvlLbl val="0"/>
      </c:catAx>
      <c:valAx>
        <c:axId val="400978768"/>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84648"/>
        <c:crosses val="autoZero"/>
        <c:crossBetween val="between"/>
        <c:majorUnit val="1000"/>
      </c:valAx>
      <c:valAx>
        <c:axId val="400980336"/>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81512"/>
        <c:crosses val="max"/>
        <c:crossBetween val="between"/>
        <c:majorUnit val="1000"/>
      </c:valAx>
      <c:catAx>
        <c:axId val="400981512"/>
        <c:scaling>
          <c:orientation val="minMax"/>
        </c:scaling>
        <c:delete val="1"/>
        <c:axPos val="l"/>
        <c:numFmt formatCode="General" sourceLinked="1"/>
        <c:majorTickMark val="out"/>
        <c:minorTickMark val="none"/>
        <c:tickLblPos val="nextTo"/>
        <c:crossAx val="4009803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19081</c:v>
                </c:pt>
                <c:pt idx="1">
                  <c:v>19364</c:v>
                </c:pt>
                <c:pt idx="2">
                  <c:v>19850</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21859</c:v>
                </c:pt>
                <c:pt idx="1">
                  <c:v>22142</c:v>
                </c:pt>
                <c:pt idx="2">
                  <c:v>22436</c:v>
                </c:pt>
              </c:numCache>
            </c:numRef>
          </c:val>
          <c:extLst xmlns:c16r2="http://schemas.microsoft.com/office/drawing/2015/06/chart">
            <c:ext xmlns:c16="http://schemas.microsoft.com/office/drawing/2014/chart" uri="{C3380CC4-5D6E-409C-BE32-E72D297353CC}">
              <c16:uniqueId val="{00000000-9C4D-4CE9-A711-F0AFE61ADFF6}"/>
            </c:ext>
          </c:extLst>
        </c:ser>
        <c:dLbls>
          <c:showLegendKey val="0"/>
          <c:showVal val="0"/>
          <c:showCatName val="0"/>
          <c:showSerName val="0"/>
          <c:showPercent val="0"/>
          <c:showBubbleSize val="0"/>
        </c:dLbls>
        <c:gapWidth val="219"/>
        <c:overlap val="100"/>
        <c:axId val="400978376"/>
        <c:axId val="40098543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40940</c:v>
                </c:pt>
                <c:pt idx="1">
                  <c:v>41506</c:v>
                </c:pt>
                <c:pt idx="2">
                  <c:v>42286</c:v>
                </c:pt>
              </c:numCache>
            </c:numRef>
          </c:val>
          <c:smooth val="0"/>
          <c:extLst xmlns:c16r2="http://schemas.microsoft.com/office/drawing/2015/06/chart">
            <c:ext xmlns:c16="http://schemas.microsoft.com/office/drawing/2014/chart" uri="{C3380CC4-5D6E-409C-BE32-E72D297353CC}">
              <c16:uniqueId val="{00000001-9C4D-4CE9-A711-F0AFE61ADFF6}"/>
            </c:ext>
          </c:extLst>
        </c:ser>
        <c:dLbls>
          <c:showLegendKey val="0"/>
          <c:showVal val="0"/>
          <c:showCatName val="0"/>
          <c:showSerName val="0"/>
          <c:showPercent val="0"/>
          <c:showBubbleSize val="0"/>
        </c:dLbls>
        <c:marker val="1"/>
        <c:smooth val="0"/>
        <c:axId val="400978376"/>
        <c:axId val="400985432"/>
      </c:lineChart>
      <c:catAx>
        <c:axId val="400978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85432"/>
        <c:crosses val="autoZero"/>
        <c:auto val="1"/>
        <c:lblAlgn val="ctr"/>
        <c:lblOffset val="100"/>
        <c:noMultiLvlLbl val="0"/>
      </c:catAx>
      <c:valAx>
        <c:axId val="4009854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78376"/>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9.7084608747202163E-4"/>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3F1-42E6-B674-80BF897EB61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1121</c:v>
                </c:pt>
                <c:pt idx="1">
                  <c:v>999</c:v>
                </c:pt>
                <c:pt idx="2">
                  <c:v>1011</c:v>
                </c:pt>
                <c:pt idx="3">
                  <c:v>931</c:v>
                </c:pt>
                <c:pt idx="4">
                  <c:v>813</c:v>
                </c:pt>
                <c:pt idx="5">
                  <c:v>1144</c:v>
                </c:pt>
                <c:pt idx="6">
                  <c:v>1269</c:v>
                </c:pt>
                <c:pt idx="7">
                  <c:v>1346</c:v>
                </c:pt>
                <c:pt idx="8">
                  <c:v>1491</c:v>
                </c:pt>
                <c:pt idx="9">
                  <c:v>1604</c:v>
                </c:pt>
                <c:pt idx="10">
                  <c:v>1286</c:v>
                </c:pt>
                <c:pt idx="11">
                  <c:v>1289</c:v>
                </c:pt>
                <c:pt idx="12">
                  <c:v>1176</c:v>
                </c:pt>
                <c:pt idx="13">
                  <c:v>1262</c:v>
                </c:pt>
                <c:pt idx="14">
                  <c:v>1234</c:v>
                </c:pt>
                <c:pt idx="15">
                  <c:v>769</c:v>
                </c:pt>
                <c:pt idx="16">
                  <c:v>536</c:v>
                </c:pt>
                <c:pt idx="17">
                  <c:v>369</c:v>
                </c:pt>
                <c:pt idx="18">
                  <c:v>165</c:v>
                </c:pt>
                <c:pt idx="19">
                  <c:v>30</c:v>
                </c:pt>
                <c:pt idx="20">
                  <c:v>5</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0979552"/>
        <c:axId val="40097994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1067</c:v>
                </c:pt>
                <c:pt idx="1">
                  <c:v>1020</c:v>
                </c:pt>
                <c:pt idx="2">
                  <c:v>919</c:v>
                </c:pt>
                <c:pt idx="3">
                  <c:v>951</c:v>
                </c:pt>
                <c:pt idx="4">
                  <c:v>968</c:v>
                </c:pt>
                <c:pt idx="5">
                  <c:v>1259</c:v>
                </c:pt>
                <c:pt idx="6">
                  <c:v>1361</c:v>
                </c:pt>
                <c:pt idx="7">
                  <c:v>1461</c:v>
                </c:pt>
                <c:pt idx="8">
                  <c:v>1529</c:v>
                </c:pt>
                <c:pt idx="9">
                  <c:v>1685</c:v>
                </c:pt>
                <c:pt idx="10">
                  <c:v>1454</c:v>
                </c:pt>
                <c:pt idx="11">
                  <c:v>1388</c:v>
                </c:pt>
                <c:pt idx="12">
                  <c:v>1271</c:v>
                </c:pt>
                <c:pt idx="13">
                  <c:v>1393</c:v>
                </c:pt>
                <c:pt idx="14">
                  <c:v>1441</c:v>
                </c:pt>
                <c:pt idx="15">
                  <c:v>1011</c:v>
                </c:pt>
                <c:pt idx="16">
                  <c:v>853</c:v>
                </c:pt>
                <c:pt idx="17">
                  <c:v>748</c:v>
                </c:pt>
                <c:pt idx="18">
                  <c:v>459</c:v>
                </c:pt>
                <c:pt idx="19">
                  <c:v>160</c:v>
                </c:pt>
                <c:pt idx="20">
                  <c:v>38</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0983472"/>
        <c:axId val="400983080"/>
      </c:barChart>
      <c:catAx>
        <c:axId val="4009795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79944"/>
        <c:crosses val="autoZero"/>
        <c:auto val="1"/>
        <c:lblAlgn val="ctr"/>
        <c:lblOffset val="100"/>
        <c:noMultiLvlLbl val="0"/>
      </c:catAx>
      <c:valAx>
        <c:axId val="400979944"/>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79552"/>
        <c:crosses val="autoZero"/>
        <c:crossBetween val="between"/>
        <c:majorUnit val="1000"/>
      </c:valAx>
      <c:valAx>
        <c:axId val="400983080"/>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83472"/>
        <c:crosses val="max"/>
        <c:crossBetween val="between"/>
        <c:majorUnit val="1000"/>
      </c:valAx>
      <c:catAx>
        <c:axId val="400983472"/>
        <c:scaling>
          <c:orientation val="minMax"/>
        </c:scaling>
        <c:delete val="1"/>
        <c:axPos val="l"/>
        <c:numFmt formatCode="General" sourceLinked="1"/>
        <c:majorTickMark val="out"/>
        <c:minorTickMark val="none"/>
        <c:tickLblPos val="nextTo"/>
        <c:crossAx val="4009830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E4B7-4844-BA36-E2DBCE994B83}"/>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E4B7-4844-BA36-E2DBCE994B83}"/>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E4B7-4844-BA36-E2DBCE994B83}"/>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4B7-4844-BA36-E2DBCE994B83}"/>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4B7-4844-BA36-E2DBCE994B8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19081</c:v>
                </c:pt>
                <c:pt idx="1">
                  <c:v>19364</c:v>
                </c:pt>
                <c:pt idx="2">
                  <c:v>19850</c:v>
                </c:pt>
                <c:pt idx="3">
                  <c:v>20072</c:v>
                </c:pt>
                <c:pt idx="4">
                  <c:v>20166</c:v>
                </c:pt>
                <c:pt idx="5">
                  <c:v>20109</c:v>
                </c:pt>
                <c:pt idx="6">
                  <c:v>19913</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E4B7-4844-BA36-E2DBCE994B83}"/>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E4B7-4844-BA36-E2DBCE994B83}"/>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E4B7-4844-BA36-E2DBCE994B83}"/>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21859</c:v>
                </c:pt>
                <c:pt idx="1">
                  <c:v>22142</c:v>
                </c:pt>
                <c:pt idx="2">
                  <c:v>22436</c:v>
                </c:pt>
                <c:pt idx="3">
                  <c:v>22507</c:v>
                </c:pt>
                <c:pt idx="4">
                  <c:v>22442</c:v>
                </c:pt>
                <c:pt idx="5">
                  <c:v>22239</c:v>
                </c:pt>
                <c:pt idx="6">
                  <c:v>21926</c:v>
                </c:pt>
              </c:numCache>
            </c:numRef>
          </c:val>
          <c:extLst xmlns:c16r2="http://schemas.microsoft.com/office/drawing/2015/06/chart">
            <c:ext xmlns:c16="http://schemas.microsoft.com/office/drawing/2014/chart" uri="{C3380CC4-5D6E-409C-BE32-E72D297353CC}">
              <c16:uniqueId val="{00000010-E4B7-4844-BA36-E2DBCE994B83}"/>
            </c:ext>
          </c:extLst>
        </c:ser>
        <c:dLbls>
          <c:showLegendKey val="0"/>
          <c:showVal val="0"/>
          <c:showCatName val="0"/>
          <c:showSerName val="0"/>
          <c:showPercent val="0"/>
          <c:showBubbleSize val="0"/>
        </c:dLbls>
        <c:gapWidth val="219"/>
        <c:overlap val="100"/>
        <c:axId val="400980728"/>
        <c:axId val="40098112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40940</c:v>
                </c:pt>
                <c:pt idx="1">
                  <c:v>41506</c:v>
                </c:pt>
                <c:pt idx="2">
                  <c:v>42286</c:v>
                </c:pt>
                <c:pt idx="3">
                  <c:v>42579</c:v>
                </c:pt>
                <c:pt idx="4">
                  <c:v>42608</c:v>
                </c:pt>
                <c:pt idx="5">
                  <c:v>42348</c:v>
                </c:pt>
                <c:pt idx="6">
                  <c:v>41839</c:v>
                </c:pt>
              </c:numCache>
            </c:numRef>
          </c:val>
          <c:smooth val="0"/>
          <c:extLst xmlns:c16r2="http://schemas.microsoft.com/office/drawing/2015/06/chart">
            <c:ext xmlns:c16="http://schemas.microsoft.com/office/drawing/2014/chart" uri="{C3380CC4-5D6E-409C-BE32-E72D297353CC}">
              <c16:uniqueId val="{00000011-E4B7-4844-BA36-E2DBCE994B83}"/>
            </c:ext>
          </c:extLst>
        </c:ser>
        <c:dLbls>
          <c:showLegendKey val="0"/>
          <c:showVal val="0"/>
          <c:showCatName val="0"/>
          <c:showSerName val="0"/>
          <c:showPercent val="0"/>
          <c:showBubbleSize val="0"/>
        </c:dLbls>
        <c:marker val="1"/>
        <c:smooth val="0"/>
        <c:axId val="400980728"/>
        <c:axId val="400981120"/>
      </c:lineChart>
      <c:catAx>
        <c:axId val="400980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81120"/>
        <c:crosses val="autoZero"/>
        <c:auto val="1"/>
        <c:lblAlgn val="ctr"/>
        <c:lblOffset val="100"/>
        <c:noMultiLvlLbl val="0"/>
      </c:catAx>
      <c:valAx>
        <c:axId val="4009811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8072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2540</c:v>
                </c:pt>
                <c:pt idx="1">
                  <c:v>2414</c:v>
                </c:pt>
                <c:pt idx="2">
                  <c:v>2369</c:v>
                </c:pt>
                <c:pt idx="3">
                  <c:v>2301</c:v>
                </c:pt>
                <c:pt idx="4">
                  <c:v>2201</c:v>
                </c:pt>
                <c:pt idx="5">
                  <c:v>2144</c:v>
                </c:pt>
                <c:pt idx="6">
                  <c:v>2093</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3721368"/>
        <c:axId val="400977984"/>
      </c:barChart>
      <c:catAx>
        <c:axId val="393721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77984"/>
        <c:crosses val="autoZero"/>
        <c:auto val="1"/>
        <c:lblAlgn val="ctr"/>
        <c:lblOffset val="100"/>
        <c:noMultiLvlLbl val="0"/>
      </c:catAx>
      <c:valAx>
        <c:axId val="4009779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213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檍地域自治区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306" t="s">
        <v>131</v>
      </c>
      <c r="L1" s="306"/>
      <c r="M1" s="306"/>
      <c r="N1" s="306"/>
      <c r="O1" s="306"/>
      <c r="P1" s="306"/>
      <c r="Q1" s="306"/>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45201_8</v>
      </c>
      <c r="B5" s="201" t="str">
        <f>VLOOKUP($A$5,$A$7:$CP$50,2,FALSE)</f>
        <v>宮崎市</v>
      </c>
      <c r="C5" s="201" t="str">
        <f>VLOOKUP($A$5,$A$7:$CP$50,3,FALSE)</f>
        <v>檍地域自治区</v>
      </c>
      <c r="D5" s="188">
        <f>VLOOKUP($A$5,$A$7:$CP$70,4,FALSE)</f>
        <v>19510</v>
      </c>
      <c r="E5" s="189">
        <f>VLOOKUP($A$5,$A$7:$CP$70,5,FALSE)</f>
        <v>6401</v>
      </c>
      <c r="F5" s="189">
        <f>VLOOKUP($A$5,$A$7:$CP$70,6,FALSE)</f>
        <v>2112</v>
      </c>
      <c r="G5" s="190">
        <f>VLOOKUP($A$5,$A$7:$CP$70,7,FALSE)</f>
        <v>2133</v>
      </c>
      <c r="H5" s="178">
        <f>VLOOKUP($A$5,$A$7:$CP$70,8,FALSE)</f>
        <v>0.32808815991799078</v>
      </c>
      <c r="I5" s="179">
        <f>VLOOKUP($A$5,$A$7:$CP$70,9,FALSE)</f>
        <v>0.10825217837006663</v>
      </c>
      <c r="J5" s="180">
        <f>VLOOKUP($A$5,$A$7:$CP$70,10,FALSE)</f>
        <v>0.10932854946181446</v>
      </c>
      <c r="K5" s="188">
        <f>VLOOKUP($A$5,$A$7:$CP$70,11,FALSE)</f>
        <v>42286</v>
      </c>
      <c r="L5" s="189">
        <f>VLOOKUP($A$5,$A$7:$CP$70,12,FALSE)</f>
        <v>2819</v>
      </c>
      <c r="M5" s="189">
        <f>VLOOKUP($A$5,$A$7:$CP$70,13,FALSE)</f>
        <v>17624</v>
      </c>
      <c r="N5" s="190">
        <f>VLOOKUP($A$5,$A$7:$CP$70,14,FALSE)</f>
        <v>15852</v>
      </c>
      <c r="O5" s="178">
        <f>VLOOKUP($A$5,$A$7:$CP$70,15,FALSE)</f>
        <v>6.6665090100742563E-2</v>
      </c>
      <c r="P5" s="179">
        <f>VLOOKUP($A$5,$A$7:$CP$70,16,FALSE)</f>
        <v>0.41678096769616424</v>
      </c>
      <c r="Q5" s="180">
        <f>VLOOKUP($A$5,$A$7:$CP$70,17,FALSE)</f>
        <v>0.3748758454334768</v>
      </c>
      <c r="R5" s="188">
        <f>VLOOKUP($A$5,$A$7:$CP$70,18,FALSE)</f>
        <v>42286</v>
      </c>
      <c r="S5" s="189">
        <f>VLOOKUP($A$5,$A$7:$CP$70,19,FALSE)</f>
        <v>6987</v>
      </c>
      <c r="T5" s="189">
        <f>VLOOKUP($A$5,$A$7:$CP$70,20,FALSE)</f>
        <v>1511</v>
      </c>
      <c r="U5" s="189">
        <f>VLOOKUP($A$5,$A$7:$CP$70,21,FALSE)</f>
        <v>2642</v>
      </c>
      <c r="V5" s="189">
        <f>VLOOKUP($A$5,$A$7:$CP$70,22,FALSE)</f>
        <v>127</v>
      </c>
      <c r="W5" s="190">
        <f>VLOOKUP($A$5,$A$7:$CP$70,23,FALSE)</f>
        <v>11267</v>
      </c>
      <c r="X5" s="188">
        <f>VLOOKUP($A$5,$A$7:$CP$70,24,FALSE)</f>
        <v>19849</v>
      </c>
      <c r="Y5" s="189">
        <f>VLOOKUP($A$5,$A$7:$CP$70,25,FALSE)</f>
        <v>3134</v>
      </c>
      <c r="Z5" s="189">
        <f>VLOOKUP($A$5,$A$7:$CP$70,26,FALSE)</f>
        <v>680</v>
      </c>
      <c r="AA5" s="189">
        <f>VLOOKUP($A$5,$A$7:$CP$70,27,FALSE)</f>
        <v>1477</v>
      </c>
      <c r="AB5" s="189">
        <f>VLOOKUP($A$5,$A$7:$CP$70,28,FALSE)</f>
        <v>54</v>
      </c>
      <c r="AC5" s="191">
        <f>VLOOKUP($A$5,$A$7:$CP$70,29,FALSE)</f>
        <v>5345</v>
      </c>
      <c r="AD5" s="188">
        <f>VLOOKUP($A$5,$A$7:$CP$70,30,FALSE)</f>
        <v>22437</v>
      </c>
      <c r="AE5" s="189">
        <f>VLOOKUP($A$5,$A$7:$CP$70,31,FALSE)</f>
        <v>3853</v>
      </c>
      <c r="AF5" s="189">
        <f>VLOOKUP($A$5,$A$7:$CP$70,32,FALSE)</f>
        <v>831</v>
      </c>
      <c r="AG5" s="189">
        <f>VLOOKUP($A$5,$A$7:$CP$70,33,FALSE)</f>
        <v>1165</v>
      </c>
      <c r="AH5" s="189">
        <f>VLOOKUP($A$5,$A$7:$CP$70,34,FALSE)</f>
        <v>73</v>
      </c>
      <c r="AI5" s="191">
        <f>VLOOKUP($A$5,$A$7:$CP$70,35,FALSE)</f>
        <v>5922</v>
      </c>
      <c r="AJ5" s="178">
        <f>VLOOKUP($A$5,$A$7:$CP$70,36,FALSE)</f>
        <v>0.2664475240032162</v>
      </c>
      <c r="AK5" s="179">
        <f>VLOOKUP($A$5,$A$7:$CP$70,37,FALSE)</f>
        <v>0.13410845832963522</v>
      </c>
      <c r="AL5" s="179">
        <f>VLOOKUP($A$5,$A$7:$CP$70,38,FALSE)</f>
        <v>0.23449010384308155</v>
      </c>
      <c r="AM5" s="179">
        <f>VLOOKUP($A$5,$A$7:$CP$70,39,FALSE)</f>
        <v>1.1271855862252596E-2</v>
      </c>
      <c r="AN5" s="182">
        <f>VLOOKUP($A$5,$A$7:$CP$70,40,FALSE)</f>
        <v>0.47439424869086716</v>
      </c>
      <c r="AO5" s="180">
        <f>VLOOKUP($A$5,$A$7:$CP$70,41,FALSE)</f>
        <v>0.5256057513091329</v>
      </c>
      <c r="AP5" s="192">
        <f>VLOOKUP($A$5,$A$7:$CP$70,42,FALSE)</f>
        <v>19292</v>
      </c>
      <c r="AQ5" s="189">
        <f>VLOOKUP($A$5,$A$7:$CP$70,43,FALSE)</f>
        <v>399</v>
      </c>
      <c r="AR5" s="189">
        <f>VLOOKUP($A$5,$A$7:$CP$70,44,FALSE)</f>
        <v>34</v>
      </c>
      <c r="AS5" s="189">
        <f>VLOOKUP($A$5,$A$7:$CP$70,45,FALSE)</f>
        <v>1</v>
      </c>
      <c r="AT5" s="189">
        <f>VLOOKUP($A$5,$A$7:$CP$70,46,FALSE)</f>
        <v>1357</v>
      </c>
      <c r="AU5" s="189">
        <f>VLOOKUP($A$5,$A$7:$CP$70,47,FALSE)</f>
        <v>1144</v>
      </c>
      <c r="AV5" s="189">
        <f>VLOOKUP($A$5,$A$7:$CP$70,48,FALSE)</f>
        <v>109</v>
      </c>
      <c r="AW5" s="189">
        <f>VLOOKUP($A$5,$A$7:$CP$70,49,FALSE)</f>
        <v>540</v>
      </c>
      <c r="AX5" s="189">
        <f>VLOOKUP($A$5,$A$7:$CP$70,50,FALSE)</f>
        <v>866</v>
      </c>
      <c r="AY5" s="189">
        <f>VLOOKUP($A$5,$A$7:$CP$70,51,FALSE)</f>
        <v>3747</v>
      </c>
      <c r="AZ5" s="189">
        <f>VLOOKUP($A$5,$A$7:$CP$70,52,FALSE)</f>
        <v>666</v>
      </c>
      <c r="BA5" s="189">
        <f>VLOOKUP($A$5,$A$7:$CP$70,53,FALSE)</f>
        <v>415</v>
      </c>
      <c r="BB5" s="189">
        <f>VLOOKUP($A$5,$A$7:$CP$70,54,FALSE)</f>
        <v>702</v>
      </c>
      <c r="BC5" s="189">
        <f>VLOOKUP($A$5,$A$7:$CP$70,55,FALSE)</f>
        <v>1299</v>
      </c>
      <c r="BD5" s="189">
        <f>VLOOKUP($A$5,$A$7:$CP$70,56,FALSE)</f>
        <v>828</v>
      </c>
      <c r="BE5" s="189">
        <f>VLOOKUP($A$5,$A$7:$CP$70,57,FALSE)</f>
        <v>998</v>
      </c>
      <c r="BF5" s="189">
        <f>VLOOKUP($A$5,$A$7:$CP$70,58,FALSE)</f>
        <v>3040</v>
      </c>
      <c r="BG5" s="189">
        <f>VLOOKUP($A$5,$A$7:$CP$70,59,FALSE)</f>
        <v>120</v>
      </c>
      <c r="BH5" s="189">
        <f>VLOOKUP($A$5,$A$7:$CP$70,60,FALSE)</f>
        <v>1332</v>
      </c>
      <c r="BI5" s="189">
        <f>VLOOKUP($A$5,$A$7:$CP$70,61,FALSE)</f>
        <v>1194</v>
      </c>
      <c r="BJ5" s="178">
        <f>VLOOKUP($A$5,$A$7:$CP$70,62,FALSE)</f>
        <v>2.0682148040638608E-2</v>
      </c>
      <c r="BK5" s="179">
        <f>VLOOKUP($A$5,$A$7:$CP$70,63,FALSE)</f>
        <v>1.762388554841385E-3</v>
      </c>
      <c r="BL5" s="179">
        <f>VLOOKUP($A$5,$A$7:$CP$70,64,FALSE)</f>
        <v>5.1834957495334856E-5</v>
      </c>
      <c r="BM5" s="179">
        <f>VLOOKUP($A$5,$A$7:$CP$70,65,FALSE)</f>
        <v>7.0340037321169391E-2</v>
      </c>
      <c r="BN5" s="179">
        <f>VLOOKUP($A$5,$A$7:$CP$70,66,FALSE)</f>
        <v>5.9299191374663072E-2</v>
      </c>
      <c r="BO5" s="179">
        <f>VLOOKUP($A$5,$A$7:$CP$70,67,FALSE)</f>
        <v>5.6500103669914993E-3</v>
      </c>
      <c r="BP5" s="179">
        <f>VLOOKUP($A$5,$A$7:$CP$70,68,FALSE)</f>
        <v>2.7990877047480822E-2</v>
      </c>
      <c r="BQ5" s="179">
        <f>VLOOKUP($A$5,$A$7:$CP$70,69,FALSE)</f>
        <v>4.4889073190959985E-2</v>
      </c>
      <c r="BR5" s="179">
        <f>VLOOKUP($A$5,$A$7:$CP$70,70,FALSE)</f>
        <v>0.19422558573501969</v>
      </c>
      <c r="BS5" s="179">
        <f>VLOOKUP($A$5,$A$7:$CP$70,71,FALSE)</f>
        <v>3.4522081691893011E-2</v>
      </c>
      <c r="BT5" s="179">
        <f>VLOOKUP($A$5,$A$7:$CP$70,72,FALSE)</f>
        <v>2.1511507360563963E-2</v>
      </c>
      <c r="BU5" s="179">
        <f>VLOOKUP($A$5,$A$7:$CP$70,73,FALSE)</f>
        <v>3.638814016172507E-2</v>
      </c>
      <c r="BV5" s="179">
        <f>VLOOKUP($A$5,$A$7:$CP$70,74,FALSE)</f>
        <v>6.7333609786439971E-2</v>
      </c>
      <c r="BW5" s="179">
        <f>VLOOKUP($A$5,$A$7:$CP$70,75,FALSE)</f>
        <v>4.2919344806137259E-2</v>
      </c>
      <c r="BX5" s="179">
        <f>VLOOKUP($A$5,$A$7:$CP$70,76,FALSE)</f>
        <v>5.1731287580344183E-2</v>
      </c>
      <c r="BY5" s="179">
        <f>VLOOKUP($A$5,$A$7:$CP$70,77,FALSE)</f>
        <v>0.15757827078581796</v>
      </c>
      <c r="BZ5" s="179">
        <f>VLOOKUP($A$5,$A$7:$CP$70,78,FALSE)</f>
        <v>6.2201948994401821E-3</v>
      </c>
      <c r="CA5" s="179">
        <f>VLOOKUP($A$5,$A$7:$CP$70,79,FALSE)</f>
        <v>6.9044163383786022E-2</v>
      </c>
      <c r="CB5" s="180">
        <f>VLOOKUP($A$5,$A$7:$CP$70,80,FALSE)</f>
        <v>6.1890939249429816E-2</v>
      </c>
      <c r="CC5" s="188">
        <f>VLOOKUP($A$5,$A$7:$CP$70,81,FALSE)</f>
        <v>19292</v>
      </c>
      <c r="CD5" s="190">
        <f>VLOOKUP($A$5,$A$7:$CP$70,82,FALSE)</f>
        <v>17836</v>
      </c>
      <c r="CE5" s="189">
        <f>VLOOKUP($A$5,$A$7:$CP$70,83,FALSE)</f>
        <v>960</v>
      </c>
      <c r="CF5" s="191">
        <f>VLOOKUP($A$5,$A$7:$CP$70,84,FALSE)</f>
        <v>98</v>
      </c>
      <c r="CG5" s="188">
        <f>VLOOKUP($A$5,$A$7:$CP$70,85,FALSE)</f>
        <v>1539</v>
      </c>
      <c r="CH5" s="189">
        <f>VLOOKUP($A$5,$A$7:$CP$70,86,FALSE)</f>
        <v>1423</v>
      </c>
      <c r="CI5" s="189">
        <f>VLOOKUP($A$5,$A$7:$CP$70,87,FALSE)</f>
        <v>33</v>
      </c>
      <c r="CJ5" s="191">
        <f>VLOOKUP($A$5,$A$7:$CP$70,88,FALSE)</f>
        <v>22</v>
      </c>
      <c r="CK5" s="178">
        <f>VLOOKUP($A$5,$A$7:$CP$70,89,FALSE)</f>
        <v>0.92452830188679247</v>
      </c>
      <c r="CL5" s="179">
        <f>VLOOKUP($A$5,$A$7:$CP$70,90,FALSE)</f>
        <v>4.9761559195521457E-2</v>
      </c>
      <c r="CM5" s="180">
        <f>VLOOKUP($A$5,$A$7:$CP$70,91,FALSE)</f>
        <v>5.0798258345428155E-3</v>
      </c>
      <c r="CN5" s="178">
        <f>VLOOKUP($A$5,$A$7:$CP$70,92,FALSE)</f>
        <v>0.92462638076673165</v>
      </c>
      <c r="CO5" s="179">
        <f>VLOOKUP($A$5,$A$7:$CP$70,93,FALSE)</f>
        <v>2.1442495126705652E-2</v>
      </c>
      <c r="CP5" s="180">
        <f>VLOOKUP($A$5,$A$7:$CP$70,94,FALSE)</f>
        <v>1.4294996751137101E-2</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檍地域自治区</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7">
        <f>管理者用グラフシート!E6</f>
        <v>42286</v>
      </c>
      <c r="F6" s="257"/>
      <c r="G6" s="20" t="s">
        <v>54</v>
      </c>
    </row>
    <row r="7" spans="1:10" ht="22.5" customHeight="1" x14ac:dyDescent="0.15">
      <c r="A7" s="250">
        <f>管理者用グラフシート!B4</f>
        <v>2010</v>
      </c>
      <c r="B7" s="250"/>
      <c r="C7" s="82" t="s">
        <v>226</v>
      </c>
      <c r="D7" s="249">
        <f>E6-管理者用グラフシート!E4</f>
        <v>1346</v>
      </c>
      <c r="E7" s="249"/>
      <c r="F7" s="20" t="s">
        <v>356</v>
      </c>
    </row>
    <row r="8" spans="1:10" ht="22.5" customHeight="1" x14ac:dyDescent="0.15">
      <c r="A8" s="258" t="s">
        <v>380</v>
      </c>
      <c r="B8" s="258"/>
      <c r="C8" s="204">
        <f>管理者用グラフシート!C6-管理者用グラフシート!C4</f>
        <v>769</v>
      </c>
      <c r="D8" s="207" t="s">
        <v>381</v>
      </c>
      <c r="F8" s="204">
        <f>管理者用グラフシート!D6-管理者用グラフシート!D4</f>
        <v>577</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4">
        <f>管理者用グラフシート!C12</f>
        <v>2369</v>
      </c>
      <c r="G36" s="254"/>
      <c r="H36" s="20" t="s">
        <v>54</v>
      </c>
    </row>
    <row r="37" spans="1:9" ht="22.5" customHeight="1" x14ac:dyDescent="0.15">
      <c r="A37" s="20" t="s">
        <v>66</v>
      </c>
      <c r="F37" s="254">
        <f>管理者用グラフシート!C16</f>
        <v>1149</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-171</v>
      </c>
      <c r="E40" s="249"/>
      <c r="F40" s="20" t="s">
        <v>60</v>
      </c>
    </row>
    <row r="41" spans="1:9" ht="22.5" customHeight="1" x14ac:dyDescent="0.15">
      <c r="B41" s="20" t="s">
        <v>69</v>
      </c>
      <c r="D41" s="249">
        <f>F37-管理者用グラフシート!C14</f>
        <v>-105</v>
      </c>
      <c r="E41" s="249"/>
      <c r="F41" s="20" t="s">
        <v>70</v>
      </c>
    </row>
    <row r="53" spans="1:13" ht="22.5" customHeight="1" x14ac:dyDescent="0.15">
      <c r="M53" s="72"/>
    </row>
    <row r="62" spans="1:13" ht="22.5" customHeight="1" thickBot="1" x14ac:dyDescent="0.2"/>
    <row r="63" spans="1:13" ht="22.5" customHeight="1" x14ac:dyDescent="0.15">
      <c r="A63" s="244" t="s">
        <v>472</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4">
        <f>管理者用グラフシート!C22</f>
        <v>10473</v>
      </c>
      <c r="D70" s="254"/>
      <c r="E70" s="20" t="s">
        <v>76</v>
      </c>
      <c r="F70" s="37"/>
      <c r="G70" s="253">
        <f>管理者用グラフシート!C32</f>
        <v>0.25</v>
      </c>
      <c r="H70" s="253"/>
      <c r="I70" s="20" t="s">
        <v>77</v>
      </c>
    </row>
    <row r="71" spans="1:9" ht="22.5" customHeight="1" x14ac:dyDescent="0.15">
      <c r="A71" s="20" t="s">
        <v>78</v>
      </c>
      <c r="C71" s="254">
        <f>管理者用グラフシート!C26</f>
        <v>5143</v>
      </c>
      <c r="D71" s="254"/>
      <c r="E71" s="20" t="s">
        <v>76</v>
      </c>
      <c r="F71" s="37"/>
      <c r="G71" s="253">
        <f>管理者用グラフシート!C36</f>
        <v>0.12</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5ポイント上昇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1ポイント上昇</v>
      </c>
      <c r="F75" s="255"/>
      <c r="G75" s="255"/>
      <c r="H75" s="20" t="s">
        <v>77</v>
      </c>
    </row>
    <row r="95" spans="1:9" ht="22.5" customHeight="1" thickBot="1" x14ac:dyDescent="0.2"/>
    <row r="96" spans="1:9" ht="22.5" customHeight="1" x14ac:dyDescent="0.15">
      <c r="A96" s="97" t="s">
        <v>473</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6">
        <f>SUM(管理者用グラフシート!B93:C94)-SUM(管理者用グラフシート!B45:C46)</f>
        <v>37</v>
      </c>
      <c r="G135" s="208" t="s">
        <v>386</v>
      </c>
      <c r="H135" s="111"/>
    </row>
    <row r="136" spans="1:8" ht="22.5" customHeight="1" x14ac:dyDescent="0.15">
      <c r="A136" s="35" t="s">
        <v>387</v>
      </c>
      <c r="C136" s="206">
        <f>SUM(管理者用グラフシート!B95:C96)-SUM(管理者用グラフシート!B47:C48)</f>
        <v>-958</v>
      </c>
      <c r="D136" s="20" t="s">
        <v>388</v>
      </c>
      <c r="E136" s="34"/>
      <c r="F136" s="206">
        <f>SUM(管理者用グラフシート!B97:C98)-SUM(管理者用グラフシート!B49:C50)</f>
        <v>915</v>
      </c>
      <c r="G136" s="20" t="s">
        <v>386</v>
      </c>
    </row>
    <row r="137" spans="1:8" ht="18.75" x14ac:dyDescent="0.15">
      <c r="A137" s="20" t="s">
        <v>389</v>
      </c>
      <c r="C137" s="206">
        <f>SUM(管理者用グラフシート!B99:C100)-SUM(管理者用グラフシート!B51:C52)</f>
        <v>46</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檍地域自治区</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4">
        <f>管理者用グラフシート!K8</f>
        <v>42608</v>
      </c>
      <c r="E6" s="254"/>
      <c r="F6" s="20" t="s">
        <v>231</v>
      </c>
      <c r="H6" s="34"/>
      <c r="I6" s="34"/>
    </row>
    <row r="7" spans="1:9" ht="22.5" customHeight="1" x14ac:dyDescent="0.15">
      <c r="A7" s="250">
        <f>管理者入力シート!B5</f>
        <v>2020</v>
      </c>
      <c r="B7" s="250"/>
      <c r="C7" s="195" t="s">
        <v>362</v>
      </c>
      <c r="D7" s="249">
        <f>D6-現況シート!E6</f>
        <v>322</v>
      </c>
      <c r="E7" s="249"/>
      <c r="F7" s="20" t="s">
        <v>232</v>
      </c>
      <c r="I7" s="34"/>
    </row>
    <row r="8" spans="1:9" ht="22.5" customHeight="1" x14ac:dyDescent="0.15">
      <c r="A8" s="258" t="s">
        <v>397</v>
      </c>
      <c r="B8" s="258"/>
      <c r="C8" s="206">
        <f>管理者用グラフシート!I8-管理者用グラフシート!C6</f>
        <v>316</v>
      </c>
      <c r="D8" s="207" t="s">
        <v>398</v>
      </c>
      <c r="F8" s="259">
        <f>管理者用グラフシート!J8-管理者用グラフシート!D6</f>
        <v>6</v>
      </c>
      <c r="G8" s="259"/>
      <c r="H8" s="20" t="s">
        <v>399</v>
      </c>
    </row>
    <row r="10" spans="1:9" ht="22.5" customHeight="1" x14ac:dyDescent="0.15">
      <c r="A10" s="250">
        <f>管理者入力シート!B11</f>
        <v>2040</v>
      </c>
      <c r="B10" s="250"/>
      <c r="C10" s="20" t="s">
        <v>361</v>
      </c>
      <c r="D10" s="254">
        <f>管理者用グラフシート!K10</f>
        <v>41839</v>
      </c>
      <c r="E10" s="254"/>
      <c r="F10" s="20" t="s">
        <v>231</v>
      </c>
      <c r="H10" s="34"/>
    </row>
    <row r="11" spans="1:9" ht="22.5" customHeight="1" x14ac:dyDescent="0.15">
      <c r="A11" s="250">
        <f>管理者入力シート!B5</f>
        <v>2020</v>
      </c>
      <c r="B11" s="250"/>
      <c r="C11" s="195" t="s">
        <v>362</v>
      </c>
      <c r="D11" s="249">
        <f>D10-現況シート!E6</f>
        <v>-447</v>
      </c>
      <c r="E11" s="249"/>
      <c r="F11" s="20" t="s">
        <v>232</v>
      </c>
      <c r="H11" s="34"/>
    </row>
    <row r="12" spans="1:9" ht="22.5" customHeight="1" x14ac:dyDescent="0.15">
      <c r="A12" s="258" t="s">
        <v>397</v>
      </c>
      <c r="B12" s="258"/>
      <c r="C12" s="206">
        <f>管理者用グラフシート!I10-管理者用グラフシート!C6</f>
        <v>63</v>
      </c>
      <c r="D12" s="207" t="s">
        <v>398</v>
      </c>
      <c r="F12" s="259">
        <f>管理者用グラフシート!J10-管理者用グラフシート!D6</f>
        <v>-510</v>
      </c>
      <c r="G12" s="259"/>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2093</v>
      </c>
      <c r="G36" s="254"/>
      <c r="H36" s="82" t="s">
        <v>233</v>
      </c>
      <c r="I36" s="34"/>
    </row>
    <row r="37" spans="1:9" ht="22.5" customHeight="1" x14ac:dyDescent="0.15">
      <c r="A37" s="20" t="s">
        <v>234</v>
      </c>
      <c r="F37" s="254">
        <f>管理者用グラフシート!I28</f>
        <v>1023</v>
      </c>
      <c r="G37" s="254"/>
      <c r="H37" s="109" t="s">
        <v>235</v>
      </c>
      <c r="I37" s="86"/>
    </row>
    <row r="38" spans="1:9" ht="22.5" customHeight="1" x14ac:dyDescent="0.15">
      <c r="D38" s="256"/>
      <c r="E38" s="256"/>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9">
        <f>F36-現況シート!F36</f>
        <v>-276</v>
      </c>
      <c r="G40" s="249"/>
      <c r="H40" s="35" t="s">
        <v>60</v>
      </c>
    </row>
    <row r="41" spans="1:9" ht="22.5" customHeight="1" x14ac:dyDescent="0.15">
      <c r="A41" s="20" t="s">
        <v>69</v>
      </c>
      <c r="C41" s="199">
        <f>管理者入力シート!B5</f>
        <v>2020</v>
      </c>
      <c r="D41" s="20" t="s">
        <v>374</v>
      </c>
      <c r="F41" s="249">
        <f>F37-現況シート!F37</f>
        <v>-126</v>
      </c>
      <c r="G41" s="249"/>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60" t="s">
        <v>363</v>
      </c>
      <c r="D69" s="260"/>
      <c r="F69" s="34"/>
      <c r="G69" s="37"/>
      <c r="H69" s="67"/>
      <c r="I69" s="71"/>
    </row>
    <row r="70" spans="1:9" ht="22.5" customHeight="1" x14ac:dyDescent="0.15">
      <c r="A70" s="20" t="s">
        <v>238</v>
      </c>
      <c r="C70" s="254">
        <f>管理者用グラフシート!I38</f>
        <v>12325</v>
      </c>
      <c r="D70" s="254"/>
      <c r="E70" s="82" t="s">
        <v>239</v>
      </c>
      <c r="F70" s="34"/>
      <c r="G70" s="253">
        <f>管理者用グラフシート!I56</f>
        <v>0.28999999999999998</v>
      </c>
      <c r="H70" s="253"/>
      <c r="I70" s="110" t="s">
        <v>240</v>
      </c>
    </row>
    <row r="71" spans="1:9" ht="22.5" customHeight="1" x14ac:dyDescent="0.15">
      <c r="A71" s="20" t="s">
        <v>241</v>
      </c>
      <c r="C71" s="254">
        <f>管理者用グラフシート!I46</f>
        <v>6741</v>
      </c>
      <c r="D71" s="254"/>
      <c r="E71" s="20" t="s">
        <v>239</v>
      </c>
      <c r="G71" s="261">
        <f>管理者用グラフシート!I64</f>
        <v>0.16</v>
      </c>
      <c r="H71" s="256"/>
      <c r="I71" s="20" t="s">
        <v>242</v>
      </c>
    </row>
    <row r="72" spans="1:9" ht="27.75" customHeight="1" x14ac:dyDescent="0.15">
      <c r="C72" s="81"/>
      <c r="D72" s="81"/>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4ポイント上昇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4ポイント上昇</v>
      </c>
      <c r="F75" s="255"/>
      <c r="G75" s="255"/>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6">
        <f>SUM(管理者用グラフシート!H97:I98)-SUM(管理者用グラフシート!B93:C94)</f>
        <v>-394</v>
      </c>
      <c r="H103" s="208" t="s">
        <v>60</v>
      </c>
    </row>
    <row r="104" spans="1:8" ht="22.5" customHeight="1" x14ac:dyDescent="0.15">
      <c r="A104" s="35" t="s">
        <v>387</v>
      </c>
      <c r="C104" s="206">
        <f>SUM(管理者用グラフシート!H99:I100)-SUM(管理者用グラフシート!B95:C96)</f>
        <v>142</v>
      </c>
      <c r="D104" s="20" t="s">
        <v>423</v>
      </c>
      <c r="E104" s="34"/>
      <c r="G104" s="206">
        <f>SUM(管理者用グラフシート!H101:I102)-SUM(管理者用グラフシート!B97:C98)</f>
        <v>-949</v>
      </c>
      <c r="H104" s="20" t="s">
        <v>60</v>
      </c>
    </row>
    <row r="105" spans="1:8" ht="22.5" customHeight="1" x14ac:dyDescent="0.15">
      <c r="A105" s="20" t="s">
        <v>389</v>
      </c>
      <c r="C105" s="206">
        <f>SUM(管理者用グラフシート!H103:I104)-SUM(管理者用グラフシート!B99:C100)</f>
        <v>893</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6">
        <f>SUM(管理者用グラフシート!H145:I146)-SUM(管理者用グラフシート!B93:C94)</f>
        <v>-555</v>
      </c>
      <c r="H137" s="208" t="s">
        <v>60</v>
      </c>
    </row>
    <row r="138" spans="1:8" ht="22.5" customHeight="1" x14ac:dyDescent="0.15">
      <c r="A138" s="35" t="s">
        <v>387</v>
      </c>
      <c r="C138" s="206">
        <f>SUM(管理者用グラフシート!H147:I148)-SUM(管理者用グラフシート!B95:C96)</f>
        <v>-418</v>
      </c>
      <c r="D138" s="20" t="s">
        <v>423</v>
      </c>
      <c r="E138" s="34"/>
      <c r="G138" s="243">
        <f>SUM(管理者用グラフシート!H149:I150)-SUM(管理者用グラフシート!B97:C98)</f>
        <v>-810</v>
      </c>
      <c r="H138" s="20" t="s">
        <v>60</v>
      </c>
    </row>
    <row r="139" spans="1:8" ht="22.5" customHeight="1" x14ac:dyDescent="0.15">
      <c r="A139" s="20" t="s">
        <v>389</v>
      </c>
      <c r="C139" s="206">
        <f>SUM(管理者用グラフシート!H151:I152)-SUM(管理者用グラフシート!B99:C100)</f>
        <v>-57</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檍地域自治区</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8">
        <f>管理者入力シート!B5</f>
        <v>2020</v>
      </c>
      <c r="C31" s="278"/>
      <c r="D31" s="83" t="s">
        <v>412</v>
      </c>
      <c r="E31" s="131"/>
      <c r="F31" s="131"/>
      <c r="G31" s="131"/>
      <c r="H31" s="131"/>
      <c r="I31" s="237"/>
    </row>
    <row r="32" spans="1:9" s="131" customFormat="1" ht="17.25" customHeight="1" x14ac:dyDescent="0.15">
      <c r="A32" s="159" t="s">
        <v>409</v>
      </c>
      <c r="B32" s="277">
        <f>管理者入力シート!B5</f>
        <v>2020</v>
      </c>
      <c r="C32" s="277"/>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4" t="s">
        <v>257</v>
      </c>
      <c r="C35" s="275"/>
      <c r="D35" s="276"/>
      <c r="F35" s="162"/>
      <c r="G35" s="240"/>
      <c r="H35" s="279" t="s">
        <v>410</v>
      </c>
      <c r="I35" s="280"/>
    </row>
    <row r="36" spans="1:9" s="132" customFormat="1" ht="17.25" customHeight="1" x14ac:dyDescent="0.15">
      <c r="A36" s="160"/>
      <c r="B36" s="215"/>
      <c r="C36" s="127" t="s">
        <v>21</v>
      </c>
      <c r="D36" s="216" t="s">
        <v>22</v>
      </c>
      <c r="F36" s="162"/>
      <c r="G36" s="238">
        <f>管理者入力シート!B8</f>
        <v>2025</v>
      </c>
      <c r="H36" s="270">
        <f>管理者用人口入力シート!EU22</f>
        <v>43041</v>
      </c>
      <c r="I36" s="271"/>
    </row>
    <row r="37" spans="1:9" s="130" customFormat="1" ht="17.25" customHeight="1" x14ac:dyDescent="0.15">
      <c r="A37" s="165"/>
      <c r="B37" s="226" t="s">
        <v>5</v>
      </c>
      <c r="C37" s="227">
        <f>管理者用人口入力シート!DX1</f>
        <v>77</v>
      </c>
      <c r="D37" s="228">
        <f>C37</f>
        <v>77</v>
      </c>
      <c r="F37" s="162"/>
      <c r="G37" s="238">
        <f>管理者入力シート!B9</f>
        <v>2030</v>
      </c>
      <c r="H37" s="270">
        <f>管理者用人口入力シート!EU25</f>
        <v>43717</v>
      </c>
      <c r="I37" s="271"/>
    </row>
    <row r="38" spans="1:9" s="132" customFormat="1" ht="17.25" customHeight="1" x14ac:dyDescent="0.15">
      <c r="A38" s="160"/>
      <c r="B38" s="226" t="s">
        <v>6</v>
      </c>
      <c r="C38" s="227">
        <f>C37</f>
        <v>77</v>
      </c>
      <c r="D38" s="228">
        <f>C37</f>
        <v>77</v>
      </c>
      <c r="F38" s="162"/>
      <c r="G38" s="238">
        <f>管理者入力シート!B10</f>
        <v>2035</v>
      </c>
      <c r="H38" s="270">
        <f>管理者用人口入力シート!EU28</f>
        <v>44120</v>
      </c>
      <c r="I38" s="271"/>
    </row>
    <row r="39" spans="1:9" ht="17.25" customHeight="1" thickBot="1" x14ac:dyDescent="0.2">
      <c r="A39" s="166"/>
      <c r="B39" s="229" t="s">
        <v>7</v>
      </c>
      <c r="C39" s="230">
        <f>C37</f>
        <v>77</v>
      </c>
      <c r="D39" s="231">
        <f>C37</f>
        <v>77</v>
      </c>
      <c r="F39" s="162"/>
      <c r="G39" s="239">
        <f>管理者入力シート!B11</f>
        <v>2040</v>
      </c>
      <c r="H39" s="272">
        <f>管理者用人口入力シート!EU31</f>
        <v>44258</v>
      </c>
      <c r="I39" s="273"/>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0">
        <f>管理者入力シート!B9</f>
        <v>2030</v>
      </c>
      <c r="B43" s="250"/>
      <c r="C43" s="20" t="s">
        <v>417</v>
      </c>
      <c r="D43" s="254">
        <f>管理者用グラフシート!U8</f>
        <v>42628</v>
      </c>
      <c r="E43" s="254"/>
      <c r="F43" s="20" t="s">
        <v>231</v>
      </c>
      <c r="H43" s="34"/>
      <c r="I43" s="34"/>
    </row>
    <row r="44" spans="1:9" ht="22.5" customHeight="1" x14ac:dyDescent="0.15">
      <c r="A44" s="250">
        <f>管理者入力シート!B11</f>
        <v>2040</v>
      </c>
      <c r="B44" s="250"/>
      <c r="C44" s="20" t="s">
        <v>417</v>
      </c>
      <c r="D44" s="254">
        <f>管理者用グラフシート!U10</f>
        <v>41881</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20</v>
      </c>
      <c r="E46" s="257"/>
      <c r="F46" s="20" t="s">
        <v>122</v>
      </c>
    </row>
    <row r="47" spans="1:9" ht="22.5" customHeight="1" x14ac:dyDescent="0.15">
      <c r="A47" s="250">
        <f>管理者入力シート!B11</f>
        <v>2040</v>
      </c>
      <c r="B47" s="250"/>
      <c r="C47" s="20" t="s">
        <v>418</v>
      </c>
      <c r="D47" s="257">
        <f>D44-将来予測シート①!D10</f>
        <v>42</v>
      </c>
      <c r="E47" s="257"/>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4">
        <f>管理者用グラフシート!Q20</f>
        <v>2098</v>
      </c>
      <c r="G78" s="254"/>
      <c r="H78" s="82" t="s">
        <v>264</v>
      </c>
      <c r="I78" s="34"/>
    </row>
    <row r="79" spans="1:9" ht="22.5" customHeight="1" x14ac:dyDescent="0.15">
      <c r="A79" s="20" t="s">
        <v>234</v>
      </c>
      <c r="F79" s="254">
        <f>管理者用グラフシート!Q28</f>
        <v>1026</v>
      </c>
      <c r="G79" s="254"/>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9">
        <f>F78-将来予測シート①!F36</f>
        <v>5</v>
      </c>
      <c r="D82" s="249"/>
      <c r="E82" s="20" t="s">
        <v>60</v>
      </c>
    </row>
    <row r="83" spans="1:13" ht="22.5" customHeight="1" x14ac:dyDescent="0.15">
      <c r="A83" s="20" t="s">
        <v>69</v>
      </c>
      <c r="C83" s="249">
        <f>F79-将来予測シート①!F37</f>
        <v>3</v>
      </c>
      <c r="D83" s="249"/>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4">
        <f>管理者用グラフシート!Q38</f>
        <v>12325</v>
      </c>
      <c r="D112" s="254"/>
      <c r="E112" s="20" t="s">
        <v>270</v>
      </c>
      <c r="F112" s="36"/>
      <c r="G112" s="111">
        <f>管理者用グラフシート!Q56</f>
        <v>0.28999999999999998</v>
      </c>
      <c r="H112" s="82" t="s">
        <v>271</v>
      </c>
      <c r="I112" s="34"/>
    </row>
    <row r="113" spans="1:9" ht="22.5" customHeight="1" x14ac:dyDescent="0.15">
      <c r="A113" s="20" t="s">
        <v>268</v>
      </c>
      <c r="C113" s="254">
        <f>管理者用グラフシート!Q46</f>
        <v>6741</v>
      </c>
      <c r="D113" s="254"/>
      <c r="E113" s="82" t="s">
        <v>270</v>
      </c>
      <c r="F113" s="34"/>
      <c r="G113" s="111">
        <f>管理者用グラフシート!Q64</f>
        <v>0.16</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2" t="str">
        <f>管理者入力シート!B4</f>
        <v>檍地域自治区</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0.32808815991799078</v>
      </c>
      <c r="G7" s="281"/>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6" t="str">
        <f>地域特徴シート!A1</f>
        <v>檍地域自治区</v>
      </c>
      <c r="B11" s="256"/>
      <c r="C11" s="257">
        <f>管理者用地域特徴シート!D5</f>
        <v>19510</v>
      </c>
      <c r="D11" s="256"/>
      <c r="E11" s="20" t="s">
        <v>413</v>
      </c>
    </row>
    <row r="12" spans="1:8" ht="22.5" customHeight="1" x14ac:dyDescent="0.15">
      <c r="A12" s="256" t="str">
        <f>A8</f>
        <v>宮崎市</v>
      </c>
      <c r="B12" s="256"/>
      <c r="C12" s="257">
        <f>管理者用地域特徴シート!D4</f>
        <v>183782</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1">
        <f>管理者用地域特徴シート!J5</f>
        <v>0.10932854946181446</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0.41678096769616424</v>
      </c>
      <c r="G37" s="281"/>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11267</v>
      </c>
      <c r="F70" s="282"/>
      <c r="G70" s="20" t="s">
        <v>290</v>
      </c>
    </row>
    <row r="71" spans="1:8" ht="22.5" customHeight="1" x14ac:dyDescent="0.15">
      <c r="A71" s="20" t="s">
        <v>295</v>
      </c>
      <c r="F71" s="281">
        <f>管理者用地域特徴シート!AK5</f>
        <v>0.13410845832963522</v>
      </c>
      <c r="G71" s="281"/>
      <c r="H71" s="20" t="s">
        <v>271</v>
      </c>
    </row>
    <row r="72" spans="1:8" ht="22.5" customHeight="1" x14ac:dyDescent="0.15">
      <c r="A72" s="20" t="s">
        <v>296</v>
      </c>
      <c r="F72" s="281">
        <f>管理者用地域特徴シート!AL5</f>
        <v>0.23449010384308155</v>
      </c>
      <c r="G72" s="281"/>
      <c r="H72" s="20" t="s">
        <v>297</v>
      </c>
    </row>
    <row r="73" spans="1:8" ht="22.5" customHeight="1" x14ac:dyDescent="0.15">
      <c r="A73" s="20" t="s">
        <v>298</v>
      </c>
      <c r="E73" s="281"/>
      <c r="F73" s="281"/>
    </row>
    <row r="74" spans="1:8" ht="22.5" customHeight="1" x14ac:dyDescent="0.15">
      <c r="A74" s="20" t="s">
        <v>339</v>
      </c>
      <c r="C74" s="177">
        <f>管理者用地域特徴シート!AN5</f>
        <v>0.47439424869086716</v>
      </c>
      <c r="D74" s="156" t="s">
        <v>299</v>
      </c>
      <c r="E74" s="177">
        <f>管理者用地域特徴シート!AO5</f>
        <v>0.5256057513091329</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0.92452830188679247</v>
      </c>
      <c r="D139" s="281"/>
      <c r="E139" s="20" t="s">
        <v>316</v>
      </c>
      <c r="F139" s="157" t="str">
        <f>管理者入力シート!B3</f>
        <v>宮崎市</v>
      </c>
      <c r="G139" s="158" t="s">
        <v>317</v>
      </c>
    </row>
    <row r="140" spans="1:8" ht="22.5" customHeight="1" x14ac:dyDescent="0.15">
      <c r="A140" s="20" t="s">
        <v>318</v>
      </c>
    </row>
    <row r="141" spans="1:8" ht="22.5" customHeight="1" x14ac:dyDescent="0.15">
      <c r="C141" s="281">
        <f>管理者用地域特徴シート!CN5</f>
        <v>0.92462638076673165</v>
      </c>
      <c r="D141" s="281"/>
      <c r="E141" s="20" t="s">
        <v>316</v>
      </c>
      <c r="F141" s="157" t="str">
        <f>管理者入力シート!B3</f>
        <v>宮崎市</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檍地域自治区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45201_8</v>
      </c>
      <c r="B1" s="24" t="s">
        <v>44</v>
      </c>
      <c r="C1" s="25"/>
      <c r="D1" s="304" t="s">
        <v>0</v>
      </c>
      <c r="E1" s="304" t="s">
        <v>1</v>
      </c>
      <c r="F1" s="304" t="s">
        <v>2</v>
      </c>
      <c r="G1" s="304" t="s">
        <v>3</v>
      </c>
      <c r="H1" s="304" t="s">
        <v>4</v>
      </c>
      <c r="I1" s="304" t="s">
        <v>5</v>
      </c>
      <c r="J1" s="304" t="s">
        <v>6</v>
      </c>
      <c r="K1" s="304" t="s">
        <v>7</v>
      </c>
      <c r="L1" s="304" t="s">
        <v>8</v>
      </c>
      <c r="M1" s="304" t="s">
        <v>9</v>
      </c>
      <c r="N1" s="304" t="s">
        <v>10</v>
      </c>
      <c r="O1" s="304" t="s">
        <v>11</v>
      </c>
      <c r="P1" s="304" t="s">
        <v>12</v>
      </c>
      <c r="Q1" s="304" t="s">
        <v>13</v>
      </c>
      <c r="R1" s="304" t="s">
        <v>14</v>
      </c>
      <c r="S1" s="304" t="s">
        <v>15</v>
      </c>
      <c r="T1" s="304" t="s">
        <v>16</v>
      </c>
      <c r="U1" s="304" t="s">
        <v>17</v>
      </c>
      <c r="V1" s="304" t="s">
        <v>18</v>
      </c>
      <c r="W1" s="304" t="s">
        <v>19</v>
      </c>
      <c r="X1" s="304" t="s">
        <v>20</v>
      </c>
      <c r="Y1" s="304" t="s">
        <v>23</v>
      </c>
      <c r="Z1" s="301" t="s">
        <v>50</v>
      </c>
      <c r="AA1" s="301" t="s">
        <v>51</v>
      </c>
      <c r="AB1" s="302" t="s">
        <v>79</v>
      </c>
      <c r="AC1" s="302" t="s">
        <v>80</v>
      </c>
      <c r="AD1" s="301" t="s">
        <v>48</v>
      </c>
      <c r="AE1" s="301" t="s">
        <v>49</v>
      </c>
      <c r="AF1" s="301" t="s">
        <v>97</v>
      </c>
      <c r="AH1" s="7"/>
      <c r="AI1" s="42" t="s">
        <v>25</v>
      </c>
      <c r="AJ1" s="40" t="s">
        <v>90</v>
      </c>
      <c r="AK1" s="41"/>
      <c r="AL1" s="306" t="s">
        <v>89</v>
      </c>
      <c r="AM1" s="300" t="s">
        <v>27</v>
      </c>
      <c r="AN1" s="300" t="s">
        <v>28</v>
      </c>
      <c r="AO1" s="300" t="s">
        <v>26</v>
      </c>
      <c r="AP1" s="300" t="s">
        <v>29</v>
      </c>
      <c r="AQ1" s="300" t="s">
        <v>30</v>
      </c>
      <c r="AR1" s="300" t="s">
        <v>31</v>
      </c>
      <c r="AS1" s="300" t="s">
        <v>32</v>
      </c>
      <c r="AT1" s="300" t="s">
        <v>33</v>
      </c>
      <c r="AU1" s="300" t="s">
        <v>34</v>
      </c>
      <c r="AV1" s="300" t="s">
        <v>35</v>
      </c>
      <c r="AW1" s="300" t="s">
        <v>36</v>
      </c>
      <c r="AX1" s="300" t="s">
        <v>37</v>
      </c>
      <c r="AY1" s="300" t="s">
        <v>38</v>
      </c>
      <c r="AZ1" s="300" t="s">
        <v>39</v>
      </c>
      <c r="BA1" s="300" t="s">
        <v>40</v>
      </c>
      <c r="BB1" s="300" t="s">
        <v>45</v>
      </c>
      <c r="BC1" s="300" t="s">
        <v>41</v>
      </c>
      <c r="BD1" s="300" t="s">
        <v>42</v>
      </c>
      <c r="BE1" s="300" t="s">
        <v>46</v>
      </c>
      <c r="BF1" s="300"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296" t="s">
        <v>50</v>
      </c>
      <c r="CH1" s="296" t="s">
        <v>51</v>
      </c>
      <c r="CI1" s="297" t="s">
        <v>79</v>
      </c>
      <c r="CJ1" s="297" t="s">
        <v>80</v>
      </c>
      <c r="CK1" s="296" t="s">
        <v>48</v>
      </c>
      <c r="CL1" s="296" t="s">
        <v>49</v>
      </c>
      <c r="CM1" s="296" t="s">
        <v>97</v>
      </c>
      <c r="CP1" s="74" t="s">
        <v>44</v>
      </c>
      <c r="CQ1" s="75"/>
      <c r="CR1" s="295" t="s">
        <v>0</v>
      </c>
      <c r="CS1" s="295" t="s">
        <v>1</v>
      </c>
      <c r="CT1" s="295" t="s">
        <v>2</v>
      </c>
      <c r="CU1" s="295" t="s">
        <v>3</v>
      </c>
      <c r="CV1" s="295" t="s">
        <v>4</v>
      </c>
      <c r="CW1" s="295" t="s">
        <v>5</v>
      </c>
      <c r="CX1" s="295" t="s">
        <v>6</v>
      </c>
      <c r="CY1" s="295" t="s">
        <v>7</v>
      </c>
      <c r="CZ1" s="295" t="s">
        <v>8</v>
      </c>
      <c r="DA1" s="295" t="s">
        <v>9</v>
      </c>
      <c r="DB1" s="295" t="s">
        <v>10</v>
      </c>
      <c r="DC1" s="295" t="s">
        <v>11</v>
      </c>
      <c r="DD1" s="295" t="s">
        <v>12</v>
      </c>
      <c r="DE1" s="295" t="s">
        <v>13</v>
      </c>
      <c r="DF1" s="295" t="s">
        <v>14</v>
      </c>
      <c r="DG1" s="295" t="s">
        <v>15</v>
      </c>
      <c r="DH1" s="295" t="s">
        <v>16</v>
      </c>
      <c r="DI1" s="295" t="s">
        <v>17</v>
      </c>
      <c r="DJ1" s="295" t="s">
        <v>18</v>
      </c>
      <c r="DK1" s="295" t="s">
        <v>19</v>
      </c>
      <c r="DL1" s="295" t="s">
        <v>20</v>
      </c>
      <c r="DM1" s="295" t="s">
        <v>23</v>
      </c>
      <c r="DN1" s="292" t="s">
        <v>50</v>
      </c>
      <c r="DO1" s="292" t="s">
        <v>51</v>
      </c>
      <c r="DP1" s="293" t="s">
        <v>79</v>
      </c>
      <c r="DQ1" s="293" t="s">
        <v>80</v>
      </c>
      <c r="DR1" s="292" t="s">
        <v>48</v>
      </c>
      <c r="DS1" s="292" t="s">
        <v>49</v>
      </c>
      <c r="DT1" s="292" t="s">
        <v>97</v>
      </c>
      <c r="DV1" s="312" t="s">
        <v>475</v>
      </c>
      <c r="DW1" s="313"/>
      <c r="DX1" s="308">
        <f>DW17</f>
        <v>77</v>
      </c>
      <c r="DY1" s="309"/>
      <c r="DZ1" s="305" t="s">
        <v>0</v>
      </c>
      <c r="EA1" s="305" t="s">
        <v>1</v>
      </c>
      <c r="EB1" s="305" t="s">
        <v>2</v>
      </c>
      <c r="EC1" s="305" t="s">
        <v>3</v>
      </c>
      <c r="ED1" s="305" t="s">
        <v>4</v>
      </c>
      <c r="EE1" s="305" t="s">
        <v>5</v>
      </c>
      <c r="EF1" s="305" t="s">
        <v>6</v>
      </c>
      <c r="EG1" s="305" t="s">
        <v>7</v>
      </c>
      <c r="EH1" s="305" t="s">
        <v>8</v>
      </c>
      <c r="EI1" s="305" t="s">
        <v>9</v>
      </c>
      <c r="EJ1" s="305" t="s">
        <v>10</v>
      </c>
      <c r="EK1" s="305" t="s">
        <v>11</v>
      </c>
      <c r="EL1" s="305" t="s">
        <v>12</v>
      </c>
      <c r="EM1" s="305" t="s">
        <v>13</v>
      </c>
      <c r="EN1" s="305" t="s">
        <v>14</v>
      </c>
      <c r="EO1" s="305" t="s">
        <v>15</v>
      </c>
      <c r="EP1" s="305" t="s">
        <v>16</v>
      </c>
      <c r="EQ1" s="305" t="s">
        <v>17</v>
      </c>
      <c r="ER1" s="305" t="s">
        <v>18</v>
      </c>
      <c r="ES1" s="305" t="s">
        <v>19</v>
      </c>
      <c r="ET1" s="305" t="s">
        <v>20</v>
      </c>
      <c r="EU1" s="305" t="s">
        <v>23</v>
      </c>
      <c r="EV1" s="307" t="s">
        <v>50</v>
      </c>
      <c r="EW1" s="307" t="s">
        <v>51</v>
      </c>
      <c r="EX1" s="314" t="s">
        <v>79</v>
      </c>
      <c r="EY1" s="314" t="s">
        <v>80</v>
      </c>
      <c r="EZ1" s="307" t="s">
        <v>48</v>
      </c>
      <c r="FA1" s="307" t="s">
        <v>49</v>
      </c>
      <c r="FB1" s="307" t="s">
        <v>97</v>
      </c>
    </row>
    <row r="2" spans="1:158" x14ac:dyDescent="0.15">
      <c r="A2" s="7" t="s">
        <v>56</v>
      </c>
      <c r="B2" s="26"/>
      <c r="C2" s="27"/>
      <c r="D2" s="304"/>
      <c r="E2" s="304"/>
      <c r="F2" s="304"/>
      <c r="G2" s="304"/>
      <c r="H2" s="304"/>
      <c r="I2" s="304"/>
      <c r="J2" s="304"/>
      <c r="K2" s="304"/>
      <c r="L2" s="304"/>
      <c r="M2" s="304"/>
      <c r="N2" s="304"/>
      <c r="O2" s="304"/>
      <c r="P2" s="304"/>
      <c r="Q2" s="304"/>
      <c r="R2" s="304"/>
      <c r="S2" s="304"/>
      <c r="T2" s="304"/>
      <c r="U2" s="304"/>
      <c r="V2" s="304"/>
      <c r="W2" s="304"/>
      <c r="X2" s="304"/>
      <c r="Y2" s="304"/>
      <c r="Z2" s="301"/>
      <c r="AA2" s="301"/>
      <c r="AB2" s="303"/>
      <c r="AC2" s="303"/>
      <c r="AD2" s="301"/>
      <c r="AE2" s="301"/>
      <c r="AF2" s="301"/>
      <c r="AI2" s="43"/>
      <c r="AJ2" s="44"/>
      <c r="AK2" s="45"/>
      <c r="AL2" s="306"/>
      <c r="AM2" s="300"/>
      <c r="AN2" s="300"/>
      <c r="AO2" s="300"/>
      <c r="AP2" s="300"/>
      <c r="AQ2" s="300"/>
      <c r="AR2" s="300"/>
      <c r="AS2" s="300"/>
      <c r="AT2" s="300"/>
      <c r="AU2" s="300"/>
      <c r="AV2" s="300"/>
      <c r="AW2" s="300"/>
      <c r="AX2" s="300"/>
      <c r="AY2" s="300"/>
      <c r="AZ2" s="300"/>
      <c r="BA2" s="300"/>
      <c r="BB2" s="300"/>
      <c r="BC2" s="300"/>
      <c r="BD2" s="300"/>
      <c r="BE2" s="300"/>
      <c r="BF2" s="300"/>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296"/>
      <c r="CH2" s="296"/>
      <c r="CI2" s="298"/>
      <c r="CJ2" s="298"/>
      <c r="CK2" s="296"/>
      <c r="CL2" s="296"/>
      <c r="CM2" s="296"/>
      <c r="CO2" s="7" t="s">
        <v>56</v>
      </c>
      <c r="CP2" s="76" t="s">
        <v>117</v>
      </c>
      <c r="CQ2" s="77"/>
      <c r="CR2" s="295"/>
      <c r="CS2" s="295"/>
      <c r="CT2" s="295"/>
      <c r="CU2" s="295"/>
      <c r="CV2" s="295"/>
      <c r="CW2" s="295"/>
      <c r="CX2" s="295"/>
      <c r="CY2" s="295"/>
      <c r="CZ2" s="295"/>
      <c r="DA2" s="295"/>
      <c r="DB2" s="295"/>
      <c r="DC2" s="295"/>
      <c r="DD2" s="295"/>
      <c r="DE2" s="295"/>
      <c r="DF2" s="295"/>
      <c r="DG2" s="295"/>
      <c r="DH2" s="295"/>
      <c r="DI2" s="295"/>
      <c r="DJ2" s="295"/>
      <c r="DK2" s="295"/>
      <c r="DL2" s="295"/>
      <c r="DM2" s="295"/>
      <c r="DN2" s="292"/>
      <c r="DO2" s="292"/>
      <c r="DP2" s="294"/>
      <c r="DQ2" s="294"/>
      <c r="DR2" s="292"/>
      <c r="DS2" s="292"/>
      <c r="DT2" s="292"/>
      <c r="DV2" s="312"/>
      <c r="DW2" s="313"/>
      <c r="DX2" s="310"/>
      <c r="DY2" s="311"/>
      <c r="DZ2" s="305"/>
      <c r="EA2" s="305"/>
      <c r="EB2" s="305"/>
      <c r="EC2" s="305"/>
      <c r="ED2" s="305"/>
      <c r="EE2" s="305"/>
      <c r="EF2" s="305"/>
      <c r="EG2" s="305"/>
      <c r="EH2" s="305"/>
      <c r="EI2" s="305"/>
      <c r="EJ2" s="305"/>
      <c r="EK2" s="305"/>
      <c r="EL2" s="305"/>
      <c r="EM2" s="305"/>
      <c r="EN2" s="305"/>
      <c r="EO2" s="305"/>
      <c r="EP2" s="305"/>
      <c r="EQ2" s="305"/>
      <c r="ER2" s="305"/>
      <c r="ES2" s="305"/>
      <c r="ET2" s="305"/>
      <c r="EU2" s="305"/>
      <c r="EV2" s="307"/>
      <c r="EW2" s="307"/>
      <c r="EX2" s="315"/>
      <c r="EY2" s="315"/>
      <c r="EZ2" s="307"/>
      <c r="FA2" s="307"/>
      <c r="FB2" s="307"/>
    </row>
    <row r="3" spans="1:158" x14ac:dyDescent="0.15">
      <c r="A3" s="7" t="str">
        <f>B3&amp;"_"&amp;IF(C3="男性",1,IF(C3="女性",2,IF(C3="合計",3)))</f>
        <v>2005_1</v>
      </c>
      <c r="B3" s="28">
        <v>2005</v>
      </c>
      <c r="C3" s="3" t="s">
        <v>21</v>
      </c>
      <c r="D3" s="184">
        <v>1125.624757363853</v>
      </c>
      <c r="E3" s="9">
        <v>1122.6495049695695</v>
      </c>
      <c r="F3" s="9">
        <v>1141.6701890852569</v>
      </c>
      <c r="G3" s="9">
        <v>1042.5649877959368</v>
      </c>
      <c r="H3" s="9">
        <v>842.47052927022571</v>
      </c>
      <c r="I3" s="9">
        <v>1420.9028604874973</v>
      </c>
      <c r="J3" s="9">
        <v>1744.1137780239435</v>
      </c>
      <c r="K3" s="9">
        <v>1324.7868136895786</v>
      </c>
      <c r="L3" s="9">
        <v>1269.7204307032418</v>
      </c>
      <c r="M3" s="9">
        <v>1336.7322112426639</v>
      </c>
      <c r="N3" s="9">
        <v>1430.8236937869008</v>
      </c>
      <c r="O3" s="9">
        <v>1447.8588454846356</v>
      </c>
      <c r="P3" s="9">
        <v>1072.5946138583638</v>
      </c>
      <c r="Q3" s="9">
        <v>866.45325663452252</v>
      </c>
      <c r="R3" s="9">
        <v>793.41213064505757</v>
      </c>
      <c r="S3" s="9">
        <v>712.34318492229011</v>
      </c>
      <c r="T3" s="9">
        <v>351.17348200595467</v>
      </c>
      <c r="U3" s="9">
        <v>147.06894010898338</v>
      </c>
      <c r="V3" s="9">
        <v>62.022146093325063</v>
      </c>
      <c r="W3" s="9">
        <v>16.013643828199545</v>
      </c>
      <c r="X3" s="9">
        <v>0</v>
      </c>
      <c r="Y3" s="9">
        <f>SUM(D3:X3)</f>
        <v>19271</v>
      </c>
      <c r="Z3" s="9">
        <f>E3*3/5+F3*3/5</f>
        <v>1358.5918164328959</v>
      </c>
      <c r="AA3" s="9">
        <f>F3*2/5+G3*1/5</f>
        <v>665.1810731932901</v>
      </c>
      <c r="AB3" s="9">
        <f t="shared" ref="AB3:AB20" si="0">SUM(Q3:X3)</f>
        <v>2948.4867842383328</v>
      </c>
      <c r="AC3" s="9">
        <f>SUM(S3:X3)</f>
        <v>1288.6213969587529</v>
      </c>
      <c r="AD3" s="13">
        <f>AB3/Y3</f>
        <v>0.15300123419845016</v>
      </c>
      <c r="AE3" s="13">
        <f>AC3/Y3</f>
        <v>6.6868423899058324E-2</v>
      </c>
      <c r="AF3" s="9">
        <f>SUM(H3:K3)</f>
        <v>5332.273981471245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0.8525026236467359</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0.99246282454871848</v>
      </c>
      <c r="AO3" s="6">
        <f t="shared" si="1"/>
        <v>0.88422398472718866</v>
      </c>
      <c r="AP3" s="6">
        <f t="shared" si="1"/>
        <v>0.8458833528974854</v>
      </c>
      <c r="AQ3" s="6">
        <f t="shared" si="1"/>
        <v>1.5090441920337174</v>
      </c>
      <c r="AR3" s="6">
        <f t="shared" si="1"/>
        <v>1.1837414451422499</v>
      </c>
      <c r="AS3" s="6">
        <f t="shared" si="1"/>
        <v>1.0071101162503351</v>
      </c>
      <c r="AT3" s="6">
        <f t="shared" si="1"/>
        <v>1.0150381416849861</v>
      </c>
      <c r="AU3" s="6">
        <f t="shared" si="1"/>
        <v>1.0372329651133203</v>
      </c>
      <c r="AV3" s="6">
        <f t="shared" si="1"/>
        <v>0.98236429731575781</v>
      </c>
      <c r="AW3" s="6">
        <f t="shared" si="1"/>
        <v>1.0586165868885522</v>
      </c>
      <c r="AX3" s="6">
        <f t="shared" si="1"/>
        <v>0.97865802186295914</v>
      </c>
      <c r="AY3" s="6">
        <f t="shared" si="1"/>
        <v>0.97998849004692323</v>
      </c>
      <c r="AZ3" s="6">
        <f t="shared" si="1"/>
        <v>0.93955198455931332</v>
      </c>
      <c r="BA3" s="6">
        <f t="shared" si="1"/>
        <v>0.84656029397448318</v>
      </c>
      <c r="BB3" s="6">
        <f t="shared" si="1"/>
        <v>0.78803048661453812</v>
      </c>
      <c r="BC3" s="6">
        <f t="shared" si="1"/>
        <v>0.66163118383572062</v>
      </c>
      <c r="BD3" s="6">
        <f t="shared" si="1"/>
        <v>0.45528094986970485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0.28538761471640034</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0.17426721656637845</v>
      </c>
      <c r="BH3" s="7" t="str">
        <f>BI3&amp;"_"&amp;IF(BJ3="男性",1,IF(BJ3="女性",2,IF(BJ3="合計",3)))</f>
        <v>2025_1</v>
      </c>
      <c r="BI3" s="28">
        <f>管理者入力シート!B8</f>
        <v>2025</v>
      </c>
      <c r="BJ3" s="3" t="s">
        <v>21</v>
      </c>
      <c r="BK3" s="9">
        <f>CM4*AK$13</f>
        <v>1086.5312251454461</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955.55746465224684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986.83882114242863</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906.50907169991092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742.58494657167239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1185.5027799369941</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1362.1932699841627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1269.6865606303331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1326.9782340922291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1517.2545857964412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1578.2127339289354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1306.3956823125861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1240.1996940398176</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1140.089265093093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1188.1684216479969</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1071.4768968651233</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618.62939605991414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355.57411317110922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170.08107834209071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57.473419780690485</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4.8671351841126986</v>
      </c>
      <c r="CF3" s="9">
        <f t="shared" ref="CF3:CF14" si="2">SUM(BK3:CE3)</f>
        <v>20070.804796077329</v>
      </c>
      <c r="CG3" s="9">
        <f>BL3*3/5+BM3*3/5</f>
        <v>1165.4377714768052</v>
      </c>
      <c r="CH3" s="9">
        <f>BM3*2/5+BN3*1/5</f>
        <v>576.03734279695368</v>
      </c>
      <c r="CI3" s="9">
        <f t="shared" ref="CI3:CI14" si="3">SUM(BX3:CE3)</f>
        <v>4606.3597261441309</v>
      </c>
      <c r="CJ3" s="9">
        <f>SUM(BZ3:CE3)</f>
        <v>2278.1020394030406</v>
      </c>
      <c r="CK3" s="13">
        <f>CI3/CF3</f>
        <v>0.22950548186510217</v>
      </c>
      <c r="CL3" s="13">
        <f>CJ3/CF3</f>
        <v>0.1135032731646255</v>
      </c>
      <c r="CM3" s="9">
        <f>SUM(BO3:BR3)</f>
        <v>4559.9675571231619</v>
      </c>
      <c r="CO3" s="7" t="str">
        <f>CP3&amp;"_"&amp;IF(CQ3="男性",1,IF(CQ3="女性",2,IF(CQ3="合計",3)))</f>
        <v>2025_1</v>
      </c>
      <c r="CP3" s="28">
        <f>管理者入力シート!B8</f>
        <v>2025</v>
      </c>
      <c r="CQ3" s="3" t="s">
        <v>21</v>
      </c>
      <c r="CR3" s="9">
        <f>BK3+将来予測シート②!$G17</f>
        <v>1087.5312251454461</v>
      </c>
      <c r="CS3" s="9">
        <f>BL3+将来予測シート②!$G18</f>
        <v>955.55746465224684</v>
      </c>
      <c r="CT3" s="9">
        <f>BM3+将来予測シート②!$G19</f>
        <v>987.83882114242863</v>
      </c>
      <c r="CU3" s="9">
        <f>BN3+将来予測シート②!$G20</f>
        <v>906.50907169991092</v>
      </c>
      <c r="CV3" s="9">
        <f>BO3+将来予測シート②!$G21</f>
        <v>742.58494657167239</v>
      </c>
      <c r="CW3" s="9">
        <f>BP3+将来予測シート②!$G22</f>
        <v>1187.5027799369941</v>
      </c>
      <c r="CX3" s="9">
        <f>BQ3+将来予測シート②!$G23</f>
        <v>1362.1932699841627</v>
      </c>
      <c r="CY3" s="9">
        <f>BR3+将来予測シート②!$G24</f>
        <v>1269.6865606303331</v>
      </c>
      <c r="CZ3" s="9">
        <f>BS3+将来予測シート②!$G25</f>
        <v>1326.9782340922291</v>
      </c>
      <c r="DA3" s="9">
        <f>BT3+将来予測シート②!$G26</f>
        <v>1517.2545857964412</v>
      </c>
      <c r="DB3" s="9">
        <f>BU3+将来予測シート②!$G27</f>
        <v>1578.2127339289354</v>
      </c>
      <c r="DC3" s="9">
        <f>BV3+将来予測シート②!$G28</f>
        <v>1306.3956823125861</v>
      </c>
      <c r="DD3" s="9">
        <f>BW3+将来予測シート②!$G29</f>
        <v>1240.1996940398176</v>
      </c>
      <c r="DE3" s="9">
        <f>BX3</f>
        <v>1140.089265093093</v>
      </c>
      <c r="DF3" s="9">
        <f t="shared" ref="DF3:DL3" si="4">BY3</f>
        <v>1188.1684216479969</v>
      </c>
      <c r="DG3" s="9">
        <f t="shared" si="4"/>
        <v>1071.4768968651233</v>
      </c>
      <c r="DH3" s="9">
        <f t="shared" si="4"/>
        <v>618.62939605991414</v>
      </c>
      <c r="DI3" s="9">
        <f t="shared" si="4"/>
        <v>355.57411317110922</v>
      </c>
      <c r="DJ3" s="9">
        <f t="shared" si="4"/>
        <v>170.08107834209071</v>
      </c>
      <c r="DK3" s="9">
        <f t="shared" si="4"/>
        <v>57.473419780690485</v>
      </c>
      <c r="DL3" s="9">
        <f t="shared" si="4"/>
        <v>4.8671351841126986</v>
      </c>
      <c r="DM3" s="9">
        <f t="shared" ref="DM3:DM4" si="5">SUM(CR3:DL3)</f>
        <v>20074.804796077329</v>
      </c>
      <c r="DN3" s="9">
        <f>CS3*3/5+CT3*3/5</f>
        <v>1166.0377714768053</v>
      </c>
      <c r="DO3" s="9">
        <f>CT3*2/5+CU3*1/5</f>
        <v>576.43734279695354</v>
      </c>
      <c r="DP3" s="9">
        <f t="shared" ref="DP3:DP14" si="6">SUM(DE3:DL3)</f>
        <v>4606.3597261441309</v>
      </c>
      <c r="DQ3" s="9">
        <f>SUM(DG3:DL3)</f>
        <v>2278.1020394030406</v>
      </c>
      <c r="DR3" s="13">
        <f>DP3/DM3</f>
        <v>0.22945975181010109</v>
      </c>
      <c r="DS3" s="13">
        <f>DQ3/DM3</f>
        <v>0.11348065709949956</v>
      </c>
      <c r="DT3" s="9">
        <f>SUM(CV3:CY3)</f>
        <v>4561.9675571231619</v>
      </c>
      <c r="DV3" s="312"/>
      <c r="DW3" s="313"/>
      <c r="DX3" s="28">
        <f>管理者入力シート!B8</f>
        <v>2025</v>
      </c>
      <c r="DY3" s="3" t="s">
        <v>21</v>
      </c>
      <c r="DZ3" s="9">
        <f>BK$3</f>
        <v>1086.5312251454461</v>
      </c>
      <c r="EA3" s="9">
        <f>BL$3</f>
        <v>955.55746465224684</v>
      </c>
      <c r="EB3" s="9">
        <f t="shared" ref="EB3:ED3" si="7">BM$3</f>
        <v>986.83882114242863</v>
      </c>
      <c r="EC3" s="9">
        <f t="shared" si="7"/>
        <v>906.50907169991092</v>
      </c>
      <c r="ED3" s="9">
        <f t="shared" si="7"/>
        <v>742.58494657167239</v>
      </c>
      <c r="EE3" s="9">
        <f>BP$3+DX1</f>
        <v>1262.5027799369941</v>
      </c>
      <c r="EF3" s="9">
        <f>BQ$3+DX1</f>
        <v>1439.1932699841627</v>
      </c>
      <c r="EG3" s="9">
        <f>BR$3+DX1</f>
        <v>1346.6865606303331</v>
      </c>
      <c r="EH3" s="9">
        <f t="shared" ref="EH3:ET3" si="8">BS$3</f>
        <v>1326.9782340922291</v>
      </c>
      <c r="EI3" s="9">
        <f t="shared" si="8"/>
        <v>1517.2545857964412</v>
      </c>
      <c r="EJ3" s="9">
        <f t="shared" si="8"/>
        <v>1578.2127339289354</v>
      </c>
      <c r="EK3" s="9">
        <f t="shared" si="8"/>
        <v>1306.3956823125861</v>
      </c>
      <c r="EL3" s="9">
        <f t="shared" si="8"/>
        <v>1240.1996940398176</v>
      </c>
      <c r="EM3" s="9">
        <f t="shared" si="8"/>
        <v>1140.089265093093</v>
      </c>
      <c r="EN3" s="9">
        <f t="shared" si="8"/>
        <v>1188.1684216479969</v>
      </c>
      <c r="EO3" s="9">
        <f t="shared" si="8"/>
        <v>1071.4768968651233</v>
      </c>
      <c r="EP3" s="9">
        <f t="shared" si="8"/>
        <v>618.62939605991414</v>
      </c>
      <c r="EQ3" s="9">
        <f t="shared" si="8"/>
        <v>355.57411317110922</v>
      </c>
      <c r="ER3" s="9">
        <f t="shared" si="8"/>
        <v>170.08107834209071</v>
      </c>
      <c r="ES3" s="9">
        <f t="shared" si="8"/>
        <v>57.473419780690485</v>
      </c>
      <c r="ET3" s="9">
        <f t="shared" si="8"/>
        <v>4.8671351841126986</v>
      </c>
      <c r="EU3" s="9">
        <f t="shared" ref="EU3:EU4" si="9">SUM(DZ3:ET3)</f>
        <v>20301.804796077329</v>
      </c>
      <c r="EV3" s="9">
        <f>EA3*3/5+EB3*3/5</f>
        <v>1165.4377714768052</v>
      </c>
      <c r="EW3" s="9">
        <f>EB3*2/5+EC3*1/5</f>
        <v>576.03734279695368</v>
      </c>
      <c r="EX3" s="9">
        <f t="shared" ref="EX3:EX14" si="10">SUM(EM3:ET3)</f>
        <v>4606.3597261441309</v>
      </c>
      <c r="EY3" s="9">
        <f>SUM(EO3:ET3)</f>
        <v>2278.1020394030406</v>
      </c>
      <c r="EZ3" s="13">
        <f>EX3/EU3</f>
        <v>0.2268940999291926</v>
      </c>
      <c r="FA3" s="13">
        <f>EY3/EU3</f>
        <v>0.11221179901420442</v>
      </c>
      <c r="FB3" s="9">
        <f>SUM(ED3:EG3)</f>
        <v>4790.9675571231619</v>
      </c>
    </row>
    <row r="4" spans="1:158" x14ac:dyDescent="0.15">
      <c r="A4" s="7" t="str">
        <f t="shared" ref="A4:A14" si="11">B4&amp;"_"&amp;IF(C4="男性",1,IF(C4="女性",2,IF(C4="合計",3)))</f>
        <v>2005_2</v>
      </c>
      <c r="B4" s="29">
        <v>2005</v>
      </c>
      <c r="C4" s="4" t="s">
        <v>22</v>
      </c>
      <c r="D4" s="10">
        <v>1124.5914243234015</v>
      </c>
      <c r="E4" s="10">
        <v>1079.5393911283356</v>
      </c>
      <c r="F4" s="10">
        <v>1031.4895649320943</v>
      </c>
      <c r="G4" s="10">
        <v>1117.533331753918</v>
      </c>
      <c r="H4" s="10">
        <v>1034.5557527222538</v>
      </c>
      <c r="I4" s="10">
        <v>1548.7570374656325</v>
      </c>
      <c r="J4" s="10">
        <v>1785.926550033822</v>
      </c>
      <c r="K4" s="10">
        <v>1492.6925946776139</v>
      </c>
      <c r="L4" s="10">
        <v>1392.6890704984548</v>
      </c>
      <c r="M4" s="10">
        <v>1339.6977148560966</v>
      </c>
      <c r="N4" s="10">
        <v>1476.8126102298256</v>
      </c>
      <c r="O4" s="10">
        <v>1553.8396684941702</v>
      </c>
      <c r="P4" s="10">
        <v>1145.6386544104716</v>
      </c>
      <c r="Q4" s="10">
        <v>1053.4565182357956</v>
      </c>
      <c r="R4" s="10">
        <v>1134.588649552908</v>
      </c>
      <c r="S4" s="10">
        <v>901.42521738607991</v>
      </c>
      <c r="T4" s="10">
        <v>628.35525086885582</v>
      </c>
      <c r="U4" s="10">
        <v>363.22038453502381</v>
      </c>
      <c r="V4" s="10">
        <v>211.13740780475797</v>
      </c>
      <c r="W4" s="10">
        <v>68.0449670349049</v>
      </c>
      <c r="X4" s="10">
        <v>10.008239055582882</v>
      </c>
      <c r="Y4" s="10">
        <f>SUM(D4:X4)</f>
        <v>21493.999999999996</v>
      </c>
      <c r="Z4" s="10">
        <f t="shared" ref="Z4:Z11" si="12">E4*3/5+F4*3/5</f>
        <v>1266.617373636258</v>
      </c>
      <c r="AA4" s="10">
        <f t="shared" ref="AA4:AA11" si="13">F4*2/5+G4*1/5</f>
        <v>636.10249232362128</v>
      </c>
      <c r="AB4" s="10">
        <f t="shared" si="0"/>
        <v>4370.2366344739094</v>
      </c>
      <c r="AC4" s="10">
        <f t="shared" ref="AC4:AC11" si="14">SUM(S4:X4)</f>
        <v>2182.1914666852058</v>
      </c>
      <c r="AD4" s="14">
        <f t="shared" ref="AD4:AD11" si="15">AB4/Y4</f>
        <v>0.20332356166715876</v>
      </c>
      <c r="AE4" s="14">
        <f t="shared" ref="AE4:AE11" si="16">AC4/Y4</f>
        <v>0.10152561024868365</v>
      </c>
      <c r="AF4" s="10">
        <f t="shared" ref="AF4:AF20" si="17">SUM(H4:K4)</f>
        <v>5861.9319348993213</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0.90344657730454547</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0.92885396456831304</v>
      </c>
      <c r="AO4" s="193">
        <f t="shared" si="18"/>
        <v>0.9887862472009501</v>
      </c>
      <c r="AP4" s="193">
        <f t="shared" si="18"/>
        <v>0.92569013100098729</v>
      </c>
      <c r="AQ4" s="193">
        <f t="shared" si="18"/>
        <v>1.4354443246439585</v>
      </c>
      <c r="AR4" s="193">
        <f t="shared" si="18"/>
        <v>1.0637520505638312</v>
      </c>
      <c r="AS4" s="193">
        <f t="shared" si="18"/>
        <v>0.99811475004512507</v>
      </c>
      <c r="AT4" s="193">
        <f t="shared" si="18"/>
        <v>0.99452774469136518</v>
      </c>
      <c r="AU4" s="193">
        <f t="shared" si="18"/>
        <v>1.007945860477111</v>
      </c>
      <c r="AV4" s="193">
        <f t="shared" si="18"/>
        <v>0.99874864085893977</v>
      </c>
      <c r="AW4" s="193">
        <f t="shared" si="18"/>
        <v>1.0039978838228232</v>
      </c>
      <c r="AX4" s="193">
        <f t="shared" si="18"/>
        <v>0.98147034628480567</v>
      </c>
      <c r="AY4" s="193">
        <f t="shared" si="18"/>
        <v>0.97107885128202998</v>
      </c>
      <c r="AZ4" s="193">
        <f t="shared" si="18"/>
        <v>0.97785087141680194</v>
      </c>
      <c r="BA4" s="193">
        <f t="shared" si="18"/>
        <v>0.9330383356292159</v>
      </c>
      <c r="BB4" s="193">
        <f t="shared" si="18"/>
        <v>0.90801068193079093</v>
      </c>
      <c r="BC4" s="193">
        <f t="shared" si="18"/>
        <v>0.8164521337588222</v>
      </c>
      <c r="BD4" s="193">
        <f t="shared" si="18"/>
        <v>0.67342954288769408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0.4329042811975472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0.29779840733454538</v>
      </c>
      <c r="BH4" s="7" t="str">
        <f t="shared" ref="BH4:BH20" si="19">BI4&amp;"_"&amp;IF(BJ4="男性",1,IF(BJ4="女性",2,IF(BJ4="合計",3)))</f>
        <v>2025_2</v>
      </c>
      <c r="BI4" s="29">
        <f>BI3</f>
        <v>2025</v>
      </c>
      <c r="BJ4" s="4" t="s">
        <v>22</v>
      </c>
      <c r="BK4" s="10">
        <f>CM4*AK$14</f>
        <v>1034.2432056322291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949.42870526072124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943.38636188227645</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907.46538322252536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846.99566461807649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1344.1908976507432</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1368.6583379614196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1333.6568807161063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1443.0863615069325</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1527.0653914675638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1689.1978334661821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1448.7433019767809</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1359.7982247686707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1235.3532949080768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1353.0415003543862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1347.6321737340913</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912.90697741250074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697.41794782318675</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501.42531646098939</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223.268105066582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42.394085394948675</v>
      </c>
      <c r="CF4" s="10">
        <f t="shared" si="2"/>
        <v>22509.35595128499</v>
      </c>
      <c r="CG4" s="10">
        <f t="shared" ref="CG4:CG14" si="20">BL4*3/5+BM4*3/5</f>
        <v>1135.6890402857985</v>
      </c>
      <c r="CH4" s="10">
        <f t="shared" ref="CH4:CH14" si="21">BM4*2/5+BN4*1/5</f>
        <v>558.84762139741565</v>
      </c>
      <c r="CI4" s="10">
        <f t="shared" si="3"/>
        <v>6313.4394011547629</v>
      </c>
      <c r="CJ4" s="10">
        <f t="shared" ref="CJ4:CJ14" si="22">SUM(BZ4:CE4)</f>
        <v>3725.0446058922994</v>
      </c>
      <c r="CK4" s="14">
        <f t="shared" ref="CK4:CK14" si="23">CI4/CF4</f>
        <v>0.28048067722676662</v>
      </c>
      <c r="CL4" s="14">
        <f t="shared" ref="CL4:CL14" si="24">CJ4/CF4</f>
        <v>0.16548872450878133</v>
      </c>
      <c r="CM4" s="10">
        <f t="shared" ref="CM4:CM14" si="25">SUM(BO4:BR4)</f>
        <v>4893.5017809463461</v>
      </c>
      <c r="CO4" s="7" t="str">
        <f t="shared" ref="CO4:CO20" si="26">CP4&amp;"_"&amp;IF(CQ4="男性",1,IF(CQ4="女性",2,IF(CQ4="合計",3)))</f>
        <v>2025_2</v>
      </c>
      <c r="CP4" s="29">
        <f>CP3</f>
        <v>2025</v>
      </c>
      <c r="CQ4" s="4" t="s">
        <v>22</v>
      </c>
      <c r="CR4" s="10">
        <f>BK4+将来予測シート②!$H17</f>
        <v>1035.2432056322291</v>
      </c>
      <c r="CS4" s="10">
        <f>BL4+将来予測シート②!$H18</f>
        <v>949.42870526072124</v>
      </c>
      <c r="CT4" s="10">
        <f>BM4+将来予測シート②!$H19</f>
        <v>944.38636188227645</v>
      </c>
      <c r="CU4" s="10">
        <f>BN4+将来予測シート②!$H20</f>
        <v>907.46538322252536</v>
      </c>
      <c r="CV4" s="10">
        <f>BO4+将来予測シート②!$H21</f>
        <v>846.99566461807649</v>
      </c>
      <c r="CW4" s="10">
        <f>BP4+将来予測シート②!$H22</f>
        <v>1346.1908976507432</v>
      </c>
      <c r="CX4" s="10">
        <f>BQ4+将来予測シート②!$H23</f>
        <v>1368.6583379614196</v>
      </c>
      <c r="CY4" s="10">
        <f>BR4+将来予測シート②!$H24</f>
        <v>1333.6568807161063</v>
      </c>
      <c r="CZ4" s="10">
        <f>BS4+将来予測シート②!$H25</f>
        <v>1444.0863615069325</v>
      </c>
      <c r="DA4" s="10">
        <f>BT4+将来予測シート②!$H26</f>
        <v>1527.0653914675638</v>
      </c>
      <c r="DB4" s="10">
        <f>BU4+将来予測シート②!$H27</f>
        <v>1689.1978334661821</v>
      </c>
      <c r="DC4" s="10">
        <f>BV4+将来予測シート②!$H28</f>
        <v>1448.7433019767809</v>
      </c>
      <c r="DD4" s="10">
        <f>BW4+将来予測シート②!$H29</f>
        <v>1359.7982247686707</v>
      </c>
      <c r="DE4" s="10">
        <f>BX4</f>
        <v>1235.3532949080768</v>
      </c>
      <c r="DF4" s="10">
        <f t="shared" ref="DF4" si="27">BY4</f>
        <v>1353.0415003543862</v>
      </c>
      <c r="DG4" s="10">
        <f t="shared" ref="DG4" si="28">BZ4</f>
        <v>1347.6321737340913</v>
      </c>
      <c r="DH4" s="10">
        <f t="shared" ref="DH4" si="29">CA4</f>
        <v>912.90697741250074</v>
      </c>
      <c r="DI4" s="10">
        <f t="shared" ref="DI4" si="30">CB4</f>
        <v>697.41794782318675</v>
      </c>
      <c r="DJ4" s="10">
        <f t="shared" ref="DJ4" si="31">CC4</f>
        <v>501.42531646098939</v>
      </c>
      <c r="DK4" s="10">
        <f t="shared" ref="DK4" si="32">CD4</f>
        <v>223.268105066582</v>
      </c>
      <c r="DL4" s="10">
        <f t="shared" ref="DL4" si="33">CE4</f>
        <v>42.394085394948675</v>
      </c>
      <c r="DM4" s="10">
        <f t="shared" si="5"/>
        <v>22514.35595128499</v>
      </c>
      <c r="DN4" s="10">
        <f t="shared" ref="DN4:DN14" si="34">CS4*3/5+CT4*3/5</f>
        <v>1136.2890402857984</v>
      </c>
      <c r="DO4" s="10">
        <f t="shared" ref="DO4:DO14" si="35">CT4*2/5+CU4*1/5</f>
        <v>559.24762139741563</v>
      </c>
      <c r="DP4" s="10">
        <f t="shared" si="6"/>
        <v>6313.4394011547629</v>
      </c>
      <c r="DQ4" s="10">
        <f t="shared" ref="DQ4:DQ14" si="36">SUM(DG4:DL4)</f>
        <v>3725.0446058922994</v>
      </c>
      <c r="DR4" s="14">
        <f t="shared" ref="DR4:DR14" si="37">DP4/DM4</f>
        <v>0.28041838793058738</v>
      </c>
      <c r="DS4" s="14">
        <f t="shared" ref="DS4:DS14" si="38">DQ4/DM4</f>
        <v>0.16545197268588513</v>
      </c>
      <c r="DT4" s="10">
        <f>SUM(CV4:CY4)</f>
        <v>4895.5017809463461</v>
      </c>
      <c r="DV4" s="312"/>
      <c r="DW4" s="313"/>
      <c r="DX4" s="29">
        <f>DX3</f>
        <v>2025</v>
      </c>
      <c r="DY4" s="4" t="s">
        <v>22</v>
      </c>
      <c r="DZ4" s="10">
        <f>BK$4</f>
        <v>1034.2432056322291</v>
      </c>
      <c r="EA4" s="10">
        <f>BL$4</f>
        <v>949.42870526072124</v>
      </c>
      <c r="EB4" s="10">
        <f t="shared" ref="EB4:ED4" si="39">BM$4</f>
        <v>943.38636188227645</v>
      </c>
      <c r="EC4" s="10">
        <f t="shared" si="39"/>
        <v>907.46538322252536</v>
      </c>
      <c r="ED4" s="10">
        <f t="shared" si="39"/>
        <v>846.99566461807649</v>
      </c>
      <c r="EE4" s="10">
        <f>BP$4+DX1</f>
        <v>1421.1908976507432</v>
      </c>
      <c r="EF4" s="10">
        <f>BQ$4+DX1</f>
        <v>1445.6583379614196</v>
      </c>
      <c r="EG4" s="10">
        <f>BR$4+DX1</f>
        <v>1410.6568807161063</v>
      </c>
      <c r="EH4" s="10">
        <f t="shared" ref="EH4:ET4" si="40">BS$4</f>
        <v>1443.0863615069325</v>
      </c>
      <c r="EI4" s="10">
        <f t="shared" si="40"/>
        <v>1527.0653914675638</v>
      </c>
      <c r="EJ4" s="10">
        <f t="shared" si="40"/>
        <v>1689.1978334661821</v>
      </c>
      <c r="EK4" s="10">
        <f t="shared" si="40"/>
        <v>1448.7433019767809</v>
      </c>
      <c r="EL4" s="10">
        <f t="shared" si="40"/>
        <v>1359.7982247686707</v>
      </c>
      <c r="EM4" s="10">
        <f t="shared" si="40"/>
        <v>1235.3532949080768</v>
      </c>
      <c r="EN4" s="10">
        <f t="shared" si="40"/>
        <v>1353.0415003543862</v>
      </c>
      <c r="EO4" s="10">
        <f t="shared" si="40"/>
        <v>1347.6321737340913</v>
      </c>
      <c r="EP4" s="10">
        <f t="shared" si="40"/>
        <v>912.90697741250074</v>
      </c>
      <c r="EQ4" s="10">
        <f t="shared" si="40"/>
        <v>697.41794782318675</v>
      </c>
      <c r="ER4" s="10">
        <f t="shared" si="40"/>
        <v>501.42531646098939</v>
      </c>
      <c r="ES4" s="10">
        <f t="shared" si="40"/>
        <v>223.268105066582</v>
      </c>
      <c r="ET4" s="10">
        <f t="shared" si="40"/>
        <v>42.394085394948675</v>
      </c>
      <c r="EU4" s="10">
        <f t="shared" si="9"/>
        <v>22740.35595128499</v>
      </c>
      <c r="EV4" s="10">
        <f t="shared" ref="EV4:EV14" si="41">EA4*3/5+EB4*3/5</f>
        <v>1135.6890402857985</v>
      </c>
      <c r="EW4" s="10">
        <f t="shared" ref="EW4:EW14" si="42">EB4*2/5+EC4*1/5</f>
        <v>558.84762139741565</v>
      </c>
      <c r="EX4" s="10">
        <f t="shared" si="10"/>
        <v>6313.4394011547629</v>
      </c>
      <c r="EY4" s="10">
        <f t="shared" ref="EY4:EY14" si="43">SUM(EO4:ET4)</f>
        <v>3725.0446058922994</v>
      </c>
      <c r="EZ4" s="14">
        <f t="shared" ref="EZ4:EZ14" si="44">EX4/EU4</f>
        <v>0.27763151177930478</v>
      </c>
      <c r="FA4" s="14">
        <f t="shared" ref="FA4:FA14" si="45">EY4/EU4</f>
        <v>0.16380766483480697</v>
      </c>
      <c r="FB4" s="10">
        <f>SUM(ED4:EG4)</f>
        <v>5124.5017809463461</v>
      </c>
    </row>
    <row r="5" spans="1:158" x14ac:dyDescent="0.15">
      <c r="A5" s="7" t="str">
        <f t="shared" si="11"/>
        <v>2005_3</v>
      </c>
      <c r="B5" s="30">
        <v>2005</v>
      </c>
      <c r="C5" s="5" t="s">
        <v>23</v>
      </c>
      <c r="D5" s="11">
        <v>2250.2161816872544</v>
      </c>
      <c r="E5" s="11">
        <v>2202.1888960979049</v>
      </c>
      <c r="F5" s="11">
        <v>2173.1597540173511</v>
      </c>
      <c r="G5" s="11">
        <v>2160.0983195498548</v>
      </c>
      <c r="H5" s="11">
        <v>1877.0262819924797</v>
      </c>
      <c r="I5" s="11">
        <v>2969.65989795313</v>
      </c>
      <c r="J5" s="11">
        <v>3530.0403280577657</v>
      </c>
      <c r="K5" s="11">
        <v>2817.4794083671923</v>
      </c>
      <c r="L5" s="11">
        <v>2662.4095012016969</v>
      </c>
      <c r="M5" s="11">
        <v>2676.4299260987605</v>
      </c>
      <c r="N5" s="11">
        <v>2907.6363040167262</v>
      </c>
      <c r="O5" s="11">
        <v>3001.6985139788057</v>
      </c>
      <c r="P5" s="11">
        <v>2218.2332682688357</v>
      </c>
      <c r="Q5" s="11">
        <v>1919.909774870318</v>
      </c>
      <c r="R5" s="11">
        <v>1928.0007801979655</v>
      </c>
      <c r="S5" s="11">
        <v>1613.76840230837</v>
      </c>
      <c r="T5" s="11">
        <v>979.52873287481043</v>
      </c>
      <c r="U5" s="11">
        <v>510.28932464400719</v>
      </c>
      <c r="V5" s="11">
        <v>273.159553898083</v>
      </c>
      <c r="W5" s="11">
        <v>84.058610863104448</v>
      </c>
      <c r="X5" s="11">
        <v>10.008239055582882</v>
      </c>
      <c r="Y5" s="11">
        <f>SUM(D5:X5)</f>
        <v>40765.000000000007</v>
      </c>
      <c r="Z5" s="11">
        <f t="shared" si="12"/>
        <v>2625.2091900691535</v>
      </c>
      <c r="AA5" s="11">
        <f t="shared" si="13"/>
        <v>1301.2835655169115</v>
      </c>
      <c r="AB5" s="11">
        <f t="shared" si="0"/>
        <v>7318.7234187122403</v>
      </c>
      <c r="AC5" s="11">
        <f t="shared" si="14"/>
        <v>3470.8128636439578</v>
      </c>
      <c r="AD5" s="15">
        <f t="shared" si="15"/>
        <v>0.17953448837758468</v>
      </c>
      <c r="AE5" s="15">
        <f t="shared" si="16"/>
        <v>8.5141981200636749E-2</v>
      </c>
      <c r="AF5" s="11">
        <f t="shared" si="17"/>
        <v>11194.205916370567</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0.85238815348000707</v>
      </c>
      <c r="AN5" s="6">
        <f t="shared" si="1"/>
        <v>0.98350248181917521</v>
      </c>
      <c r="AO5" s="6">
        <f t="shared" si="1"/>
        <v>0.90838330442392656</v>
      </c>
      <c r="AP5" s="6">
        <f t="shared" si="1"/>
        <v>0.75232816956168769</v>
      </c>
      <c r="AQ5" s="6">
        <f t="shared" si="1"/>
        <v>1.4084274915275734</v>
      </c>
      <c r="AR5" s="6">
        <f t="shared" si="1"/>
        <v>1.1981792796527742</v>
      </c>
      <c r="AS5" s="6">
        <f t="shared" si="1"/>
        <v>0.99458892146464362</v>
      </c>
      <c r="AT5" s="6">
        <f t="shared" si="1"/>
        <v>0.95716717491549497</v>
      </c>
      <c r="AU5" s="6">
        <f t="shared" si="1"/>
        <v>0.99854799574671738</v>
      </c>
      <c r="AV5" s="6">
        <f t="shared" si="1"/>
        <v>0.98487559791382739</v>
      </c>
      <c r="AW5" s="6">
        <f t="shared" si="1"/>
        <v>0.97530875437152531</v>
      </c>
      <c r="AX5" s="6">
        <f t="shared" si="1"/>
        <v>0.9458994789496058</v>
      </c>
      <c r="AY5" s="6">
        <f t="shared" si="1"/>
        <v>0.958688424538791</v>
      </c>
      <c r="AZ5" s="6">
        <f t="shared" si="1"/>
        <v>0.94396663742663633</v>
      </c>
      <c r="BA5" s="6">
        <f t="shared" si="1"/>
        <v>0.89044139376647224</v>
      </c>
      <c r="BB5" s="6">
        <f t="shared" si="1"/>
        <v>0.82206011299073722</v>
      </c>
      <c r="BC5" s="6">
        <f t="shared" si="1"/>
        <v>0.66592836048445303</v>
      </c>
      <c r="BD5" s="6">
        <f t="shared" si="1"/>
        <v>0.4676888348942021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0.42543450098642605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0.15113964749992578</v>
      </c>
      <c r="BH5" s="7" t="str">
        <f t="shared" si="19"/>
        <v>2025_3</v>
      </c>
      <c r="BI5" s="30">
        <f>BI4</f>
        <v>2025</v>
      </c>
      <c r="BJ5" s="5" t="s">
        <v>23</v>
      </c>
      <c r="BK5" s="16">
        <f>BK3+BK4</f>
        <v>2120.7744307776752</v>
      </c>
      <c r="BL5" s="16">
        <f t="shared" ref="BL5:CE5" si="46">BL3+BL4</f>
        <v>1904.9861699129681</v>
      </c>
      <c r="BM5" s="16">
        <f t="shared" si="46"/>
        <v>1930.2251830247051</v>
      </c>
      <c r="BN5" s="16">
        <f t="shared" si="46"/>
        <v>1813.9744549224363</v>
      </c>
      <c r="BO5" s="16">
        <f t="shared" si="46"/>
        <v>1589.5806111897489</v>
      </c>
      <c r="BP5" s="16">
        <f t="shared" si="46"/>
        <v>2529.6936775877375</v>
      </c>
      <c r="BQ5" s="16">
        <f t="shared" si="46"/>
        <v>2730.8516079455821</v>
      </c>
      <c r="BR5" s="16">
        <f t="shared" si="46"/>
        <v>2603.3434413464392</v>
      </c>
      <c r="BS5" s="16">
        <f t="shared" si="46"/>
        <v>2770.0645955991613</v>
      </c>
      <c r="BT5" s="16">
        <f t="shared" si="46"/>
        <v>3044.319977264005</v>
      </c>
      <c r="BU5" s="16">
        <f t="shared" si="46"/>
        <v>3267.4105673951176</v>
      </c>
      <c r="BV5" s="16">
        <f t="shared" si="46"/>
        <v>2755.1389842893668</v>
      </c>
      <c r="BW5" s="16">
        <f t="shared" si="46"/>
        <v>2599.9979188084881</v>
      </c>
      <c r="BX5" s="16">
        <f t="shared" si="46"/>
        <v>2375.44256000117</v>
      </c>
      <c r="BY5" s="16">
        <f t="shared" si="46"/>
        <v>2541.2099220023829</v>
      </c>
      <c r="BZ5" s="16">
        <f t="shared" si="46"/>
        <v>2419.1090705992146</v>
      </c>
      <c r="CA5" s="16">
        <f t="shared" si="46"/>
        <v>1531.5363734724149</v>
      </c>
      <c r="CB5" s="16">
        <f t="shared" si="46"/>
        <v>1052.992060994296</v>
      </c>
      <c r="CC5" s="16">
        <f t="shared" si="46"/>
        <v>671.50639480308007</v>
      </c>
      <c r="CD5" s="16">
        <f t="shared" si="46"/>
        <v>280.7415248472725</v>
      </c>
      <c r="CE5" s="16">
        <f t="shared" si="46"/>
        <v>47.261220579061373</v>
      </c>
      <c r="CF5" s="11">
        <f>SUM(BK5:CE5)</f>
        <v>42580.160747362323</v>
      </c>
      <c r="CG5" s="11">
        <f t="shared" si="20"/>
        <v>2301.1268117626041</v>
      </c>
      <c r="CH5" s="11">
        <f t="shared" si="21"/>
        <v>1134.8849641943693</v>
      </c>
      <c r="CI5" s="11">
        <f t="shared" si="3"/>
        <v>10919.799127298891</v>
      </c>
      <c r="CJ5" s="11">
        <f t="shared" si="22"/>
        <v>6003.14664529534</v>
      </c>
      <c r="CK5" s="15">
        <f t="shared" si="23"/>
        <v>0.25645274549545544</v>
      </c>
      <c r="CL5" s="15">
        <f t="shared" si="24"/>
        <v>0.14098459329248098</v>
      </c>
      <c r="CM5" s="11">
        <f t="shared" si="25"/>
        <v>9453.469338069508</v>
      </c>
      <c r="CO5" s="7" t="str">
        <f t="shared" si="26"/>
        <v>2025_3</v>
      </c>
      <c r="CP5" s="30">
        <f>CP4</f>
        <v>2025</v>
      </c>
      <c r="CQ5" s="5" t="s">
        <v>23</v>
      </c>
      <c r="CR5" s="16">
        <f>CR3+CR4</f>
        <v>2122.7744307776752</v>
      </c>
      <c r="CS5" s="16">
        <f t="shared" ref="CS5" si="47">CS3+CS4</f>
        <v>1904.9861699129681</v>
      </c>
      <c r="CT5" s="16">
        <f t="shared" ref="CT5" si="48">CT3+CT4</f>
        <v>1932.2251830247051</v>
      </c>
      <c r="CU5" s="16">
        <f t="shared" ref="CU5" si="49">CU3+CU4</f>
        <v>1813.9744549224363</v>
      </c>
      <c r="CV5" s="16">
        <f t="shared" ref="CV5" si="50">CV3+CV4</f>
        <v>1589.5806111897489</v>
      </c>
      <c r="CW5" s="16">
        <f t="shared" ref="CW5" si="51">CW3+CW4</f>
        <v>2533.6936775877375</v>
      </c>
      <c r="CX5" s="16">
        <f t="shared" ref="CX5" si="52">CX3+CX4</f>
        <v>2730.8516079455821</v>
      </c>
      <c r="CY5" s="16">
        <f t="shared" ref="CY5" si="53">CY3+CY4</f>
        <v>2603.3434413464392</v>
      </c>
      <c r="CZ5" s="16">
        <f t="shared" ref="CZ5" si="54">CZ3+CZ4</f>
        <v>2771.0645955991613</v>
      </c>
      <c r="DA5" s="16">
        <f t="shared" ref="DA5" si="55">DA3+DA4</f>
        <v>3044.319977264005</v>
      </c>
      <c r="DB5" s="16">
        <f t="shared" ref="DB5" si="56">DB3+DB4</f>
        <v>3267.4105673951176</v>
      </c>
      <c r="DC5" s="16">
        <f t="shared" ref="DC5" si="57">DC3+DC4</f>
        <v>2755.1389842893668</v>
      </c>
      <c r="DD5" s="16">
        <f t="shared" ref="DD5" si="58">DD3+DD4</f>
        <v>2599.9979188084881</v>
      </c>
      <c r="DE5" s="16">
        <f t="shared" ref="DE5" si="59">DE3+DE4</f>
        <v>2375.44256000117</v>
      </c>
      <c r="DF5" s="16">
        <f t="shared" ref="DF5" si="60">DF3+DF4</f>
        <v>2541.2099220023829</v>
      </c>
      <c r="DG5" s="16">
        <f t="shared" ref="DG5" si="61">DG3+DG4</f>
        <v>2419.1090705992146</v>
      </c>
      <c r="DH5" s="16">
        <f t="shared" ref="DH5" si="62">DH3+DH4</f>
        <v>1531.5363734724149</v>
      </c>
      <c r="DI5" s="16">
        <f t="shared" ref="DI5" si="63">DI3+DI4</f>
        <v>1052.992060994296</v>
      </c>
      <c r="DJ5" s="16">
        <f t="shared" ref="DJ5" si="64">DJ3+DJ4</f>
        <v>671.50639480308007</v>
      </c>
      <c r="DK5" s="16">
        <f t="shared" ref="DK5" si="65">DK3+DK4</f>
        <v>280.7415248472725</v>
      </c>
      <c r="DL5" s="16">
        <f t="shared" ref="DL5" si="66">DL3+DL4</f>
        <v>47.261220579061373</v>
      </c>
      <c r="DM5" s="11">
        <f>SUM(CR5:DL5)</f>
        <v>42589.160747362323</v>
      </c>
      <c r="DN5" s="11">
        <f t="shared" si="34"/>
        <v>2302.3268117626039</v>
      </c>
      <c r="DO5" s="11">
        <f t="shared" si="35"/>
        <v>1135.6849641943693</v>
      </c>
      <c r="DP5" s="11">
        <f t="shared" si="6"/>
        <v>10919.799127298891</v>
      </c>
      <c r="DQ5" s="11">
        <f t="shared" si="36"/>
        <v>6003.14664529534</v>
      </c>
      <c r="DR5" s="15">
        <f t="shared" si="37"/>
        <v>0.25639855154871039</v>
      </c>
      <c r="DS5" s="15">
        <f t="shared" si="38"/>
        <v>0.14095480023440315</v>
      </c>
      <c r="DT5" s="11">
        <f>SUM(CV5:CY5)</f>
        <v>9457.469338069508</v>
      </c>
      <c r="DV5" s="312"/>
      <c r="DW5" s="313"/>
      <c r="DX5" s="30">
        <f>DX4</f>
        <v>2025</v>
      </c>
      <c r="DY5" s="5" t="s">
        <v>23</v>
      </c>
      <c r="DZ5" s="16">
        <f>DZ3+DZ4</f>
        <v>2120.7744307776752</v>
      </c>
      <c r="EA5" s="16">
        <f t="shared" ref="EA5:ET5" si="67">EA3+EA4</f>
        <v>1904.9861699129681</v>
      </c>
      <c r="EB5" s="16">
        <f t="shared" si="67"/>
        <v>1930.2251830247051</v>
      </c>
      <c r="EC5" s="16">
        <f t="shared" si="67"/>
        <v>1813.9744549224363</v>
      </c>
      <c r="ED5" s="16">
        <f t="shared" si="67"/>
        <v>1589.5806111897489</v>
      </c>
      <c r="EE5" s="16">
        <f t="shared" si="67"/>
        <v>2683.6936775877375</v>
      </c>
      <c r="EF5" s="16">
        <f t="shared" si="67"/>
        <v>2884.8516079455821</v>
      </c>
      <c r="EG5" s="16">
        <f t="shared" si="67"/>
        <v>2757.3434413464392</v>
      </c>
      <c r="EH5" s="16">
        <f t="shared" si="67"/>
        <v>2770.0645955991613</v>
      </c>
      <c r="EI5" s="16">
        <f t="shared" si="67"/>
        <v>3044.319977264005</v>
      </c>
      <c r="EJ5" s="16">
        <f t="shared" si="67"/>
        <v>3267.4105673951176</v>
      </c>
      <c r="EK5" s="16">
        <f t="shared" si="67"/>
        <v>2755.1389842893668</v>
      </c>
      <c r="EL5" s="16">
        <f t="shared" si="67"/>
        <v>2599.9979188084881</v>
      </c>
      <c r="EM5" s="16">
        <f t="shared" si="67"/>
        <v>2375.44256000117</v>
      </c>
      <c r="EN5" s="16">
        <f t="shared" si="67"/>
        <v>2541.2099220023829</v>
      </c>
      <c r="EO5" s="16">
        <f t="shared" si="67"/>
        <v>2419.1090705992146</v>
      </c>
      <c r="EP5" s="16">
        <f t="shared" si="67"/>
        <v>1531.5363734724149</v>
      </c>
      <c r="EQ5" s="16">
        <f t="shared" si="67"/>
        <v>1052.992060994296</v>
      </c>
      <c r="ER5" s="16">
        <f t="shared" si="67"/>
        <v>671.50639480308007</v>
      </c>
      <c r="ES5" s="16">
        <f t="shared" si="67"/>
        <v>280.7415248472725</v>
      </c>
      <c r="ET5" s="16">
        <f t="shared" si="67"/>
        <v>47.261220579061373</v>
      </c>
      <c r="EU5" s="11">
        <f>SUM(DZ5:ET5)</f>
        <v>43042.160747362323</v>
      </c>
      <c r="EV5" s="11">
        <f t="shared" si="41"/>
        <v>2301.1268117626041</v>
      </c>
      <c r="EW5" s="11">
        <f t="shared" si="42"/>
        <v>1134.8849641943693</v>
      </c>
      <c r="EX5" s="11">
        <f t="shared" si="10"/>
        <v>10919.799127298891</v>
      </c>
      <c r="EY5" s="11">
        <f t="shared" si="43"/>
        <v>6003.14664529534</v>
      </c>
      <c r="EZ5" s="15">
        <f t="shared" si="44"/>
        <v>0.25370006843738835</v>
      </c>
      <c r="FA5" s="15">
        <f t="shared" si="45"/>
        <v>0.13947131233794346</v>
      </c>
      <c r="FB5" s="11">
        <f>SUM(ED5:EG5)</f>
        <v>9915.469338069508</v>
      </c>
    </row>
    <row r="6" spans="1:158" x14ac:dyDescent="0.15">
      <c r="A6" s="7" t="str">
        <f t="shared" si="11"/>
        <v>2010_1</v>
      </c>
      <c r="B6" s="28">
        <v>2010</v>
      </c>
      <c r="C6" s="3" t="s">
        <v>21</v>
      </c>
      <c r="D6" s="9">
        <v>1195.6519706980343</v>
      </c>
      <c r="E6" s="9">
        <v>1070.4083520872055</v>
      </c>
      <c r="F6" s="9">
        <v>1058.2900896959502</v>
      </c>
      <c r="G6" s="9">
        <v>1007.4885506906444</v>
      </c>
      <c r="H6" s="9">
        <v>760.93031731657538</v>
      </c>
      <c r="I6" s="9">
        <v>1115.6551044170669</v>
      </c>
      <c r="J6" s="9">
        <v>1476.7597670206264</v>
      </c>
      <c r="K6" s="9">
        <v>1616.1231898475964</v>
      </c>
      <c r="L6" s="9">
        <v>1310.6683534791723</v>
      </c>
      <c r="M6" s="9">
        <v>1236.3276296445515</v>
      </c>
      <c r="N6" s="9">
        <v>1232.3002722430062</v>
      </c>
      <c r="O6" s="9">
        <v>1361.0476024545808</v>
      </c>
      <c r="P6" s="9">
        <v>1370.1019849885079</v>
      </c>
      <c r="Q6" s="9">
        <v>961.81758876976755</v>
      </c>
      <c r="R6" s="9">
        <v>763.41385372312777</v>
      </c>
      <c r="S6" s="9">
        <v>677.66993390583605</v>
      </c>
      <c r="T6" s="9">
        <v>544.0341168758664</v>
      </c>
      <c r="U6" s="9">
        <v>224.69025406754409</v>
      </c>
      <c r="V6" s="9">
        <v>69.431034980414765</v>
      </c>
      <c r="W6" s="9">
        <v>27.180100494462252</v>
      </c>
      <c r="X6" s="9">
        <v>2.0099325994633315</v>
      </c>
      <c r="Y6" s="9">
        <f t="shared" ref="Y6:Y11" si="68">SUM(D6:X6)</f>
        <v>19082</v>
      </c>
      <c r="Z6" s="9">
        <f t="shared" si="12"/>
        <v>1277.2190650698935</v>
      </c>
      <c r="AA6" s="9">
        <f t="shared" si="13"/>
        <v>624.81374601650896</v>
      </c>
      <c r="AB6" s="9">
        <f t="shared" si="0"/>
        <v>3270.2468154164821</v>
      </c>
      <c r="AC6" s="9">
        <f t="shared" si="14"/>
        <v>1545.0153729235869</v>
      </c>
      <c r="AD6" s="13">
        <f t="shared" si="15"/>
        <v>0.17137861940134588</v>
      </c>
      <c r="AE6" s="13">
        <f t="shared" si="16"/>
        <v>8.0967161352247505E-2</v>
      </c>
      <c r="AF6" s="9">
        <f t="shared" si="17"/>
        <v>4969.468378601865</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0.87635651652122171</v>
      </c>
      <c r="AN6" s="193">
        <f t="shared" si="18"/>
        <v>0.92132716024094197</v>
      </c>
      <c r="AO6" s="193">
        <f t="shared" si="18"/>
        <v>0.98610622493927236</v>
      </c>
      <c r="AP6" s="193">
        <f t="shared" si="18"/>
        <v>0.85713009125223827</v>
      </c>
      <c r="AQ6" s="193">
        <f t="shared" si="18"/>
        <v>1.3422429421034006</v>
      </c>
      <c r="AR6" s="193">
        <f t="shared" si="18"/>
        <v>1.1116426171341716</v>
      </c>
      <c r="AS6" s="193">
        <f t="shared" si="18"/>
        <v>0.96262573357727277</v>
      </c>
      <c r="AT6" s="193">
        <f t="shared" si="18"/>
        <v>0.98103327979984833</v>
      </c>
      <c r="AU6" s="193">
        <f t="shared" si="18"/>
        <v>0.98905238721793831</v>
      </c>
      <c r="AV6" s="193">
        <f t="shared" si="18"/>
        <v>1.0061193691038932</v>
      </c>
      <c r="AW6" s="193">
        <f t="shared" si="18"/>
        <v>0.9889383344694177</v>
      </c>
      <c r="AX6" s="193">
        <f t="shared" si="18"/>
        <v>0.97723134335613748</v>
      </c>
      <c r="AY6" s="193">
        <f t="shared" si="18"/>
        <v>0.97265797231783813</v>
      </c>
      <c r="AZ6" s="193">
        <f t="shared" si="18"/>
        <v>0.96423193656748607</v>
      </c>
      <c r="BA6" s="193">
        <f t="shared" si="18"/>
        <v>0.93710089386549855</v>
      </c>
      <c r="BB6" s="193">
        <f t="shared" si="18"/>
        <v>0.89871094283816055</v>
      </c>
      <c r="BC6" s="193">
        <f t="shared" si="18"/>
        <v>0.81837157818506734</v>
      </c>
      <c r="BD6" s="193">
        <f t="shared" si="18"/>
        <v>0.66816086530481678</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0.54541291657190072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0.23632889265259682</v>
      </c>
      <c r="BH6" s="7" t="str">
        <f t="shared" si="19"/>
        <v>2030_1</v>
      </c>
      <c r="BI6" s="28">
        <f>管理者入力シート!B9</f>
        <v>2030</v>
      </c>
      <c r="BJ6" s="3" t="s">
        <v>21</v>
      </c>
      <c r="BK6" s="9">
        <f>CM7*$AK$13</f>
        <v>1062.9502650827917</v>
      </c>
      <c r="BL6" s="9">
        <f>IF(管理者入力シート!$B$14=1,BK3*管理者用人口入力シート!AM$3,IF(管理者入力シート!$B$14=2,BK3*管理者用人口入力シート!AM$7))</f>
        <v>926.20853031763534</v>
      </c>
      <c r="BM6" s="9">
        <f>IF(管理者入力シート!$B$14=1,BL3*管理者用人口入力シート!AN$3,IF(管理者入力シート!$B$14=2,BL3*管理者用人口入力シート!AN$7))</f>
        <v>944.06449255559914</v>
      </c>
      <c r="BN6" s="9">
        <f>IF(管理者入力シート!$B$14=1,BM3*管理者用人口入力シート!AO$3,IF(管理者入力シート!$B$14=2,BM3*管理者用人口入力シート!AO$7))</f>
        <v>884.42689969884589</v>
      </c>
      <c r="BO6" s="9">
        <f>IF(管理者入力シート!$B$14=1,BN3*管理者用人口入力シート!AP$3,IF(管理者入力シート!$B$14=2,BN3*管理者用人口入力シート!AP$7))</f>
        <v>723.15443721951908</v>
      </c>
      <c r="BP6" s="9">
        <f>IF(管理者入力シート!$B$14=1,BO3*管理者用人口入力シート!AQ$3,IF(管理者入力シート!$B$14=2,BO3*管理者用人口入力シート!AQ$7))</f>
        <v>1082.5908870627763</v>
      </c>
      <c r="BQ6" s="9">
        <f>IF(管理者入力シート!$B$14=1,BP3*管理者用人口入力シート!AR$3,IF(管理者入力シート!$B$14=2,BP3*管理者用人口入力シート!AR$7))</f>
        <v>1411.8608831991303</v>
      </c>
      <c r="BR6" s="9">
        <f>IF(管理者入力シート!$B$14=1,BQ3*管理者用人口入力シート!AS$3,IF(管理者入力シート!$B$14=2,BQ3*管理者用人口入力シート!AS$7))</f>
        <v>1363.3238056159307</v>
      </c>
      <c r="BS6" s="9">
        <f>IF(管理者入力シート!$B$14=1,BR3*管理者用人口入力シート!AT$3,IF(管理者入力シート!$B$14=2,BR3*管理者用人口入力シート!AT$7))</f>
        <v>1251.5021553244887</v>
      </c>
      <c r="BT6" s="9">
        <f>IF(管理者入力シート!$B$14=1,BS3*管理者用人口入力シート!AU$3,IF(管理者入力シート!$B$14=2,BS3*管理者用人口入力シート!AU$7))</f>
        <v>1350.4746208212634</v>
      </c>
      <c r="BU6" s="9">
        <f>IF(管理者入力シート!$B$14=1,BT3*管理者用人口入力シート!AV$3,IF(管理者入力シート!$B$14=2,BT3*管理者用人口入力シート!AV$7))</f>
        <v>1492.4006601849896</v>
      </c>
      <c r="BV6" s="9">
        <f>IF(管理者入力シート!$B$14=1,BU3*管理者用人口入力シート!AW$3,IF(管理者入力シート!$B$14=2,BU3*管理者用人口入力シート!AW$7))</f>
        <v>1603.6365704440643</v>
      </c>
      <c r="BW6" s="9">
        <f>IF(管理者入力シート!$B$14=1,BV3*管理者用人口入力シート!AX$3,IF(管理者入力シート!$B$14=2,BV3*管理者用人口入力シート!AX$7))</f>
        <v>1256.9346818499594</v>
      </c>
      <c r="BX6" s="9">
        <f>IF(管理者入力シート!$B$14=1,BW3*管理者用人口入力シート!AY$3,IF(管理者入力シート!$B$14=2,BW3*管理者用人口入力シート!AY$7))</f>
        <v>1202.1006975039286</v>
      </c>
      <c r="BY6" s="9">
        <f>IF(管理者入力シート!$B$14=1,BX3*管理者用人口入力シート!AZ$3,IF(管理者入力シート!$B$14=2,BX3*管理者用人口入力シート!AZ$7))</f>
        <v>1073.6867315751676</v>
      </c>
      <c r="BZ6" s="9">
        <f>IF(管理者入力シート!$B$14=1,BY3*管理者用人口入力シート!BA$3,IF(管理者入力シート!$B$14=2,BY3*管理者用人口入力シート!BA$7))</f>
        <v>1031.5959386752256</v>
      </c>
      <c r="CA6" s="9">
        <f>IF(管理者入力シート!$B$14=1,BZ3*管理者用人口入力シート!BB$3,IF(管理者入力シート!$B$14=2,BZ3*管理者用人口入力シート!BB$7))</f>
        <v>862.39476022861493</v>
      </c>
      <c r="CB6" s="9">
        <f>IF(管理者入力シート!$B$14=1,CA3*管理者用人口入力シート!BC$3,IF(管理者入力シート!$B$14=2,CA3*管理者用人口入力シート!BC$7))</f>
        <v>410.63152835176265</v>
      </c>
      <c r="CC6" s="9">
        <f>IF(管理者入力シート!$B$14=1,CB3*管理者用人口入力シート!BD$3,IF(管理者入力シート!$B$14=2,CB3*管理者用人口入力シート!BD$7))</f>
        <v>164.07725283065986</v>
      </c>
      <c r="CD6" s="9">
        <f>IF(管理者入力シート!$B$14=1,CC3*管理者用人口入力シート!BE$3,IF(管理者入力シート!$B$14=2,CC3*管理者用人口入力シート!BE$7))</f>
        <v>59.263857273367293</v>
      </c>
      <c r="CE6" s="9">
        <f>IF(管理者入力シート!$B$14=1,CD3*管理者用人口入力シート!BF$3,IF(管理者入力シート!$B$14=2,CD3*管理者用人口入力シート!BF$7))</f>
        <v>9.3274749006311701</v>
      </c>
      <c r="CF6" s="9">
        <f t="shared" si="2"/>
        <v>20166.607130716347</v>
      </c>
      <c r="CG6" s="9">
        <f t="shared" si="20"/>
        <v>1122.1638137239406</v>
      </c>
      <c r="CH6" s="9">
        <f t="shared" si="21"/>
        <v>554.5111769620089</v>
      </c>
      <c r="CI6" s="9">
        <f t="shared" si="3"/>
        <v>4813.0782413393581</v>
      </c>
      <c r="CJ6" s="9">
        <f t="shared" si="22"/>
        <v>2537.2908122602616</v>
      </c>
      <c r="CK6" s="13">
        <f t="shared" si="23"/>
        <v>0.23866574134864849</v>
      </c>
      <c r="CL6" s="13">
        <f t="shared" si="24"/>
        <v>0.12581644477000992</v>
      </c>
      <c r="CM6" s="9">
        <f t="shared" si="25"/>
        <v>4580.9300130973561</v>
      </c>
      <c r="CO6" s="7" t="str">
        <f t="shared" si="26"/>
        <v>2030_1</v>
      </c>
      <c r="CP6" s="28">
        <f>管理者入力シート!B9</f>
        <v>2030</v>
      </c>
      <c r="CQ6" s="3" t="s">
        <v>21</v>
      </c>
      <c r="CR6" s="9">
        <f>DT7*$AK$13+将来予測シート②!$G17</f>
        <v>1064.8772339601971</v>
      </c>
      <c r="CS6" s="9">
        <f>IF(管理者入力シート!$B$14=1,CR3*管理者用人口入力シート!AM$3,IF(管理者入力シート!$B$14=2,CR3*管理者用人口入力シート!AM$7))+将来予測シート②!$G18</f>
        <v>927.06097570427721</v>
      </c>
      <c r="CT6" s="9">
        <f>IF(管理者入力シート!$B$14=1,CS3*管理者用人口入力シート!AN$3,IF(管理者入力シート!$B$14=2,CS3*管理者用人口入力シート!AN$7))+将来予測シート②!$G19</f>
        <v>945.06449255559914</v>
      </c>
      <c r="CU6" s="9">
        <f>IF(管理者入力シート!$B$14=1,CT3*管理者用人口入力シート!AO$3,IF(管理者入力シート!$B$14=2,CT3*管理者用人口入力シート!AO$7))+将来予測シート②!$G20</f>
        <v>885.32312193975349</v>
      </c>
      <c r="CV6" s="9">
        <f>IF(管理者入力シート!$B$14=1,CU3*管理者用人口入力シート!AP$3,IF(管理者入力シート!$B$14=2,CU3*管理者用人口入力シート!AP$7))+将来予測シート②!$G21</f>
        <v>723.15443721951908</v>
      </c>
      <c r="CW6" s="9">
        <f>IF(管理者入力シート!$B$14=1,CV3*管理者用人口入力シート!AQ$3,IF(管理者入力シート!$B$14=2,CV3*管理者用人口入力シート!AQ$7))+将来予測シート②!$G22</f>
        <v>1084.5908870627763</v>
      </c>
      <c r="CX6" s="9">
        <f>IF(管理者入力シート!$B$14=1,CW3*管理者用人口入力シート!AR$3,IF(管理者入力シート!$B$14=2,CW3*管理者用人口入力シート!AR$7))+将来予測シート②!$G23</f>
        <v>1414.2427601665956</v>
      </c>
      <c r="CY6" s="9">
        <f>IF(管理者入力シート!$B$14=1,CX3*管理者用人口入力シート!AS$3,IF(管理者入力シート!$B$14=2,CX3*管理者用人口入力シート!AS$7))+将来予測シート②!$G24</f>
        <v>1363.3238056159307</v>
      </c>
      <c r="CZ6" s="9">
        <f>IF(管理者入力シート!$B$14=1,CY3*管理者用人口入力シート!AT$3,IF(管理者入力シート!$B$14=2,CY3*管理者用人口入力シート!AT$7))+将来予測シート②!$G25</f>
        <v>1251.5021553244887</v>
      </c>
      <c r="DA6" s="9">
        <f>IF(管理者入力シート!$B$14=1,CZ3*管理者用人口入力シート!AU$3,IF(管理者入力シート!$B$14=2,CZ3*管理者用人口入力シート!AU$7))+将来予測シート②!$G26</f>
        <v>1350.4746208212634</v>
      </c>
      <c r="DB6" s="9">
        <f>IF(管理者入力シート!$B$14=1,DA3*管理者用人口入力シート!AV$3,IF(管理者入力シート!$B$14=2,DA3*管理者用人口入力シート!AV$7))+将来予測シート②!$G27</f>
        <v>1492.4006601849896</v>
      </c>
      <c r="DC6" s="9">
        <f>IF(管理者入力シート!$B$14=1,DB3*管理者用人口入力シート!AW$3,IF(管理者入力シート!$B$14=2,DB3*管理者用人口入力シート!AW$7))+将来予測シート②!$G28</f>
        <v>1603.6365704440643</v>
      </c>
      <c r="DD6" s="9">
        <f>IF(管理者入力シート!$B$14=1,DC3*管理者用人口入力シート!AX$3,IF(管理者入力シート!$B$14=2,DC3*管理者用人口入力シート!AX$7))+将来予測シート②!$G29</f>
        <v>1256.9346818499594</v>
      </c>
      <c r="DE6" s="9">
        <f>IF(管理者入力シート!$B$14=1,DD3*管理者用人口入力シート!AY$3,IF(管理者入力シート!$B$14=2,DD3*管理者用人口入力シート!AY$7))</f>
        <v>1202.1006975039286</v>
      </c>
      <c r="DF6" s="9">
        <f>IF(管理者入力シート!$B$14=1,DE3*管理者用人口入力シート!AZ$3,IF(管理者入力シート!$B$14=2,DE3*管理者用人口入力シート!AZ$7))</f>
        <v>1073.6867315751676</v>
      </c>
      <c r="DG6" s="9">
        <f>IF(管理者入力シート!$B$14=1,DF3*管理者用人口入力シート!BA$3,IF(管理者入力シート!$B$14=2,DF3*管理者用人口入力シート!BA$7))</f>
        <v>1031.5959386752256</v>
      </c>
      <c r="DH6" s="9">
        <f>IF(管理者入力シート!$B$14=1,DG3*管理者用人口入力シート!BB$3,IF(管理者入力シート!$B$14=2,DG3*管理者用人口入力シート!BB$7))</f>
        <v>862.39476022861493</v>
      </c>
      <c r="DI6" s="9">
        <f>IF(管理者入力シート!$B$14=1,DH3*管理者用人口入力シート!BC$3,IF(管理者入力シート!$B$14=2,DH3*管理者用人口入力シート!BC$7))</f>
        <v>410.63152835176265</v>
      </c>
      <c r="DJ6" s="9">
        <f>IF(管理者入力シート!$B$14=1,DI3*管理者用人口入力シート!BD$3,IF(管理者入力シート!$B$14=2,DI3*管理者用人口入力シート!BD$7))</f>
        <v>164.07725283065986</v>
      </c>
      <c r="DK6" s="9">
        <f>IF(管理者入力シート!$B$14=1,DJ3*管理者用人口入力シート!BE$3,IF(管理者入力シート!$B$14=2,DJ3*管理者用人口入力シート!BE$7))</f>
        <v>59.263857273367293</v>
      </c>
      <c r="DL6" s="9">
        <f>IF(管理者入力シート!$B$14=1,DK3*管理者用人口入力シート!BF$3,IF(管理者入力シート!$B$14=2,DK3*管理者用人口入力シート!BF$7))</f>
        <v>9.3274749006311701</v>
      </c>
      <c r="DM6" s="9">
        <f t="shared" ref="DM6:DM14" si="69">SUM(CR6:DL6)</f>
        <v>20175.664644188768</v>
      </c>
      <c r="DN6" s="9">
        <f t="shared" si="34"/>
        <v>1123.2752809559258</v>
      </c>
      <c r="DO6" s="9">
        <f t="shared" si="35"/>
        <v>555.0904214101904</v>
      </c>
      <c r="DP6" s="9">
        <f t="shared" si="6"/>
        <v>4813.0782413393581</v>
      </c>
      <c r="DQ6" s="9">
        <f t="shared" si="36"/>
        <v>2537.2908122602616</v>
      </c>
      <c r="DR6" s="13">
        <f t="shared" si="37"/>
        <v>0.23855859651819092</v>
      </c>
      <c r="DS6" s="13">
        <f t="shared" si="38"/>
        <v>0.1257599616670414</v>
      </c>
      <c r="DT6" s="9">
        <f t="shared" ref="DT6:DT14" si="70">SUM(CV6:CY6)</f>
        <v>4585.3118900648215</v>
      </c>
      <c r="DV6" s="7" t="s">
        <v>400</v>
      </c>
      <c r="DX6" s="28">
        <f>管理者入力シート!B9</f>
        <v>2030</v>
      </c>
      <c r="DY6" s="3" t="s">
        <v>21</v>
      </c>
      <c r="DZ6" s="9">
        <f>FB7*$AK$13</f>
        <v>1149.5904220766743</v>
      </c>
      <c r="EA6" s="129">
        <f>IF(管理者入力シート!$B$14=1,DZ3*管理者用人口入力シート!AM$3,IF(管理者入力シート!$B$14=2,DZ3*管理者用人口入力シート!AM$7))</f>
        <v>926.20853031763534</v>
      </c>
      <c r="EB6" s="9">
        <f>IF(管理者入力シート!$B$14=1,EA3*管理者用人口入力シート!AN$3,IF(管理者入力シート!$B$14=2,EA3*管理者用人口入力シート!AN$7))</f>
        <v>944.06449255559914</v>
      </c>
      <c r="EC6" s="9">
        <f>IF(管理者入力シート!$B$14=1,EB3*管理者用人口入力シート!AO$3,IF(管理者入力シート!$B$14=2,EB3*管理者用人口入力シート!AO$7))</f>
        <v>884.42689969884589</v>
      </c>
      <c r="ED6" s="9">
        <f>IF(管理者入力シート!$B$14=1,EC3*管理者用人口入力シート!AP$3,IF(管理者入力シート!$B$14=2,EC3*管理者用人口入力シート!AP$7))</f>
        <v>723.15443721951908</v>
      </c>
      <c r="EE6" s="9">
        <f>IF(管理者入力シート!$B$14=1,ED3*管理者用人口入力シート!AQ$3,IF(管理者入力シート!$B$14=2,ED3*管理者用人口入力シート!AQ$7))+DX1</f>
        <v>1159.5908870627763</v>
      </c>
      <c r="EF6" s="9">
        <f>IF(管理者入力シート!$B$14=1,EE3*管理者用人口入力シート!AR$3,IF(管理者入力シート!$B$14=2,EE3*管理者用人口入力シート!AR$7))+DX1</f>
        <v>1580.5631464465523</v>
      </c>
      <c r="EG6" s="9">
        <f>IF(管理者入力シート!$B$14=1,EF3*管理者用人口入力シート!AS$3,IF(管理者入力シート!$B$14=2,EF3*管理者用人口入力シート!AS$7))+DX1</f>
        <v>1517.387710823484</v>
      </c>
      <c r="EH6" s="9">
        <f>IF(管理者入力シート!$B$14=1,EG3*管理者用人口入力シート!AT$3,IF(管理者入力シート!$B$14=2,EG3*管理者用人口入力シート!AT$7))</f>
        <v>1327.3993640908359</v>
      </c>
      <c r="EI6" s="9">
        <f>IF(管理者入力シート!$B$14=1,EH3*管理者用人口入力シート!AU$3,IF(管理者入力シート!$B$14=2,EH3*管理者用人口入力シート!AU$7))</f>
        <v>1350.4746208212634</v>
      </c>
      <c r="EJ6" s="9">
        <f>IF(管理者入力シート!$B$14=1,EI3*管理者用人口入力シート!AV$3,IF(管理者入力シート!$B$14=2,EI3*管理者用人口入力シート!AV$7))</f>
        <v>1492.4006601849896</v>
      </c>
      <c r="EK6" s="9">
        <f>IF(管理者入力シート!$B$14=1,EJ3*管理者用人口入力シート!AW$3,IF(管理者入力シート!$B$14=2,EJ3*管理者用人口入力シート!AW$7))</f>
        <v>1603.6365704440643</v>
      </c>
      <c r="EL6" s="9">
        <f>IF(管理者入力シート!$B$14=1,EK3*管理者用人口入力シート!AX$3,IF(管理者入力シート!$B$14=2,EK3*管理者用人口入力シート!AX$7))</f>
        <v>1256.9346818499594</v>
      </c>
      <c r="EM6" s="9">
        <f>IF(管理者入力シート!$B$14=1,EL3*管理者用人口入力シート!AY$3,IF(管理者入力シート!$B$14=2,EL3*管理者用人口入力シート!AY$7))</f>
        <v>1202.1006975039286</v>
      </c>
      <c r="EN6" s="9">
        <f>IF(管理者入力シート!$B$14=1,EM3*管理者用人口入力シート!AZ$3,IF(管理者入力シート!$B$14=2,EM3*管理者用人口入力シート!AZ$7))</f>
        <v>1073.6867315751676</v>
      </c>
      <c r="EO6" s="9">
        <f>IF(管理者入力シート!$B$14=1,EN3*管理者用人口入力シート!BA$3,IF(管理者入力シート!$B$14=2,EN3*管理者用人口入力シート!BA$7))</f>
        <v>1031.5959386752256</v>
      </c>
      <c r="EP6" s="9">
        <f>IF(管理者入力シート!$B$14=1,EO3*管理者用人口入力シート!BB$3,IF(管理者入力シート!$B$14=2,EO3*管理者用人口入力シート!BB$7))</f>
        <v>862.39476022861493</v>
      </c>
      <c r="EQ6" s="9">
        <f>IF(管理者入力シート!$B$14=1,EP3*管理者用人口入力シート!BC$3,IF(管理者入力シート!$B$14=2,EP3*管理者用人口入力シート!BC$7))</f>
        <v>410.63152835176265</v>
      </c>
      <c r="ER6" s="9">
        <f>IF(管理者入力シート!$B$14=1,EQ3*管理者用人口入力シート!BD$3,IF(管理者入力シート!$B$14=2,EQ3*管理者用人口入力シート!BD$7))</f>
        <v>164.07725283065986</v>
      </c>
      <c r="ES6" s="9">
        <f>IF(管理者入力シート!$B$14=1,ER3*管理者用人口入力シート!BE$3,IF(管理者入力シート!$B$14=2,ER3*管理者用人口入力シート!BE$7))</f>
        <v>59.263857273367293</v>
      </c>
      <c r="ET6" s="9">
        <f>IF(管理者入力シート!$B$14=1,ES3*管理者用人口入力シート!BF$3,IF(管理者入力シート!$B$14=2,ES3*管理者用人口入力シート!BF$7))</f>
        <v>9.3274749006311701</v>
      </c>
      <c r="EU6" s="9">
        <f t="shared" ref="EU6:EU14" si="71">SUM(DZ6:ET6)</f>
        <v>20728.910664931551</v>
      </c>
      <c r="EV6" s="9">
        <f t="shared" si="41"/>
        <v>1122.1638137239406</v>
      </c>
      <c r="EW6" s="9">
        <f t="shared" si="42"/>
        <v>554.5111769620089</v>
      </c>
      <c r="EX6" s="9">
        <f t="shared" si="10"/>
        <v>4813.0782413393581</v>
      </c>
      <c r="EY6" s="9">
        <f t="shared" si="43"/>
        <v>2537.2908122602616</v>
      </c>
      <c r="EZ6" s="13">
        <f t="shared" si="44"/>
        <v>0.23219156660663101</v>
      </c>
      <c r="FA6" s="13">
        <f t="shared" si="45"/>
        <v>0.12240348049513099</v>
      </c>
      <c r="FB6" s="9">
        <f t="shared" ref="FB6:FB14" si="72">SUM(ED6:EG6)</f>
        <v>4980.6961815523318</v>
      </c>
    </row>
    <row r="7" spans="1:158" x14ac:dyDescent="0.15">
      <c r="A7" s="7" t="str">
        <f t="shared" si="11"/>
        <v>2010_2</v>
      </c>
      <c r="B7" s="29">
        <v>2010</v>
      </c>
      <c r="C7" s="4" t="s">
        <v>22</v>
      </c>
      <c r="D7" s="10">
        <v>1128.9864999801669</v>
      </c>
      <c r="E7" s="10">
        <v>1043.779368040714</v>
      </c>
      <c r="F7" s="10">
        <v>1060.8717273093266</v>
      </c>
      <c r="G7" s="10">
        <v>1022.9611812877838</v>
      </c>
      <c r="H7" s="10">
        <v>952.91376447502535</v>
      </c>
      <c r="I7" s="10">
        <v>1316.7288124299764</v>
      </c>
      <c r="J7" s="10">
        <v>1597.5520375016265</v>
      </c>
      <c r="K7" s="10">
        <v>1704.1456655590828</v>
      </c>
      <c r="L7" s="10">
        <v>1471.854702006214</v>
      </c>
      <c r="M7" s="10">
        <v>1374.5320709910382</v>
      </c>
      <c r="N7" s="10">
        <v>1309.5963624854919</v>
      </c>
      <c r="O7" s="10">
        <v>1468.3587115184782</v>
      </c>
      <c r="P7" s="10">
        <v>1515.2897061712388</v>
      </c>
      <c r="Q7" s="10">
        <v>1123.2851902890491</v>
      </c>
      <c r="R7" s="10">
        <v>1002.7096085531558</v>
      </c>
      <c r="S7" s="10">
        <v>1018.7529967206058</v>
      </c>
      <c r="T7" s="10">
        <v>833.72981762562699</v>
      </c>
      <c r="U7" s="10">
        <v>552.47516339468041</v>
      </c>
      <c r="V7" s="10">
        <v>236.97051306923674</v>
      </c>
      <c r="W7" s="10">
        <v>102.41685475930555</v>
      </c>
      <c r="X7" s="10">
        <v>20.089245832175415</v>
      </c>
      <c r="Y7" s="10">
        <f t="shared" si="68"/>
        <v>21858.000000000004</v>
      </c>
      <c r="Z7" s="10">
        <f t="shared" si="12"/>
        <v>1262.7906572100244</v>
      </c>
      <c r="AA7" s="10">
        <f t="shared" si="13"/>
        <v>628.94092718128741</v>
      </c>
      <c r="AB7" s="10">
        <f t="shared" si="0"/>
        <v>4890.4293902438358</v>
      </c>
      <c r="AC7" s="10">
        <f t="shared" si="14"/>
        <v>2764.4345914016308</v>
      </c>
      <c r="AD7" s="14">
        <f t="shared" si="15"/>
        <v>0.22373636152639012</v>
      </c>
      <c r="AE7" s="14">
        <f t="shared" si="16"/>
        <v>0.12647243990308493</v>
      </c>
      <c r="AF7" s="10">
        <f t="shared" si="17"/>
        <v>5571.3402799657115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0.85244538664192593</v>
      </c>
      <c r="AN7" s="48">
        <f t="shared" si="73"/>
        <v>0.98797249509130225</v>
      </c>
      <c r="AO7" s="48">
        <f t="shared" si="73"/>
        <v>0.89622224090756375</v>
      </c>
      <c r="AP7" s="48">
        <f t="shared" si="73"/>
        <v>0.79773546652262384</v>
      </c>
      <c r="AQ7" s="48">
        <f t="shared" si="73"/>
        <v>1.457868075646868</v>
      </c>
      <c r="AR7" s="48">
        <f t="shared" si="73"/>
        <v>1.1909384837327555</v>
      </c>
      <c r="AS7" s="48">
        <f t="shared" si="73"/>
        <v>1.0008299377604333</v>
      </c>
      <c r="AT7" s="48">
        <f t="shared" si="73"/>
        <v>0.98567803592658587</v>
      </c>
      <c r="AU7" s="48">
        <f t="shared" si="73"/>
        <v>1.017706685856161</v>
      </c>
      <c r="AV7" s="48">
        <f t="shared" si="73"/>
        <v>0.98361914615772594</v>
      </c>
      <c r="AW7" s="48">
        <f t="shared" si="73"/>
        <v>1.0161092582568616</v>
      </c>
      <c r="AX7" s="48">
        <f t="shared" si="73"/>
        <v>0.96213934175358662</v>
      </c>
      <c r="AY7" s="48">
        <f t="shared" si="73"/>
        <v>0.96927995006047329</v>
      </c>
      <c r="AZ7" s="48">
        <f t="shared" si="73"/>
        <v>0.94175672418729139</v>
      </c>
      <c r="BA7" s="48">
        <f t="shared" si="73"/>
        <v>0.86822366247067539</v>
      </c>
      <c r="BB7" s="48">
        <f t="shared" si="73"/>
        <v>0.80486547376968087</v>
      </c>
      <c r="BC7" s="48">
        <f t="shared" si="73"/>
        <v>0.66377629476888467</v>
      </c>
      <c r="BD7" s="48">
        <f t="shared" si="73"/>
        <v>0.46144318934630285</v>
      </c>
      <c r="BE7" s="48">
        <f t="shared" si="73"/>
        <v>0.34844474089097427</v>
      </c>
      <c r="BF7" s="48">
        <f t="shared" si="73"/>
        <v>0.16229197664282627</v>
      </c>
      <c r="BH7" s="7" t="str">
        <f t="shared" si="19"/>
        <v>2030_2</v>
      </c>
      <c r="BI7" s="29">
        <f>BI6</f>
        <v>2030</v>
      </c>
      <c r="BJ7" s="4" t="s">
        <v>22</v>
      </c>
      <c r="BK7" s="10">
        <f>CM7*$AK$14</f>
        <v>1011.7970511521122</v>
      </c>
      <c r="BL7" s="10">
        <f>IF(管理者入力シート!$B$14=1,BK4*管理者用人口入力シート!AM$4,IF(管理者入力シート!$B$14=2,BK4*管理者用人口入力シート!AM$8))</f>
        <v>920.26800927240322</v>
      </c>
      <c r="BM7" s="10">
        <f>IF(管理者入力シート!$B$14=1,BL4*管理者用人口入力シート!AN$4,IF(管理者入力シート!$B$14=2,BL4*管理者用人口入力シート!AN$8))</f>
        <v>878.30026697548021</v>
      </c>
      <c r="BN7" s="10">
        <f>IF(管理者入力シート!$B$14=1,BM4*管理者用人口入力シート!AO$4,IF(管理者入力シート!$B$14=2,BM4*管理者用人口入力シート!AO$8))</f>
        <v>931.54245444574201</v>
      </c>
      <c r="BO7" s="10">
        <f>IF(管理者入力シート!$B$14=1,BN4*管理者用人口入力シート!AP$4,IF(管理者入力シート!$B$14=2,BN4*管理者用人口入力シート!AP$8))</f>
        <v>808.32545431798303</v>
      </c>
      <c r="BP7" s="10">
        <f>IF(管理者入力シート!$B$14=1,BO4*管理者用人口入力シート!AQ$4,IF(管理者入力シート!$B$14=2,BO4*管理者用人口入力シート!AQ$8))</f>
        <v>1175.6821599067048</v>
      </c>
      <c r="BQ7" s="10">
        <f>IF(管理者入力シート!$B$14=1,BP4*管理者用人口入力シート!AR$4,IF(管理者入力シート!$B$14=2,BP4*管理者用人口入力シート!AR$8))</f>
        <v>1461.7185193954526</v>
      </c>
      <c r="BR7" s="10">
        <f>IF(管理者入力シート!$B$14=1,BQ4*管理者用人口入力シート!AS$4,IF(管理者入力シート!$B$14=2,BQ4*管理者用人口入力シート!AS$8))</f>
        <v>1341.5721003019794</v>
      </c>
      <c r="BS7" s="10">
        <f>IF(管理者入力シート!$B$14=1,BR4*管理者用人口入力シート!AT$4,IF(管理者入力シート!$B$14=2,BR4*管理者用人口入力シート!AT$8))</f>
        <v>1317.3295434316883</v>
      </c>
      <c r="BT7" s="10">
        <f>IF(管理者入力シート!$B$14=1,BS4*管理者用人口入力シート!AU$4,IF(管理者入力シート!$B$14=2,BS4*管理者用人口入力シート!AU$8))</f>
        <v>1440.8559782550383</v>
      </c>
      <c r="BU7" s="10">
        <f>IF(管理者入力シート!$B$14=1,BT4*管理者用人口入力シート!AV$4,IF(管理者入力シート!$B$14=2,BT4*管理者用人口入力シート!AV$8))</f>
        <v>1530.7719311509206</v>
      </c>
      <c r="BV7" s="10">
        <f>IF(管理者入力シート!$B$14=1,BU4*管理者用人口入力シート!AW$4,IF(管理者入力シート!$B$14=2,BU4*管理者用人口入力シート!AW$8))</f>
        <v>1683.1837140191205</v>
      </c>
      <c r="BW7" s="10">
        <f>IF(管理者入力シート!$B$14=1,BV4*管理者用人口入力シート!AX$4,IF(管理者入力シート!$B$14=2,BV4*管理者用人口入力シート!AX$8))</f>
        <v>1418.8246540192499</v>
      </c>
      <c r="BX7" s="10">
        <f>IF(管理者入力シート!$B$14=1,BW4*管理者用人口入力シート!AY$4,IF(管理者入力シート!$B$14=2,BW4*管理者用人口入力シート!AY$8))</f>
        <v>1321.5445049523673</v>
      </c>
      <c r="BY7" s="10">
        <f>IF(管理者入力シート!$B$14=1,BX4*管理者用人口入力シート!AZ$4,IF(管理者入力シート!$B$14=2,BX4*管理者用人口入力シート!AZ$8))</f>
        <v>1199.5497024611227</v>
      </c>
      <c r="BZ7" s="10">
        <f>IF(管理者入力シート!$B$14=1,BY4*管理者用人口入力シート!BA$4,IF(管理者入力シート!$B$14=2,BY4*管理者用人口入力シート!BA$8))</f>
        <v>1265.1850092497496</v>
      </c>
      <c r="CA7" s="10">
        <f>IF(管理者入力シート!$B$14=1,BZ4*管理者用人口入力シート!BB$4,IF(管理者入力シート!$B$14=2,BZ4*管理者用人口入力シート!BB$8))</f>
        <v>1217.3819678530251</v>
      </c>
      <c r="CB7" s="10">
        <f>IF(管理者入力シート!$B$14=1,CA4*管理者用人口入力シート!BC$4,IF(管理者入力シート!$B$14=2,CA4*管理者用人口入力シート!BC$8))</f>
        <v>746.22047240058703</v>
      </c>
      <c r="CC7" s="10">
        <f>IF(管理者入力シート!$B$14=1,CB4*管理者用人口入力シート!BD$4,IF(管理者入力シート!$B$14=2,CB4*管理者用人口入力シート!BD$8))</f>
        <v>467.82100705272751</v>
      </c>
      <c r="CD7" s="10">
        <f>IF(管理者入力シート!$B$14=1,CC4*管理者用人口入力シート!BE$4,IF(管理者入力シート!$B$14=2,CC4*管理者用人口入力シート!BE$8))</f>
        <v>243.64915359834151</v>
      </c>
      <c r="CE7" s="10">
        <f>IF(管理者入力シート!$B$14=1,CD4*管理者用人口入力シート!BF$4,IF(管理者入力シート!$B$14=2,CD4*管理者用人口入力シート!BF$8))</f>
        <v>59.230620430227219</v>
      </c>
      <c r="CF7" s="10">
        <f t="shared" si="2"/>
        <v>22440.754274642015</v>
      </c>
      <c r="CG7" s="10">
        <f t="shared" si="20"/>
        <v>1079.1409657487302</v>
      </c>
      <c r="CH7" s="10">
        <f t="shared" si="21"/>
        <v>537.62859767934049</v>
      </c>
      <c r="CI7" s="10">
        <f t="shared" si="3"/>
        <v>6520.5824379981486</v>
      </c>
      <c r="CJ7" s="10">
        <f t="shared" si="22"/>
        <v>3999.4882305846577</v>
      </c>
      <c r="CK7" s="14">
        <f t="shared" si="23"/>
        <v>0.29056877314352964</v>
      </c>
      <c r="CL7" s="14">
        <f t="shared" si="24"/>
        <v>0.17822432266031571</v>
      </c>
      <c r="CM7" s="10">
        <f t="shared" si="25"/>
        <v>4787.2982339221198</v>
      </c>
      <c r="CO7" s="7" t="str">
        <f t="shared" si="26"/>
        <v>2030_2</v>
      </c>
      <c r="CP7" s="29">
        <f>CP6</f>
        <v>2030</v>
      </c>
      <c r="CQ7" s="4" t="s">
        <v>22</v>
      </c>
      <c r="CR7" s="10">
        <f>DT7*$AK$14+将来予測シート②!$H17</f>
        <v>1013.6794107577101</v>
      </c>
      <c r="CS7" s="10">
        <f>IF(管理者入力シート!$B$14=1,CR4*管理者用人口入力シート!AM$4,IF(管理者入力シート!$B$14=2,CR4*管理者用人口入力シート!AM$8))+将来予測シート②!$H18</f>
        <v>921.15780773011693</v>
      </c>
      <c r="CT7" s="10">
        <f>IF(管理者入力シート!$B$14=1,CS4*管理者用人口入力シート!AN$4,IF(管理者入力シート!$B$14=2,CS4*管理者用人口入力シート!AN$8))+将来予測シート②!$H19</f>
        <v>879.30026697548021</v>
      </c>
      <c r="CU7" s="10">
        <f>IF(管理者入力シート!$B$14=1,CT4*管理者用人口入力シート!AO$4,IF(管理者入力シート!$B$14=2,CT4*管理者用人口入力シート!AO$8))+将来予測シート②!$H20</f>
        <v>932.52989977258255</v>
      </c>
      <c r="CV7" s="10">
        <f>IF(管理者入力シート!$B$14=1,CU4*管理者用人口入力シート!AP$4,IF(管理者入力シート!$B$14=2,CU4*管理者用人口入力シート!AP$8))+将来予測シート②!$H21</f>
        <v>808.32545431798303</v>
      </c>
      <c r="CW7" s="10">
        <f>IF(管理者入力シート!$B$14=1,CV4*管理者用人口入力シート!AQ$4,IF(管理者入力シート!$B$14=2,CV4*管理者用人口入力シート!AQ$8))+将来予測シート②!$H22</f>
        <v>1177.6821599067048</v>
      </c>
      <c r="CX7" s="10">
        <f>IF(管理者入力シート!$B$14=1,CW4*管理者用人口入力シート!AR$4,IF(管理者入力シート!$B$14=2,CW4*管理者用人口入力シート!AR$8))+将来予測シート②!$H23</f>
        <v>1463.8933868520767</v>
      </c>
      <c r="CY7" s="10">
        <f>IF(管理者入力シート!$B$14=1,CX4*管理者用人口入力シート!AS$4,IF(管理者入力シート!$B$14=2,CX4*管理者用人口入力シート!AS$8))+将来予測シート②!$H24</f>
        <v>1341.5721003019794</v>
      </c>
      <c r="CZ7" s="10">
        <f>IF(管理者入力シート!$B$14=1,CY4*管理者用人口入力シート!AT$4,IF(管理者入力シート!$B$14=2,CY4*管理者用人口入力シート!AT$8))+将来予測シート②!$H25</f>
        <v>1318.3295434316883</v>
      </c>
      <c r="DA7" s="10">
        <f>IF(管理者入力シート!$B$14=1,CZ4*管理者用人口入力シート!AU$4,IF(管理者入力シート!$B$14=2,CZ4*管理者用人口入力シート!AU$8))+将来予測シート②!$H26</f>
        <v>1441.8544326903989</v>
      </c>
      <c r="DB7" s="10">
        <f>IF(管理者入力シート!$B$14=1,DA4*管理者用人口入力シート!AV$4,IF(管理者入力シート!$B$14=2,DA4*管理者用人口入力シート!AV$8))+将来予測シート②!$H27</f>
        <v>1530.7719311509206</v>
      </c>
      <c r="DC7" s="10">
        <f>IF(管理者入力シート!$B$14=1,DB4*管理者用人口入力シート!AW$4,IF(管理者入力シート!$B$14=2,DB4*管理者用人口入力シート!AW$8))+将来予測シート②!$H28</f>
        <v>1683.1837140191205</v>
      </c>
      <c r="DD7" s="10">
        <f>IF(管理者入力シート!$B$14=1,DC4*管理者用人口入力シート!AX$4,IF(管理者入力シート!$B$14=2,DC4*管理者用人口入力シート!AX$8))+将来予測シート②!$H29</f>
        <v>1418.8246540192499</v>
      </c>
      <c r="DE7" s="10">
        <f>IF(管理者入力シート!$B$14=1,DD4*管理者用人口入力シート!AY$4,IF(管理者入力シート!$B$14=2,DD4*管理者用人口入力シート!AY$8))</f>
        <v>1321.5445049523673</v>
      </c>
      <c r="DF7" s="10">
        <f>IF(管理者入力シート!$B$14=1,DE4*管理者用人口入力シート!AZ$4,IF(管理者入力シート!$B$14=2,DE4*管理者用人口入力シート!AZ$8))</f>
        <v>1199.5497024611227</v>
      </c>
      <c r="DG7" s="10">
        <f>IF(管理者入力シート!$B$14=1,DF4*管理者用人口入力シート!BA$4,IF(管理者入力シート!$B$14=2,DF4*管理者用人口入力シート!BA$8))</f>
        <v>1265.1850092497496</v>
      </c>
      <c r="DH7" s="10">
        <f>IF(管理者入力シート!$B$14=1,DG4*管理者用人口入力シート!BB$4,IF(管理者入力シート!$B$14=2,DG4*管理者用人口入力シート!BB$8))</f>
        <v>1217.3819678530251</v>
      </c>
      <c r="DI7" s="10">
        <f>IF(管理者入力シート!$B$14=1,DH4*管理者用人口入力シート!BC$4,IF(管理者入力シート!$B$14=2,DH4*管理者用人口入力シート!BC$8))</f>
        <v>746.22047240058703</v>
      </c>
      <c r="DJ7" s="10">
        <f>IF(管理者入力シート!$B$14=1,DI4*管理者用人口入力シート!BD$4,IF(管理者入力シート!$B$14=2,DI4*管理者用人口入力シート!BD$8))</f>
        <v>467.82100705272751</v>
      </c>
      <c r="DK7" s="10">
        <f>IF(管理者入力シート!$B$14=1,DJ4*管理者用人口入力シート!BE$4,IF(管理者入力シート!$B$14=2,DJ4*管理者用人口入力シート!BE$8))</f>
        <v>243.64915359834151</v>
      </c>
      <c r="DL7" s="10">
        <f>IF(管理者入力シート!$B$14=1,DK4*管理者用人口入力シート!BF$4,IF(管理者入力シート!$B$14=2,DK4*管理者用人口入力シート!BF$8))</f>
        <v>59.230620430227219</v>
      </c>
      <c r="DM7" s="10">
        <f t="shared" si="69"/>
        <v>22451.687199924152</v>
      </c>
      <c r="DN7" s="10">
        <f t="shared" si="34"/>
        <v>1080.2748448233583</v>
      </c>
      <c r="DO7" s="10">
        <f t="shared" si="35"/>
        <v>538.2260867447086</v>
      </c>
      <c r="DP7" s="10">
        <f t="shared" si="6"/>
        <v>6520.5824379981486</v>
      </c>
      <c r="DQ7" s="10">
        <f t="shared" si="36"/>
        <v>3999.4882305846577</v>
      </c>
      <c r="DR7" s="14">
        <f t="shared" si="37"/>
        <v>0.29042727969326854</v>
      </c>
      <c r="DS7" s="14">
        <f t="shared" si="38"/>
        <v>0.17813753572151</v>
      </c>
      <c r="DT7" s="10">
        <f t="shared" si="70"/>
        <v>4791.4731013787441</v>
      </c>
      <c r="DV7" s="7" t="s">
        <v>401</v>
      </c>
      <c r="DW7" s="210">
        <f>(CF12-Y12)/4</f>
        <v>15.856776378215727</v>
      </c>
      <c r="DX7" s="29">
        <f>DX6</f>
        <v>2030</v>
      </c>
      <c r="DY7" s="4" t="s">
        <v>22</v>
      </c>
      <c r="DZ7" s="10">
        <f>FB7*$AK$14</f>
        <v>1094.2677539097228</v>
      </c>
      <c r="EA7" s="10">
        <f>IF(管理者入力シート!$B$14=1,DZ4*管理者用人口入力シート!AM$4,IF(管理者入力シート!$B$14=2,DZ4*管理者用人口入力シート!AM$8))</f>
        <v>920.26800927240322</v>
      </c>
      <c r="EB7" s="10">
        <f>IF(管理者入力シート!$B$14=1,EA4*管理者用人口入力シート!AN$4,IF(管理者入力シート!$B$14=2,EA4*管理者用人口入力シート!AN$8))</f>
        <v>878.30026697548021</v>
      </c>
      <c r="EC7" s="10">
        <f>IF(管理者入力シート!$B$14=1,EB4*管理者用人口入力シート!AO$4,IF(管理者入力シート!$B$14=2,EB4*管理者用人口入力シート!AO$8))</f>
        <v>931.54245444574201</v>
      </c>
      <c r="ED7" s="10">
        <f>IF(管理者入力シート!$B$14=1,EC4*管理者用人口入力シート!AP$4,IF(管理者入力シート!$B$14=2,EC4*管理者用人口入力シート!AP$8))</f>
        <v>808.32545431798303</v>
      </c>
      <c r="EE7" s="10">
        <f>IF(管理者入力シート!$B$14=1,ED4*管理者用人口入力シート!AQ$4,IF(管理者入力シート!$B$14=2,ED4*管理者用人口入力シート!AQ$8))+DX1</f>
        <v>1252.6821599067048</v>
      </c>
      <c r="EF7" s="10">
        <f>IF(管理者入力シート!$B$14=1,EE4*管理者用人口入力シート!AR$4,IF(管理者入力シート!$B$14=2,EE4*管理者用人口入力シート!AR$8))+DX1</f>
        <v>1622.4509164754795</v>
      </c>
      <c r="EG7" s="10">
        <f>IF(管理者入力シート!$B$14=1,EF4*管理者用人口入力シート!AS$4,IF(管理者入力シート!$B$14=2,EF4*管理者用人口入力シート!AS$8))+DX1</f>
        <v>1494.0482427825903</v>
      </c>
      <c r="EH7" s="10">
        <f>IF(管理者入力シート!$B$14=1,EG4*管理者用人口入力シート!AT$4,IF(管理者入力シート!$B$14=2,EG4*管理者用人口入力シート!AT$8))</f>
        <v>1393.3868684535296</v>
      </c>
      <c r="EI7" s="10">
        <f>IF(管理者入力シート!$B$14=1,EH4*管理者用人口入力シート!AU$4,IF(管理者入力シート!$B$14=2,EH4*管理者用人口入力シート!AU$8))</f>
        <v>1440.8559782550383</v>
      </c>
      <c r="EJ7" s="10">
        <f>IF(管理者入力シート!$B$14=1,EI4*管理者用人口入力シート!AV$4,IF(管理者入力シート!$B$14=2,EI4*管理者用人口入力シート!AV$8))</f>
        <v>1530.7719311509206</v>
      </c>
      <c r="EK7" s="10">
        <f>IF(管理者入力シート!$B$14=1,EJ4*管理者用人口入力シート!AW$4,IF(管理者入力シート!$B$14=2,EJ4*管理者用人口入力シート!AW$8))</f>
        <v>1683.1837140191205</v>
      </c>
      <c r="EL7" s="10">
        <f>IF(管理者入力シート!$B$14=1,EK4*管理者用人口入力シート!AX$4,IF(管理者入力シート!$B$14=2,EK4*管理者用人口入力シート!AX$8))</f>
        <v>1418.8246540192499</v>
      </c>
      <c r="EM7" s="10">
        <f>IF(管理者入力シート!$B$14=1,EL4*管理者用人口入力シート!AY$4,IF(管理者入力シート!$B$14=2,EL4*管理者用人口入力シート!AY$8))</f>
        <v>1321.5445049523673</v>
      </c>
      <c r="EN7" s="10">
        <f>IF(管理者入力シート!$B$14=1,EM4*管理者用人口入力シート!AZ$4,IF(管理者入力シート!$B$14=2,EM4*管理者用人口入力シート!AZ$8))</f>
        <v>1199.5497024611227</v>
      </c>
      <c r="EO7" s="10">
        <f>IF(管理者入力シート!$B$14=1,EN4*管理者用人口入力シート!BA$4,IF(管理者入力シート!$B$14=2,EN4*管理者用人口入力シート!BA$8))</f>
        <v>1265.1850092497496</v>
      </c>
      <c r="EP7" s="10">
        <f>IF(管理者入力シート!$B$14=1,EO4*管理者用人口入力シート!BB$4,IF(管理者入力シート!$B$14=2,EO4*管理者用人口入力シート!BB$8))</f>
        <v>1217.3819678530251</v>
      </c>
      <c r="EQ7" s="10">
        <f>IF(管理者入力シート!$B$14=1,EP4*管理者用人口入力シート!BC$4,IF(管理者入力シート!$B$14=2,EP4*管理者用人口入力シート!BC$8))</f>
        <v>746.22047240058703</v>
      </c>
      <c r="ER7" s="10">
        <f>IF(管理者入力シート!$B$14=1,EQ4*管理者用人口入力シート!BD$4,IF(管理者入力シート!$B$14=2,EQ4*管理者用人口入力シート!BD$8))</f>
        <v>467.82100705272751</v>
      </c>
      <c r="ES7" s="10">
        <f>IF(管理者入力シート!$B$14=1,ER4*管理者用人口入力シート!BE$4,IF(管理者入力シート!$B$14=2,ER4*管理者用人口入力シート!BE$8))</f>
        <v>243.64915359834151</v>
      </c>
      <c r="ET7" s="10">
        <f>IF(管理者入力シート!$B$14=1,ES4*管理者用人口入力シート!BF$4,IF(管理者入力シート!$B$14=2,ES4*管理者用人口入力シート!BF$8))</f>
        <v>59.230620430227219</v>
      </c>
      <c r="EU7" s="10">
        <f t="shared" si="71"/>
        <v>22989.490841982104</v>
      </c>
      <c r="EV7" s="10">
        <f t="shared" si="41"/>
        <v>1079.1409657487302</v>
      </c>
      <c r="EW7" s="10">
        <f t="shared" si="42"/>
        <v>537.62859767934049</v>
      </c>
      <c r="EX7" s="10">
        <f t="shared" si="10"/>
        <v>6520.5824379981486</v>
      </c>
      <c r="EY7" s="10">
        <f t="shared" si="43"/>
        <v>3999.4882305846577</v>
      </c>
      <c r="EZ7" s="14">
        <f t="shared" si="44"/>
        <v>0.28363318190982423</v>
      </c>
      <c r="FA7" s="14">
        <f t="shared" si="45"/>
        <v>0.17397028312088667</v>
      </c>
      <c r="FB7" s="10">
        <f t="shared" si="72"/>
        <v>5177.506773482758</v>
      </c>
    </row>
    <row r="8" spans="1:158" x14ac:dyDescent="0.15">
      <c r="A8" s="7" t="str">
        <f t="shared" si="11"/>
        <v>2010_3</v>
      </c>
      <c r="B8" s="30">
        <v>2010</v>
      </c>
      <c r="C8" s="5" t="s">
        <v>23</v>
      </c>
      <c r="D8" s="11">
        <v>2324.638470678201</v>
      </c>
      <c r="E8" s="11">
        <v>2114.1877201279194</v>
      </c>
      <c r="F8" s="11">
        <v>2119.161817005277</v>
      </c>
      <c r="G8" s="11">
        <v>2030.4497319784282</v>
      </c>
      <c r="H8" s="11">
        <v>1713.8440817916007</v>
      </c>
      <c r="I8" s="11">
        <v>2432.3839168470431</v>
      </c>
      <c r="J8" s="11">
        <v>3074.3118045222527</v>
      </c>
      <c r="K8" s="11">
        <v>3320.268855406679</v>
      </c>
      <c r="L8" s="11">
        <v>2782.5230554853861</v>
      </c>
      <c r="M8" s="11">
        <v>2610.8597006355894</v>
      </c>
      <c r="N8" s="11">
        <v>2541.8966347284982</v>
      </c>
      <c r="O8" s="11">
        <v>2829.4063139730588</v>
      </c>
      <c r="P8" s="11">
        <v>2885.3916911597466</v>
      </c>
      <c r="Q8" s="11">
        <v>2085.1027790588169</v>
      </c>
      <c r="R8" s="11">
        <v>1766.1234622762836</v>
      </c>
      <c r="S8" s="11">
        <v>1696.4229306264419</v>
      </c>
      <c r="T8" s="11">
        <v>1377.7639345014934</v>
      </c>
      <c r="U8" s="11">
        <v>777.16541746222447</v>
      </c>
      <c r="V8" s="11">
        <v>306.40154804965152</v>
      </c>
      <c r="W8" s="11">
        <v>129.59695525376782</v>
      </c>
      <c r="X8" s="11">
        <v>22.099178431638748</v>
      </c>
      <c r="Y8" s="11">
        <f t="shared" si="68"/>
        <v>40939.999999999993</v>
      </c>
      <c r="Z8" s="11">
        <f t="shared" si="12"/>
        <v>2540.0097222799177</v>
      </c>
      <c r="AA8" s="11">
        <f t="shared" si="13"/>
        <v>1253.7546731977964</v>
      </c>
      <c r="AB8" s="11">
        <f t="shared" si="0"/>
        <v>8160.6762056603184</v>
      </c>
      <c r="AC8" s="11">
        <f t="shared" si="14"/>
        <v>4309.4499643252184</v>
      </c>
      <c r="AD8" s="15">
        <f t="shared" si="15"/>
        <v>0.19933258929311967</v>
      </c>
      <c r="AE8" s="15">
        <f t="shared" si="16"/>
        <v>0.10526257851307326</v>
      </c>
      <c r="AF8" s="11">
        <f t="shared" si="17"/>
        <v>10540.808658567576</v>
      </c>
      <c r="AH8" s="7"/>
      <c r="AI8" s="30" t="s">
        <v>88</v>
      </c>
      <c r="AJ8" s="5">
        <f>AJ7</f>
        <v>2010</v>
      </c>
      <c r="AK8" s="5">
        <f>AK7</f>
        <v>2020</v>
      </c>
      <c r="AL8" s="33" t="s">
        <v>22</v>
      </c>
      <c r="AM8" s="47">
        <f t="shared" si="73"/>
        <v>0.88979845771367361</v>
      </c>
      <c r="AN8" s="47">
        <f t="shared" si="73"/>
        <v>0.92508290734088505</v>
      </c>
      <c r="AO8" s="47">
        <f t="shared" si="73"/>
        <v>0.98744532684052899</v>
      </c>
      <c r="AP8" s="47">
        <f t="shared" si="73"/>
        <v>0.89075073194254106</v>
      </c>
      <c r="AQ8" s="47">
        <f t="shared" si="73"/>
        <v>1.3880616029325701</v>
      </c>
      <c r="AR8" s="47">
        <f t="shared" si="73"/>
        <v>1.0874337283120379</v>
      </c>
      <c r="AS8" s="47">
        <f t="shared" si="73"/>
        <v>0.98020964260533816</v>
      </c>
      <c r="AT8" s="47">
        <f t="shared" si="73"/>
        <v>0.98775746781612139</v>
      </c>
      <c r="AU8" s="47">
        <f t="shared" si="73"/>
        <v>0.99845443536063561</v>
      </c>
      <c r="AV8" s="47">
        <f t="shared" si="73"/>
        <v>1.00242723049325</v>
      </c>
      <c r="AW8" s="47">
        <f t="shared" si="73"/>
        <v>0.99643965950706859</v>
      </c>
      <c r="AX8" s="47">
        <f t="shared" si="73"/>
        <v>0.97934855131567644</v>
      </c>
      <c r="AY8" s="47">
        <f t="shared" si="73"/>
        <v>0.97186809107445993</v>
      </c>
      <c r="AZ8" s="47">
        <f t="shared" si="73"/>
        <v>0.97101752786467599</v>
      </c>
      <c r="BA8" s="47">
        <f t="shared" si="73"/>
        <v>0.93506740844118574</v>
      </c>
      <c r="BB8" s="47">
        <f t="shared" si="73"/>
        <v>0.90334884516732639</v>
      </c>
      <c r="BC8" s="47">
        <f t="shared" si="73"/>
        <v>0.81741129256744005</v>
      </c>
      <c r="BD8" s="47">
        <f t="shared" si="73"/>
        <v>0.67079003130463177</v>
      </c>
      <c r="BE8" s="47">
        <f t="shared" si="73"/>
        <v>0.48591314718210338</v>
      </c>
      <c r="BF8" s="47">
        <f t="shared" si="73"/>
        <v>0.26528921545943041</v>
      </c>
      <c r="BH8" s="7" t="str">
        <f t="shared" si="19"/>
        <v>2030_3</v>
      </c>
      <c r="BI8" s="30">
        <f>BI7</f>
        <v>2030</v>
      </c>
      <c r="BJ8" s="5" t="s">
        <v>23</v>
      </c>
      <c r="BK8" s="16">
        <f>BK6+BK7</f>
        <v>2074.7473162349038</v>
      </c>
      <c r="BL8" s="16">
        <f t="shared" ref="BL8" si="74">BL6+BL7</f>
        <v>1846.4765395900386</v>
      </c>
      <c r="BM8" s="16">
        <f t="shared" ref="BM8" si="75">BM6+BM7</f>
        <v>1822.3647595310795</v>
      </c>
      <c r="BN8" s="16">
        <f t="shared" ref="BN8" si="76">BN6+BN7</f>
        <v>1815.9693541445879</v>
      </c>
      <c r="BO8" s="16">
        <f t="shared" ref="BO8" si="77">BO6+BO7</f>
        <v>1531.4798915375022</v>
      </c>
      <c r="BP8" s="16">
        <f t="shared" ref="BP8" si="78">BP6+BP7</f>
        <v>2258.2730469694811</v>
      </c>
      <c r="BQ8" s="16">
        <f t="shared" ref="BQ8" si="79">BQ6+BQ7</f>
        <v>2873.5794025945829</v>
      </c>
      <c r="BR8" s="16">
        <f t="shared" ref="BR8" si="80">BR6+BR7</f>
        <v>2704.8959059179101</v>
      </c>
      <c r="BS8" s="16">
        <f t="shared" ref="BS8" si="81">BS6+BS7</f>
        <v>2568.831698756177</v>
      </c>
      <c r="BT8" s="16">
        <f t="shared" ref="BT8" si="82">BT6+BT7</f>
        <v>2791.330599076302</v>
      </c>
      <c r="BU8" s="16">
        <f t="shared" ref="BU8" si="83">BU6+BU7</f>
        <v>3023.1725913359105</v>
      </c>
      <c r="BV8" s="16">
        <f t="shared" ref="BV8" si="84">BV6+BV7</f>
        <v>3286.8202844631851</v>
      </c>
      <c r="BW8" s="16">
        <f t="shared" ref="BW8" si="85">BW6+BW7</f>
        <v>2675.7593358692093</v>
      </c>
      <c r="BX8" s="16">
        <f t="shared" ref="BX8" si="86">BX6+BX7</f>
        <v>2523.6452024562959</v>
      </c>
      <c r="BY8" s="16">
        <f t="shared" ref="BY8" si="87">BY6+BY7</f>
        <v>2273.2364340362901</v>
      </c>
      <c r="BZ8" s="16">
        <f t="shared" ref="BZ8" si="88">BZ6+BZ7</f>
        <v>2296.7809479249754</v>
      </c>
      <c r="CA8" s="16">
        <f t="shared" ref="CA8" si="89">CA6+CA7</f>
        <v>2079.7767280816402</v>
      </c>
      <c r="CB8" s="16">
        <f t="shared" ref="CB8" si="90">CB6+CB7</f>
        <v>1156.8520007523498</v>
      </c>
      <c r="CC8" s="16">
        <f t="shared" ref="CC8" si="91">CC6+CC7</f>
        <v>631.89825988338737</v>
      </c>
      <c r="CD8" s="16">
        <f t="shared" ref="CD8" si="92">CD6+CD7</f>
        <v>302.91301087170882</v>
      </c>
      <c r="CE8" s="16">
        <f t="shared" ref="CE8" si="93">CE6+CE7</f>
        <v>68.558095330858393</v>
      </c>
      <c r="CF8" s="11">
        <f t="shared" si="2"/>
        <v>42607.361405358381</v>
      </c>
      <c r="CG8" s="11">
        <f t="shared" si="20"/>
        <v>2201.3047794726708</v>
      </c>
      <c r="CH8" s="11">
        <f t="shared" si="21"/>
        <v>1092.1397746413493</v>
      </c>
      <c r="CI8" s="11">
        <f t="shared" si="3"/>
        <v>11333.660679337507</v>
      </c>
      <c r="CJ8" s="11">
        <f t="shared" si="22"/>
        <v>6536.7790428449198</v>
      </c>
      <c r="CK8" s="15">
        <f t="shared" si="23"/>
        <v>0.26600240675575287</v>
      </c>
      <c r="CL8" s="15">
        <f t="shared" si="24"/>
        <v>0.15341900618194212</v>
      </c>
      <c r="CM8" s="11">
        <f t="shared" si="25"/>
        <v>9368.2282470194768</v>
      </c>
      <c r="CO8" s="7" t="str">
        <f t="shared" si="26"/>
        <v>2030_3</v>
      </c>
      <c r="CP8" s="30">
        <f>CP7</f>
        <v>2030</v>
      </c>
      <c r="CQ8" s="5" t="s">
        <v>23</v>
      </c>
      <c r="CR8" s="16">
        <f>CR6+CR7</f>
        <v>2078.5566447179071</v>
      </c>
      <c r="CS8" s="16">
        <f t="shared" ref="CS8" si="94">CS6+CS7</f>
        <v>1848.218783434394</v>
      </c>
      <c r="CT8" s="16">
        <f t="shared" ref="CT8" si="95">CT6+CT7</f>
        <v>1824.3647595310795</v>
      </c>
      <c r="CU8" s="16">
        <f t="shared" ref="CU8" si="96">CU6+CU7</f>
        <v>1817.8530217123362</v>
      </c>
      <c r="CV8" s="16">
        <f t="shared" ref="CV8" si="97">CV6+CV7</f>
        <v>1531.4798915375022</v>
      </c>
      <c r="CW8" s="16">
        <f t="shared" ref="CW8" si="98">CW6+CW7</f>
        <v>2262.2730469694811</v>
      </c>
      <c r="CX8" s="16">
        <f t="shared" ref="CX8" si="99">CX6+CX7</f>
        <v>2878.1361470186721</v>
      </c>
      <c r="CY8" s="16">
        <f t="shared" ref="CY8" si="100">CY6+CY7</f>
        <v>2704.8959059179101</v>
      </c>
      <c r="CZ8" s="16">
        <f t="shared" ref="CZ8" si="101">CZ6+CZ7</f>
        <v>2569.831698756177</v>
      </c>
      <c r="DA8" s="16">
        <f t="shared" ref="DA8" si="102">DA6+DA7</f>
        <v>2792.3290535116621</v>
      </c>
      <c r="DB8" s="16">
        <f t="shared" ref="DB8" si="103">DB6+DB7</f>
        <v>3023.1725913359105</v>
      </c>
      <c r="DC8" s="16">
        <f t="shared" ref="DC8" si="104">DC6+DC7</f>
        <v>3286.8202844631851</v>
      </c>
      <c r="DD8" s="16">
        <f t="shared" ref="DD8" si="105">DD6+DD7</f>
        <v>2675.7593358692093</v>
      </c>
      <c r="DE8" s="16">
        <f t="shared" ref="DE8" si="106">DE6+DE7</f>
        <v>2523.6452024562959</v>
      </c>
      <c r="DF8" s="16">
        <f t="shared" ref="DF8" si="107">DF6+DF7</f>
        <v>2273.2364340362901</v>
      </c>
      <c r="DG8" s="16">
        <f t="shared" ref="DG8" si="108">DG6+DG7</f>
        <v>2296.7809479249754</v>
      </c>
      <c r="DH8" s="16">
        <f t="shared" ref="DH8" si="109">DH6+DH7</f>
        <v>2079.7767280816402</v>
      </c>
      <c r="DI8" s="16">
        <f t="shared" ref="DI8" si="110">DI6+DI7</f>
        <v>1156.8520007523498</v>
      </c>
      <c r="DJ8" s="16">
        <f t="shared" ref="DJ8" si="111">DJ6+DJ7</f>
        <v>631.89825988338737</v>
      </c>
      <c r="DK8" s="16">
        <f t="shared" ref="DK8" si="112">DK6+DK7</f>
        <v>302.91301087170882</v>
      </c>
      <c r="DL8" s="16">
        <f t="shared" ref="DL8" si="113">DL6+DL7</f>
        <v>68.558095330858393</v>
      </c>
      <c r="DM8" s="11">
        <f t="shared" si="69"/>
        <v>42627.351844112934</v>
      </c>
      <c r="DN8" s="11">
        <f t="shared" si="34"/>
        <v>2203.5501257792839</v>
      </c>
      <c r="DO8" s="11">
        <f t="shared" si="35"/>
        <v>1093.3165081548991</v>
      </c>
      <c r="DP8" s="11">
        <f t="shared" si="6"/>
        <v>11333.660679337507</v>
      </c>
      <c r="DQ8" s="11">
        <f t="shared" si="36"/>
        <v>6536.7790428449198</v>
      </c>
      <c r="DR8" s="15">
        <f t="shared" si="37"/>
        <v>0.26587766279229347</v>
      </c>
      <c r="DS8" s="15">
        <f t="shared" si="38"/>
        <v>0.15334705910772367</v>
      </c>
      <c r="DT8" s="11">
        <f t="shared" si="70"/>
        <v>9376.7849914435665</v>
      </c>
      <c r="DV8" s="7" t="s">
        <v>402</v>
      </c>
      <c r="DW8" s="210">
        <f>(CF13-Y13)/4</f>
        <v>-127.57094959196729</v>
      </c>
      <c r="DX8" s="30">
        <f>DX7</f>
        <v>2030</v>
      </c>
      <c r="DY8" s="5" t="s">
        <v>23</v>
      </c>
      <c r="DZ8" s="16">
        <f>DZ6+DZ7</f>
        <v>2243.8581759863973</v>
      </c>
      <c r="EA8" s="16">
        <f t="shared" ref="EA8:ET8" si="114">EA6+EA7</f>
        <v>1846.4765395900386</v>
      </c>
      <c r="EB8" s="16">
        <f t="shared" si="114"/>
        <v>1822.3647595310795</v>
      </c>
      <c r="EC8" s="16">
        <f t="shared" si="114"/>
        <v>1815.9693541445879</v>
      </c>
      <c r="ED8" s="16">
        <f t="shared" si="114"/>
        <v>1531.4798915375022</v>
      </c>
      <c r="EE8" s="16">
        <f t="shared" si="114"/>
        <v>2412.2730469694811</v>
      </c>
      <c r="EF8" s="16">
        <f t="shared" si="114"/>
        <v>3203.0140629220318</v>
      </c>
      <c r="EG8" s="16">
        <f t="shared" si="114"/>
        <v>3011.4359536060742</v>
      </c>
      <c r="EH8" s="16">
        <f t="shared" si="114"/>
        <v>2720.7862325443657</v>
      </c>
      <c r="EI8" s="16">
        <f t="shared" si="114"/>
        <v>2791.330599076302</v>
      </c>
      <c r="EJ8" s="16">
        <f t="shared" si="114"/>
        <v>3023.1725913359105</v>
      </c>
      <c r="EK8" s="16">
        <f t="shared" si="114"/>
        <v>3286.8202844631851</v>
      </c>
      <c r="EL8" s="16">
        <f t="shared" si="114"/>
        <v>2675.7593358692093</v>
      </c>
      <c r="EM8" s="16">
        <f t="shared" si="114"/>
        <v>2523.6452024562959</v>
      </c>
      <c r="EN8" s="16">
        <f t="shared" si="114"/>
        <v>2273.2364340362901</v>
      </c>
      <c r="EO8" s="16">
        <f t="shared" si="114"/>
        <v>2296.7809479249754</v>
      </c>
      <c r="EP8" s="16">
        <f t="shared" si="114"/>
        <v>2079.7767280816402</v>
      </c>
      <c r="EQ8" s="16">
        <f t="shared" si="114"/>
        <v>1156.8520007523498</v>
      </c>
      <c r="ER8" s="16">
        <f t="shared" si="114"/>
        <v>631.89825988338737</v>
      </c>
      <c r="ES8" s="16">
        <f t="shared" si="114"/>
        <v>302.91301087170882</v>
      </c>
      <c r="ET8" s="16">
        <f t="shared" si="114"/>
        <v>68.558095330858393</v>
      </c>
      <c r="EU8" s="11">
        <f t="shared" si="71"/>
        <v>43718.401506913673</v>
      </c>
      <c r="EV8" s="11">
        <f t="shared" si="41"/>
        <v>2201.3047794726708</v>
      </c>
      <c r="EW8" s="11">
        <f t="shared" si="42"/>
        <v>1092.1397746413493</v>
      </c>
      <c r="EX8" s="11">
        <f t="shared" si="10"/>
        <v>11333.660679337507</v>
      </c>
      <c r="EY8" s="11">
        <f t="shared" si="43"/>
        <v>6536.7790428449198</v>
      </c>
      <c r="EZ8" s="15">
        <f t="shared" si="44"/>
        <v>0.25924233935097535</v>
      </c>
      <c r="FA8" s="15">
        <f t="shared" si="45"/>
        <v>0.14952008347814791</v>
      </c>
      <c r="FB8" s="11">
        <f t="shared" si="72"/>
        <v>10158.202955035089</v>
      </c>
    </row>
    <row r="9" spans="1:158" x14ac:dyDescent="0.15">
      <c r="A9" s="7" t="str">
        <f t="shared" si="11"/>
        <v>2015_1</v>
      </c>
      <c r="B9" s="28">
        <v>2015</v>
      </c>
      <c r="C9" s="3" t="s">
        <v>21</v>
      </c>
      <c r="D9" s="9">
        <v>1171.6709099552088</v>
      </c>
      <c r="E9" s="9">
        <v>1019.159575508029</v>
      </c>
      <c r="F9" s="9">
        <v>1052.7492708377401</v>
      </c>
      <c r="G9" s="9">
        <v>961.33304871710084</v>
      </c>
      <c r="H9" s="9">
        <v>757.96201719545013</v>
      </c>
      <c r="I9" s="9">
        <v>1071.7151780454647</v>
      </c>
      <c r="J9" s="9">
        <v>1336.7548293513819</v>
      </c>
      <c r="K9" s="9">
        <v>1468.7689039434233</v>
      </c>
      <c r="L9" s="9">
        <v>1546.9000679418421</v>
      </c>
      <c r="M9" s="9">
        <v>1308.7652574552776</v>
      </c>
      <c r="N9" s="9">
        <v>1217.6289134635626</v>
      </c>
      <c r="O9" s="9">
        <v>1201.873243533018</v>
      </c>
      <c r="P9" s="9">
        <v>1287.4142179873982</v>
      </c>
      <c r="Q9" s="9">
        <v>1313.5009134461029</v>
      </c>
      <c r="R9" s="9">
        <v>907.92371508879273</v>
      </c>
      <c r="S9" s="9">
        <v>679.7752959298557</v>
      </c>
      <c r="T9" s="9">
        <v>557.08542243705699</v>
      </c>
      <c r="U9" s="9">
        <v>362.28774749875299</v>
      </c>
      <c r="V9" s="9">
        <v>105.08512313693195</v>
      </c>
      <c r="W9" s="9">
        <v>29.538357719863846</v>
      </c>
      <c r="X9" s="9">
        <v>4.1079908077455833</v>
      </c>
      <c r="Y9" s="9">
        <f t="shared" si="68"/>
        <v>19361.999999999996</v>
      </c>
      <c r="Z9" s="9">
        <f t="shared" si="12"/>
        <v>1243.1453078074614</v>
      </c>
      <c r="AA9" s="9">
        <f t="shared" si="13"/>
        <v>613.3663180785162</v>
      </c>
      <c r="AB9" s="9">
        <f t="shared" si="0"/>
        <v>3959.3045660651028</v>
      </c>
      <c r="AC9" s="9">
        <f t="shared" si="14"/>
        <v>1737.8799375302074</v>
      </c>
      <c r="AD9" s="13">
        <f t="shared" si="15"/>
        <v>0.20448840853553887</v>
      </c>
      <c r="AE9" s="13">
        <f t="shared" si="16"/>
        <v>8.9757253255356245E-2</v>
      </c>
      <c r="AF9" s="9">
        <f t="shared" si="17"/>
        <v>4635.2009285357199</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1035.3615602830212</v>
      </c>
      <c r="BL9" s="9">
        <f>IF(管理者入力シート!$B$14=1,BK6*管理者用人口入力シート!AM$3,IF(管理者入力シート!$B$14=2,BK6*管理者用人口入力シート!AM$7))</f>
        <v>906.10704969963808</v>
      </c>
      <c r="BM9" s="9">
        <f>IF(管理者入力シート!$B$14=1,BL6*管理者用人口入力シート!AN$3,IF(管理者入力シート!$B$14=2,BL6*管理者用人口入力シート!AN$7))</f>
        <v>915.06855267276228</v>
      </c>
      <c r="BN9" s="9">
        <f>IF(管理者入力シート!$B$14=1,BM6*管理者用人口入力シート!AO$3,IF(管理者入力シート!$B$14=2,BM6*管理者用人口入力シート!AO$7))</f>
        <v>846.09159507944105</v>
      </c>
      <c r="BO9" s="9">
        <f>IF(管理者入力シート!$B$14=1,BN6*管理者用人口入力シート!AP$3,IF(管理者入力シート!$B$14=2,BN6*管理者用人口入力シート!AP$7))</f>
        <v>705.53870543641665</v>
      </c>
      <c r="BP9" s="9">
        <f>IF(管理者入力シート!$B$14=1,BO6*管理者用人口入力シート!AQ$3,IF(管理者入力シート!$B$14=2,BO6*管理者用人口入力シート!AQ$7))</f>
        <v>1054.2637677847142</v>
      </c>
      <c r="BQ9" s="9">
        <f>IF(管理者入力シート!$B$14=1,BP6*管理者用人口入力シート!AR$3,IF(管理者入力シート!$B$14=2,BP6*管理者用人口入力シート!AR$7))</f>
        <v>1289.2991495414415</v>
      </c>
      <c r="BR9" s="9">
        <f>IF(管理者入力シート!$B$14=1,BQ6*管理者用人口入力シート!AS$3,IF(管理者入力シート!$B$14=2,BQ6*管理者用人口入力シート!AS$7))</f>
        <v>1413.032639858576</v>
      </c>
      <c r="BS9" s="9">
        <f>IF(管理者入力シート!$B$14=1,BR6*管理者用人口入力シート!AT$3,IF(管理者入力シート!$B$14=2,BR6*管理者用人口入力シート!AT$7))</f>
        <v>1343.7983310514692</v>
      </c>
      <c r="BT9" s="9">
        <f>IF(管理者入力シート!$B$14=1,BS6*管理者用人口入力シート!AU$3,IF(管理者入力シート!$B$14=2,BS6*管理者用人口入力シート!AU$7))</f>
        <v>1273.6621108371278</v>
      </c>
      <c r="BU9" s="9">
        <f>IF(管理者入力シート!$B$14=1,BT6*管理者用人口入力シート!AV$3,IF(管理者入力シート!$B$14=2,BT6*管理者用人口入力シート!AV$7))</f>
        <v>1328.3526934398899</v>
      </c>
      <c r="BV9" s="9">
        <f>IF(管理者入力シート!$B$14=1,BU6*管理者用人口入力シート!AW$3,IF(管理者入力シート!$B$14=2,BU6*管理者用人口入力シート!AW$7))</f>
        <v>1516.4421278426205</v>
      </c>
      <c r="BW9" s="9">
        <f>IF(管理者入力シート!$B$14=1,BV6*管理者用人口入力シート!AX$3,IF(管理者入力シート!$B$14=2,BV6*管理者用人口入力シート!AX$7))</f>
        <v>1542.9218342990312</v>
      </c>
      <c r="BX9" s="9">
        <f>IF(管理者入力シート!$B$14=1,BW6*管理者用人口入力シート!AY$3,IF(管理者入力シート!$B$14=2,BW6*管理者用人口入力シート!AY$7))</f>
        <v>1218.3215856528054</v>
      </c>
      <c r="BY9" s="9">
        <f>IF(管理者入力シート!$B$14=1,BX6*管理者用人口入力シート!AZ$3,IF(管理者入力シート!$B$14=2,BX6*管理者用人口入力シート!AZ$7))</f>
        <v>1132.0864150245579</v>
      </c>
      <c r="BZ9" s="9">
        <f>IF(管理者入力シート!$B$14=1,BY6*管理者用人口入力シート!BA$3,IF(管理者入力シート!$B$14=2,BY6*管理者用人口入力シート!BA$7))</f>
        <v>932.20022643436096</v>
      </c>
      <c r="CA9" s="9">
        <f>IF(管理者入力シート!$B$14=1,BZ6*管理者用人口入力シート!BB$3,IF(管理者入力シート!$B$14=2,BZ6*管理者用人口入力シート!BB$7))</f>
        <v>830.29595392071417</v>
      </c>
      <c r="CB9" s="9">
        <f>IF(管理者入力シート!$B$14=1,CA6*管理者用人口入力シート!BC$3,IF(管理者入力シート!$B$14=2,CA6*管理者用人口入力シート!BC$7))</f>
        <v>572.43719857265069</v>
      </c>
      <c r="CC9" s="9">
        <f>IF(管理者入力シート!$B$14=1,CB6*管理者用人口入力シート!BD$3,IF(管理者入力シート!$B$14=2,CB6*管理者用人口入力シート!BD$7))</f>
        <v>189.48312208878414</v>
      </c>
      <c r="CD9" s="9">
        <f>IF(管理者入力シート!$B$14=1,CC6*管理者用人口入力シート!BE$3,IF(管理者入力シート!$B$14=2,CC6*管理者用人口入力シート!BE$7))</f>
        <v>57.171855848682149</v>
      </c>
      <c r="CE9" s="9">
        <f>IF(管理者入力シート!$B$14=1,CD6*管理者用人口入力シート!BF$3,IF(管理者入力シート!$B$14=2,CD6*管理者用人口入力シート!BF$7))</f>
        <v>9.6180485403731151</v>
      </c>
      <c r="CF9" s="9">
        <f t="shared" si="2"/>
        <v>20111.554523909079</v>
      </c>
      <c r="CG9" s="9">
        <f t="shared" si="20"/>
        <v>1092.7053614234401</v>
      </c>
      <c r="CH9" s="9">
        <f t="shared" si="21"/>
        <v>535.24574008499303</v>
      </c>
      <c r="CI9" s="9">
        <f t="shared" si="3"/>
        <v>4941.6144060829292</v>
      </c>
      <c r="CJ9" s="9">
        <f t="shared" si="22"/>
        <v>2591.206405405565</v>
      </c>
      <c r="CK9" s="13">
        <f t="shared" si="23"/>
        <v>0.24571021599589551</v>
      </c>
      <c r="CL9" s="13">
        <f t="shared" si="24"/>
        <v>0.12884167667522067</v>
      </c>
      <c r="CM9" s="9">
        <f t="shared" si="25"/>
        <v>4462.1342626211481</v>
      </c>
      <c r="CO9" s="7" t="str">
        <f t="shared" si="26"/>
        <v>2035_1</v>
      </c>
      <c r="CP9" s="28">
        <f>管理者入力シート!B10</f>
        <v>2035</v>
      </c>
      <c r="CQ9" s="3" t="s">
        <v>21</v>
      </c>
      <c r="CR9" s="9">
        <f>DT10*$AK$13+将来予測シート②!$G17</f>
        <v>1037.9571655342818</v>
      </c>
      <c r="CS9" s="9">
        <f>IF(管理者入力シート!$B$14=1,CR6*管理者用人口入力シート!AM$3,IF(管理者入力シート!$B$14=2,CR6*管理者用人口入力シート!AM$7))+将来予測シート②!$G18</f>
        <v>907.74968542938484</v>
      </c>
      <c r="CT9" s="9">
        <f>IF(管理者入力シート!$B$14=1,CS6*管理者用人口入力シート!AN$3,IF(管理者入力シート!$B$14=2,CS6*管理者用人口入力シート!AN$7))+将来予測シート②!$G19</f>
        <v>916.91074526833188</v>
      </c>
      <c r="CU9" s="9">
        <f>IF(管理者入力シート!$B$14=1,CT6*管理者用人口入力シート!AO$3,IF(管理者入力シート!$B$14=2,CT6*管理者用人口入力シート!AO$7))+将来予測シート②!$G20</f>
        <v>846.98781732034865</v>
      </c>
      <c r="CV9" s="9">
        <f>IF(管理者入力シート!$B$14=1,CU6*管理者用人口入力シート!AP$3,IF(管理者入力シート!$B$14=2,CU6*管理者用人口入力シート!AP$7))+将来予測シート②!$G21</f>
        <v>706.25365370387499</v>
      </c>
      <c r="CW9" s="9">
        <f>IF(管理者入力シート!$B$14=1,CV6*管理者用人口入力シート!AQ$3,IF(管理者入力シート!$B$14=2,CV6*管理者用人口入力シート!AQ$7))+将来予測シート②!$G22</f>
        <v>1056.2637677847142</v>
      </c>
      <c r="CX9" s="9">
        <f>IF(管理者入力シート!$B$14=1,CW6*管理者用人口入力シート!AR$3,IF(管理者入力シート!$B$14=2,CW6*管理者用人口入力シート!AR$7))+将来予測シート②!$G23</f>
        <v>1291.6810265089071</v>
      </c>
      <c r="CY9" s="9">
        <f>IF(管理者入力シート!$B$14=1,CX6*管理者用人口入力シート!AS$3,IF(管理者入力シート!$B$14=2,CX6*管理者用人口入力シート!AS$7))+将来予測シート②!$G24</f>
        <v>1415.4164936356772</v>
      </c>
      <c r="CZ9" s="9">
        <f>IF(管理者入力シート!$B$14=1,CY6*管理者用人口入力シート!AT$3,IF(管理者入力シート!$B$14=2,CY6*管理者用人口入力シート!AT$7))+将来予測シート②!$G25</f>
        <v>1343.7983310514692</v>
      </c>
      <c r="DA9" s="9">
        <f>IF(管理者入力シート!$B$14=1,CZ6*管理者用人口入力シート!AU$3,IF(管理者入力シート!$B$14=2,CZ6*管理者用人口入力シート!AU$7))+将来予測シート②!$G26</f>
        <v>1273.6621108371278</v>
      </c>
      <c r="DB9" s="9">
        <f>IF(管理者入力シート!$B$14=1,DA6*管理者用人口入力シート!AV$3,IF(管理者入力シート!$B$14=2,DA6*管理者用人口入力シート!AV$7))+将来予測シート②!$G27</f>
        <v>1328.3526934398899</v>
      </c>
      <c r="DC9" s="9">
        <f>IF(管理者入力シート!$B$14=1,DB6*管理者用人口入力シート!AW$3,IF(管理者入力シート!$B$14=2,DB6*管理者用人口入力シート!AW$7))+将来予測シート②!$G28</f>
        <v>1516.4421278426205</v>
      </c>
      <c r="DD9" s="9">
        <f>IF(管理者入力シート!$B$14=1,DC6*管理者用人口入力シート!AX$3,IF(管理者入力シート!$B$14=2,DC6*管理者用人口入力シート!AX$7))+将来予測シート②!$G29</f>
        <v>1542.9218342990312</v>
      </c>
      <c r="DE9" s="9">
        <f>IF(管理者入力シート!$B$14=1,DD6*管理者用人口入力シート!AY$3,IF(管理者入力シート!$B$14=2,DD6*管理者用人口入力シート!AY$7))</f>
        <v>1218.3215856528054</v>
      </c>
      <c r="DF9" s="9">
        <f>IF(管理者入力シート!$B$14=1,DE6*管理者用人口入力シート!AZ$3,IF(管理者入力シート!$B$14=2,DE6*管理者用人口入力シート!AZ$7))</f>
        <v>1132.0864150245579</v>
      </c>
      <c r="DG9" s="9">
        <f>IF(管理者入力シート!$B$14=1,DF6*管理者用人口入力シート!BA$3,IF(管理者入力シート!$B$14=2,DF6*管理者用人口入力シート!BA$7))</f>
        <v>932.20022643436096</v>
      </c>
      <c r="DH9" s="9">
        <f>IF(管理者入力シート!$B$14=1,DG6*管理者用人口入力シート!BB$3,IF(管理者入力シート!$B$14=2,DG6*管理者用人口入力シート!BB$7))</f>
        <v>830.29595392071417</v>
      </c>
      <c r="DI9" s="9">
        <f>IF(管理者入力シート!$B$14=1,DH6*管理者用人口入力シート!BC$3,IF(管理者入力シート!$B$14=2,DH6*管理者用人口入力シート!BC$7))</f>
        <v>572.43719857265069</v>
      </c>
      <c r="DJ9" s="9">
        <f>IF(管理者入力シート!$B$14=1,DI6*管理者用人口入力シート!BD$3,IF(管理者入力シート!$B$14=2,DI6*管理者用人口入力シート!BD$7))</f>
        <v>189.48312208878414</v>
      </c>
      <c r="DK9" s="9">
        <f>IF(管理者入力シート!$B$14=1,DJ6*管理者用人口入力シート!BE$3,IF(管理者入力シート!$B$14=2,DJ6*管理者用人口入力シート!BE$7))</f>
        <v>57.171855848682149</v>
      </c>
      <c r="DL9" s="9">
        <f>IF(管理者入力シート!$B$14=1,DK6*管理者用人口入力シート!BF$3,IF(管理者入力シート!$B$14=2,DK6*管理者用人口入力シート!BF$7))</f>
        <v>9.6180485403731151</v>
      </c>
      <c r="DM9" s="9">
        <f t="shared" si="69"/>
        <v>20126.011858738588</v>
      </c>
      <c r="DN9" s="9">
        <f t="shared" si="34"/>
        <v>1094.7962584186298</v>
      </c>
      <c r="DO9" s="9">
        <f t="shared" si="35"/>
        <v>536.16186157140248</v>
      </c>
      <c r="DP9" s="9">
        <f t="shared" si="6"/>
        <v>4941.6144060829292</v>
      </c>
      <c r="DQ9" s="9">
        <f t="shared" si="36"/>
        <v>2591.206405405565</v>
      </c>
      <c r="DR9" s="13">
        <f t="shared" si="37"/>
        <v>0.24553371233045912</v>
      </c>
      <c r="DS9" s="13">
        <f t="shared" si="38"/>
        <v>0.12874912444615694</v>
      </c>
      <c r="DT9" s="9">
        <f t="shared" si="70"/>
        <v>4469.6149416331737</v>
      </c>
      <c r="DV9" s="7" t="s">
        <v>403</v>
      </c>
      <c r="DW9" s="210">
        <f>DW7+DW8</f>
        <v>-111.71417321375156</v>
      </c>
      <c r="DX9" s="28">
        <f>管理者入力シート!B10</f>
        <v>2035</v>
      </c>
      <c r="DY9" s="3" t="s">
        <v>21</v>
      </c>
      <c r="DZ9" s="9">
        <f>FB10*$AK$13</f>
        <v>1140.2253500724842</v>
      </c>
      <c r="EA9" s="129">
        <f>IF(管理者入力シート!$B$14=1,DZ6*管理者用人口入力シート!AM$3,IF(管理者入力シート!$B$14=2,DZ6*管理者用人口入力シート!AM$7))</f>
        <v>979.96305182700542</v>
      </c>
      <c r="EB9" s="9">
        <f>IF(管理者入力シート!$B$14=1,EA6*管理者用人口入力シート!AN$3,IF(管理者入力シート!$B$14=2,EA6*管理者用人口入力シート!AN$7))</f>
        <v>915.06855267276228</v>
      </c>
      <c r="EC9" s="9">
        <f>IF(管理者入力シート!$B$14=1,EB6*管理者用人口入力シート!AO$3,IF(管理者入力シート!$B$14=2,EB6*管理者用人口入力シート!AO$7))</f>
        <v>846.09159507944105</v>
      </c>
      <c r="ED9" s="9">
        <f>IF(管理者入力シート!$B$14=1,EC6*管理者用人口入力シート!AP$3,IF(管理者入力シート!$B$14=2,EC6*管理者用人口入力シート!AP$7))</f>
        <v>705.53870543641665</v>
      </c>
      <c r="EE9" s="9">
        <f>IF(管理者入力シート!$B$14=1,ED6*管理者用人口入力シート!AQ$3,IF(管理者入力シート!$B$14=2,ED6*管理者用人口入力シート!AQ$7))+DX1</f>
        <v>1131.2637677847142</v>
      </c>
      <c r="EF9" s="9">
        <f>IF(管理者入力シート!$B$14=1,EE6*管理者用人口入力シート!AR$3,IF(管理者入力シート!$B$14=2,EE6*管理者用人口入力シート!AR$7))+DX1</f>
        <v>1458.0014127888637</v>
      </c>
      <c r="EG9" s="9">
        <f>IF(管理者入力シート!$B$14=1,EF6*管理者用人口入力シート!AS$3,IF(管理者入力シート!$B$14=2,EF6*管理者用人口入力シート!AS$7))+DX1</f>
        <v>1658.8749154845375</v>
      </c>
      <c r="EH9" s="9">
        <f>IF(管理者入力シート!$B$14=1,EG6*管理者用人口入力シート!AT$3,IF(管理者入力シート!$B$14=2,EG6*管理者用人口入力シート!AT$7))</f>
        <v>1495.6557385436299</v>
      </c>
      <c r="EI9" s="9">
        <f>IF(管理者入力シート!$B$14=1,EH6*管理者用人口入力シート!AU$3,IF(管理者入力シート!$B$14=2,EH6*管理者用人口入力シート!AU$7))</f>
        <v>1350.9032076364601</v>
      </c>
      <c r="EJ9" s="9">
        <f>IF(管理者入力シート!$B$14=1,EI6*管理者用人口入力シート!AV$3,IF(管理者入力シート!$B$14=2,EI6*管理者用人口入力シート!AV$7))</f>
        <v>1328.3526934398899</v>
      </c>
      <c r="EK9" s="9">
        <f>IF(管理者入力シート!$B$14=1,EJ6*管理者用人口入力シート!AW$3,IF(管理者入力シート!$B$14=2,EJ6*管理者用人口入力シート!AW$7))</f>
        <v>1516.4421278426205</v>
      </c>
      <c r="EL9" s="9">
        <f>IF(管理者入力シート!$B$14=1,EK6*管理者用人口入力シート!AX$3,IF(管理者入力シート!$B$14=2,EK6*管理者用人口入力シート!AX$7))</f>
        <v>1542.9218342990312</v>
      </c>
      <c r="EM9" s="9">
        <f>IF(管理者入力シート!$B$14=1,EL6*管理者用人口入力シート!AY$3,IF(管理者入力シート!$B$14=2,EL6*管理者用人口入力シート!AY$7))</f>
        <v>1218.3215856528054</v>
      </c>
      <c r="EN9" s="9">
        <f>IF(管理者入力シート!$B$14=1,EM6*管理者用人口入力シート!AZ$3,IF(管理者入力シート!$B$14=2,EM6*管理者用人口入力シート!AZ$7))</f>
        <v>1132.0864150245579</v>
      </c>
      <c r="EO9" s="9">
        <f>IF(管理者入力シート!$B$14=1,EN6*管理者用人口入力シート!BA$3,IF(管理者入力シート!$B$14=2,EN6*管理者用人口入力シート!BA$7))</f>
        <v>932.20022643436096</v>
      </c>
      <c r="EP9" s="9">
        <f>IF(管理者入力シート!$B$14=1,EO6*管理者用人口入力シート!BB$3,IF(管理者入力シート!$B$14=2,EO6*管理者用人口入力シート!BB$7))</f>
        <v>830.29595392071417</v>
      </c>
      <c r="EQ9" s="9">
        <f>IF(管理者入力シート!$B$14=1,EP6*管理者用人口入力シート!BC$3,IF(管理者入力シート!$B$14=2,EP6*管理者用人口入力シート!BC$7))</f>
        <v>572.43719857265069</v>
      </c>
      <c r="ER9" s="9">
        <f>IF(管理者入力シート!$B$14=1,EQ6*管理者用人口入力シート!BD$3,IF(管理者入力シート!$B$14=2,EQ6*管理者用人口入力シート!BD$7))</f>
        <v>189.48312208878414</v>
      </c>
      <c r="ES9" s="9">
        <f>IF(管理者入力シート!$B$14=1,ER6*管理者用人口入力シート!BE$3,IF(管理者入力シート!$B$14=2,ER6*管理者用人口入力シート!BE$7))</f>
        <v>57.171855848682149</v>
      </c>
      <c r="ET9" s="9">
        <f>IF(管理者入力シート!$B$14=1,ES6*管理者用人口入力シート!BF$3,IF(管理者入力シート!$B$14=2,ES6*管理者用人口入力シート!BF$7))</f>
        <v>9.6180485403731151</v>
      </c>
      <c r="EU9" s="9">
        <f t="shared" si="71"/>
        <v>21010.917358990788</v>
      </c>
      <c r="EV9" s="9">
        <f t="shared" si="41"/>
        <v>1137.0189626998606</v>
      </c>
      <c r="EW9" s="9">
        <f t="shared" si="42"/>
        <v>535.24574008499303</v>
      </c>
      <c r="EX9" s="9">
        <f t="shared" si="10"/>
        <v>4941.6144060829292</v>
      </c>
      <c r="EY9" s="9">
        <f t="shared" si="43"/>
        <v>2591.206405405565</v>
      </c>
      <c r="EZ9" s="13">
        <f t="shared" si="44"/>
        <v>0.23519270109205212</v>
      </c>
      <c r="FA9" s="13">
        <f t="shared" si="45"/>
        <v>0.12332666685287594</v>
      </c>
      <c r="FB9" s="9">
        <f t="shared" si="72"/>
        <v>4953.6788014945323</v>
      </c>
    </row>
    <row r="10" spans="1:158" x14ac:dyDescent="0.15">
      <c r="A10" s="7" t="str">
        <f t="shared" si="11"/>
        <v>2015_2</v>
      </c>
      <c r="B10" s="29">
        <v>2015</v>
      </c>
      <c r="C10" s="4" t="s">
        <v>22</v>
      </c>
      <c r="D10" s="10">
        <v>1128.7726033321244</v>
      </c>
      <c r="E10" s="10">
        <v>989.3946763221054</v>
      </c>
      <c r="F10" s="10">
        <v>961.66228107503605</v>
      </c>
      <c r="G10" s="10">
        <v>1046.1322141618052</v>
      </c>
      <c r="H10" s="10">
        <v>876.81081066469562</v>
      </c>
      <c r="I10" s="10">
        <v>1279.0417747997849</v>
      </c>
      <c r="J10" s="10">
        <v>1463.7318631056287</v>
      </c>
      <c r="K10" s="10">
        <v>1537.84470202787</v>
      </c>
      <c r="L10" s="10">
        <v>1671.8236115401223</v>
      </c>
      <c r="M10" s="10">
        <v>1455.7414066571932</v>
      </c>
      <c r="N10" s="10">
        <v>1382.9433400785711</v>
      </c>
      <c r="O10" s="10">
        <v>1295.1100455436101</v>
      </c>
      <c r="P10" s="10">
        <v>1434.9261561858896</v>
      </c>
      <c r="Q10" s="10">
        <v>1473.8586130786098</v>
      </c>
      <c r="R10" s="10">
        <v>1083.1074543499869</v>
      </c>
      <c r="S10" s="10">
        <v>939.64007046268648</v>
      </c>
      <c r="T10" s="10">
        <v>915.5644662019771</v>
      </c>
      <c r="U10" s="10">
        <v>682.30078663023278</v>
      </c>
      <c r="V10" s="10">
        <v>369.1422832332097</v>
      </c>
      <c r="W10" s="10">
        <v>129.24677867463214</v>
      </c>
      <c r="X10" s="10">
        <v>24.204061874228522</v>
      </c>
      <c r="Y10" s="10">
        <f t="shared" si="68"/>
        <v>22140.999999999996</v>
      </c>
      <c r="Z10" s="10">
        <f t="shared" si="12"/>
        <v>1170.6341744382848</v>
      </c>
      <c r="AA10" s="10">
        <f t="shared" si="13"/>
        <v>593.89135526237544</v>
      </c>
      <c r="AB10" s="10">
        <f t="shared" si="0"/>
        <v>5617.0645145055632</v>
      </c>
      <c r="AC10" s="10">
        <f t="shared" si="14"/>
        <v>3060.0984470769663</v>
      </c>
      <c r="AD10" s="14">
        <f t="shared" si="15"/>
        <v>0.25369515895874462</v>
      </c>
      <c r="AE10" s="14">
        <f t="shared" si="16"/>
        <v>0.13820958615586318</v>
      </c>
      <c r="AF10" s="10">
        <f t="shared" si="17"/>
        <v>5157.4291505979791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985.53601987108641</v>
      </c>
      <c r="BL10" s="10">
        <f>IF(管理者入力シート!$B$14=1,BK7*管理者用人口入力シート!AM$4,IF(管理者入力シート!$B$14=2,BK7*管理者用人口入力シート!AM$8))</f>
        <v>900.2954556343924</v>
      </c>
      <c r="BM10" s="10">
        <f>IF(管理者入力シート!$B$14=1,BL7*管理者用人口入力シート!AN$4,IF(管理者入力シート!$B$14=2,BL7*管理者用人口入力シート!AN$8))</f>
        <v>851.32420555052329</v>
      </c>
      <c r="BN10" s="10">
        <f>IF(管理者入力シート!$B$14=1,BM7*管理者用人口入力シート!AO$4,IF(管理者入力シート!$B$14=2,BM7*管理者用人口入力シート!AO$8))</f>
        <v>867.2734941877269</v>
      </c>
      <c r="BO10" s="10">
        <f>IF(管理者入力シート!$B$14=1,BN7*管理者用人口入力シート!AP$4,IF(管理者入力シート!$B$14=2,BN7*管理者用人口入力シート!AP$8))</f>
        <v>829.77212313309587</v>
      </c>
      <c r="BP10" s="10">
        <f>IF(管理者入力シート!$B$14=1,BO7*管理者用人口入力シート!AQ$4,IF(管理者入力シート!$B$14=2,BO7*管理者用人口入力シート!AQ$8))</f>
        <v>1122.0055258118175</v>
      </c>
      <c r="BQ10" s="10">
        <f>IF(管理者入力シート!$B$14=1,BP7*管理者用人口入力シート!AR$4,IF(管理者入力シート!$B$14=2,BP7*管理者用人口入力シート!AR$8))</f>
        <v>1278.4764344572975</v>
      </c>
      <c r="BR10" s="10">
        <f>IF(管理者入力シート!$B$14=1,BQ7*管理者用人口入力シート!AS$4,IF(管理者入力シート!$B$14=2,BQ7*管理者用人口入力シート!AS$8))</f>
        <v>1432.7905874862206</v>
      </c>
      <c r="BS10" s="10">
        <f>IF(管理者入力シート!$B$14=1,BR7*管理者用人口入力シート!AT$4,IF(管理者入力シート!$B$14=2,BR7*管理者用人口入力シート!AT$8))</f>
        <v>1325.1478606870387</v>
      </c>
      <c r="BT10" s="10">
        <f>IF(管理者入力シート!$B$14=1,BS7*管理者用人口入力シート!AU$4,IF(管理者入力シート!$B$14=2,BS7*管理者用人口入力シート!AU$8))</f>
        <v>1315.2935254709703</v>
      </c>
      <c r="BU10" s="10">
        <f>IF(管理者入力シート!$B$14=1,BT7*管理者用人口入力シート!AV$4,IF(管理者入力シート!$B$14=2,BT7*管理者用人口入力シート!AV$8))</f>
        <v>1444.3532678218405</v>
      </c>
      <c r="BV10" s="10">
        <f>IF(管理者入力シート!$B$14=1,BU7*管理者用人口入力シート!AW$4,IF(管理者入力シート!$B$14=2,BU7*管理者用人口入力シート!AW$8))</f>
        <v>1525.3218618590013</v>
      </c>
      <c r="BW10" s="10">
        <f>IF(管理者入力シート!$B$14=1,BV7*管理者用人口入力シート!AX$4,IF(管理者入力シート!$B$14=2,BV7*管理者用人口入力シート!AX$8))</f>
        <v>1648.4235319227655</v>
      </c>
      <c r="BX10" s="10">
        <f>IF(管理者入力シート!$B$14=1,BW7*管理者用人口入力シート!AY$4,IF(管理者入力シート!$B$14=2,BW7*管理者用人口入力シート!AY$8))</f>
        <v>1378.9104080710695</v>
      </c>
      <c r="BY10" s="10">
        <f>IF(管理者入力シート!$B$14=1,BX7*管理者用人口入力シート!AZ$4,IF(管理者入力シート!$B$14=2,BX7*管理者用人口入力シート!AZ$8))</f>
        <v>1283.2428781619949</v>
      </c>
      <c r="BZ10" s="10">
        <f>IF(管理者入力シート!$B$14=1,BY7*管理者用人口入力シート!BA$4,IF(管理者入力シート!$B$14=2,BY7*管理者用人口入力シート!BA$8))</f>
        <v>1121.6598315767174</v>
      </c>
      <c r="CA10" s="10">
        <f>IF(管理者入力シート!$B$14=1,BZ7*管理者用人口入力シート!BB$4,IF(管理者入力シート!$B$14=2,BZ7*管理者用人口入力シート!BB$8))</f>
        <v>1142.9034170287744</v>
      </c>
      <c r="CB10" s="10">
        <f>IF(管理者入力シート!$B$14=1,CA7*管理者用人口入力シート!BC$4,IF(管理者入力シート!$B$14=2,CA7*管理者用人口入力シート!BC$8))</f>
        <v>995.10176789103502</v>
      </c>
      <c r="CC10" s="10">
        <f>IF(管理者入力シート!$B$14=1,CB7*管理者用人口入力シート!BD$4,IF(管理者入力シート!$B$14=2,CB7*管理者用人口入力シート!BD$8))</f>
        <v>500.55725404174689</v>
      </c>
      <c r="CD10" s="10">
        <f>IF(管理者入力シート!$B$14=1,CC7*管理者用人口入力シート!BE$4,IF(管理者入力シート!$B$14=2,CC7*管理者用人口入力シート!BE$8))</f>
        <v>227.3203778548918</v>
      </c>
      <c r="CE10" s="10">
        <f>IF(管理者入力シート!$B$14=1,CD7*管理者用人口入力シート!BF$4,IF(管理者入力シート!$B$14=2,CD7*管理者用人口入力シート!BF$8))</f>
        <v>64.63749280545828</v>
      </c>
      <c r="CF10" s="10">
        <f t="shared" si="2"/>
        <v>22240.347321325469</v>
      </c>
      <c r="CG10" s="10">
        <f t="shared" si="20"/>
        <v>1050.9717967109493</v>
      </c>
      <c r="CH10" s="10">
        <f t="shared" si="21"/>
        <v>513.98438105775472</v>
      </c>
      <c r="CI10" s="10">
        <f t="shared" si="3"/>
        <v>6714.3334274316876</v>
      </c>
      <c r="CJ10" s="10">
        <f t="shared" si="22"/>
        <v>4052.1801411986239</v>
      </c>
      <c r="CK10" s="14">
        <f t="shared" si="23"/>
        <v>0.30189876670646931</v>
      </c>
      <c r="CL10" s="14">
        <f t="shared" si="24"/>
        <v>0.18219949907495978</v>
      </c>
      <c r="CM10" s="10">
        <f t="shared" si="25"/>
        <v>4663.0446708884319</v>
      </c>
      <c r="CO10" s="7" t="str">
        <f t="shared" si="26"/>
        <v>2035_2</v>
      </c>
      <c r="CP10" s="29">
        <f>CP9</f>
        <v>2035</v>
      </c>
      <c r="CQ10" s="4" t="s">
        <v>22</v>
      </c>
      <c r="CR10" s="10">
        <f>DT10*$AK$14+将来予測シート②!$H17</f>
        <v>988.05483852240161</v>
      </c>
      <c r="CS10" s="10">
        <f>IF(管理者入力シート!$B$14=1,CR7*管理者用人口入力シート!AM$4,IF(管理者入力シート!$B$14=2,CR7*管理者用人口入力シート!AM$8))+将来予測シート②!$H18</f>
        <v>901.97037630831585</v>
      </c>
      <c r="CT10" s="10">
        <f>IF(管理者入力シート!$B$14=1,CS7*管理者用人口入力シート!AN$4,IF(管理者入力シート!$B$14=2,CS7*管理者用人口入力シート!AN$8))+将来予測シート②!$H19</f>
        <v>853.14734289473256</v>
      </c>
      <c r="CU10" s="10">
        <f>IF(管理者入力シート!$B$14=1,CT7*管理者用人口入力シート!AO$4,IF(管理者入力シート!$B$14=2,CT7*管理者用人口入力シート!AO$8))+将来予測シート②!$H20</f>
        <v>868.26093951456744</v>
      </c>
      <c r="CV10" s="10">
        <f>IF(管理者入力シート!$B$14=1,CU7*管理者用人口入力シート!AP$4,IF(管理者入力シート!$B$14=2,CU7*管理者用人口入力シート!AP$8))+将来予測シート②!$H21</f>
        <v>830.65169078073234</v>
      </c>
      <c r="CW10" s="10">
        <f>IF(管理者入力シート!$B$14=1,CV7*管理者用人口入力シート!AQ$4,IF(管理者入力シート!$B$14=2,CV7*管理者用人口入力シート!AQ$8))+将来予測シート②!$H22</f>
        <v>1124.0055258118175</v>
      </c>
      <c r="CX10" s="10">
        <f>IF(管理者入力シート!$B$14=1,CW7*管理者用人口入力シート!AR$4,IF(管理者入力シート!$B$14=2,CW7*管理者用人口入力シート!AR$8))+将来予測シート②!$H23</f>
        <v>1280.6513019139215</v>
      </c>
      <c r="CY10" s="10">
        <f>IF(管理者入力シート!$B$14=1,CX7*管理者用人口入力シート!AS$4,IF(管理者入力シート!$B$14=2,CX7*管理者用人口入力シート!AS$8))+将来予測シート②!$H24</f>
        <v>1434.9224135385921</v>
      </c>
      <c r="CZ10" s="10">
        <f>IF(管理者入力シート!$B$14=1,CY7*管理者用人口入力シート!AT$4,IF(管理者入力シート!$B$14=2,CY7*管理者用人口入力シート!AT$8))+将来予測シート②!$H25</f>
        <v>1326.1478606870387</v>
      </c>
      <c r="DA10" s="10">
        <f>IF(管理者入力シート!$B$14=1,CZ7*管理者用人口入力シート!AU$4,IF(管理者入力シート!$B$14=2,CZ7*管理者用人口入力シート!AU$8))+将来予測シート②!$H26</f>
        <v>1316.2919799063309</v>
      </c>
      <c r="DB10" s="10">
        <f>IF(管理者入力シート!$B$14=1,DA7*管理者用人口入力シート!AV$4,IF(管理者入力シート!$B$14=2,DA7*管理者用人口入力シート!AV$8))+将来予測シート②!$H27</f>
        <v>1445.3541457362528</v>
      </c>
      <c r="DC10" s="10">
        <f>IF(管理者入力シート!$B$14=1,DB7*管理者用人口入力シート!AW$4,IF(管理者入力シート!$B$14=2,DB7*管理者用人口入力シート!AW$8))+将来予測シート②!$H28</f>
        <v>1525.3218618590013</v>
      </c>
      <c r="DD10" s="10">
        <f>IF(管理者入力シート!$B$14=1,DC7*管理者用人口入力シート!AX$4,IF(管理者入力シート!$B$14=2,DC7*管理者用人口入力シート!AX$8))+将来予測シート②!$H29</f>
        <v>1648.4235319227655</v>
      </c>
      <c r="DE10" s="10">
        <f>IF(管理者入力シート!$B$14=1,DD7*管理者用人口入力シート!AY$4,IF(管理者入力シート!$B$14=2,DD7*管理者用人口入力シート!AY$8))</f>
        <v>1378.9104080710695</v>
      </c>
      <c r="DF10" s="10">
        <f>IF(管理者入力シート!$B$14=1,DE7*管理者用人口入力シート!AZ$4,IF(管理者入力シート!$B$14=2,DE7*管理者用人口入力シート!AZ$8))</f>
        <v>1283.2428781619949</v>
      </c>
      <c r="DG10" s="10">
        <f>IF(管理者入力シート!$B$14=1,DF7*管理者用人口入力シート!BA$4,IF(管理者入力シート!$B$14=2,DF7*管理者用人口入力シート!BA$8))</f>
        <v>1121.6598315767174</v>
      </c>
      <c r="DH10" s="10">
        <f>IF(管理者入力シート!$B$14=1,DG7*管理者用人口入力シート!BB$4,IF(管理者入力シート!$B$14=2,DG7*管理者用人口入力シート!BB$8))</f>
        <v>1142.9034170287744</v>
      </c>
      <c r="DI10" s="10">
        <f>IF(管理者入力シート!$B$14=1,DH7*管理者用人口入力シート!BC$4,IF(管理者入力シート!$B$14=2,DH7*管理者用人口入力シート!BC$8))</f>
        <v>995.10176789103502</v>
      </c>
      <c r="DJ10" s="10">
        <f>IF(管理者入力シート!$B$14=1,DI7*管理者用人口入力シート!BD$4,IF(管理者入力シート!$B$14=2,DI7*管理者用人口入力シート!BD$8))</f>
        <v>500.55725404174689</v>
      </c>
      <c r="DK10" s="10">
        <f>IF(管理者入力シート!$B$14=1,DJ7*管理者用人口入力シート!BE$4,IF(管理者入力シート!$B$14=2,DJ7*管理者用人口入力シート!BE$8))</f>
        <v>227.3203778548918</v>
      </c>
      <c r="DL10" s="10">
        <f>IF(管理者入力シート!$B$14=1,DK7*管理者用人口入力シート!BF$4,IF(管理者入力シート!$B$14=2,DK7*管理者用人口入力シート!BF$8))</f>
        <v>64.63749280545828</v>
      </c>
      <c r="DM10" s="10">
        <f t="shared" si="69"/>
        <v>22257.537236828161</v>
      </c>
      <c r="DN10" s="10">
        <f t="shared" si="34"/>
        <v>1053.070631521829</v>
      </c>
      <c r="DO10" s="10">
        <f t="shared" si="35"/>
        <v>514.91112506080651</v>
      </c>
      <c r="DP10" s="10">
        <f t="shared" si="6"/>
        <v>6714.3334274316876</v>
      </c>
      <c r="DQ10" s="10">
        <f t="shared" si="36"/>
        <v>4052.1801411986239</v>
      </c>
      <c r="DR10" s="14">
        <f t="shared" si="37"/>
        <v>0.30166560459896247</v>
      </c>
      <c r="DS10" s="14">
        <f t="shared" si="38"/>
        <v>0.18205878296785385</v>
      </c>
      <c r="DT10" s="10">
        <f t="shared" si="70"/>
        <v>4670.230932045064</v>
      </c>
      <c r="DV10" s="62" t="s">
        <v>405</v>
      </c>
      <c r="DW10" s="210">
        <f>((SUM(BL12:BL13)*3/5+SUM(BM12:BM13)+SUM(BN12:BN13)*1/5)-(SUM(E12:E13)*3/5+SUM(F12:F13)+SUM(G12:G13)*1/5))/4</f>
        <v>-100.52437743849521</v>
      </c>
      <c r="DX10" s="29">
        <f>DX9</f>
        <v>2035</v>
      </c>
      <c r="DY10" s="4" t="s">
        <v>22</v>
      </c>
      <c r="DZ10" s="10">
        <f>FB10*$AK$14</f>
        <v>1085.3533648278135</v>
      </c>
      <c r="EA10" s="10">
        <f>IF(管理者入力シート!$B$14=1,DZ7*管理者用人口入力シート!AM$4,IF(管理者入力シート!$B$14=2,DZ7*管理者用人口入力シート!AM$8))</f>
        <v>973.67775975467714</v>
      </c>
      <c r="EB10" s="10">
        <f>IF(管理者入力シート!$B$14=1,EA7*管理者用人口入力シート!AN$4,IF(管理者入力シート!$B$14=2,EA7*管理者用人口入力シート!AN$8))</f>
        <v>851.32420555052329</v>
      </c>
      <c r="EC10" s="10">
        <f>IF(管理者入力シート!$B$14=1,EB7*管理者用人口入力シート!AO$4,IF(管理者入力シート!$B$14=2,EB7*管理者用人口入力シート!AO$8))</f>
        <v>867.2734941877269</v>
      </c>
      <c r="ED10" s="10">
        <f>IF(管理者入力シート!$B$14=1,EC7*管理者用人口入力シート!AP$4,IF(管理者入力シート!$B$14=2,EC7*管理者用人口入力シート!AP$8))</f>
        <v>829.77212313309587</v>
      </c>
      <c r="EE10" s="10">
        <f>IF(管理者入力シート!$B$14=1,ED7*管理者用人口入力シート!AQ$4,IF(管理者入力シート!$B$14=2,ED7*管理者用人口入力シート!AQ$8))+DX1</f>
        <v>1199.0055258118175</v>
      </c>
      <c r="EF10" s="10">
        <f>IF(管理者入力シート!$B$14=1,EE7*管理者用人口入力シート!AR$4,IF(管理者入力シート!$B$14=2,EE7*管理者用人口入力シート!AR$8))+DX1</f>
        <v>1439.2088315373244</v>
      </c>
      <c r="EG10" s="10">
        <f>IF(管理者入力シート!$B$14=1,EF7*管理者用人口入力シート!AS$4,IF(管理者入力シート!$B$14=2,EF7*管理者用人口入力シート!AS$8))+DX1</f>
        <v>1667.3420329831331</v>
      </c>
      <c r="EH10" s="10">
        <f>IF(管理者入力シート!$B$14=1,EG7*管理者用人口入力シート!AT$4,IF(管理者入力シート!$B$14=2,EG7*管理者用人口入力シート!AT$8))</f>
        <v>1475.7573090860571</v>
      </c>
      <c r="EI10" s="10">
        <f>IF(管理者入力シート!$B$14=1,EH7*管理者用人口入力シート!AU$4,IF(管理者入力シート!$B$14=2,EH7*管理者用人口入力シート!AU$8))</f>
        <v>1391.2332989806932</v>
      </c>
      <c r="EJ10" s="10">
        <f>IF(管理者入力シート!$B$14=1,EI7*管理者用人口入力シート!AV$4,IF(管理者入力シート!$B$14=2,EI7*管理者用人口入力シート!AV$8))</f>
        <v>1444.3532678218405</v>
      </c>
      <c r="EK10" s="10">
        <f>IF(管理者入力シート!$B$14=1,EJ7*管理者用人口入力シート!AW$4,IF(管理者入力シート!$B$14=2,EJ7*管理者用人口入力シート!AW$8))</f>
        <v>1525.3218618590013</v>
      </c>
      <c r="EL10" s="10">
        <f>IF(管理者入力シート!$B$14=1,EK7*管理者用人口入力シート!AX$4,IF(管理者入力シート!$B$14=2,EK7*管理者用人口入力シート!AX$8))</f>
        <v>1648.4235319227655</v>
      </c>
      <c r="EM10" s="10">
        <f>IF(管理者入力シート!$B$14=1,EL7*管理者用人口入力シート!AY$4,IF(管理者入力シート!$B$14=2,EL7*管理者用人口入力シート!AY$8))</f>
        <v>1378.9104080710695</v>
      </c>
      <c r="EN10" s="10">
        <f>IF(管理者入力シート!$B$14=1,EM7*管理者用人口入力シート!AZ$4,IF(管理者入力シート!$B$14=2,EM7*管理者用人口入力シート!AZ$8))</f>
        <v>1283.2428781619949</v>
      </c>
      <c r="EO10" s="10">
        <f>IF(管理者入力シート!$B$14=1,EN7*管理者用人口入力シート!BA$4,IF(管理者入力シート!$B$14=2,EN7*管理者用人口入力シート!BA$8))</f>
        <v>1121.6598315767174</v>
      </c>
      <c r="EP10" s="10">
        <f>IF(管理者入力シート!$B$14=1,EO7*管理者用人口入力シート!BB$4,IF(管理者入力シート!$B$14=2,EO7*管理者用人口入力シート!BB$8))</f>
        <v>1142.9034170287744</v>
      </c>
      <c r="EQ10" s="10">
        <f>IF(管理者入力シート!$B$14=1,EP7*管理者用人口入力シート!BC$4,IF(管理者入力シート!$B$14=2,EP7*管理者用人口入力シート!BC$8))</f>
        <v>995.10176789103502</v>
      </c>
      <c r="ER10" s="10">
        <f>IF(管理者入力シート!$B$14=1,EQ7*管理者用人口入力シート!BD$4,IF(管理者入力シート!$B$14=2,EQ7*管理者用人口入力シート!BD$8))</f>
        <v>500.55725404174689</v>
      </c>
      <c r="ES10" s="10">
        <f>IF(管理者入力シート!$B$14=1,ER7*管理者用人口入力シート!BE$4,IF(管理者入力シート!$B$14=2,ER7*管理者用人口入力シート!BE$8))</f>
        <v>227.3203778548918</v>
      </c>
      <c r="ET10" s="10">
        <f>IF(管理者入力シート!$B$14=1,ES7*管理者用人口入力シート!BF$4,IF(管理者入力シート!$B$14=2,ES7*管理者用人口入力シート!BF$8))</f>
        <v>64.63749280545828</v>
      </c>
      <c r="EU10" s="10">
        <f t="shared" si="71"/>
        <v>23112.380034888156</v>
      </c>
      <c r="EV10" s="10">
        <f t="shared" si="41"/>
        <v>1095.0011791831203</v>
      </c>
      <c r="EW10" s="10">
        <f t="shared" si="42"/>
        <v>513.98438105775472</v>
      </c>
      <c r="EX10" s="10">
        <f t="shared" si="10"/>
        <v>6714.3334274316876</v>
      </c>
      <c r="EY10" s="10">
        <f t="shared" si="43"/>
        <v>4052.1801411986239</v>
      </c>
      <c r="EZ10" s="14">
        <f t="shared" si="44"/>
        <v>0.29050809208296141</v>
      </c>
      <c r="FA10" s="14">
        <f t="shared" si="45"/>
        <v>0.17532509136150645</v>
      </c>
      <c r="FB10" s="10">
        <f t="shared" si="72"/>
        <v>5135.3285134653706</v>
      </c>
    </row>
    <row r="11" spans="1:158" x14ac:dyDescent="0.15">
      <c r="A11" s="7" t="str">
        <f t="shared" si="11"/>
        <v>2015_3</v>
      </c>
      <c r="B11" s="30">
        <v>2015</v>
      </c>
      <c r="C11" s="5" t="s">
        <v>23</v>
      </c>
      <c r="D11" s="11">
        <v>2300.4435132873332</v>
      </c>
      <c r="E11" s="11">
        <v>2008.5542518301345</v>
      </c>
      <c r="F11" s="11">
        <v>2014.4115519127763</v>
      </c>
      <c r="G11" s="11">
        <v>2007.4652628789061</v>
      </c>
      <c r="H11" s="11">
        <v>1634.7728278601458</v>
      </c>
      <c r="I11" s="11">
        <v>2350.7569528452495</v>
      </c>
      <c r="J11" s="11">
        <v>2800.4866924570106</v>
      </c>
      <c r="K11" s="11">
        <v>3006.6136059712935</v>
      </c>
      <c r="L11" s="11">
        <v>3218.7236794819646</v>
      </c>
      <c r="M11" s="11">
        <v>2764.5066641124708</v>
      </c>
      <c r="N11" s="11">
        <v>2600.5722535421337</v>
      </c>
      <c r="O11" s="11">
        <v>2496.9832890766284</v>
      </c>
      <c r="P11" s="11">
        <v>2722.3403741732877</v>
      </c>
      <c r="Q11" s="11">
        <v>2787.3595265247127</v>
      </c>
      <c r="R11" s="11">
        <v>1991.0311694387797</v>
      </c>
      <c r="S11" s="11">
        <v>1619.4153663925422</v>
      </c>
      <c r="T11" s="11">
        <v>1472.6498886390341</v>
      </c>
      <c r="U11" s="11">
        <v>1044.5885341289859</v>
      </c>
      <c r="V11" s="11">
        <v>474.22740637014164</v>
      </c>
      <c r="W11" s="11">
        <v>158.78513639449599</v>
      </c>
      <c r="X11" s="11">
        <v>28.312052681974105</v>
      </c>
      <c r="Y11" s="11">
        <f t="shared" si="68"/>
        <v>41502.999999999993</v>
      </c>
      <c r="Z11" s="11">
        <f t="shared" si="12"/>
        <v>2413.7794822457463</v>
      </c>
      <c r="AA11" s="11">
        <f t="shared" si="13"/>
        <v>1207.2576733408919</v>
      </c>
      <c r="AB11" s="11">
        <f t="shared" si="0"/>
        <v>9576.3690805706665</v>
      </c>
      <c r="AC11" s="11">
        <f t="shared" si="14"/>
        <v>4797.9783846071732</v>
      </c>
      <c r="AD11" s="15">
        <f t="shared" si="15"/>
        <v>0.23073920151725583</v>
      </c>
      <c r="AE11" s="15">
        <f t="shared" si="16"/>
        <v>0.11560557994861032</v>
      </c>
      <c r="AF11" s="11">
        <f t="shared" si="17"/>
        <v>9792.6300791336998</v>
      </c>
      <c r="BH11" s="7" t="str">
        <f t="shared" si="19"/>
        <v>2035_3</v>
      </c>
      <c r="BI11" s="30">
        <f>BI10</f>
        <v>2035</v>
      </c>
      <c r="BJ11" s="5" t="s">
        <v>23</v>
      </c>
      <c r="BK11" s="16">
        <f>BK9+BK10</f>
        <v>2020.8975801541076</v>
      </c>
      <c r="BL11" s="16">
        <f t="shared" ref="BL11" si="117">BL9+BL10</f>
        <v>1806.4025053340306</v>
      </c>
      <c r="BM11" s="16">
        <f t="shared" ref="BM11" si="118">BM9+BM10</f>
        <v>1766.3927582232855</v>
      </c>
      <c r="BN11" s="16">
        <f t="shared" ref="BN11" si="119">BN9+BN10</f>
        <v>1713.3650892671681</v>
      </c>
      <c r="BO11" s="16">
        <f t="shared" ref="BO11" si="120">BO9+BO10</f>
        <v>1535.3108285695125</v>
      </c>
      <c r="BP11" s="16">
        <f t="shared" ref="BP11" si="121">BP9+BP10</f>
        <v>2176.2692935965315</v>
      </c>
      <c r="BQ11" s="16">
        <f t="shared" ref="BQ11" si="122">BQ9+BQ10</f>
        <v>2567.775583998739</v>
      </c>
      <c r="BR11" s="16">
        <f t="shared" ref="BR11" si="123">BR9+BR10</f>
        <v>2845.8232273447966</v>
      </c>
      <c r="BS11" s="16">
        <f t="shared" ref="BS11" si="124">BS9+BS10</f>
        <v>2668.9461917385079</v>
      </c>
      <c r="BT11" s="16">
        <f t="shared" ref="BT11" si="125">BT9+BT10</f>
        <v>2588.9556363080983</v>
      </c>
      <c r="BU11" s="16">
        <f t="shared" ref="BU11" si="126">BU9+BU10</f>
        <v>2772.7059612617304</v>
      </c>
      <c r="BV11" s="16">
        <f t="shared" ref="BV11" si="127">BV9+BV10</f>
        <v>3041.7639897016215</v>
      </c>
      <c r="BW11" s="16">
        <f t="shared" ref="BW11" si="128">BW9+BW10</f>
        <v>3191.3453662217967</v>
      </c>
      <c r="BX11" s="16">
        <f t="shared" ref="BX11" si="129">BX9+BX10</f>
        <v>2597.2319937238749</v>
      </c>
      <c r="BY11" s="16">
        <f t="shared" ref="BY11" si="130">BY9+BY10</f>
        <v>2415.3292931865526</v>
      </c>
      <c r="BZ11" s="16">
        <f t="shared" ref="BZ11" si="131">BZ9+BZ10</f>
        <v>2053.8600580110783</v>
      </c>
      <c r="CA11" s="16">
        <f t="shared" ref="CA11" si="132">CA9+CA10</f>
        <v>1973.1993709494886</v>
      </c>
      <c r="CB11" s="16">
        <f t="shared" ref="CB11" si="133">CB9+CB10</f>
        <v>1567.5389664636857</v>
      </c>
      <c r="CC11" s="16">
        <f t="shared" ref="CC11" si="134">CC9+CC10</f>
        <v>690.04037613053106</v>
      </c>
      <c r="CD11" s="16">
        <f t="shared" ref="CD11" si="135">CD9+CD10</f>
        <v>284.49223370357396</v>
      </c>
      <c r="CE11" s="16">
        <f t="shared" ref="CE11" si="136">CE9+CE10</f>
        <v>74.255541345831389</v>
      </c>
      <c r="CF11" s="11">
        <f t="shared" si="2"/>
        <v>42351.901845234541</v>
      </c>
      <c r="CG11" s="11">
        <f t="shared" si="20"/>
        <v>2143.6771581343896</v>
      </c>
      <c r="CH11" s="11">
        <f t="shared" si="21"/>
        <v>1049.230121142748</v>
      </c>
      <c r="CI11" s="11">
        <f t="shared" si="3"/>
        <v>11655.947833514618</v>
      </c>
      <c r="CJ11" s="11">
        <f t="shared" si="22"/>
        <v>6643.3865466041898</v>
      </c>
      <c r="CK11" s="15">
        <f t="shared" si="23"/>
        <v>0.27521663315401151</v>
      </c>
      <c r="CL11" s="15">
        <f t="shared" si="24"/>
        <v>0.15686158725246732</v>
      </c>
      <c r="CM11" s="11">
        <f t="shared" si="25"/>
        <v>9125.1789335095782</v>
      </c>
      <c r="CO11" s="7" t="str">
        <f t="shared" si="26"/>
        <v>2035_3</v>
      </c>
      <c r="CP11" s="30">
        <f>CP10</f>
        <v>2035</v>
      </c>
      <c r="CQ11" s="5" t="s">
        <v>23</v>
      </c>
      <c r="CR11" s="16">
        <f>CR9+CR10</f>
        <v>2026.0120040566835</v>
      </c>
      <c r="CS11" s="16">
        <f t="shared" ref="CS11" si="137">CS9+CS10</f>
        <v>1809.7200617377007</v>
      </c>
      <c r="CT11" s="16">
        <f t="shared" ref="CT11" si="138">CT9+CT10</f>
        <v>1770.0580881630644</v>
      </c>
      <c r="CU11" s="16">
        <f t="shared" ref="CU11" si="139">CU9+CU10</f>
        <v>1715.2487568349161</v>
      </c>
      <c r="CV11" s="16">
        <f t="shared" ref="CV11" si="140">CV9+CV10</f>
        <v>1536.9053444846072</v>
      </c>
      <c r="CW11" s="16">
        <f t="shared" ref="CW11" si="141">CW9+CW10</f>
        <v>2180.2692935965315</v>
      </c>
      <c r="CX11" s="16">
        <f t="shared" ref="CX11" si="142">CX9+CX10</f>
        <v>2572.3323284228286</v>
      </c>
      <c r="CY11" s="16">
        <f t="shared" ref="CY11" si="143">CY9+CY10</f>
        <v>2850.3389071742695</v>
      </c>
      <c r="CZ11" s="16">
        <f t="shared" ref="CZ11" si="144">CZ9+CZ10</f>
        <v>2669.9461917385079</v>
      </c>
      <c r="DA11" s="16">
        <f t="shared" ref="DA11" si="145">DA9+DA10</f>
        <v>2589.9540907434584</v>
      </c>
      <c r="DB11" s="16">
        <f t="shared" ref="DB11" si="146">DB9+DB10</f>
        <v>2773.7068391761427</v>
      </c>
      <c r="DC11" s="16">
        <f t="shared" ref="DC11" si="147">DC9+DC10</f>
        <v>3041.7639897016215</v>
      </c>
      <c r="DD11" s="16">
        <f t="shared" ref="DD11" si="148">DD9+DD10</f>
        <v>3191.3453662217967</v>
      </c>
      <c r="DE11" s="16">
        <f t="shared" ref="DE11" si="149">DE9+DE10</f>
        <v>2597.2319937238749</v>
      </c>
      <c r="DF11" s="16">
        <f t="shared" ref="DF11" si="150">DF9+DF10</f>
        <v>2415.3292931865526</v>
      </c>
      <c r="DG11" s="16">
        <f t="shared" ref="DG11" si="151">DG9+DG10</f>
        <v>2053.8600580110783</v>
      </c>
      <c r="DH11" s="16">
        <f t="shared" ref="DH11" si="152">DH9+DH10</f>
        <v>1973.1993709494886</v>
      </c>
      <c r="DI11" s="16">
        <f t="shared" ref="DI11" si="153">DI9+DI10</f>
        <v>1567.5389664636857</v>
      </c>
      <c r="DJ11" s="16">
        <f t="shared" ref="DJ11" si="154">DJ9+DJ10</f>
        <v>690.04037613053106</v>
      </c>
      <c r="DK11" s="16">
        <f t="shared" ref="DK11" si="155">DK9+DK10</f>
        <v>284.49223370357396</v>
      </c>
      <c r="DL11" s="16">
        <f t="shared" ref="DL11" si="156">DL9+DL10</f>
        <v>74.255541345831389</v>
      </c>
      <c r="DM11" s="11">
        <f t="shared" si="69"/>
        <v>42383.549095566741</v>
      </c>
      <c r="DN11" s="11">
        <f t="shared" si="34"/>
        <v>2147.8668899404593</v>
      </c>
      <c r="DO11" s="11">
        <f t="shared" si="35"/>
        <v>1051.072986632209</v>
      </c>
      <c r="DP11" s="11">
        <f t="shared" si="6"/>
        <v>11655.947833514618</v>
      </c>
      <c r="DQ11" s="11">
        <f t="shared" si="36"/>
        <v>6643.3865466041898</v>
      </c>
      <c r="DR11" s="15">
        <f t="shared" si="37"/>
        <v>0.27501113243802922</v>
      </c>
      <c r="DS11" s="15">
        <f t="shared" si="38"/>
        <v>0.15674446072518922</v>
      </c>
      <c r="DT11" s="11">
        <f t="shared" si="70"/>
        <v>9139.8458736782377</v>
      </c>
      <c r="DW11" s="211"/>
      <c r="DX11" s="30">
        <f>DX10</f>
        <v>2035</v>
      </c>
      <c r="DY11" s="5" t="s">
        <v>23</v>
      </c>
      <c r="DZ11" s="16">
        <f>DZ9+DZ10</f>
        <v>2225.5787149002977</v>
      </c>
      <c r="EA11" s="16">
        <f t="shared" ref="EA11" si="157">EA9+EA10</f>
        <v>1953.6408115816826</v>
      </c>
      <c r="EB11" s="16">
        <f t="shared" ref="EB11" si="158">EB9+EB10</f>
        <v>1766.3927582232855</v>
      </c>
      <c r="EC11" s="16">
        <f t="shared" ref="EC11" si="159">EC9+EC10</f>
        <v>1713.3650892671681</v>
      </c>
      <c r="ED11" s="16">
        <f t="shared" ref="ED11" si="160">ED9+ED10</f>
        <v>1535.3108285695125</v>
      </c>
      <c r="EE11" s="16">
        <f t="shared" ref="EE11" si="161">EE9+EE10</f>
        <v>2330.2692935965315</v>
      </c>
      <c r="EF11" s="16">
        <f t="shared" ref="EF11" si="162">EF9+EF10</f>
        <v>2897.2102443261883</v>
      </c>
      <c r="EG11" s="16">
        <f t="shared" ref="EG11" si="163">EG9+EG10</f>
        <v>3326.2169484676706</v>
      </c>
      <c r="EH11" s="16">
        <f t="shared" ref="EH11" si="164">EH9+EH10</f>
        <v>2971.4130476296868</v>
      </c>
      <c r="EI11" s="16">
        <f t="shared" ref="EI11" si="165">EI9+EI10</f>
        <v>2742.1365066171534</v>
      </c>
      <c r="EJ11" s="16">
        <f t="shared" ref="EJ11" si="166">EJ9+EJ10</f>
        <v>2772.7059612617304</v>
      </c>
      <c r="EK11" s="16">
        <f t="shared" ref="EK11" si="167">EK9+EK10</f>
        <v>3041.7639897016215</v>
      </c>
      <c r="EL11" s="16">
        <f t="shared" ref="EL11" si="168">EL9+EL10</f>
        <v>3191.3453662217967</v>
      </c>
      <c r="EM11" s="16">
        <f t="shared" ref="EM11" si="169">EM9+EM10</f>
        <v>2597.2319937238749</v>
      </c>
      <c r="EN11" s="16">
        <f t="shared" ref="EN11" si="170">EN9+EN10</f>
        <v>2415.3292931865526</v>
      </c>
      <c r="EO11" s="16">
        <f t="shared" ref="EO11" si="171">EO9+EO10</f>
        <v>2053.8600580110783</v>
      </c>
      <c r="EP11" s="16">
        <f t="shared" ref="EP11" si="172">EP9+EP10</f>
        <v>1973.1993709494886</v>
      </c>
      <c r="EQ11" s="16">
        <f t="shared" ref="EQ11" si="173">EQ9+EQ10</f>
        <v>1567.5389664636857</v>
      </c>
      <c r="ER11" s="16">
        <f t="shared" ref="ER11" si="174">ER9+ER10</f>
        <v>690.04037613053106</v>
      </c>
      <c r="ES11" s="16">
        <f t="shared" ref="ES11" si="175">ES9+ES10</f>
        <v>284.49223370357396</v>
      </c>
      <c r="ET11" s="16">
        <f t="shared" ref="ET11" si="176">ET9+ET10</f>
        <v>74.255541345831389</v>
      </c>
      <c r="EU11" s="11">
        <f t="shared" si="71"/>
        <v>44123.297393878936</v>
      </c>
      <c r="EV11" s="11">
        <f t="shared" si="41"/>
        <v>2232.0201418829806</v>
      </c>
      <c r="EW11" s="11">
        <f t="shared" si="42"/>
        <v>1049.230121142748</v>
      </c>
      <c r="EX11" s="11">
        <f t="shared" si="10"/>
        <v>11655.947833514618</v>
      </c>
      <c r="EY11" s="11">
        <f t="shared" si="43"/>
        <v>6643.3865466041898</v>
      </c>
      <c r="EZ11" s="15">
        <f t="shared" si="44"/>
        <v>0.26416765114956264</v>
      </c>
      <c r="FA11" s="15">
        <f t="shared" si="45"/>
        <v>0.15056414499805271</v>
      </c>
      <c r="FB11" s="11">
        <f t="shared" si="72"/>
        <v>10089.007314959903</v>
      </c>
    </row>
    <row r="12" spans="1:158" x14ac:dyDescent="0.15">
      <c r="A12" s="7" t="str">
        <f t="shared" si="11"/>
        <v>2020_1</v>
      </c>
      <c r="B12" s="28">
        <v>2020</v>
      </c>
      <c r="C12" s="3" t="s">
        <v>21</v>
      </c>
      <c r="D12" s="9">
        <v>1120.9603332085762</v>
      </c>
      <c r="E12" s="9">
        <v>998.85252478737391</v>
      </c>
      <c r="F12" s="9">
        <v>1011.4779909745714</v>
      </c>
      <c r="G12" s="9">
        <v>930.86615517878897</v>
      </c>
      <c r="H12" s="9">
        <v>813.17562249998298</v>
      </c>
      <c r="I12" s="9">
        <v>1143.7981798309547</v>
      </c>
      <c r="J12" s="9">
        <v>1268.6336736404219</v>
      </c>
      <c r="K12" s="9">
        <v>1346.2593115862669</v>
      </c>
      <c r="L12" s="9">
        <v>1490.8564588234262</v>
      </c>
      <c r="M12" s="9">
        <v>1604.4957442053135</v>
      </c>
      <c r="N12" s="9">
        <v>1285.6842624913306</v>
      </c>
      <c r="O12" s="9">
        <v>1289.0021644676131</v>
      </c>
      <c r="P12" s="9">
        <v>1176.2228910460419</v>
      </c>
      <c r="Q12" s="9">
        <v>1261.6511155504109</v>
      </c>
      <c r="R12" s="9">
        <v>1234.1023899487568</v>
      </c>
      <c r="S12" s="9">
        <v>768.61216715197327</v>
      </c>
      <c r="T12" s="9">
        <v>535.68365724014586</v>
      </c>
      <c r="U12" s="9">
        <v>368.58508754465254</v>
      </c>
      <c r="V12" s="9">
        <v>164.94270980738804</v>
      </c>
      <c r="W12" s="9">
        <v>29.989992634228223</v>
      </c>
      <c r="X12" s="9">
        <v>5.1475673817826699</v>
      </c>
      <c r="Y12" s="9">
        <f t="shared" ref="Y12:Y14" si="177">SUM(D12:X12)</f>
        <v>19848.999999999996</v>
      </c>
      <c r="Z12" s="9">
        <f>E12*3/5+F12*3/5</f>
        <v>1206.1983094571674</v>
      </c>
      <c r="AA12" s="9">
        <f>F12*2/5+G12*1/5</f>
        <v>590.76442742558629</v>
      </c>
      <c r="AB12" s="9">
        <f t="shared" ref="AB12:AB14" si="178">SUM(Q12:X12)</f>
        <v>4368.7146872593394</v>
      </c>
      <c r="AC12" s="9">
        <f>SUM(S12:X12)</f>
        <v>1872.9611817601703</v>
      </c>
      <c r="AD12" s="13">
        <f>AB12/Y12</f>
        <v>0.22009747026345611</v>
      </c>
      <c r="AE12" s="13">
        <f>AC12/Y12</f>
        <v>9.4360480717425088E-2</v>
      </c>
      <c r="AF12" s="9">
        <f>SUM(H12:K12)</f>
        <v>4571.8667875576266</v>
      </c>
      <c r="AK12" s="61">
        <f>管理者入力シート!B5</f>
        <v>2020</v>
      </c>
      <c r="AL12" s="62"/>
      <c r="BH12" s="7" t="str">
        <f t="shared" si="19"/>
        <v>2040_1</v>
      </c>
      <c r="BI12" s="28">
        <f>管理者入力シート!B11</f>
        <v>2040</v>
      </c>
      <c r="BJ12" s="3" t="s">
        <v>21</v>
      </c>
      <c r="BK12" s="9">
        <f>CM13*$AK$13</f>
        <v>976.41917409233542</v>
      </c>
      <c r="BL12" s="9">
        <f>IF(管理者入力シート!$B$14=1,BK9*管理者用人口入力シート!AM$3,IF(管理者入力シート!$B$14=2,BK9*管理者用人口入力シート!AM$7))</f>
        <v>882.58918556964773</v>
      </c>
      <c r="BM12" s="9">
        <f>IF(管理者入力シート!$B$14=1,BL9*管理者用人口入力シート!AN$3,IF(管理者入力シート!$B$14=2,BL9*管理者用人口入力シート!AN$7))</f>
        <v>895.20884271157001</v>
      </c>
      <c r="BN12" s="9">
        <f>IF(管理者入力シート!$B$14=1,BM9*管理者用人口入力シート!AO$3,IF(管理者入力シート!$B$14=2,BM9*管理者用人口入力シート!AO$7))</f>
        <v>820.10478886042404</v>
      </c>
      <c r="BO12" s="9">
        <f>IF(管理者入力シート!$B$14=1,BN9*管理者用人口入力シート!AP$3,IF(管理者入力シート!$B$14=2,BN9*管理者用人口入力シート!AP$7))</f>
        <v>674.95727332156889</v>
      </c>
      <c r="BP12" s="9">
        <f>IF(管理者入力シート!$B$14=1,BO9*管理者用人口入力シート!AQ$3,IF(管理者入力シート!$B$14=2,BO9*管理者用人口入力シート!AQ$7))</f>
        <v>1028.5823547889713</v>
      </c>
      <c r="BQ12" s="9">
        <f>IF(管理者入力シート!$B$14=1,BP9*管理者用人口入力シート!AR$3,IF(管理者入力シート!$B$14=2,BP9*管理者用人口入力シート!AR$7))</f>
        <v>1255.5632930599093</v>
      </c>
      <c r="BR12" s="9">
        <f>IF(管理者入力シート!$B$14=1,BQ9*管理者用人口入力シート!AS$3,IF(管理者入力シート!$B$14=2,BQ9*管理者用人口入力シート!AS$7))</f>
        <v>1290.3691875901404</v>
      </c>
      <c r="BS12" s="9">
        <f>IF(管理者入力シート!$B$14=1,BR9*管理者用人口入力シート!AT$3,IF(管理者入力シート!$B$14=2,BR9*管理者用人口入力シート!AT$7))</f>
        <v>1392.79523715596</v>
      </c>
      <c r="BT12" s="9">
        <f>IF(管理者入力シート!$B$14=1,BS9*管理者用人口入力シート!AU$3,IF(管理者入力シート!$B$14=2,BS9*管理者用人口入力シート!AU$7))</f>
        <v>1367.592545953431</v>
      </c>
      <c r="BU12" s="9">
        <f>IF(管理者入力シート!$B$14=1,BT9*管理者用人口入力シート!AV$3,IF(管理者入力シート!$B$14=2,BT9*管理者用人口入力シート!AV$7))</f>
        <v>1252.7984379550626</v>
      </c>
      <c r="BV12" s="9">
        <f>IF(管理者入力シート!$B$14=1,BU9*管理者用人口入力シート!AW$3,IF(管理者入力シート!$B$14=2,BU9*管理者用人口入力シート!AW$7))</f>
        <v>1349.7514700347108</v>
      </c>
      <c r="BW12" s="9">
        <f>IF(管理者入力シート!$B$14=1,BV9*管理者用人口入力シート!AX$3,IF(管理者入力シート!$B$14=2,BV9*管理者用人口入力シート!AX$7))</f>
        <v>1459.0286306899072</v>
      </c>
      <c r="BX12" s="9">
        <f>IF(管理者入力シート!$B$14=1,BW9*管理者用人口入力シート!AY$3,IF(管理者入力シート!$B$14=2,BW9*管理者用人口入力シート!AY$7))</f>
        <v>1495.5231984965787</v>
      </c>
      <c r="BY12" s="9">
        <f>IF(管理者入力シート!$B$14=1,BX9*管理者用人口入力シート!AZ$3,IF(管理者入力シート!$B$14=2,BX9*管理者用人口入力シート!AZ$7))</f>
        <v>1147.3625455110525</v>
      </c>
      <c r="BZ12" s="9">
        <f>IF(管理者入力シート!$B$14=1,BY9*管理者用人口入力シート!BA$3,IF(管理者入力シート!$B$14=2,BY9*管理者用人口入力シート!BA$7))</f>
        <v>982.90421348591872</v>
      </c>
      <c r="CA12" s="9">
        <f>IF(管理者入力シート!$B$14=1,BZ9*管理者用人口入力シート!BB$3,IF(管理者入力シート!$B$14=2,BZ9*管理者用人口入力シート!BB$7))</f>
        <v>750.2957768972957</v>
      </c>
      <c r="CB12" s="9">
        <f>IF(管理者入力シート!$B$14=1,CA9*管理者用人口入力シート!BC$3,IF(管理者入力シート!$B$14=2,CA9*管理者用人口入力シート!BC$7))</f>
        <v>551.13077185508826</v>
      </c>
      <c r="CC12" s="9">
        <f>IF(管理者入力シート!$B$14=1,CB9*管理者用人口入力シート!BD$3,IF(管理者入力シート!$B$14=2,CB9*管理者用人口入力シート!BD$7))</f>
        <v>264.14724660982682</v>
      </c>
      <c r="CD12" s="9">
        <f>IF(管理者入力シート!$B$14=1,CC9*管理者用人口入力シート!BE$3,IF(管理者入力シート!$B$14=2,CC9*管理者用人口入力シート!BE$7))</f>
        <v>66.024397379439236</v>
      </c>
      <c r="CE12" s="9">
        <f>IF(管理者入力シート!$B$14=1,CD9*管理者用人口入力シート!BF$3,IF(管理者入力シート!$B$14=2,CD9*管理者用人口入力シート!BF$7))</f>
        <v>9.2785334940213531</v>
      </c>
      <c r="CF12" s="9">
        <f t="shared" si="2"/>
        <v>19912.427105512859</v>
      </c>
      <c r="CG12" s="9">
        <f t="shared" si="20"/>
        <v>1066.6788169687306</v>
      </c>
      <c r="CH12" s="9">
        <f t="shared" si="21"/>
        <v>522.10449485671279</v>
      </c>
      <c r="CI12" s="9">
        <f t="shared" si="3"/>
        <v>5266.6666837292214</v>
      </c>
      <c r="CJ12" s="9">
        <f t="shared" si="22"/>
        <v>2623.7809397215897</v>
      </c>
      <c r="CK12" s="13">
        <f t="shared" si="23"/>
        <v>0.26449144827107074</v>
      </c>
      <c r="CL12" s="13">
        <f t="shared" si="24"/>
        <v>0.13176600350216383</v>
      </c>
      <c r="CM12" s="9">
        <f t="shared" si="25"/>
        <v>4249.4721087605903</v>
      </c>
      <c r="CO12" s="7" t="str">
        <f t="shared" si="26"/>
        <v>2040_1</v>
      </c>
      <c r="CP12" s="28">
        <f>管理者入力シート!B11</f>
        <v>2040</v>
      </c>
      <c r="CQ12" s="3" t="s">
        <v>21</v>
      </c>
      <c r="CR12" s="9">
        <f>DT13*$AK$13+将来予測シート②!$G17</f>
        <v>979.28586119840338</v>
      </c>
      <c r="CS12" s="9">
        <f>IF(管理者入力シート!$B$14=1,CR9*管理者用人口入力シート!AM$3,IF(管理者入力シート!$B$14=2,CR9*管理者用人口入力シート!AM$7))+将来予測シート②!$G18</f>
        <v>884.8017972916283</v>
      </c>
      <c r="CT12" s="9">
        <f>IF(管理者入力シート!$B$14=1,CS9*管理者用人口入力シート!AN$3,IF(管理者入力シート!$B$14=2,CS9*管理者用人口入力シート!AN$7))+将来予測シート②!$G19</f>
        <v>897.83172163201402</v>
      </c>
      <c r="CU12" s="9">
        <f>IF(管理者入力シート!$B$14=1,CT9*管理者用人口入力シート!AO$3,IF(管理者入力シート!$B$14=2,CT9*管理者用人口入力シート!AO$7))+将来予測シート②!$G20</f>
        <v>821.75580283660872</v>
      </c>
      <c r="CV12" s="9">
        <f>IF(管理者入力シート!$B$14=1,CU9*管理者用人口入力シート!AP$3,IF(管理者入力シート!$B$14=2,CU9*管理者用人口入力シート!AP$7))+将来予測シート②!$G21</f>
        <v>675.67222158902723</v>
      </c>
      <c r="CW12" s="9">
        <f>IF(管理者入力シート!$B$14=1,CV9*管理者用人口入力シート!AQ$3,IF(管理者入力シート!$B$14=2,CV9*管理者用人口入力シート!AQ$7))+将来予測シート②!$G22</f>
        <v>1031.6246550438377</v>
      </c>
      <c r="CX12" s="9">
        <f>IF(管理者入力シート!$B$14=1,CW9*管理者用人口入力シート!AR$3,IF(管理者入力シート!$B$14=2,CW9*管理者用人口入力シート!AR$7))+将来予測シート②!$G23</f>
        <v>1257.9451700273748</v>
      </c>
      <c r="CY12" s="9">
        <f>IF(管理者入力シート!$B$14=1,CX9*管理者用人口入力シート!AS$3,IF(管理者入力シート!$B$14=2,CX9*管理者用人口入力シート!AS$7))+将来予測シート②!$G24</f>
        <v>1292.7530413672421</v>
      </c>
      <c r="CZ12" s="9">
        <f>IF(管理者入力シート!$B$14=1,CY9*管理者用人口入力シート!AT$3,IF(管理者入力シート!$B$14=2,CY9*管理者用人口入力シート!AT$7))+将来予測シート②!$G25</f>
        <v>1395.1449494649091</v>
      </c>
      <c r="DA12" s="9">
        <f>IF(管理者入力シート!$B$14=1,CZ9*管理者用人口入力シート!AU$3,IF(管理者入力シート!$B$14=2,CZ9*管理者用人口入力シート!AU$7))+将来予測シート②!$G26</f>
        <v>1367.592545953431</v>
      </c>
      <c r="DB12" s="9">
        <f>IF(管理者入力シート!$B$14=1,DA9*管理者用人口入力シート!AV$3,IF(管理者入力シート!$B$14=2,DA9*管理者用人口入力シート!AV$7))+将来予測シート②!$G27</f>
        <v>1252.7984379550626</v>
      </c>
      <c r="DC12" s="9">
        <f>IF(管理者入力シート!$B$14=1,DB9*管理者用人口入力シート!AW$3,IF(管理者入力シート!$B$14=2,DB9*管理者用人口入力シート!AW$7))+将来予測シート②!$G28</f>
        <v>1349.7514700347108</v>
      </c>
      <c r="DD12" s="9">
        <f>IF(管理者入力シート!$B$14=1,DC9*管理者用人口入力シート!AX$3,IF(管理者入力シート!$B$14=2,DC9*管理者用人口入力シート!AX$7))+将来予測シート②!$G29</f>
        <v>1459.0286306899072</v>
      </c>
      <c r="DE12" s="9">
        <f>IF(管理者入力シート!$B$14=1,DD9*管理者用人口入力シート!AY$3,IF(管理者入力シート!$B$14=2,DD9*管理者用人口入力シート!AY$7))</f>
        <v>1495.5231984965787</v>
      </c>
      <c r="DF12" s="9">
        <f>IF(管理者入力シート!$B$14=1,DE9*管理者用人口入力シート!AZ$3,IF(管理者入力シート!$B$14=2,DE9*管理者用人口入力シート!AZ$7))</f>
        <v>1147.3625455110525</v>
      </c>
      <c r="DG12" s="9">
        <f>IF(管理者入力シート!$B$14=1,DF9*管理者用人口入力シート!BA$3,IF(管理者入力シート!$B$14=2,DF9*管理者用人口入力シート!BA$7))</f>
        <v>982.90421348591872</v>
      </c>
      <c r="DH12" s="9">
        <f>IF(管理者入力シート!$B$14=1,DG9*管理者用人口入力シート!BB$3,IF(管理者入力シート!$B$14=2,DG9*管理者用人口入力シート!BB$7))</f>
        <v>750.2957768972957</v>
      </c>
      <c r="DI12" s="9">
        <f>IF(管理者入力シート!$B$14=1,DH9*管理者用人口入力シート!BC$3,IF(管理者入力シート!$B$14=2,DH9*管理者用人口入力シート!BC$7))</f>
        <v>551.13077185508826</v>
      </c>
      <c r="DJ12" s="9">
        <f>IF(管理者入力シート!$B$14=1,DI9*管理者用人口入力シート!BD$3,IF(管理者入力シート!$B$14=2,DI9*管理者用人口入力シート!BD$7))</f>
        <v>264.14724660982682</v>
      </c>
      <c r="DK12" s="9">
        <f>IF(管理者入力シート!$B$14=1,DJ9*管理者用人口入力シート!BE$3,IF(管理者入力シート!$B$14=2,DJ9*管理者用人口入力シート!BE$7))</f>
        <v>66.024397379439236</v>
      </c>
      <c r="DL12" s="9">
        <f>IF(管理者入力シート!$B$14=1,DK9*管理者用人口入力シート!BF$3,IF(管理者入力シート!$B$14=2,DK9*管理者用人口入力シート!BF$7))</f>
        <v>9.2785334940213531</v>
      </c>
      <c r="DM12" s="9">
        <f t="shared" si="69"/>
        <v>19932.652988813377</v>
      </c>
      <c r="DN12" s="9">
        <f t="shared" si="34"/>
        <v>1069.5801113541856</v>
      </c>
      <c r="DO12" s="9">
        <f t="shared" si="35"/>
        <v>523.48384922012735</v>
      </c>
      <c r="DP12" s="9">
        <f t="shared" si="6"/>
        <v>5266.6666837292214</v>
      </c>
      <c r="DQ12" s="9">
        <f t="shared" si="36"/>
        <v>2623.7809397215897</v>
      </c>
      <c r="DR12" s="13">
        <f t="shared" si="37"/>
        <v>0.26422306587512384</v>
      </c>
      <c r="DS12" s="13">
        <f t="shared" si="38"/>
        <v>0.13163229908201937</v>
      </c>
      <c r="DT12" s="9">
        <f t="shared" si="70"/>
        <v>4257.9950880274819</v>
      </c>
      <c r="DV12" s="212"/>
      <c r="DX12" s="28">
        <f>管理者入力シート!B11</f>
        <v>2040</v>
      </c>
      <c r="DY12" s="3" t="s">
        <v>21</v>
      </c>
      <c r="DZ12" s="9">
        <f>FB13*$AK$13</f>
        <v>1081.2829638817984</v>
      </c>
      <c r="EA12" s="129">
        <f>IF(管理者入力シート!$B$14=1,DZ9*管理者用人口入力シート!AM$3,IF(管理者入力シート!$B$14=2,DZ9*管理者用人口入力シート!AM$7))</f>
        <v>971.97983940146412</v>
      </c>
      <c r="EB12" s="9">
        <f>IF(管理者入力シート!$B$14=1,EA9*管理者用人口入力シート!AN$3,IF(管理者入力シート!$B$14=2,EA9*管理者用人口入力シート!AN$7))</f>
        <v>968.17654141081368</v>
      </c>
      <c r="EC12" s="9">
        <f>IF(管理者入力シート!$B$14=1,EB9*管理者用人口入力シート!AO$3,IF(管理者入力シート!$B$14=2,EB9*管理者用人口入力シート!AO$7))</f>
        <v>820.10478886042404</v>
      </c>
      <c r="ED12" s="9">
        <f>IF(管理者入力シート!$B$14=1,EC9*管理者用人口入力シート!AP$3,IF(管理者入力シート!$B$14=2,EC9*管理者用人口入力シート!AP$7))</f>
        <v>674.95727332156889</v>
      </c>
      <c r="EE12" s="9">
        <f>IF(管理者入力シート!$B$14=1,ED9*管理者用人口入力シート!AQ$3,IF(管理者入力シート!$B$14=2,ED9*管理者用人口入力シート!AQ$7))+DX1</f>
        <v>1105.5823547889713</v>
      </c>
      <c r="EF12" s="9">
        <f>IF(管理者入力シート!$B$14=1,EE9*管理者用人口入力シート!AR$3,IF(管理者入力シート!$B$14=2,EE9*管理者用人口入力シート!AR$7))+DX1</f>
        <v>1424.2655563073315</v>
      </c>
      <c r="EG12" s="9">
        <f>IF(管理者入力シート!$B$14=1,EF9*管理者用人口入力シート!AS$3,IF(管理者入力シート!$B$14=2,EF9*管理者用人口入力シート!AS$7))+DX1</f>
        <v>1536.2114632161022</v>
      </c>
      <c r="EH12" s="9">
        <f>IF(管理者入力シート!$B$14=1,EG9*管理者用人口入力シート!AT$3,IF(管理者入力シート!$B$14=2,EG9*管理者用人口入力シート!AT$7))</f>
        <v>1635.1165685426799</v>
      </c>
      <c r="EI12" s="9">
        <f>IF(管理者入力シート!$B$14=1,EH9*管理者用人口入力シート!AU$3,IF(管理者入力シート!$B$14=2,EH9*管理者用人口入力シート!AU$7))</f>
        <v>1522.1388448549865</v>
      </c>
      <c r="EJ12" s="9">
        <f>IF(管理者入力シート!$B$14=1,EI9*管理者用人口入力シート!AV$3,IF(管理者入力シート!$B$14=2,EI9*管理者用人口入力シート!AV$7))</f>
        <v>1328.7742596371081</v>
      </c>
      <c r="EK12" s="9">
        <f>IF(管理者入力シート!$B$14=1,EJ9*管理者用人口入力シート!AW$3,IF(管理者入力シート!$B$14=2,EJ9*管理者用人口入力シート!AW$7))</f>
        <v>1349.7514700347108</v>
      </c>
      <c r="EL12" s="9">
        <f>IF(管理者入力シート!$B$14=1,EK9*管理者用人口入力シート!AX$3,IF(管理者入力シート!$B$14=2,EK9*管理者用人口入力シート!AX$7))</f>
        <v>1459.0286306899072</v>
      </c>
      <c r="EM12" s="9">
        <f>IF(管理者入力シート!$B$14=1,EL9*管理者用人口入力シート!AY$3,IF(管理者入力シート!$B$14=2,EL9*管理者用人口入力シート!AY$7))</f>
        <v>1495.5231984965787</v>
      </c>
      <c r="EN12" s="9">
        <f>IF(管理者入力シート!$B$14=1,EM9*管理者用人口入力シート!AZ$3,IF(管理者入力シート!$B$14=2,EM9*管理者用人口入力シート!AZ$7))</f>
        <v>1147.3625455110525</v>
      </c>
      <c r="EO12" s="9">
        <f>IF(管理者入力シート!$B$14=1,EN9*管理者用人口入力シート!BA$3,IF(管理者入力シート!$B$14=2,EN9*管理者用人口入力シート!BA$7))</f>
        <v>982.90421348591872</v>
      </c>
      <c r="EP12" s="9">
        <f>IF(管理者入力シート!$B$14=1,EO9*管理者用人口入力シート!BB$3,IF(管理者入力シート!$B$14=2,EO9*管理者用人口入力シート!BB$7))</f>
        <v>750.2957768972957</v>
      </c>
      <c r="EQ12" s="9">
        <f>IF(管理者入力シート!$B$14=1,EP9*管理者用人口入力シート!BC$3,IF(管理者入力シート!$B$14=2,EP9*管理者用人口入力シート!BC$7))</f>
        <v>551.13077185508826</v>
      </c>
      <c r="ER12" s="9">
        <f>IF(管理者入力シート!$B$14=1,EQ9*管理者用人口入力シート!BD$3,IF(管理者入力シート!$B$14=2,EQ9*管理者用人口入力シート!BD$7))</f>
        <v>264.14724660982682</v>
      </c>
      <c r="ES12" s="9">
        <f>IF(管理者入力シート!$B$14=1,ER9*管理者用人口入力シート!BE$3,IF(管理者入力シート!$B$14=2,ER9*管理者用人口入力シート!BE$7))</f>
        <v>66.024397379439236</v>
      </c>
      <c r="ET12" s="9">
        <f>IF(管理者入力シート!$B$14=1,ES9*管理者用人口入力シート!BF$3,IF(管理者入力シート!$B$14=2,ES9*管理者用人口入力シート!BF$7))</f>
        <v>9.2785334940213531</v>
      </c>
      <c r="EU12" s="9">
        <f t="shared" si="71"/>
        <v>21144.037238677087</v>
      </c>
      <c r="EV12" s="9">
        <f t="shared" si="41"/>
        <v>1164.0938284873666</v>
      </c>
      <c r="EW12" s="9">
        <f t="shared" si="42"/>
        <v>551.29157433641024</v>
      </c>
      <c r="EX12" s="9">
        <f t="shared" si="10"/>
        <v>5266.6666837292214</v>
      </c>
      <c r="EY12" s="9">
        <f t="shared" si="43"/>
        <v>2623.7809397215897</v>
      </c>
      <c r="EZ12" s="13">
        <f t="shared" si="44"/>
        <v>0.24908519713043881</v>
      </c>
      <c r="FA12" s="13">
        <f t="shared" si="45"/>
        <v>0.12409082097727855</v>
      </c>
      <c r="FB12" s="9">
        <f t="shared" si="72"/>
        <v>4741.0166476339737</v>
      </c>
    </row>
    <row r="13" spans="1:158" x14ac:dyDescent="0.15">
      <c r="A13" s="7" t="str">
        <f t="shared" si="11"/>
        <v>2020_2</v>
      </c>
      <c r="B13" s="29">
        <v>2020</v>
      </c>
      <c r="C13" s="4" t="s">
        <v>22</v>
      </c>
      <c r="D13" s="10">
        <v>1067.0154539267992</v>
      </c>
      <c r="E13" s="10">
        <v>1019.7857450355492</v>
      </c>
      <c r="F13" s="10">
        <v>919.00316762457044</v>
      </c>
      <c r="G13" s="10">
        <v>950.87843797889013</v>
      </c>
      <c r="H13" s="10">
        <v>968.3942663717944</v>
      </c>
      <c r="I13" s="10">
        <v>1258.6131019551058</v>
      </c>
      <c r="J13" s="10">
        <v>1360.5833107000731</v>
      </c>
      <c r="K13" s="10">
        <v>1460.9723626767598</v>
      </c>
      <c r="L13" s="10">
        <v>1529.4292231933421</v>
      </c>
      <c r="M13" s="10">
        <v>1685.10768869976</v>
      </c>
      <c r="N13" s="10">
        <v>1453.9197513409529</v>
      </c>
      <c r="O13" s="10">
        <v>1388.4721868857523</v>
      </c>
      <c r="P13" s="10">
        <v>1271.1121048766174</v>
      </c>
      <c r="Q13" s="10">
        <v>1393.4264434235324</v>
      </c>
      <c r="R13" s="10">
        <v>1441.2139291440776</v>
      </c>
      <c r="S13" s="10">
        <v>1010.5807765143087</v>
      </c>
      <c r="T13" s="10">
        <v>853.20322115032036</v>
      </c>
      <c r="U13" s="10">
        <v>747.51456202436123</v>
      </c>
      <c r="V13" s="10">
        <v>459.48150685231172</v>
      </c>
      <c r="W13" s="10">
        <v>159.80327478269402</v>
      </c>
      <c r="X13" s="10">
        <v>38.489484842425938</v>
      </c>
      <c r="Y13" s="10">
        <f t="shared" si="177"/>
        <v>22436.999999999996</v>
      </c>
      <c r="Z13" s="10">
        <f t="shared" ref="Z13:Z14" si="179">E13*3/5+F13*3/5</f>
        <v>1163.2733475960717</v>
      </c>
      <c r="AA13" s="10">
        <f t="shared" ref="AA13:AA14" si="180">F13*2/5+G13*1/5</f>
        <v>557.77695464560611</v>
      </c>
      <c r="AB13" s="10">
        <f t="shared" si="178"/>
        <v>6103.7131987340317</v>
      </c>
      <c r="AC13" s="10">
        <f t="shared" ref="AC13:AC14" si="181">SUM(S13:X13)</f>
        <v>3269.0728261664221</v>
      </c>
      <c r="AD13" s="14">
        <f t="shared" ref="AD13:AD14" si="182">AB13/Y13</f>
        <v>0.2720378481407511</v>
      </c>
      <c r="AE13" s="14">
        <f t="shared" ref="AE13:AE14" si="183">AC13/Y13</f>
        <v>0.14570008584777033</v>
      </c>
      <c r="AF13" s="10">
        <f t="shared" ref="AF13:AF14" si="184">SUM(H13:K13)</f>
        <v>5048.5630417037328</v>
      </c>
      <c r="AI13" s="60" t="s">
        <v>47</v>
      </c>
      <c r="AJ13" s="1" t="s">
        <v>21</v>
      </c>
      <c r="AK13" s="8">
        <f>VLOOKUP(AK12&amp;"_1",A:D,4,FALSE)/VLOOKUP(AK12&amp;"_2",A:AF,32,FALSE)</f>
        <v>0.22203552257322848</v>
      </c>
      <c r="AL13" s="63"/>
      <c r="BH13" s="7" t="str">
        <f t="shared" si="19"/>
        <v>2040_2</v>
      </c>
      <c r="BI13" s="29">
        <f>BI12</f>
        <v>2040</v>
      </c>
      <c r="BJ13" s="4" t="s">
        <v>22</v>
      </c>
      <c r="BK13" s="10">
        <f>CM13*$AK$14</f>
        <v>929.43016572657507</v>
      </c>
      <c r="BL13" s="10">
        <f>IF(管理者入力シート!$B$14=1,BK10*管理者用人口入力シート!AM$4,IF(管理者入力シート!$B$14=2,BK10*管理者用人口入力シート!AM$8))</f>
        <v>876.92843050256511</v>
      </c>
      <c r="BM13" s="10">
        <f>IF(管理者入力シート!$B$14=1,BL10*管理者用人口入力シート!AN$4,IF(管理者入力シート!$B$14=2,BL10*管理者用人口入力シート!AN$8))</f>
        <v>832.84793756405054</v>
      </c>
      <c r="BN13" s="10">
        <f>IF(管理者入力シート!$B$14=1,BM10*管理者用人口入力シート!AO$4,IF(管理者入力シート!$B$14=2,BM10*管理者用人口入力シート!AO$8))</f>
        <v>840.6361083970902</v>
      </c>
      <c r="BO13" s="10">
        <f>IF(管理者入力シート!$B$14=1,BN10*管理者用人口入力シート!AP$4,IF(管理者入力シート!$B$14=2,BN10*管理者用人口入力シート!AP$8))</f>
        <v>772.52449974208287</v>
      </c>
      <c r="BP13" s="10">
        <f>IF(管理者入力シート!$B$14=1,BO10*管理者用人口入力シート!AQ$4,IF(管理者入力シート!$B$14=2,BO10*管理者用人口入力シート!AQ$8))</f>
        <v>1151.7748233048869</v>
      </c>
      <c r="BQ13" s="10">
        <f>IF(管理者入力シート!$B$14=1,BP10*管理者用人口入力シート!AR$4,IF(管理者入力シート!$B$14=2,BP10*管理者用人口入力シート!AR$8))</f>
        <v>1220.1066521202531</v>
      </c>
      <c r="BR13" s="10">
        <f>IF(管理者入力シート!$B$14=1,BQ10*管理者用人口入力シート!AS$4,IF(管理者入力シート!$B$14=2,BQ10*管理者用人口入力シート!AS$8))</f>
        <v>1253.1749288987346</v>
      </c>
      <c r="BS13" s="10">
        <f>IF(管理者入力シート!$B$14=1,BR10*管理者用人口入力シート!AT$4,IF(管理者入力シート!$B$14=2,BR10*管理者用人口入力シート!AT$8))</f>
        <v>1415.2496026061622</v>
      </c>
      <c r="BT13" s="10">
        <f>IF(管理者入力シート!$B$14=1,BS10*管理者用人口入力シート!AU$4,IF(管理者入力シート!$B$14=2,BS10*管理者用人口入力シート!AU$8))</f>
        <v>1323.0997590116315</v>
      </c>
      <c r="BU13" s="10">
        <f>IF(管理者入力シート!$B$14=1,BT10*管理者用人口入力シート!AV$4,IF(管理者入力シート!$B$14=2,BT10*管理者用人口入力シート!AV$8))</f>
        <v>1318.4860460235677</v>
      </c>
      <c r="BV13" s="10">
        <f>IF(管理者入力シート!$B$14=1,BU10*管理者用人口入力シート!AW$4,IF(管理者入力シート!$B$14=2,BU10*管理者用人口入力シート!AW$8))</f>
        <v>1439.2108783963165</v>
      </c>
      <c r="BW13" s="10">
        <f>IF(管理者入力シート!$B$14=1,BV10*管理者用人口入力シート!AX$4,IF(管理者入力シート!$B$14=2,BV10*管理者用人口入力シート!AX$8))</f>
        <v>1493.8217557017433</v>
      </c>
      <c r="BX13" s="10">
        <f>IF(管理者入力シート!$B$14=1,BW10*管理者用人口入力シート!AY$4,IF(管理者入力シート!$B$14=2,BW10*管理者用人口入力シート!AY$8))</f>
        <v>1602.0502312519973</v>
      </c>
      <c r="BY13" s="10">
        <f>IF(管理者入力シート!$B$14=1,BX10*管理者用人口入力シート!AZ$4,IF(管理者入力シート!$B$14=2,BX10*管理者用人口入力シート!AZ$8))</f>
        <v>1338.9461755920415</v>
      </c>
      <c r="BZ13" s="10">
        <f>IF(管理者入力シート!$B$14=1,BY10*管理者用人口入力シート!BA$4,IF(管理者入力シート!$B$14=2,BY10*管理者用人口入力シート!BA$8))</f>
        <v>1199.9185924835449</v>
      </c>
      <c r="CA13" s="10">
        <f>IF(管理者入力シート!$B$14=1,BZ10*管理者用人口入力シート!BB$4,IF(管理者入力シート!$B$14=2,BZ10*管理者用人口入力シート!BB$8))</f>
        <v>1013.2501135254055</v>
      </c>
      <c r="CB13" s="10">
        <f>IF(管理者入力シート!$B$14=1,CA10*管理者用人口入力シート!BC$4,IF(管理者入力シート!$B$14=2,CA10*管理者用人口入力シート!BC$8))</f>
        <v>934.22215939323439</v>
      </c>
      <c r="CC13" s="10">
        <f>IF(管理者入力シート!$B$14=1,CB10*管理者用人口入力シート!BD$4,IF(管理者入力シート!$B$14=2,CB10*管理者用人口入力シート!BD$8))</f>
        <v>667.50434603492181</v>
      </c>
      <c r="CD13" s="10">
        <f>IF(管理者入力シート!$B$14=1,CC10*管理者用人口入力シート!BE$4,IF(管理者入力シート!$B$14=2,CC10*管理者用人口入力シート!BE$8))</f>
        <v>243.22735065625687</v>
      </c>
      <c r="CE13" s="10">
        <f>IF(管理者入力シート!$B$14=1,CD10*管理者用人口入力シート!BF$4,IF(管理者入力シート!$B$14=2,CD10*管理者用人口入力シート!BF$8))</f>
        <v>60.305644699065525</v>
      </c>
      <c r="CF13" s="10">
        <f t="shared" si="2"/>
        <v>21926.716201632127</v>
      </c>
      <c r="CG13" s="10">
        <f t="shared" si="20"/>
        <v>1025.8658208399695</v>
      </c>
      <c r="CH13" s="10">
        <f t="shared" si="21"/>
        <v>501.26639670503823</v>
      </c>
      <c r="CI13" s="10">
        <f t="shared" si="3"/>
        <v>7059.4246136364673</v>
      </c>
      <c r="CJ13" s="10">
        <f t="shared" si="22"/>
        <v>4118.4282067924296</v>
      </c>
      <c r="CK13" s="14">
        <f t="shared" si="23"/>
        <v>0.32195539672789647</v>
      </c>
      <c r="CL13" s="14">
        <f t="shared" si="24"/>
        <v>0.18782694904793232</v>
      </c>
      <c r="CM13" s="10">
        <f t="shared" si="25"/>
        <v>4397.5809040659578</v>
      </c>
      <c r="CO13" s="7" t="str">
        <f t="shared" si="26"/>
        <v>2040_2</v>
      </c>
      <c r="CP13" s="29">
        <f>CP12</f>
        <v>2040</v>
      </c>
      <c r="CQ13" s="4" t="s">
        <v>22</v>
      </c>
      <c r="CR13" s="10">
        <f>DT13*$AK$14+将来予測シート②!$H17</f>
        <v>932.20702074170219</v>
      </c>
      <c r="CS13" s="10">
        <f>IF(管理者入力シート!$B$14=1,CR10*管理者用人口入力シート!AM$4,IF(管理者入力シート!$B$14=2,CR10*管理者用人口入力シート!AM$8))+将来予測シート②!$H18</f>
        <v>879.16967145376577</v>
      </c>
      <c r="CT13" s="10">
        <f>IF(管理者入力シート!$B$14=1,CS10*管理者用人口入力シート!AN$4,IF(管理者入力シート!$B$14=2,CS10*管理者用人口入力シート!AN$8))+将来予測シート②!$H19</f>
        <v>835.39737805064897</v>
      </c>
      <c r="CU13" s="10">
        <f>IF(管理者入力シート!$B$14=1,CT10*管理者用人口入力シート!AO$4,IF(管理者入力シート!$B$14=2,CT10*管理者用人口入力シート!AO$8))+将来予測シート②!$H20</f>
        <v>842.43635684781805</v>
      </c>
      <c r="CV13" s="10">
        <f>IF(管理者入力シート!$B$14=1,CU10*管理者用人口入力シート!AP$4,IF(管理者入力シート!$B$14=2,CU10*管理者用人口入力シート!AP$8))+将来予測シート②!$H21</f>
        <v>773.40406738971933</v>
      </c>
      <c r="CW13" s="10">
        <f>IF(管理者入力シート!$B$14=1,CV10*管理者用人口入力シート!AQ$4,IF(管理者入力シート!$B$14=2,CV10*管理者用人口入力シート!AQ$8))+将来予測シート②!$H22</f>
        <v>1154.9957173837529</v>
      </c>
      <c r="CX13" s="10">
        <f>IF(管理者入力シート!$B$14=1,CW10*管理者用人口入力シート!AR$4,IF(管理者入力シート!$B$14=2,CW10*管理者用人口入力シート!AR$8))+将来予測シート②!$H23</f>
        <v>1222.2815195768771</v>
      </c>
      <c r="CY13" s="10">
        <f>IF(管理者入力シート!$B$14=1,CX10*管理者用人口入力シート!AS$4,IF(管理者入力シート!$B$14=2,CX10*管理者用人口入力シート!AS$8))+将来予測シート②!$H24</f>
        <v>1255.3067549511061</v>
      </c>
      <c r="CZ13" s="10">
        <f>IF(管理者入力シート!$B$14=1,CY10*管理者用人口入力シート!AT$4,IF(管理者入力シート!$B$14=2,CY10*管理者用人口入力シート!AT$8))+将来予測シート②!$H25</f>
        <v>1418.355329709477</v>
      </c>
      <c r="DA13" s="10">
        <f>IF(管理者入力シート!$B$14=1,CZ10*管理者用人口入力シート!AU$4,IF(管理者入力シート!$B$14=2,CZ10*管理者用人口入力シート!AU$8))+将来予測シート②!$H26</f>
        <v>1324.0982134469921</v>
      </c>
      <c r="DB13" s="10">
        <f>IF(管理者入力シート!$B$14=1,DA10*管理者用人口入力シート!AV$4,IF(管理者入力シート!$B$14=2,DA10*管理者用人口入力シート!AV$8))+将来予測シート②!$H27</f>
        <v>1319.48692393798</v>
      </c>
      <c r="DC13" s="10">
        <f>IF(管理者入力シート!$B$14=1,DB10*管理者用人口入力シート!AW$4,IF(管理者入力シート!$B$14=2,DB10*管理者用人口入力シート!AW$8))+将来予測シート②!$H28</f>
        <v>1440.2081928445618</v>
      </c>
      <c r="DD13" s="10">
        <f>IF(管理者入力シート!$B$14=1,DC10*管理者用人口入力シート!AX$4,IF(管理者入力シート!$B$14=2,DC10*管理者用人口入力シート!AX$8))+将来予測シート②!$H29</f>
        <v>1493.8217557017433</v>
      </c>
      <c r="DE13" s="10">
        <f>IF(管理者入力シート!$B$14=1,DD10*管理者用人口入力シート!AY$4,IF(管理者入力シート!$B$14=2,DD10*管理者用人口入力シート!AY$8))</f>
        <v>1602.0502312519973</v>
      </c>
      <c r="DF13" s="10">
        <f>IF(管理者入力シート!$B$14=1,DE10*管理者用人口入力シート!AZ$4,IF(管理者入力シート!$B$14=2,DE10*管理者用人口入力シート!AZ$8))</f>
        <v>1338.9461755920415</v>
      </c>
      <c r="DG13" s="10">
        <f>IF(管理者入力シート!$B$14=1,DF10*管理者用人口入力シート!BA$4,IF(管理者入力シート!$B$14=2,DF10*管理者用人口入力シート!BA$8))</f>
        <v>1199.9185924835449</v>
      </c>
      <c r="DH13" s="10">
        <f>IF(管理者入力シート!$B$14=1,DG10*管理者用人口入力シート!BB$4,IF(管理者入力シート!$B$14=2,DG10*管理者用人口入力シート!BB$8))</f>
        <v>1013.2501135254055</v>
      </c>
      <c r="DI13" s="10">
        <f>IF(管理者入力シート!$B$14=1,DH10*管理者用人口入力シート!BC$4,IF(管理者入力シート!$B$14=2,DH10*管理者用人口入力シート!BC$8))</f>
        <v>934.22215939323439</v>
      </c>
      <c r="DJ13" s="10">
        <f>IF(管理者入力シート!$B$14=1,DI10*管理者用人口入力シート!BD$4,IF(管理者入力シート!$B$14=2,DI10*管理者用人口入力シート!BD$8))</f>
        <v>667.50434603492181</v>
      </c>
      <c r="DK13" s="10">
        <f>IF(管理者入力シート!$B$14=1,DJ10*管理者用人口入力シート!BE$4,IF(管理者入力シート!$B$14=2,DJ10*管理者用人口入力シート!BE$8))</f>
        <v>243.22735065625687</v>
      </c>
      <c r="DL13" s="10">
        <f>IF(管理者入力シート!$B$14=1,DK10*管理者用人口入力シート!BF$4,IF(管理者入力シート!$B$14=2,DK10*管理者用人口入力シート!BF$8))</f>
        <v>60.305644699065525</v>
      </c>
      <c r="DM13" s="10">
        <f t="shared" si="69"/>
        <v>21950.593515672615</v>
      </c>
      <c r="DN13" s="10">
        <f t="shared" si="34"/>
        <v>1028.7402297026488</v>
      </c>
      <c r="DO13" s="10">
        <f t="shared" si="35"/>
        <v>502.6462225898232</v>
      </c>
      <c r="DP13" s="10">
        <f t="shared" si="6"/>
        <v>7059.4246136364673</v>
      </c>
      <c r="DQ13" s="10">
        <f t="shared" si="36"/>
        <v>4118.4282067924296</v>
      </c>
      <c r="DR13" s="14">
        <f t="shared" si="37"/>
        <v>0.32160518159092477</v>
      </c>
      <c r="DS13" s="14">
        <f t="shared" si="38"/>
        <v>0.18762263552700259</v>
      </c>
      <c r="DT13" s="10">
        <f t="shared" si="70"/>
        <v>4405.988059301455</v>
      </c>
      <c r="DV13" s="62"/>
      <c r="DX13" s="29">
        <f>DX12</f>
        <v>2040</v>
      </c>
      <c r="DY13" s="4" t="s">
        <v>22</v>
      </c>
      <c r="DZ13" s="10">
        <f>FB13*$AK$14</f>
        <v>1029.2475106833022</v>
      </c>
      <c r="EA13" s="10">
        <f>IF(管理者入力シート!$B$14=1,DZ10*管理者用人口入力シート!AM$4,IF(管理者入力シート!$B$14=2,DZ10*管理者用人口入力シート!AM$8))</f>
        <v>965.74575009813452</v>
      </c>
      <c r="EB13" s="10">
        <f>IF(管理者入力シート!$B$14=1,EA10*管理者用人口入力シート!AN$4,IF(管理者入力シート!$B$14=2,EA10*管理者用人口入力シート!AN$8))</f>
        <v>900.73265280701651</v>
      </c>
      <c r="EC13" s="10">
        <f>IF(管理者入力シート!$B$14=1,EB10*管理者用人口入力シート!AO$4,IF(管理者入力シート!$B$14=2,EB10*管理者用人口入力シート!AO$8))</f>
        <v>840.6361083970902</v>
      </c>
      <c r="ED13" s="10">
        <f>IF(管理者入力シート!$B$14=1,EC10*管理者用人口入力シート!AP$4,IF(管理者入力シート!$B$14=2,EC10*管理者用人口入力シート!AP$8))</f>
        <v>772.52449974208287</v>
      </c>
      <c r="EE13" s="10">
        <f>IF(管理者入力シート!$B$14=1,ED10*管理者用人口入力シート!AQ$4,IF(管理者入力シート!$B$14=2,ED10*管理者用人口入力シート!AQ$8))+DX1</f>
        <v>1228.7748233048869</v>
      </c>
      <c r="EF13" s="10">
        <f>IF(管理者入力シート!$B$14=1,EE10*管理者用人口入力シート!AR$4,IF(管理者入力シート!$B$14=2,EE10*管理者用人口入力シート!AR$8))+DX1</f>
        <v>1380.83904920028</v>
      </c>
      <c r="EG13" s="10">
        <f>IF(管理者入力シート!$B$14=1,EF10*管理者用人口入力シート!AS$4,IF(管理者入力シート!$B$14=2,EF10*管理者用人口入力シート!AS$8))+DX1</f>
        <v>1487.7263743956471</v>
      </c>
      <c r="EH13" s="10">
        <f>IF(管理者入力シート!$B$14=1,EG10*管理者用人口入力シート!AT$4,IF(管理者入力シート!$B$14=2,EG10*管理者用人口入力シート!AT$8))</f>
        <v>1646.9295444828035</v>
      </c>
      <c r="EI13" s="10">
        <f>IF(管理者入力シート!$B$14=1,EH10*管理者用人口入力シート!AU$4,IF(管理者入力シート!$B$14=2,EH10*管理者用人口入力シート!AU$8))</f>
        <v>1473.4764307728501</v>
      </c>
      <c r="EJ13" s="10">
        <f>IF(管理者入力シート!$B$14=1,EI10*管理者用人口入力シート!AV$4,IF(管理者入力シート!$B$14=2,EI10*管理者用人口入力シート!AV$8))</f>
        <v>1394.6101428672039</v>
      </c>
      <c r="EK13" s="10">
        <f>IF(管理者入力シート!$B$14=1,EJ10*管理者用人口入力シート!AW$4,IF(管理者入力シート!$B$14=2,EJ10*管理者用人口入力シート!AW$8))</f>
        <v>1439.2108783963165</v>
      </c>
      <c r="EL13" s="10">
        <f>IF(管理者入力シート!$B$14=1,EK10*管理者用人口入力シート!AX$4,IF(管理者入力シート!$B$14=2,EK10*管理者用人口入力シート!AX$8))</f>
        <v>1493.8217557017433</v>
      </c>
      <c r="EM13" s="10">
        <f>IF(管理者入力シート!$B$14=1,EL10*管理者用人口入力シート!AY$4,IF(管理者入力シート!$B$14=2,EL10*管理者用人口入力シート!AY$8))</f>
        <v>1602.0502312519973</v>
      </c>
      <c r="EN13" s="10">
        <f>IF(管理者入力シート!$B$14=1,EM10*管理者用人口入力シート!AZ$4,IF(管理者入力シート!$B$14=2,EM10*管理者用人口入力シート!AZ$8))</f>
        <v>1338.9461755920415</v>
      </c>
      <c r="EO13" s="10">
        <f>IF(管理者入力シート!$B$14=1,EN10*管理者用人口入力シート!BA$4,IF(管理者入力シート!$B$14=2,EN10*管理者用人口入力シート!BA$8))</f>
        <v>1199.9185924835449</v>
      </c>
      <c r="EP13" s="10">
        <f>IF(管理者入力シート!$B$14=1,EO10*管理者用人口入力シート!BB$4,IF(管理者入力シート!$B$14=2,EO10*管理者用人口入力シート!BB$8))</f>
        <v>1013.2501135254055</v>
      </c>
      <c r="EQ13" s="10">
        <f>IF(管理者入力シート!$B$14=1,EP10*管理者用人口入力シート!BC$4,IF(管理者入力シート!$B$14=2,EP10*管理者用人口入力シート!BC$8))</f>
        <v>934.22215939323439</v>
      </c>
      <c r="ER13" s="10">
        <f>IF(管理者入力シート!$B$14=1,EQ10*管理者用人口入力シート!BD$4,IF(管理者入力シート!$B$14=2,EQ10*管理者用人口入力シート!BD$8))</f>
        <v>667.50434603492181</v>
      </c>
      <c r="ES13" s="10">
        <f>IF(管理者入力シート!$B$14=1,ER10*管理者用人口入力シート!BE$4,IF(管理者入力シート!$B$14=2,ER10*管理者用人口入力シート!BE$8))</f>
        <v>243.22735065625687</v>
      </c>
      <c r="ET13" s="10">
        <f>IF(管理者入力シート!$B$14=1,ES10*管理者用人口入力シート!BF$4,IF(管理者入力シート!$B$14=2,ES10*管理者用人口入力シート!BF$8))</f>
        <v>60.305644699065525</v>
      </c>
      <c r="EU13" s="10">
        <f t="shared" si="71"/>
        <v>23113.700134485825</v>
      </c>
      <c r="EV13" s="10">
        <f t="shared" si="41"/>
        <v>1119.8870417430905</v>
      </c>
      <c r="EW13" s="10">
        <f t="shared" si="42"/>
        <v>528.42028280222462</v>
      </c>
      <c r="EX13" s="10">
        <f t="shared" si="10"/>
        <v>7059.4246136364673</v>
      </c>
      <c r="EY13" s="10">
        <f t="shared" si="43"/>
        <v>4118.4282067924296</v>
      </c>
      <c r="EZ13" s="14">
        <f t="shared" si="44"/>
        <v>0.30542165782897518</v>
      </c>
      <c r="FA13" s="14">
        <f t="shared" si="45"/>
        <v>0.17818125972170512</v>
      </c>
      <c r="FB13" s="10">
        <f t="shared" si="72"/>
        <v>4869.8647466428965</v>
      </c>
    </row>
    <row r="14" spans="1:158" x14ac:dyDescent="0.15">
      <c r="A14" s="7" t="str">
        <f t="shared" si="11"/>
        <v>2020_3</v>
      </c>
      <c r="B14" s="30">
        <v>2020</v>
      </c>
      <c r="C14" s="5" t="s">
        <v>23</v>
      </c>
      <c r="D14" s="11">
        <v>2187.9757871353754</v>
      </c>
      <c r="E14" s="11">
        <v>2018.6382698229231</v>
      </c>
      <c r="F14" s="11">
        <v>1930.481158599142</v>
      </c>
      <c r="G14" s="11">
        <v>1881.744593157679</v>
      </c>
      <c r="H14" s="11">
        <v>1781.5698888717775</v>
      </c>
      <c r="I14" s="11">
        <v>2402.4112817860605</v>
      </c>
      <c r="J14" s="11">
        <v>2629.2169843404949</v>
      </c>
      <c r="K14" s="11">
        <v>2807.2316742630264</v>
      </c>
      <c r="L14" s="11">
        <v>3020.2856820167681</v>
      </c>
      <c r="M14" s="11">
        <v>3289.6034329050735</v>
      </c>
      <c r="N14" s="11">
        <v>2739.6040138322833</v>
      </c>
      <c r="O14" s="11">
        <v>2677.4743513533654</v>
      </c>
      <c r="P14" s="11">
        <v>2447.3349959226593</v>
      </c>
      <c r="Q14" s="11">
        <v>2655.0775589739433</v>
      </c>
      <c r="R14" s="11">
        <v>2675.3163190928344</v>
      </c>
      <c r="S14" s="11">
        <v>1779.192943666282</v>
      </c>
      <c r="T14" s="11">
        <v>1388.8868783904663</v>
      </c>
      <c r="U14" s="11">
        <v>1116.0996495690138</v>
      </c>
      <c r="V14" s="11">
        <v>624.42421665969982</v>
      </c>
      <c r="W14" s="11">
        <v>189.79326741692225</v>
      </c>
      <c r="X14" s="11">
        <v>43.63705222420861</v>
      </c>
      <c r="Y14" s="11">
        <f t="shared" si="177"/>
        <v>42286</v>
      </c>
      <c r="Z14" s="11">
        <f t="shared" si="179"/>
        <v>2369.4716570532391</v>
      </c>
      <c r="AA14" s="11">
        <f t="shared" si="180"/>
        <v>1148.5413820711926</v>
      </c>
      <c r="AB14" s="11">
        <f t="shared" si="178"/>
        <v>10472.427885993371</v>
      </c>
      <c r="AC14" s="11">
        <f t="shared" si="181"/>
        <v>5142.0340079265934</v>
      </c>
      <c r="AD14" s="15">
        <f t="shared" si="182"/>
        <v>0.24765709421542287</v>
      </c>
      <c r="AE14" s="15">
        <f t="shared" si="183"/>
        <v>0.12160133396222375</v>
      </c>
      <c r="AF14" s="11">
        <f t="shared" si="184"/>
        <v>9620.4298292613603</v>
      </c>
      <c r="AI14" s="43"/>
      <c r="AJ14" s="1" t="s">
        <v>22</v>
      </c>
      <c r="AK14" s="8">
        <f>VLOOKUP(AK12&amp;"_2",A:D,4,FALSE)/VLOOKUP(AK12&amp;"_2",A:AF,32,FALSE)</f>
        <v>0.21135032782847349</v>
      </c>
      <c r="AL14" s="63"/>
      <c r="BH14" s="7" t="str">
        <f t="shared" si="19"/>
        <v>2040_3</v>
      </c>
      <c r="BI14" s="30">
        <f>BI13</f>
        <v>2040</v>
      </c>
      <c r="BJ14" s="5" t="s">
        <v>23</v>
      </c>
      <c r="BK14" s="16">
        <f>BK12+BK13</f>
        <v>1905.8493398189105</v>
      </c>
      <c r="BL14" s="16">
        <f t="shared" ref="BL14" si="185">BL12+BL13</f>
        <v>1759.5176160722128</v>
      </c>
      <c r="BM14" s="16">
        <f t="shared" ref="BM14" si="186">BM12+BM13</f>
        <v>1728.0567802756204</v>
      </c>
      <c r="BN14" s="16">
        <f t="shared" ref="BN14" si="187">BN12+BN13</f>
        <v>1660.7408972575142</v>
      </c>
      <c r="BO14" s="16">
        <f t="shared" ref="BO14" si="188">BO12+BO13</f>
        <v>1447.4817730636519</v>
      </c>
      <c r="BP14" s="16">
        <f t="shared" ref="BP14" si="189">BP12+BP13</f>
        <v>2180.3571780938582</v>
      </c>
      <c r="BQ14" s="16">
        <f t="shared" ref="BQ14" si="190">BQ12+BQ13</f>
        <v>2475.6699451801624</v>
      </c>
      <c r="BR14" s="16">
        <f t="shared" ref="BR14" si="191">BR12+BR13</f>
        <v>2543.5441164888753</v>
      </c>
      <c r="BS14" s="16">
        <f t="shared" ref="BS14" si="192">BS12+BS13</f>
        <v>2808.0448397621221</v>
      </c>
      <c r="BT14" s="16">
        <f t="shared" ref="BT14" si="193">BT12+BT13</f>
        <v>2690.6923049650622</v>
      </c>
      <c r="BU14" s="16">
        <f t="shared" ref="BU14" si="194">BU12+BU13</f>
        <v>2571.2844839786303</v>
      </c>
      <c r="BV14" s="16">
        <f t="shared" ref="BV14" si="195">BV12+BV13</f>
        <v>2788.9623484310273</v>
      </c>
      <c r="BW14" s="16">
        <f t="shared" ref="BW14" si="196">BW12+BW13</f>
        <v>2952.8503863916503</v>
      </c>
      <c r="BX14" s="16">
        <f t="shared" ref="BX14" si="197">BX12+BX13</f>
        <v>3097.573429748576</v>
      </c>
      <c r="BY14" s="16">
        <f t="shared" ref="BY14" si="198">BY12+BY13</f>
        <v>2486.3087211030943</v>
      </c>
      <c r="BZ14" s="16">
        <f t="shared" ref="BZ14" si="199">BZ12+BZ13</f>
        <v>2182.8228059694638</v>
      </c>
      <c r="CA14" s="16">
        <f t="shared" ref="CA14" si="200">CA12+CA13</f>
        <v>1763.5458904227012</v>
      </c>
      <c r="CB14" s="16">
        <f t="shared" ref="CB14" si="201">CB12+CB13</f>
        <v>1485.3529312483226</v>
      </c>
      <c r="CC14" s="16">
        <f t="shared" ref="CC14" si="202">CC12+CC13</f>
        <v>931.65159264474869</v>
      </c>
      <c r="CD14" s="16">
        <f t="shared" ref="CD14" si="203">CD12+CD13</f>
        <v>309.2517480356961</v>
      </c>
      <c r="CE14" s="16">
        <f t="shared" ref="CE14" si="204">CE12+CE13</f>
        <v>69.584178193086871</v>
      </c>
      <c r="CF14" s="11">
        <f t="shared" si="2"/>
        <v>41839.143307144986</v>
      </c>
      <c r="CG14" s="11">
        <f t="shared" si="20"/>
        <v>2092.5446378086999</v>
      </c>
      <c r="CH14" s="11">
        <f t="shared" si="21"/>
        <v>1023.370891561751</v>
      </c>
      <c r="CI14" s="11">
        <f t="shared" si="3"/>
        <v>12326.091297365689</v>
      </c>
      <c r="CJ14" s="11">
        <f t="shared" si="22"/>
        <v>6742.2091465140202</v>
      </c>
      <c r="CK14" s="15">
        <f t="shared" si="23"/>
        <v>0.29460668462732909</v>
      </c>
      <c r="CL14" s="15">
        <f t="shared" si="24"/>
        <v>0.16114596556193431</v>
      </c>
      <c r="CM14" s="11">
        <f t="shared" si="25"/>
        <v>8647.0530128265491</v>
      </c>
      <c r="CO14" s="7" t="str">
        <f t="shared" si="26"/>
        <v>2040_3</v>
      </c>
      <c r="CP14" s="30">
        <f>CP13</f>
        <v>2040</v>
      </c>
      <c r="CQ14" s="5" t="s">
        <v>23</v>
      </c>
      <c r="CR14" s="16">
        <f>CR12+CR13</f>
        <v>1911.4928819401057</v>
      </c>
      <c r="CS14" s="16">
        <f t="shared" ref="CS14" si="205">CS12+CS13</f>
        <v>1763.9714687453941</v>
      </c>
      <c r="CT14" s="16">
        <f t="shared" ref="CT14" si="206">CT12+CT13</f>
        <v>1733.229099682663</v>
      </c>
      <c r="CU14" s="16">
        <f t="shared" ref="CU14" si="207">CU12+CU13</f>
        <v>1664.1921596844268</v>
      </c>
      <c r="CV14" s="16">
        <f t="shared" ref="CV14" si="208">CV12+CV13</f>
        <v>1449.0762889787466</v>
      </c>
      <c r="CW14" s="16">
        <f t="shared" ref="CW14" si="209">CW12+CW13</f>
        <v>2186.6203724275906</v>
      </c>
      <c r="CX14" s="16">
        <f t="shared" ref="CX14" si="210">CX12+CX13</f>
        <v>2480.226689604252</v>
      </c>
      <c r="CY14" s="16">
        <f t="shared" ref="CY14" si="211">CY12+CY13</f>
        <v>2548.0597963183482</v>
      </c>
      <c r="CZ14" s="16">
        <f t="shared" ref="CZ14" si="212">CZ12+CZ13</f>
        <v>2813.5002791743864</v>
      </c>
      <c r="DA14" s="16">
        <f t="shared" ref="DA14" si="213">DA12+DA13</f>
        <v>2691.6907594004233</v>
      </c>
      <c r="DB14" s="16">
        <f t="shared" ref="DB14" si="214">DB12+DB13</f>
        <v>2572.2853618930426</v>
      </c>
      <c r="DC14" s="16">
        <f t="shared" ref="DC14" si="215">DC12+DC13</f>
        <v>2789.9596628792724</v>
      </c>
      <c r="DD14" s="16">
        <f t="shared" ref="DD14" si="216">DD12+DD13</f>
        <v>2952.8503863916503</v>
      </c>
      <c r="DE14" s="16">
        <f t="shared" ref="DE14" si="217">DE12+DE13</f>
        <v>3097.573429748576</v>
      </c>
      <c r="DF14" s="16">
        <f t="shared" ref="DF14" si="218">DF12+DF13</f>
        <v>2486.3087211030943</v>
      </c>
      <c r="DG14" s="16">
        <f t="shared" ref="DG14" si="219">DG12+DG13</f>
        <v>2182.8228059694638</v>
      </c>
      <c r="DH14" s="16">
        <f t="shared" ref="DH14" si="220">DH12+DH13</f>
        <v>1763.5458904227012</v>
      </c>
      <c r="DI14" s="16">
        <f t="shared" ref="DI14" si="221">DI12+DI13</f>
        <v>1485.3529312483226</v>
      </c>
      <c r="DJ14" s="16">
        <f t="shared" ref="DJ14" si="222">DJ12+DJ13</f>
        <v>931.65159264474869</v>
      </c>
      <c r="DK14" s="16">
        <f t="shared" ref="DK14" si="223">DK12+DK13</f>
        <v>309.2517480356961</v>
      </c>
      <c r="DL14" s="16">
        <f t="shared" ref="DL14" si="224">DL12+DL13</f>
        <v>69.584178193086871</v>
      </c>
      <c r="DM14" s="11">
        <f t="shared" si="69"/>
        <v>41883.246504485993</v>
      </c>
      <c r="DN14" s="11">
        <f t="shared" si="34"/>
        <v>2098.320341056834</v>
      </c>
      <c r="DO14" s="11">
        <f t="shared" si="35"/>
        <v>1026.1300718099506</v>
      </c>
      <c r="DP14" s="11">
        <f t="shared" si="6"/>
        <v>12326.091297365689</v>
      </c>
      <c r="DQ14" s="11">
        <f t="shared" si="36"/>
        <v>6742.2091465140202</v>
      </c>
      <c r="DR14" s="15">
        <f t="shared" si="37"/>
        <v>0.29429646281229599</v>
      </c>
      <c r="DS14" s="15">
        <f t="shared" si="38"/>
        <v>0.16097627832627256</v>
      </c>
      <c r="DT14" s="11">
        <f t="shared" si="70"/>
        <v>8663.9831473289378</v>
      </c>
      <c r="DX14" s="30">
        <f>DX13</f>
        <v>2040</v>
      </c>
      <c r="DY14" s="5" t="s">
        <v>23</v>
      </c>
      <c r="DZ14" s="16">
        <f>DZ12+DZ13</f>
        <v>2110.5304745651006</v>
      </c>
      <c r="EA14" s="16">
        <f t="shared" ref="EA14" si="225">EA12+EA13</f>
        <v>1937.7255894995988</v>
      </c>
      <c r="EB14" s="16">
        <f t="shared" ref="EB14" si="226">EB12+EB13</f>
        <v>1868.9091942178302</v>
      </c>
      <c r="EC14" s="16">
        <f t="shared" ref="EC14" si="227">EC12+EC13</f>
        <v>1660.7408972575142</v>
      </c>
      <c r="ED14" s="16">
        <f t="shared" ref="ED14" si="228">ED12+ED13</f>
        <v>1447.4817730636519</v>
      </c>
      <c r="EE14" s="16">
        <f t="shared" ref="EE14" si="229">EE12+EE13</f>
        <v>2334.3571780938582</v>
      </c>
      <c r="EF14" s="16">
        <f t="shared" ref="EF14" si="230">EF12+EF13</f>
        <v>2805.1046055076113</v>
      </c>
      <c r="EG14" s="16">
        <f t="shared" ref="EG14" si="231">EG12+EG13</f>
        <v>3023.9378376117493</v>
      </c>
      <c r="EH14" s="16">
        <f t="shared" ref="EH14" si="232">EH12+EH13</f>
        <v>3282.0461130254835</v>
      </c>
      <c r="EI14" s="16">
        <f t="shared" ref="EI14" si="233">EI12+EI13</f>
        <v>2995.6152756278366</v>
      </c>
      <c r="EJ14" s="16">
        <f t="shared" ref="EJ14" si="234">EJ12+EJ13</f>
        <v>2723.3844025043118</v>
      </c>
      <c r="EK14" s="16">
        <f t="shared" ref="EK14" si="235">EK12+EK13</f>
        <v>2788.9623484310273</v>
      </c>
      <c r="EL14" s="16">
        <f t="shared" ref="EL14" si="236">EL12+EL13</f>
        <v>2952.8503863916503</v>
      </c>
      <c r="EM14" s="16">
        <f t="shared" ref="EM14" si="237">EM12+EM13</f>
        <v>3097.573429748576</v>
      </c>
      <c r="EN14" s="16">
        <f t="shared" ref="EN14" si="238">EN12+EN13</f>
        <v>2486.3087211030943</v>
      </c>
      <c r="EO14" s="16">
        <f t="shared" ref="EO14" si="239">EO12+EO13</f>
        <v>2182.8228059694638</v>
      </c>
      <c r="EP14" s="16">
        <f t="shared" ref="EP14" si="240">EP12+EP13</f>
        <v>1763.5458904227012</v>
      </c>
      <c r="EQ14" s="16">
        <f t="shared" ref="EQ14" si="241">EQ12+EQ13</f>
        <v>1485.3529312483226</v>
      </c>
      <c r="ER14" s="16">
        <f t="shared" ref="ER14" si="242">ER12+ER13</f>
        <v>931.65159264474869</v>
      </c>
      <c r="ES14" s="16">
        <f t="shared" ref="ES14" si="243">ES12+ES13</f>
        <v>309.2517480356961</v>
      </c>
      <c r="ET14" s="16">
        <f t="shared" ref="ET14" si="244">ET12+ET13</f>
        <v>69.584178193086871</v>
      </c>
      <c r="EU14" s="11">
        <f t="shared" si="71"/>
        <v>44257.737373162912</v>
      </c>
      <c r="EV14" s="11">
        <f t="shared" si="41"/>
        <v>2283.9808702304572</v>
      </c>
      <c r="EW14" s="11">
        <f t="shared" si="42"/>
        <v>1079.711857138635</v>
      </c>
      <c r="EX14" s="11">
        <f t="shared" si="10"/>
        <v>12326.091297365689</v>
      </c>
      <c r="EY14" s="11">
        <f t="shared" si="43"/>
        <v>6742.2091465140202</v>
      </c>
      <c r="EZ14" s="15">
        <f t="shared" si="44"/>
        <v>0.27850703693768147</v>
      </c>
      <c r="FA14" s="15">
        <f t="shared" si="45"/>
        <v>0.15233967090695363</v>
      </c>
      <c r="FB14" s="11">
        <f t="shared" si="72"/>
        <v>9610.8813942768702</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947.99130356115256</v>
      </c>
      <c r="BL15" s="9">
        <f>IF(管理者入力シート!$B$14=1,BK12*管理者用人口入力シート!AM$3,IF(管理者入力シート!$B$14=2,BK12*管理者用人口入力シート!AM$7))</f>
        <v>832.34402038373082</v>
      </c>
      <c r="BM15" s="9">
        <f>IF(管理者入力シート!$B$14=1,BL12*管理者用人口入力シート!AN$3,IF(管理者入力シート!$B$14=2,BL12*管理者用人口入力シート!AN$7))</f>
        <v>871.97383980784525</v>
      </c>
      <c r="BN15" s="9">
        <f>IF(管理者入力シート!$B$14=1,BM12*管理者用人口入力シート!AO$3,IF(管理者入力シート!$B$14=2,BM12*管理者用人口入力シート!AO$7))</f>
        <v>802.30607509523009</v>
      </c>
      <c r="BO15" s="9">
        <f>IF(管理者入力シート!$B$14=1,BN12*管理者用人口入力シート!AP$3,IF(管理者入力シート!$B$14=2,BN12*管理者用人口入力シート!AP$7))</f>
        <v>654.22667633900824</v>
      </c>
      <c r="BP15" s="9">
        <f>IF(管理者入力シート!$B$14=1,BO12*管理者用人口入力シート!AQ$3,IF(管理者入力シート!$B$14=2,BO12*管理者用人口入力シート!AQ$7))</f>
        <v>983.99866120117281</v>
      </c>
      <c r="BQ15" s="9">
        <f>IF(管理者入力シート!$B$14=1,BP12*管理者用人口入力シート!AR$3,IF(管理者入力シート!$B$14=2,BP12*管理者用人口入力シート!AR$7))</f>
        <v>1224.9783100066447</v>
      </c>
      <c r="BR15" s="9">
        <f>IF(管理者入力シート!$B$14=1,BQ12*管理者用人口入力シート!AS$3,IF(管理者入力シート!$B$14=2,BQ12*管理者用人口入力シート!AS$7))</f>
        <v>1256.6053324474335</v>
      </c>
      <c r="BS15" s="9">
        <f>IF(管理者入力シート!$B$14=1,BR12*管理者用人口入力シート!AT$3,IF(管理者入力シート!$B$14=2,BR12*管理者用人口入力シート!AT$7))</f>
        <v>1271.8885664440338</v>
      </c>
      <c r="BT15" s="9">
        <f>IF(管理者入力シート!$B$14=1,BS12*管理者用人口入力シート!AU$3,IF(管理者入力シート!$B$14=2,BS12*管理者用人口入力シート!AU$7))</f>
        <v>1417.4570248822379</v>
      </c>
      <c r="BU15" s="9">
        <f>IF(管理者入力シート!$B$14=1,BT12*管理者用人口入力シート!AV$3,IF(管理者入力シート!$B$14=2,BT12*管理者用人口入力シート!AV$7))</f>
        <v>1345.1902123423845</v>
      </c>
      <c r="BV15" s="9">
        <f>IF(管理者入力シート!$B$14=1,BU12*管理者用人口入力シート!AW$3,IF(管理者入力シート!$B$14=2,BU12*管理者用人口入力シート!AW$7))</f>
        <v>1272.9800915358735</v>
      </c>
      <c r="BW15" s="9">
        <f>IF(管理者入力シート!$B$14=1,BV12*管理者用人口入力シート!AX$3,IF(管理者入力シート!$B$14=2,BV12*管理者用人口入力シート!AX$7))</f>
        <v>1298.6489909101326</v>
      </c>
      <c r="BX15" s="9">
        <f>IF(管理者入力シート!$B$14=1,BW12*管理者用人口入力シート!AY$3,IF(管理者入力シート!$B$14=2,BW12*管理者用人口入力シート!AY$7))</f>
        <v>1414.207198291914</v>
      </c>
      <c r="BY15" s="9">
        <f>IF(管理者入力シート!$B$14=1,BX12*管理者用人口入力シート!AZ$3,IF(管理者入力シート!$B$14=2,BX12*管理者用人口入力シート!AZ$7))</f>
        <v>1408.4190283622384</v>
      </c>
      <c r="BZ15" s="9">
        <f>IF(管理者入力シート!$B$14=1,BY12*管理者用人口入力シート!BA$3,IF(管理者入力シート!$B$14=2,BY12*管理者用人口入力シート!BA$7))</f>
        <v>996.16731144528296</v>
      </c>
      <c r="CA15" s="9">
        <f>IF(管理者入力シート!$B$14=1,BZ12*管理者用人口入力シート!BB$3,IF(管理者入力シート!$B$14=2,BZ12*管理者用人口入力シート!BB$7))</f>
        <v>791.10566545755955</v>
      </c>
      <c r="CB15" s="9">
        <f>IF(管理者入力シート!$B$14=1,CA12*管理者用人口入力シート!BC$3,IF(管理者入力シート!$B$14=2,CA12*管理者用人口入力シート!BC$7))</f>
        <v>498.02855076962868</v>
      </c>
      <c r="CC15" s="9">
        <f>IF(管理者入力シート!$B$14=1,CB12*管理者用人口入力シート!BD$3,IF(管理者入力シート!$B$14=2,CB12*管理者用人口入力シート!BD$7))</f>
        <v>254.31554111170152</v>
      </c>
      <c r="CD15" s="9">
        <f>IF(管理者入力シート!$B$14=1,CC12*管理者用人口入力シート!BE$3,IF(管理者入力シート!$B$14=2,CC12*管理者用人口入力シート!BE$7))</f>
        <v>92.04071890202539</v>
      </c>
      <c r="CE15" s="9">
        <f>IF(管理者入力シート!$B$14=1,CD12*管理者用人口入力シート!BF$3,IF(管理者入力シート!$B$14=2,CD12*管理者用人口入力シート!BF$7))</f>
        <v>10.715229957360632</v>
      </c>
      <c r="CF15" s="9">
        <f t="shared" ref="CF15:CF20" si="252">SUM(BK15:CE15)</f>
        <v>19645.588349254587</v>
      </c>
      <c r="CG15" s="9">
        <f t="shared" ref="CG15:CG20" si="253">BL15*3/5+BM15*3/5</f>
        <v>1022.5907161149456</v>
      </c>
      <c r="CH15" s="9">
        <f t="shared" ref="CH15:CH20" si="254">BM15*2/5+BN15*1/5</f>
        <v>509.25075094218414</v>
      </c>
      <c r="CI15" s="9">
        <f t="shared" ref="CI15:CI20" si="255">SUM(BX15:CE15)</f>
        <v>5464.9992442977118</v>
      </c>
      <c r="CJ15" s="9">
        <f t="shared" ref="CJ15:CJ20" si="256">SUM(BZ15:CE15)</f>
        <v>2642.3730176435579</v>
      </c>
      <c r="CK15" s="13">
        <f t="shared" ref="CK15:CK20" si="257">CI15/CF15</f>
        <v>0.27817946437348973</v>
      </c>
      <c r="CL15" s="13">
        <f t="shared" ref="CL15:CL20" si="258">CJ15/CF15</f>
        <v>0.13450210656296366</v>
      </c>
      <c r="CM15" s="9">
        <f t="shared" ref="CM15:CM20" si="259">SUM(BO15:BR15)</f>
        <v>4119.8089799942591</v>
      </c>
      <c r="CO15" s="7" t="str">
        <f t="shared" si="26"/>
        <v>2045_1</v>
      </c>
      <c r="CP15" s="28">
        <f>管理者入力シート!B12</f>
        <v>2045</v>
      </c>
      <c r="CQ15" s="3" t="s">
        <v>21</v>
      </c>
      <c r="CR15" s="9">
        <f>DT16*$AK$13+将来予測シート②!$G17</f>
        <v>951.31352904280288</v>
      </c>
      <c r="CS15" s="9">
        <f>IF(管理者入力シート!$B$14=1,CR12*管理者用人口入力シート!AM$3,IF(管理者入力シート!$B$14=2,CR12*管理者用人口入力シート!AM$7))+将来予測シート②!$G18</f>
        <v>834.78771458224435</v>
      </c>
      <c r="CT15" s="9">
        <f>IF(管理者入力シート!$B$14=1,CS12*管理者用人口入力シート!AN$3,IF(管理者入力シート!$B$14=2,CS12*管理者用人口入力シート!AN$7))+将来予測シート②!$G19</f>
        <v>875.15983933147868</v>
      </c>
      <c r="CU15" s="9">
        <f>IF(管理者入力シート!$B$14=1,CT12*管理者用人口入力シート!AO$3,IF(管理者入力シート!$B$14=2,CT12*管理者用人口入力シート!AO$7))+将来予測シート②!$G20</f>
        <v>804.65675751893957</v>
      </c>
      <c r="CV15" s="9">
        <f>IF(管理者入力シート!$B$14=1,CU12*管理者用人口入力シート!AP$3,IF(管理者入力シート!$B$14=2,CU12*管理者用人口入力シート!AP$7))+将来予測シート②!$G21</f>
        <v>655.54374874353539</v>
      </c>
      <c r="CW15" s="9">
        <f>IF(管理者入力シート!$B$14=1,CV12*管理者用人口入力シート!AQ$3,IF(管理者入力シート!$B$14=2,CV12*管理者用人口入力シート!AQ$7))+将来予測シート②!$G22</f>
        <v>987.04096145603933</v>
      </c>
      <c r="CX15" s="9">
        <f>IF(管理者入力シート!$B$14=1,CW12*管理者用人口入力シート!AR$3,IF(管理者入力シート!$B$14=2,CW12*管理者用人口入力シート!AR$7))+将来予測シート②!$G23</f>
        <v>1228.601502459235</v>
      </c>
      <c r="CY15" s="9">
        <f>IF(管理者入力シート!$B$14=1,CX12*管理者用人口入力シート!AS$3,IF(管理者入力シート!$B$14=2,CX12*管理者用人口入力シート!AS$7))+将来予測シート②!$G24</f>
        <v>1258.9891862245352</v>
      </c>
      <c r="CZ15" s="9">
        <f>IF(管理者入力シート!$B$14=1,CY12*管理者用人口入力シート!AT$3,IF(管理者入力シート!$B$14=2,CY12*管理者用人口入力シート!AT$7))+将来予測シート②!$G25</f>
        <v>1274.2382787529837</v>
      </c>
      <c r="DA15" s="9">
        <f>IF(管理者入力シート!$B$14=1,CZ12*管理者用人口入力シート!AU$3,IF(管理者入力シート!$B$14=2,CZ12*管理者用人口入力シート!AU$7))+将来予測シート②!$G26</f>
        <v>1419.8483428088939</v>
      </c>
      <c r="DB15" s="9">
        <f>IF(管理者入力シート!$B$14=1,DA12*管理者用人口入力シート!AV$3,IF(管理者入力シート!$B$14=2,DA12*管理者用人口入力シート!AV$7))+将来予測シート②!$G27</f>
        <v>1345.1902123423845</v>
      </c>
      <c r="DC15" s="9">
        <f>IF(管理者入力シート!$B$14=1,DB12*管理者用人口入力シート!AW$3,IF(管理者入力シート!$B$14=2,DB12*管理者用人口入力シート!AW$7))+将来予測シート②!$G28</f>
        <v>1272.9800915358735</v>
      </c>
      <c r="DD15" s="9">
        <f>IF(管理者入力シート!$B$14=1,DC12*管理者用人口入力シート!AX$3,IF(管理者入力シート!$B$14=2,DC12*管理者用人口入力シート!AX$7))+将来予測シート②!$G29</f>
        <v>1298.6489909101326</v>
      </c>
      <c r="DE15" s="9">
        <f>IF(管理者入力シート!$B$14=1,DD12*管理者用人口入力シート!AY$3,IF(管理者入力シート!$B$14=2,DD12*管理者用人口入力シート!AY$7))</f>
        <v>1414.207198291914</v>
      </c>
      <c r="DF15" s="9">
        <f>IF(管理者入力シート!$B$14=1,DE12*管理者用人口入力シート!AZ$3,IF(管理者入力シート!$B$14=2,DE12*管理者用人口入力シート!AZ$7))</f>
        <v>1408.4190283622384</v>
      </c>
      <c r="DG15" s="9">
        <f>IF(管理者入力シート!$B$14=1,DF12*管理者用人口入力シート!BA$3,IF(管理者入力シート!$B$14=2,DF12*管理者用人口入力シート!BA$7))</f>
        <v>996.16731144528296</v>
      </c>
      <c r="DH15" s="9">
        <f>IF(管理者入力シート!$B$14=1,DG12*管理者用人口入力シート!BB$3,IF(管理者入力シート!$B$14=2,DG12*管理者用人口入力シート!BB$7))</f>
        <v>791.10566545755955</v>
      </c>
      <c r="DI15" s="9">
        <f>IF(管理者入力シート!$B$14=1,DH12*管理者用人口入力シート!BC$3,IF(管理者入力シート!$B$14=2,DH12*管理者用人口入力シート!BC$7))</f>
        <v>498.02855076962868</v>
      </c>
      <c r="DJ15" s="9">
        <f>IF(管理者入力シート!$B$14=1,DI12*管理者用人口入力シート!BD$3,IF(管理者入力シート!$B$14=2,DI12*管理者用人口入力シート!BD$7))</f>
        <v>254.31554111170152</v>
      </c>
      <c r="DK15" s="9">
        <f>IF(管理者入力シート!$B$14=1,DJ12*管理者用人口入力シート!BE$3,IF(管理者入力シート!$B$14=2,DJ12*管理者用人口入力シート!BE$7))</f>
        <v>92.04071890202539</v>
      </c>
      <c r="DL15" s="9">
        <f>IF(管理者入力シート!$B$14=1,DK12*管理者用人口入力シート!BF$3,IF(管理者入力シート!$B$14=2,DK12*管理者用人口入力シート!BF$7))</f>
        <v>10.715229957360632</v>
      </c>
      <c r="DM15" s="9">
        <f t="shared" ref="DM15:DM20" si="260">SUM(CR15:DL15)</f>
        <v>19671.998400006789</v>
      </c>
      <c r="DN15" s="9">
        <f t="shared" ref="DN15:DN20" si="261">CS15*3/5+CT15*3/5</f>
        <v>1025.9685323482338</v>
      </c>
      <c r="DO15" s="9">
        <f t="shared" ref="DO15:DO20" si="262">CT15*2/5+CU15*1/5</f>
        <v>510.99528723637934</v>
      </c>
      <c r="DP15" s="9">
        <f t="shared" ref="DP15:DP20" si="263">SUM(DE15:DL15)</f>
        <v>5464.9992442977118</v>
      </c>
      <c r="DQ15" s="9">
        <f t="shared" ref="DQ15:DQ20" si="264">SUM(DG15:DL15)</f>
        <v>2642.3730176435579</v>
      </c>
      <c r="DR15" s="13">
        <f t="shared" ref="DR15:DR20" si="265">DP15/DM15</f>
        <v>0.27780600288661195</v>
      </c>
      <c r="DS15" s="13">
        <f t="shared" ref="DS15:DS20" si="266">DQ15/DM15</f>
        <v>0.13432153479855133</v>
      </c>
      <c r="DT15" s="9">
        <f t="shared" ref="DT15:DT20" si="267">SUM(CV15:CY15)</f>
        <v>4130.1753988833443</v>
      </c>
      <c r="DV15" s="62" t="s">
        <v>404</v>
      </c>
      <c r="DW15" s="211">
        <f>AK13+AK14</f>
        <v>0.43338585040170197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902.37035256424929</v>
      </c>
      <c r="BL16" s="10">
        <f>IF(管理者入力シート!$B$14=1,BK13*管理者用人口入力シート!AM$4,IF(管理者入力シート!$B$14=2,BK13*管理者用人口入力シート!AM$8))</f>
        <v>827.00552801607057</v>
      </c>
      <c r="BM16" s="10">
        <f>IF(管理者入力シート!$B$14=1,BL13*管理者用人口入力シート!AN$4,IF(管理者入力シート!$B$14=2,BL13*管理者用人口入力シート!AN$8))</f>
        <v>811.23150201919225</v>
      </c>
      <c r="BN16" s="10">
        <f>IF(管理者入力シート!$B$14=1,BM13*管理者用人口入力シート!AO$4,IF(管理者入力シート!$B$14=2,BM13*管理者用人口入力シート!AO$8))</f>
        <v>822.39180391639434</v>
      </c>
      <c r="BO16" s="10">
        <f>IF(管理者入力シート!$B$14=1,BN13*管理者用人口入力シート!AP$4,IF(管理者入力シート!$B$14=2,BN13*管理者用人口入力シート!AP$8))</f>
        <v>748.79722885203739</v>
      </c>
      <c r="BP16" s="10">
        <f>IF(管理者入力シート!$B$14=1,BO13*管理者用人口入力シート!AQ$4,IF(管理者入力シート!$B$14=2,BO13*管理者用人口入力シート!AQ$8))</f>
        <v>1072.3115954166774</v>
      </c>
      <c r="BQ16" s="10">
        <f>IF(管理者入力シート!$B$14=1,BP13*管理者用人口入力シート!AR$4,IF(管理者入力シート!$B$14=2,BP13*管理者用人口入力シート!AR$8))</f>
        <v>1252.4787902823718</v>
      </c>
      <c r="BR16" s="10">
        <f>IF(管理者入力シート!$B$14=1,BQ13*管理者用人口入力シート!AS$4,IF(管理者入力シート!$B$14=2,BQ13*管理者用人口入力シート!AS$8))</f>
        <v>1195.9603054151889</v>
      </c>
      <c r="BS16" s="10">
        <f>IF(管理者入力シート!$B$14=1,BR13*管理者用人口入力シート!AT$4,IF(管理者入力シート!$B$14=2,BR13*管理者用人口入力シート!AT$8))</f>
        <v>1237.832894499662</v>
      </c>
      <c r="BT16" s="10">
        <f>IF(管理者入力シート!$B$14=1,BS13*管理者用人口入力シート!AU$4,IF(管理者入力シート!$B$14=2,BS13*管理者用人口入力シート!AU$8))</f>
        <v>1413.0622428644995</v>
      </c>
      <c r="BU16" s="10">
        <f>IF(管理者入力シート!$B$14=1,BT13*管理者用人口入力シート!AV$4,IF(管理者入力シート!$B$14=2,BT13*管理者用人口入力シート!AV$8))</f>
        <v>1326.3112270923161</v>
      </c>
      <c r="BV16" s="10">
        <f>IF(管理者入力シート!$B$14=1,BU13*管理者用人口入力シート!AW$4,IF(管理者入力シート!$B$14=2,BU13*管理者用人口入力シート!AW$8))</f>
        <v>1313.7917867645449</v>
      </c>
      <c r="BW16" s="10">
        <f>IF(管理者入力シート!$B$14=1,BV13*管理者用人口入力シート!AX$4,IF(管理者入力シート!$B$14=2,BV13*管理者用人口入力シート!AX$8))</f>
        <v>1409.4890887951947</v>
      </c>
      <c r="BX16" s="10">
        <f>IF(管理者入力シート!$B$14=1,BW13*管理者用人口入力シート!AY$4,IF(管理者入力シート!$B$14=2,BW13*管理者用人口入力シート!AY$8))</f>
        <v>1451.7976981193515</v>
      </c>
      <c r="BY16" s="10">
        <f>IF(管理者入力シート!$B$14=1,BX13*管理者用人口入力シート!AZ$4,IF(管理者入力シート!$B$14=2,BX13*管理者用人口入力シート!AZ$8))</f>
        <v>1555.6188550653469</v>
      </c>
      <c r="BZ16" s="10">
        <f>IF(管理者入力シート!$B$14=1,BY13*管理者用人口入力シート!BA$4,IF(管理者入力シート!$B$14=2,BY13*管理者用人口入力シート!BA$8))</f>
        <v>1252.0049304530871</v>
      </c>
      <c r="CA16" s="10">
        <f>IF(管理者入力シート!$B$14=1,BZ13*管理者用人口入力シート!BB$4,IF(管理者入力シート!$B$14=2,BZ13*管理者用人口入力シート!BB$8))</f>
        <v>1083.945074814814</v>
      </c>
      <c r="CB16" s="10">
        <f>IF(管理者入力シート!$B$14=1,CA13*管理者用人口入力シート!BC$4,IF(管理者入力シート!$B$14=2,CA13*管理者用人口入力シート!BC$8))</f>
        <v>828.24208499090707</v>
      </c>
      <c r="CC16" s="10">
        <f>IF(管理者入力シート!$B$14=1,CB13*管理者用人口入力シート!BD$4,IF(管理者入力シート!$B$14=2,CB13*管理者用人口入力シート!BD$8))</f>
        <v>626.66691154486841</v>
      </c>
      <c r="CD16" s="10">
        <f>IF(管理者入力シート!$B$14=1,CC13*管理者用人口入力シート!BE$4,IF(管理者入力シート!$B$14=2,CC13*管理者用人口入力シート!BE$8))</f>
        <v>324.34913753956062</v>
      </c>
      <c r="CE16" s="10">
        <f>IF(管理者入力シート!$B$14=1,CD13*管理者用人口入力シート!BF$4,IF(管理者入力シート!$B$14=2,CD13*管理者用人口入力シート!BF$8))</f>
        <v>64.525593033874159</v>
      </c>
      <c r="CF16" s="10">
        <f t="shared" si="252"/>
        <v>21520.184632060213</v>
      </c>
      <c r="CG16" s="10">
        <f t="shared" si="253"/>
        <v>982.94221802115771</v>
      </c>
      <c r="CH16" s="10">
        <f t="shared" si="254"/>
        <v>488.97096159095577</v>
      </c>
      <c r="CI16" s="10">
        <f t="shared" si="255"/>
        <v>7187.1502855618091</v>
      </c>
      <c r="CJ16" s="10">
        <f t="shared" si="256"/>
        <v>4179.7337323771126</v>
      </c>
      <c r="CK16" s="14">
        <f t="shared" si="257"/>
        <v>0.3339725196806434</v>
      </c>
      <c r="CL16" s="14">
        <f t="shared" si="258"/>
        <v>0.1942238788300289</v>
      </c>
      <c r="CM16" s="10">
        <f t="shared" si="259"/>
        <v>4269.547919966275</v>
      </c>
      <c r="CO16" s="7" t="str">
        <f t="shared" si="26"/>
        <v>2045_2</v>
      </c>
      <c r="CP16" s="29">
        <f>CP15</f>
        <v>2045</v>
      </c>
      <c r="CQ16" s="4" t="s">
        <v>22</v>
      </c>
      <c r="CR16" s="10">
        <f>DT16*$AK$14+将来予測シート②!$H17</f>
        <v>905.58082371386718</v>
      </c>
      <c r="CS16" s="10">
        <f>IF(管理者入力シート!$B$14=1,CR13*管理者用人口入力シート!AM$4,IF(管理者入力シート!$B$14=2,CR13*管理者用人口入力シート!AM$8))+将来予測シート②!$H18</f>
        <v>829.4763693258252</v>
      </c>
      <c r="CT16" s="10">
        <f>IF(管理者入力シート!$B$14=1,CS13*管理者用人口入力シート!AN$4,IF(管理者入力シート!$B$14=2,CS13*管理者用人口入力シート!AN$8))+将来予測シート②!$H19</f>
        <v>814.30483571438037</v>
      </c>
      <c r="CU16" s="10">
        <f>IF(管理者入力シート!$B$14=1,CT13*管理者用人口入力シート!AO$4,IF(管理者入力シート!$B$14=2,CT13*管理者用人口入力シート!AO$8))+将来予測シート②!$H20</f>
        <v>824.90923701094403</v>
      </c>
      <c r="CV16" s="10">
        <f>IF(管理者入力シート!$B$14=1,CU13*管理者用人口入力シート!AP$4,IF(管理者入力シート!$B$14=2,CU13*管理者用人口入力シート!AP$8))+将来予測シート②!$H21</f>
        <v>750.40080147720164</v>
      </c>
      <c r="CW16" s="10">
        <f>IF(管理者入力シート!$B$14=1,CV13*管理者用人口入力シート!AQ$4,IF(管理者入力シート!$B$14=2,CV13*管理者用人口入力シート!AQ$8))+将来予測シート②!$H22</f>
        <v>1075.5324894955434</v>
      </c>
      <c r="CX16" s="10">
        <f>IF(管理者入力シート!$B$14=1,CW13*管理者用人口入力シート!AR$4,IF(管理者入力シート!$B$14=2,CW13*管理者用人口入力シート!AR$8))+将来予測シート②!$H23</f>
        <v>1255.9812991390513</v>
      </c>
      <c r="CY16" s="10">
        <f>IF(管理者入力シート!$B$14=1,CX13*管理者用人口入力シート!AS$4,IF(管理者入力シート!$B$14=2,CX13*管理者用人口入力シート!AS$8))+将来予測シート②!$H24</f>
        <v>1198.0921314675604</v>
      </c>
      <c r="CZ16" s="10">
        <f>IF(管理者入力シート!$B$14=1,CY13*管理者用人口入力シート!AT$4,IF(管理者入力シート!$B$14=2,CY13*管理者用人口入力シート!AT$8))+将来予測シート②!$H25</f>
        <v>1240.938621602977</v>
      </c>
      <c r="DA16" s="10">
        <f>IF(管理者入力シート!$B$14=1,CZ13*管理者用人口入力シート!AU$4,IF(管理者入力シート!$B$14=2,CZ13*管理者用人口入力シート!AU$8))+将来予測シート②!$H26</f>
        <v>1416.1631698658241</v>
      </c>
      <c r="DB16" s="10">
        <f>IF(管理者入力シート!$B$14=1,DA13*管理者用人口入力シート!AV$4,IF(管理者入力シート!$B$14=2,DA13*管理者用人口入力シート!AV$8))+将来予測シート②!$H27</f>
        <v>1327.3121050067284</v>
      </c>
      <c r="DC16" s="10">
        <f>IF(管理者入力シート!$B$14=1,DB13*管理者用人口入力シート!AW$4,IF(管理者入力シート!$B$14=2,DB13*管理者用人口入力シート!AW$8))+将来予測シート②!$H28</f>
        <v>1314.78910121279</v>
      </c>
      <c r="DD16" s="10">
        <f>IF(管理者入力シート!$B$14=1,DC13*管理者用人口入力シート!AX$4,IF(管理者入力シート!$B$14=2,DC13*管理者用人口入力シート!AX$8))+将来予測シート②!$H29</f>
        <v>1410.46580725529</v>
      </c>
      <c r="DE16" s="10">
        <f>IF(管理者入力シート!$B$14=1,DD13*管理者用人口入力シート!AY$4,IF(管理者入力シート!$B$14=2,DD13*管理者用人口入力シート!AY$8))</f>
        <v>1451.7976981193515</v>
      </c>
      <c r="DF16" s="10">
        <f>IF(管理者入力シート!$B$14=1,DE13*管理者用人口入力シート!AZ$4,IF(管理者入力シート!$B$14=2,DE13*管理者用人口入力シート!AZ$8))</f>
        <v>1555.6188550653469</v>
      </c>
      <c r="DG16" s="10">
        <f>IF(管理者入力シート!$B$14=1,DF13*管理者用人口入力シート!BA$4,IF(管理者入力シート!$B$14=2,DF13*管理者用人口入力シート!BA$8))</f>
        <v>1252.0049304530871</v>
      </c>
      <c r="DH16" s="10">
        <f>IF(管理者入力シート!$B$14=1,DG13*管理者用人口入力シート!BB$4,IF(管理者入力シート!$B$14=2,DG13*管理者用人口入力シート!BB$8))</f>
        <v>1083.945074814814</v>
      </c>
      <c r="DI16" s="10">
        <f>IF(管理者入力シート!$B$14=1,DH13*管理者用人口入力シート!BC$4,IF(管理者入力シート!$B$14=2,DH13*管理者用人口入力シート!BC$8))</f>
        <v>828.24208499090707</v>
      </c>
      <c r="DJ16" s="10">
        <f>IF(管理者入力シート!$B$14=1,DI13*管理者用人口入力シート!BD$4,IF(管理者入力シート!$B$14=2,DI13*管理者用人口入力シート!BD$8))</f>
        <v>626.66691154486841</v>
      </c>
      <c r="DK16" s="10">
        <f>IF(管理者入力シート!$B$14=1,DJ13*管理者用人口入力シート!BE$4,IF(管理者入力シート!$B$14=2,DJ13*管理者用人口入力シート!BE$8))</f>
        <v>324.34913753956062</v>
      </c>
      <c r="DL16" s="10">
        <f>IF(管理者入力シート!$B$14=1,DK13*管理者用人口入力シート!BF$4,IF(管理者入力シート!$B$14=2,DK13*管理者用人口入力シート!BF$8))</f>
        <v>64.525593033874159</v>
      </c>
      <c r="DM16" s="10">
        <f t="shared" si="260"/>
        <v>21551.097077849794</v>
      </c>
      <c r="DN16" s="10">
        <f t="shared" si="261"/>
        <v>986.26872302412335</v>
      </c>
      <c r="DO16" s="10">
        <f t="shared" si="262"/>
        <v>490.70378168794093</v>
      </c>
      <c r="DP16" s="10">
        <f t="shared" si="263"/>
        <v>7187.1502855618091</v>
      </c>
      <c r="DQ16" s="10">
        <f t="shared" si="264"/>
        <v>4179.7337323771126</v>
      </c>
      <c r="DR16" s="14">
        <f t="shared" si="265"/>
        <v>0.33349347643878224</v>
      </c>
      <c r="DS16" s="14">
        <f t="shared" si="266"/>
        <v>0.19394528813445144</v>
      </c>
      <c r="DT16" s="10">
        <f t="shared" si="267"/>
        <v>4280.006721579357</v>
      </c>
      <c r="DV16" s="212" t="s">
        <v>406</v>
      </c>
      <c r="DW16" s="7">
        <f>IF(DW10&lt;0,ABS(DW10)/DW15,0)</f>
        <v>231.95122163153215</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1850.3616561254019</v>
      </c>
      <c r="BL17" s="16">
        <f t="shared" ref="BL17:CE17" si="268">BL15+BL16</f>
        <v>1659.3495483998013</v>
      </c>
      <c r="BM17" s="16">
        <f t="shared" si="268"/>
        <v>1683.2053418270375</v>
      </c>
      <c r="BN17" s="16">
        <f t="shared" si="268"/>
        <v>1624.6978790116245</v>
      </c>
      <c r="BO17" s="16">
        <f t="shared" si="268"/>
        <v>1403.0239051910457</v>
      </c>
      <c r="BP17" s="16">
        <f t="shared" si="268"/>
        <v>2056.3102566178504</v>
      </c>
      <c r="BQ17" s="16">
        <f t="shared" si="268"/>
        <v>2477.4571002890166</v>
      </c>
      <c r="BR17" s="16">
        <f t="shared" si="268"/>
        <v>2452.5656378626227</v>
      </c>
      <c r="BS17" s="16">
        <f t="shared" si="268"/>
        <v>2509.721460943696</v>
      </c>
      <c r="BT17" s="16">
        <f t="shared" si="268"/>
        <v>2830.5192677467376</v>
      </c>
      <c r="BU17" s="16">
        <f t="shared" si="268"/>
        <v>2671.5014394347008</v>
      </c>
      <c r="BV17" s="16">
        <f t="shared" si="268"/>
        <v>2586.7718783004184</v>
      </c>
      <c r="BW17" s="16">
        <f t="shared" si="268"/>
        <v>2708.1380797053271</v>
      </c>
      <c r="BX17" s="16">
        <f t="shared" si="268"/>
        <v>2866.0048964112657</v>
      </c>
      <c r="BY17" s="16">
        <f t="shared" si="268"/>
        <v>2964.0378834275853</v>
      </c>
      <c r="BZ17" s="16">
        <f t="shared" si="268"/>
        <v>2248.17224189837</v>
      </c>
      <c r="CA17" s="16">
        <f t="shared" si="268"/>
        <v>1875.0507402723736</v>
      </c>
      <c r="CB17" s="16">
        <f t="shared" si="268"/>
        <v>1326.2706357605357</v>
      </c>
      <c r="CC17" s="16">
        <f t="shared" si="268"/>
        <v>880.98245265656988</v>
      </c>
      <c r="CD17" s="16">
        <f t="shared" si="268"/>
        <v>416.38985644158601</v>
      </c>
      <c r="CE17" s="16">
        <f t="shared" si="268"/>
        <v>75.240822991234793</v>
      </c>
      <c r="CF17" s="11">
        <f t="shared" si="252"/>
        <v>41165.772981314803</v>
      </c>
      <c r="CG17" s="11">
        <f t="shared" si="253"/>
        <v>2005.5329341361034</v>
      </c>
      <c r="CH17" s="11">
        <f t="shared" si="254"/>
        <v>998.22171253313991</v>
      </c>
      <c r="CI17" s="11">
        <f t="shared" si="255"/>
        <v>12652.149529859522</v>
      </c>
      <c r="CJ17" s="11">
        <f t="shared" si="256"/>
        <v>6822.1067500206691</v>
      </c>
      <c r="CK17" s="15">
        <f t="shared" si="257"/>
        <v>0.30734633686102164</v>
      </c>
      <c r="CL17" s="15">
        <f t="shared" si="258"/>
        <v>0.16572278997693624</v>
      </c>
      <c r="CM17" s="11">
        <f t="shared" si="259"/>
        <v>8389.3568999605359</v>
      </c>
      <c r="CO17" s="7" t="str">
        <f t="shared" si="26"/>
        <v>2045_3</v>
      </c>
      <c r="CP17" s="30">
        <f>CP16</f>
        <v>2045</v>
      </c>
      <c r="CQ17" s="5" t="s">
        <v>23</v>
      </c>
      <c r="CR17" s="16">
        <f>CR15+CR16</f>
        <v>1856.8943527566701</v>
      </c>
      <c r="CS17" s="16">
        <f>CS15+CS16</f>
        <v>1664.2640839080696</v>
      </c>
      <c r="CT17" s="16">
        <f t="shared" ref="CT17:DL17" si="269">CT15+CT16</f>
        <v>1689.4646750458592</v>
      </c>
      <c r="CU17" s="16">
        <f t="shared" si="269"/>
        <v>1629.5659945298835</v>
      </c>
      <c r="CV17" s="16">
        <f t="shared" si="269"/>
        <v>1405.944550220737</v>
      </c>
      <c r="CW17" s="16">
        <f t="shared" si="269"/>
        <v>2062.5734509515828</v>
      </c>
      <c r="CX17" s="16">
        <f t="shared" si="269"/>
        <v>2484.5828015982861</v>
      </c>
      <c r="CY17" s="16">
        <f t="shared" si="269"/>
        <v>2457.0813176920956</v>
      </c>
      <c r="CZ17" s="16">
        <f t="shared" si="269"/>
        <v>2515.1769003559607</v>
      </c>
      <c r="DA17" s="16">
        <f t="shared" si="269"/>
        <v>2836.0115126747178</v>
      </c>
      <c r="DB17" s="16">
        <f t="shared" si="269"/>
        <v>2672.5023173491127</v>
      </c>
      <c r="DC17" s="16">
        <f t="shared" si="269"/>
        <v>2587.7691927486635</v>
      </c>
      <c r="DD17" s="16">
        <f t="shared" si="269"/>
        <v>2709.1147981654226</v>
      </c>
      <c r="DE17" s="16">
        <f t="shared" si="269"/>
        <v>2866.0048964112657</v>
      </c>
      <c r="DF17" s="16">
        <f t="shared" si="269"/>
        <v>2964.0378834275853</v>
      </c>
      <c r="DG17" s="16">
        <f t="shared" si="269"/>
        <v>2248.17224189837</v>
      </c>
      <c r="DH17" s="16">
        <f t="shared" si="269"/>
        <v>1875.0507402723736</v>
      </c>
      <c r="DI17" s="16">
        <f t="shared" si="269"/>
        <v>1326.2706357605357</v>
      </c>
      <c r="DJ17" s="16">
        <f t="shared" si="269"/>
        <v>880.98245265656988</v>
      </c>
      <c r="DK17" s="16">
        <f t="shared" si="269"/>
        <v>416.38985644158601</v>
      </c>
      <c r="DL17" s="16">
        <f t="shared" si="269"/>
        <v>75.240822991234793</v>
      </c>
      <c r="DM17" s="11">
        <f t="shared" si="260"/>
        <v>41223.095477856579</v>
      </c>
      <c r="DN17" s="11">
        <f t="shared" si="261"/>
        <v>2012.2372553723571</v>
      </c>
      <c r="DO17" s="11">
        <f t="shared" si="262"/>
        <v>1001.6990689243203</v>
      </c>
      <c r="DP17" s="11">
        <f t="shared" si="263"/>
        <v>12652.149529859522</v>
      </c>
      <c r="DQ17" s="11">
        <f t="shared" si="264"/>
        <v>6822.1067500206691</v>
      </c>
      <c r="DR17" s="15">
        <f t="shared" si="265"/>
        <v>0.30691895849150286</v>
      </c>
      <c r="DS17" s="15">
        <f t="shared" si="266"/>
        <v>0.16549234527245135</v>
      </c>
      <c r="DT17" s="11">
        <f t="shared" si="267"/>
        <v>8410.1821204627013</v>
      </c>
      <c r="DV17" s="62" t="s">
        <v>407</v>
      </c>
      <c r="DW17" s="7">
        <f>IF(DW9&gt;=0,0,IF(AND(DW10&lt;=0,DW9&lt;=0,DW16*2&gt;=ABS(DW9)),ROUND(DW16/3,0),ROUND(ABS(DW9)/6,0)))</f>
        <v>77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924.92946112957748</v>
      </c>
      <c r="BL18" s="9">
        <f>IF(管理者入力シート!$B$14=1,BK15*管理者用人口入力シート!AM$3,IF(管理者入力シート!$B$14=2,BK15*管理者用人口入力シート!AM$7))</f>
        <v>808.1108132973701</v>
      </c>
      <c r="BM18" s="9">
        <f>IF(管理者入力シート!$B$14=1,BL15*管理者用人口入力シート!AN$3,IF(管理者入力シート!$B$14=2,BL15*管理者用人口入力シート!AN$7))</f>
        <v>822.33299859284023</v>
      </c>
      <c r="BN18" s="9">
        <f>IF(管理者入力シート!$B$14=1,BM15*管理者用人口入力シート!AO$3,IF(管理者入力シート!$B$14=2,BM15*管理者用人口入力シート!AO$7))</f>
        <v>781.48234872536011</v>
      </c>
      <c r="BO18" s="9">
        <f>IF(管理者入力シート!$B$14=1,BN15*管理者用人口入力シート!AP$3,IF(管理者入力シート!$B$14=2,BN15*管理者用人口入力シート!AP$7))</f>
        <v>640.02801111002861</v>
      </c>
      <c r="BP18" s="9">
        <f>IF(管理者入力シート!$B$14=1,BO15*管理者用人口入力シート!AQ$3,IF(管理者入力シート!$B$14=2,BO15*管理者用人口入力シート!AQ$7))</f>
        <v>953.77618567119634</v>
      </c>
      <c r="BQ18" s="9">
        <f>IF(管理者入力シート!$B$14=1,BP15*管理者用人口入力シート!AR$3,IF(管理者入力シート!$B$14=2,BP15*管理者用人口入力シート!AR$7))</f>
        <v>1171.8818735659861</v>
      </c>
      <c r="BR18" s="9">
        <f>IF(管理者入力シート!$B$14=1,BQ15*管理者用人口入力シート!AS$3,IF(管理者入力シート!$B$14=2,BQ15*管理者用人口入力シート!AS$7))</f>
        <v>1225.9949657618311</v>
      </c>
      <c r="BS18" s="9">
        <f>IF(管理者入力シート!$B$14=1,BR15*管理者用人口入力シート!AT$3,IF(管理者入力シート!$B$14=2,BR15*管理者用人口入力シート!AT$7))</f>
        <v>1238.6082760216607</v>
      </c>
      <c r="BT18" s="9">
        <f>IF(管理者入力シート!$B$14=1,BS15*管理者用人口入力シート!AU$3,IF(管理者入力シート!$B$14=2,BS15*管理者用人口入力シート!AU$7))</f>
        <v>1294.4094977341013</v>
      </c>
      <c r="BU18" s="9">
        <f>IF(管理者入力シート!$B$14=1,BT15*管理者用人口入力シート!AV$3,IF(管理者入力シート!$B$14=2,BT15*管理者用人口入力シート!AV$7))</f>
        <v>1394.2378685299373</v>
      </c>
      <c r="BV18" s="9">
        <f>IF(管理者入力シート!$B$14=1,BU15*管理者用人口入力シート!AW$3,IF(管理者入力シート!$B$14=2,BU15*管理者用人口入力シート!AW$7))</f>
        <v>1366.8602288776106</v>
      </c>
      <c r="BW18" s="9">
        <f>IF(管理者入力シート!$B$14=1,BV15*管理者用人口入力シート!AX$3,IF(管理者入力シート!$B$14=2,BV15*管理者用人口入力シート!AX$7))</f>
        <v>1224.7842273357458</v>
      </c>
      <c r="BX18" s="9">
        <f>IF(管理者入力シート!$B$14=1,BW15*管理者用人口入力シート!AY$3,IF(管理者入力シート!$B$14=2,BW15*管理者用人口入力シート!AY$7))</f>
        <v>1258.7544290554574</v>
      </c>
      <c r="BY18" s="9">
        <f>IF(管理者入力シート!$B$14=1,BX15*管理者用人口入力シート!AZ$3,IF(管理者入力シート!$B$14=2,BX15*管理者用人口入力シート!AZ$7))</f>
        <v>1331.8391383854801</v>
      </c>
      <c r="BZ18" s="9">
        <f>IF(管理者入力シート!$B$14=1,BY15*管理者用人口入力シート!BA$3,IF(管理者入力シート!$B$14=2,BY15*管理者用人口入力シート!BA$7))</f>
        <v>1222.8227270980526</v>
      </c>
      <c r="CA18" s="9">
        <f>IF(管理者入力シート!$B$14=1,BZ15*管理者用人口入力シート!BB$3,IF(管理者入力シート!$B$14=2,BZ15*管理者用人口入力シート!BB$7))</f>
        <v>801.78067508027686</v>
      </c>
      <c r="CB18" s="9">
        <f>IF(管理者入力シート!$B$14=1,CA15*管理者用人口入力シート!BC$3,IF(管理者入力シート!$B$14=2,CA15*管理者用人口入力シート!BC$7))</f>
        <v>525.11718738809168</v>
      </c>
      <c r="CC18" s="9">
        <f>IF(管理者入力シート!$B$14=1,CB15*管理者用人口入力シート!BD$3,IF(管理者入力シート!$B$14=2,CB15*管理者用人口入力シート!BD$7))</f>
        <v>229.81188285265458</v>
      </c>
      <c r="CD18" s="9">
        <f>IF(管理者入力シート!$B$14=1,CC15*管理者用人口入力シート!BE$3,IF(管理者入力シート!$B$14=2,CC15*管理者用人口入力シート!BE$7))</f>
        <v>88.614912827214752</v>
      </c>
      <c r="CE18" s="9">
        <f>IF(管理者入力シート!$B$14=1,CD15*管理者用人口入力シート!BF$3,IF(管理者入力シート!$B$14=2,CD15*管理者用人口入力シート!BF$7))</f>
        <v>14.937470202236442</v>
      </c>
      <c r="CF18" s="9">
        <f t="shared" si="252"/>
        <v>19321.115179242712</v>
      </c>
      <c r="CG18" s="9">
        <f t="shared" si="253"/>
        <v>978.26628713412617</v>
      </c>
      <c r="CH18" s="9">
        <f t="shared" si="254"/>
        <v>485.22966918220811</v>
      </c>
      <c r="CI18" s="9">
        <f t="shared" si="255"/>
        <v>5473.6784228894639</v>
      </c>
      <c r="CJ18" s="9">
        <f t="shared" si="256"/>
        <v>2883.0848554485265</v>
      </c>
      <c r="CK18" s="13">
        <f t="shared" si="257"/>
        <v>0.28330033603702187</v>
      </c>
      <c r="CL18" s="13">
        <f t="shared" si="258"/>
        <v>0.14921938142296859</v>
      </c>
      <c r="CM18" s="9">
        <f t="shared" si="259"/>
        <v>3991.681036109042</v>
      </c>
      <c r="CO18" s="7" t="str">
        <f t="shared" si="26"/>
        <v>2050_1</v>
      </c>
      <c r="CP18" s="28">
        <f>管理者入力シート!B13</f>
        <v>2050</v>
      </c>
      <c r="CQ18" s="3" t="s">
        <v>21</v>
      </c>
      <c r="CR18" s="9">
        <f>DT19*$AK$13+将来予測シート②!$G17</f>
        <v>928.90561745214779</v>
      </c>
      <c r="CS18" s="9">
        <f>IF(管理者入力シート!$B$14=1,CR15*管理者用人口入力シート!AM$3,IF(管理者入力シート!$B$14=2,CR15*管理者用人口入力シート!AM$7))+将来予測シート②!$G18</f>
        <v>810.94282908258708</v>
      </c>
      <c r="CT18" s="9">
        <f>IF(管理者入力シート!$B$14=1,CS15*管理者用人口入力シート!AN$3,IF(管理者入力シート!$B$14=2,CS15*管理者用人口入力シート!AN$7))+将来予測シート②!$G19</f>
        <v>825.74730124738585</v>
      </c>
      <c r="CU18" s="9">
        <f>IF(管理者入力シート!$B$14=1,CT15*管理者用人口入力シート!AO$3,IF(管理者入力シート!$B$14=2,CT15*管理者用人口入力シート!AO$7))+将来予測シート②!$G20</f>
        <v>784.33771235796132</v>
      </c>
      <c r="CV18" s="9">
        <f>IF(管理者入力シート!$B$14=1,CU15*管理者用人口入力シート!AP$3,IF(管理者入力シート!$B$14=2,CU15*管理者用人口入力シート!AP$7))+将来予測シート②!$G21</f>
        <v>641.90323384995304</v>
      </c>
      <c r="CW18" s="9">
        <f>IF(管理者入力シート!$B$14=1,CV15*管理者用人口入力シート!AQ$3,IF(管理者入力シート!$B$14=2,CV15*管理者用人口入力シート!AQ$7))+将来予測シート②!$G22</f>
        <v>957.69630348307192</v>
      </c>
      <c r="CX18" s="9">
        <f>IF(管理者入力シート!$B$14=1,CW15*管理者用人口入力シート!AR$3,IF(管理者入力シート!$B$14=2,CW15*管理者用人口入力シート!AR$7))+将来予測シート②!$G23</f>
        <v>1175.5050660185766</v>
      </c>
      <c r="CY18" s="9">
        <f>IF(管理者入力シート!$B$14=1,CX15*管理者用人口入力シート!AS$3,IF(管理者入力シート!$B$14=2,CX15*管理者用人口入力シート!AS$7))+将来予測シート②!$G24</f>
        <v>1229.621165238651</v>
      </c>
      <c r="CZ18" s="9">
        <f>IF(管理者入力シート!$B$14=1,CY15*管理者用人口入力シート!AT$3,IF(管理者入力シート!$B$14=2,CY15*管理者用人口入力シート!AT$7))+将来予測シート②!$G25</f>
        <v>1240.9579883306105</v>
      </c>
      <c r="DA18" s="9">
        <f>IF(管理者入力シート!$B$14=1,CZ15*管理者用人口入力シート!AU$3,IF(管理者入力シート!$B$14=2,CZ15*管理者用人口入力シート!AU$7))+将来予測シート②!$G26</f>
        <v>1296.800815660758</v>
      </c>
      <c r="DB18" s="9">
        <f>IF(管理者入力シート!$B$14=1,DA15*管理者用人口入力シート!AV$3,IF(管理者入力シート!$B$14=2,DA15*管理者用人口入力シート!AV$7))+将来予測シート②!$G27</f>
        <v>1396.5900146271463</v>
      </c>
      <c r="DC18" s="9">
        <f>IF(管理者入力シート!$B$14=1,DB15*管理者用人口入力シート!AW$3,IF(管理者入力シート!$B$14=2,DB15*管理者用人口入力シート!AW$7))+将来予測シート②!$G28</f>
        <v>1366.8602288776106</v>
      </c>
      <c r="DD18" s="9">
        <f>IF(管理者入力シート!$B$14=1,DC15*管理者用人口入力シート!AX$3,IF(管理者入力シート!$B$14=2,DC15*管理者用人口入力シート!AX$7))+将来予測シート②!$G29</f>
        <v>1224.7842273357458</v>
      </c>
      <c r="DE18" s="9">
        <f>IF(管理者入力シート!$B$14=1,DD15*管理者用人口入力シート!AY$3,IF(管理者入力シート!$B$14=2,DD15*管理者用人口入力シート!AY$7))</f>
        <v>1258.7544290554574</v>
      </c>
      <c r="DF18" s="9">
        <f>IF(管理者入力シート!$B$14=1,DE15*管理者用人口入力シート!AZ$3,IF(管理者入力シート!$B$14=2,DE15*管理者用人口入力シート!AZ$7))</f>
        <v>1331.8391383854801</v>
      </c>
      <c r="DG18" s="9">
        <f>IF(管理者入力シート!$B$14=1,DF15*管理者用人口入力シート!BA$3,IF(管理者入力シート!$B$14=2,DF15*管理者用人口入力シート!BA$7))</f>
        <v>1222.8227270980526</v>
      </c>
      <c r="DH18" s="9">
        <f>IF(管理者入力シート!$B$14=1,DG15*管理者用人口入力シート!BB$3,IF(管理者入力シート!$B$14=2,DG15*管理者用人口入力シート!BB$7))</f>
        <v>801.78067508027686</v>
      </c>
      <c r="DI18" s="9">
        <f>IF(管理者入力シート!$B$14=1,DH15*管理者用人口入力シート!BC$3,IF(管理者入力シート!$B$14=2,DH15*管理者用人口入力シート!BC$7))</f>
        <v>525.11718738809168</v>
      </c>
      <c r="DJ18" s="9">
        <f>IF(管理者入力シート!$B$14=1,DI15*管理者用人口入力シート!BD$3,IF(管理者入力シート!$B$14=2,DI15*管理者用人口入力シート!BD$7))</f>
        <v>229.81188285265458</v>
      </c>
      <c r="DK18" s="9">
        <f>IF(管理者入力シート!$B$14=1,DJ15*管理者用人口入力シート!BE$3,IF(管理者入力シート!$B$14=2,DJ15*管理者用人口入力シート!BE$7))</f>
        <v>88.614912827214752</v>
      </c>
      <c r="DL18" s="9">
        <f>IF(管理者入力シート!$B$14=1,DK15*管理者用人口入力シート!BF$3,IF(管理者入力シート!$B$14=2,DK15*管理者用人口入力シート!BF$7))</f>
        <v>14.937470202236442</v>
      </c>
      <c r="DM18" s="9">
        <f t="shared" si="260"/>
        <v>19354.330926451672</v>
      </c>
      <c r="DN18" s="9">
        <f t="shared" si="261"/>
        <v>982.01407819798374</v>
      </c>
      <c r="DO18" s="9">
        <f t="shared" si="262"/>
        <v>487.1664629705466</v>
      </c>
      <c r="DP18" s="9">
        <f t="shared" si="263"/>
        <v>5473.6784228894639</v>
      </c>
      <c r="DQ18" s="9">
        <f t="shared" si="264"/>
        <v>2883.0848554485265</v>
      </c>
      <c r="DR18" s="13">
        <f t="shared" si="265"/>
        <v>0.28281413827685242</v>
      </c>
      <c r="DS18" s="13">
        <f t="shared" si="266"/>
        <v>0.14896329231966363</v>
      </c>
      <c r="DT18" s="9">
        <f t="shared" si="267"/>
        <v>4004.7257685902523</v>
      </c>
      <c r="DX18" s="288">
        <f>DX1</f>
        <v>77</v>
      </c>
      <c r="DY18" s="289"/>
      <c r="DZ18" s="285" t="s">
        <v>0</v>
      </c>
      <c r="EA18" s="285" t="s">
        <v>1</v>
      </c>
      <c r="EB18" s="285" t="s">
        <v>2</v>
      </c>
      <c r="EC18" s="285" t="s">
        <v>3</v>
      </c>
      <c r="ED18" s="285" t="s">
        <v>4</v>
      </c>
      <c r="EE18" s="285" t="s">
        <v>5</v>
      </c>
      <c r="EF18" s="285" t="s">
        <v>6</v>
      </c>
      <c r="EG18" s="285" t="s">
        <v>7</v>
      </c>
      <c r="EH18" s="285" t="s">
        <v>8</v>
      </c>
      <c r="EI18" s="285" t="s">
        <v>9</v>
      </c>
      <c r="EJ18" s="285" t="s">
        <v>10</v>
      </c>
      <c r="EK18" s="285" t="s">
        <v>11</v>
      </c>
      <c r="EL18" s="285" t="s">
        <v>12</v>
      </c>
      <c r="EM18" s="285" t="s">
        <v>13</v>
      </c>
      <c r="EN18" s="285" t="s">
        <v>14</v>
      </c>
      <c r="EO18" s="285" t="s">
        <v>15</v>
      </c>
      <c r="EP18" s="285" t="s">
        <v>16</v>
      </c>
      <c r="EQ18" s="285" t="s">
        <v>17</v>
      </c>
      <c r="ER18" s="285" t="s">
        <v>18</v>
      </c>
      <c r="ES18" s="285" t="s">
        <v>19</v>
      </c>
      <c r="ET18" s="285" t="s">
        <v>20</v>
      </c>
      <c r="EU18" s="285" t="s">
        <v>23</v>
      </c>
      <c r="EV18" s="284" t="s">
        <v>50</v>
      </c>
      <c r="EW18" s="284" t="s">
        <v>51</v>
      </c>
      <c r="EX18" s="286" t="s">
        <v>79</v>
      </c>
      <c r="EY18" s="286" t="s">
        <v>80</v>
      </c>
      <c r="EZ18" s="284" t="s">
        <v>48</v>
      </c>
      <c r="FA18" s="284" t="s">
        <v>49</v>
      </c>
      <c r="FB18" s="28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880.41833379826801</v>
      </c>
      <c r="BL19" s="10">
        <f>IF(管理者入力シート!$B$14=1,BK16*管理者用人口入力シート!AM$4,IF(管理者入力シート!$B$14=2,BK16*管理者用人口入力シート!AM$8))</f>
        <v>802.92774799821291</v>
      </c>
      <c r="BM19" s="10">
        <f>IF(管理者入力シート!$B$14=1,BL16*管理者用人口入力シート!AN$4,IF(管理者入力シート!$B$14=2,BL16*管理者用人口入力シート!AN$8))</f>
        <v>765.0486782440903</v>
      </c>
      <c r="BN19" s="10">
        <f>IF(管理者入力シート!$B$14=1,BM16*管理者用人口入力シート!AO$4,IF(管理者入力シート!$B$14=2,BM16*管理者用人口入力シート!AO$8))</f>
        <v>801.0467556546746</v>
      </c>
      <c r="BO19" s="10">
        <f>IF(管理者入力シート!$B$14=1,BN16*管理者用人口入力シート!AP$4,IF(管理者入力シート!$B$14=2,BN16*管理者用人口入力シート!AP$8))</f>
        <v>732.54610128207491</v>
      </c>
      <c r="BP19" s="10">
        <f>IF(管理者入力シート!$B$14=1,BO16*管理者用人口入力シート!AQ$4,IF(管理者入力シート!$B$14=2,BO16*管理者用人口入力シート!AQ$8))</f>
        <v>1039.3766817518256</v>
      </c>
      <c r="BQ19" s="10">
        <f>IF(管理者入力シート!$B$14=1,BP16*管理者用人口入力シート!AR$4,IF(管理者入力シート!$B$14=2,BP16*管理者用人口入力シート!AR$8))</f>
        <v>1166.0677961161871</v>
      </c>
      <c r="BR19" s="10">
        <f>IF(管理者入力シート!$B$14=1,BQ16*管理者用人口入力シート!AS$4,IF(管理者入力シート!$B$14=2,BQ16*管理者用人口入力シート!AS$8))</f>
        <v>1227.6917873934499</v>
      </c>
      <c r="BS19" s="10">
        <f>IF(管理者入力シート!$B$14=1,BR16*管理者用人口入力シート!AT$4,IF(管理者入力シート!$B$14=2,BR16*管理者用人口入力シート!AT$8))</f>
        <v>1181.3187228855022</v>
      </c>
      <c r="BT19" s="10">
        <f>IF(管理者入力シート!$B$14=1,BS16*管理者用人口入力シート!AU$4,IF(管理者入力シート!$B$14=2,BS16*管理者用人口入力シート!AU$8))</f>
        <v>1235.9197437484811</v>
      </c>
      <c r="BU19" s="10">
        <f>IF(管理者入力シート!$B$14=1,BT16*管理者用人口入力シート!AV$4,IF(管理者入力シート!$B$14=2,BT16*管理者用人口入力シート!AV$8))</f>
        <v>1416.4920706292405</v>
      </c>
      <c r="BV19" s="10">
        <f>IF(管理者入力シート!$B$14=1,BU16*管理者用人口入力シート!AW$4,IF(管理者入力シート!$B$14=2,BU16*管理者用人口入力シート!AW$8))</f>
        <v>1321.5891075242698</v>
      </c>
      <c r="BW19" s="10">
        <f>IF(管理者入力シート!$B$14=1,BV16*管理者用人口入力シート!AX$4,IF(管理者入力シート!$B$14=2,BV16*管理者用人口入力シート!AX$8))</f>
        <v>1286.6600830982911</v>
      </c>
      <c r="BX19" s="10">
        <f>IF(管理者入力シート!$B$14=1,BW16*管理者用人口入力シート!AY$4,IF(管理者入力シート!$B$14=2,BW16*管理者用人口入力シート!AY$8))</f>
        <v>1369.8374701176658</v>
      </c>
      <c r="BY19" s="10">
        <f>IF(管理者入力シート!$B$14=1,BX16*管理者用人口入力シート!AZ$4,IF(管理者入力シート!$B$14=2,BX16*管理者用人口入力シート!AZ$8))</f>
        <v>1409.7210117874799</v>
      </c>
      <c r="BZ19" s="10">
        <f>IF(管理者入力シート!$B$14=1,BY16*管理者用人口入力シート!BA$4,IF(管理者入力シート!$B$14=2,BY16*管理者用人口入力シート!BA$8))</f>
        <v>1454.6084913281984</v>
      </c>
      <c r="CA19" s="10">
        <f>IF(管理者入力シート!$B$14=1,BZ16*管理者用人口入力シート!BB$4,IF(管理者入力シート!$B$14=2,BZ16*管理者用人口入力シート!BB$8))</f>
        <v>1130.997208068595</v>
      </c>
      <c r="CB19" s="10">
        <f>IF(管理者入力シート!$B$14=1,CA16*管理者用人口入力シート!BC$4,IF(管理者入力シート!$B$14=2,CA16*管理者用人口入力シート!BC$8))</f>
        <v>886.02894467648764</v>
      </c>
      <c r="CC19" s="10">
        <f>IF(管理者入力シート!$B$14=1,CB16*管理者用人口入力シート!BD$4,IF(管理者入力シート!$B$14=2,CB16*管理者用人口入力シート!BD$8))</f>
        <v>555.57653411886406</v>
      </c>
      <c r="CD19" s="10">
        <f>IF(管理者入力シート!$B$14=1,CC16*管理者用人口入力シート!BE$4,IF(管理者入力シート!$B$14=2,CC16*管理者用人口入力シート!BE$8))</f>
        <v>304.50569122365579</v>
      </c>
      <c r="CE19" s="10">
        <f>IF(管理者入力シート!$B$14=1,CD16*管理者用人口入力シート!BF$4,IF(管理者入力シート!$B$14=2,CD16*管理者用人口入力シート!BF$8))</f>
        <v>86.046328232812925</v>
      </c>
      <c r="CF19" s="10">
        <f t="shared" si="252"/>
        <v>21054.425289678325</v>
      </c>
      <c r="CG19" s="10">
        <f t="shared" si="253"/>
        <v>940.78585574538192</v>
      </c>
      <c r="CH19" s="10">
        <f t="shared" si="254"/>
        <v>466.22882242857105</v>
      </c>
      <c r="CI19" s="10">
        <f t="shared" si="255"/>
        <v>7197.3216795537592</v>
      </c>
      <c r="CJ19" s="10">
        <f t="shared" si="256"/>
        <v>4417.7631976486136</v>
      </c>
      <c r="CK19" s="14">
        <f t="shared" si="257"/>
        <v>0.3418436542688324</v>
      </c>
      <c r="CL19" s="14">
        <f t="shared" si="258"/>
        <v>0.20982587445948325</v>
      </c>
      <c r="CM19" s="10">
        <f t="shared" si="259"/>
        <v>4165.6823665435377</v>
      </c>
      <c r="CO19" s="7" t="str">
        <f t="shared" si="26"/>
        <v>2050_2</v>
      </c>
      <c r="CP19" s="29">
        <f>CP18</f>
        <v>2050</v>
      </c>
      <c r="CQ19" s="4" t="s">
        <v>22</v>
      </c>
      <c r="CR19" s="10">
        <f>DT19*$AK$14+将来予測シート②!$H17</f>
        <v>884.25126614690407</v>
      </c>
      <c r="CS19" s="10">
        <f>IF(管理者入力シート!$B$14=1,CR16*管理者用人口入力シート!AM$4,IF(管理者入力シート!$B$14=2,CR16*管理者用人口入力シート!AM$8))+将来予測シート②!$H18</f>
        <v>805.78442027567712</v>
      </c>
      <c r="CT19" s="10">
        <f>IF(管理者入力シート!$B$14=1,CS16*管理者用人口入力シート!AN$4,IF(管理者入力シート!$B$14=2,CS16*管理者用人口入力シート!AN$8))+将来予測シート②!$H19</f>
        <v>768.33441130649612</v>
      </c>
      <c r="CU19" s="10">
        <f>IF(管理者入力シート!$B$14=1,CT16*管理者用人口入力シート!AO$4,IF(管理者入力シート!$B$14=2,CT16*管理者用人口入力シート!AO$8))+将来予測シート②!$H20</f>
        <v>804.08150464980963</v>
      </c>
      <c r="CV19" s="10">
        <f>IF(管理者入力シート!$B$14=1,CU16*管理者用人口入力シート!AP$4,IF(管理者入力シート!$B$14=2,CU16*管理者用人口入力シート!AP$8))+将来予測シート②!$H21</f>
        <v>734.78850665366144</v>
      </c>
      <c r="CW19" s="10">
        <f>IF(管理者入力シート!$B$14=1,CV16*管理者用人口入力シート!AQ$4,IF(管理者入力シート!$B$14=2,CV16*管理者用人口入力シート!AQ$8))+将来予測シート②!$H22</f>
        <v>1043.6025393403297</v>
      </c>
      <c r="CX19" s="10">
        <f>IF(管理者入力シート!$B$14=1,CW16*管理者用人口入力シート!AR$4,IF(管理者入力シート!$B$14=2,CW16*管理者用人口入力シート!AR$8))+将来予測シート②!$H23</f>
        <v>1169.5703049728663</v>
      </c>
      <c r="CY19" s="10">
        <f>IF(管理者入力シート!$B$14=1,CX16*管理者用人口入力シート!AS$4,IF(管理者入力シート!$B$14=2,CX16*管理者用人口入力シート!AS$8))+将来予測シート②!$H24</f>
        <v>1231.1249803480778</v>
      </c>
      <c r="CZ19" s="10">
        <f>IF(管理者入力シート!$B$14=1,CY16*管理者用人口入力シート!AT$4,IF(管理者入力シート!$B$14=2,CY16*管理者用人口入力シート!AT$8))+将来予測シート②!$H25</f>
        <v>1184.4244499888171</v>
      </c>
      <c r="DA19" s="10">
        <f>IF(管理者入力シート!$B$14=1,CZ16*管理者用人口入力シート!AU$4,IF(管理者入力シート!$B$14=2,CZ16*管理者用人口入力シート!AU$8))+将来予測シート②!$H26</f>
        <v>1239.020670749806</v>
      </c>
      <c r="DB19" s="10">
        <f>IF(管理者入力シート!$B$14=1,DA16*管理者用人口入力シート!AV$4,IF(管理者入力シート!$B$14=2,DA16*管理者用人口入力シート!AV$8))+将来予測シート②!$H27</f>
        <v>1419.6005242951401</v>
      </c>
      <c r="DC19" s="10">
        <f>IF(管理者入力シート!$B$14=1,DB16*管理者用人口入力シート!AW$4,IF(管理者入力シート!$B$14=2,DB16*管理者用人口入力シート!AW$8))+将来予測シート②!$H28</f>
        <v>1322.5864219725149</v>
      </c>
      <c r="DD19" s="10">
        <f>IF(管理者入力シート!$B$14=1,DC16*管理者用人口入力シート!AX$4,IF(管理者入力シート!$B$14=2,DC16*管理者用人口入力シート!AX$8))+将来予測シート②!$H29</f>
        <v>1287.6368015583862</v>
      </c>
      <c r="DE19" s="10">
        <f>IF(管理者入力シート!$B$14=1,DD16*管理者用人口入力シート!AY$4,IF(管理者入力シート!$B$14=2,DD16*管理者用人口入力シート!AY$8))</f>
        <v>1370.7867116229959</v>
      </c>
      <c r="DF19" s="10">
        <f>IF(管理者入力シート!$B$14=1,DE16*管理者用人口入力シート!AZ$4,IF(管理者入力シート!$B$14=2,DE16*管理者用人口入力シート!AZ$8))</f>
        <v>1409.7210117874799</v>
      </c>
      <c r="DG19" s="10">
        <f>IF(管理者入力シート!$B$14=1,DF16*管理者用人口入力シート!BA$4,IF(管理者入力シート!$B$14=2,DF16*管理者用人口入力シート!BA$8))</f>
        <v>1454.6084913281984</v>
      </c>
      <c r="DH19" s="10">
        <f>IF(管理者入力シート!$B$14=1,DG16*管理者用人口入力シート!BB$4,IF(管理者入力シート!$B$14=2,DG16*管理者用人口入力シート!BB$8))</f>
        <v>1130.997208068595</v>
      </c>
      <c r="DI19" s="10">
        <f>IF(管理者入力シート!$B$14=1,DH16*管理者用人口入力シート!BC$4,IF(管理者入力シート!$B$14=2,DH16*管理者用人口入力シート!BC$8))</f>
        <v>886.02894467648764</v>
      </c>
      <c r="DJ19" s="10">
        <f>IF(管理者入力シート!$B$14=1,DI16*管理者用人口入力シート!BD$4,IF(管理者入力シート!$B$14=2,DI16*管理者用人口入力シート!BD$8))</f>
        <v>555.57653411886406</v>
      </c>
      <c r="DK19" s="10">
        <f>IF(管理者入力シート!$B$14=1,DJ16*管理者用人口入力シート!BE$4,IF(管理者入力シート!$B$14=2,DJ16*管理者用人口入力シート!BE$8))</f>
        <v>304.50569122365579</v>
      </c>
      <c r="DL19" s="10">
        <f>IF(管理者入力シート!$B$14=1,DK16*管理者用人口入力シート!BF$4,IF(管理者入力シート!$B$14=2,DK16*管理者用人口入力シート!BF$8))</f>
        <v>86.046328232812925</v>
      </c>
      <c r="DM19" s="10">
        <f t="shared" si="260"/>
        <v>21093.077723317572</v>
      </c>
      <c r="DN19" s="10">
        <f t="shared" si="261"/>
        <v>944.47129894930401</v>
      </c>
      <c r="DO19" s="10">
        <f t="shared" si="262"/>
        <v>468.1500654525604</v>
      </c>
      <c r="DP19" s="10">
        <f t="shared" si="263"/>
        <v>7198.2709210590892</v>
      </c>
      <c r="DQ19" s="10">
        <f t="shared" si="264"/>
        <v>4417.7631976486136</v>
      </c>
      <c r="DR19" s="14">
        <f t="shared" si="265"/>
        <v>0.34126223851636794</v>
      </c>
      <c r="DS19" s="14">
        <f t="shared" si="266"/>
        <v>0.20944137482435526</v>
      </c>
      <c r="DT19" s="10">
        <f t="shared" si="267"/>
        <v>4179.0863313149348</v>
      </c>
      <c r="DX19" s="290"/>
      <c r="DY19" s="291"/>
      <c r="DZ19" s="285"/>
      <c r="EA19" s="285"/>
      <c r="EB19" s="285"/>
      <c r="EC19" s="285"/>
      <c r="ED19" s="285"/>
      <c r="EE19" s="285"/>
      <c r="EF19" s="285"/>
      <c r="EG19" s="285"/>
      <c r="EH19" s="285"/>
      <c r="EI19" s="285"/>
      <c r="EJ19" s="285"/>
      <c r="EK19" s="285"/>
      <c r="EL19" s="285"/>
      <c r="EM19" s="285"/>
      <c r="EN19" s="285"/>
      <c r="EO19" s="285"/>
      <c r="EP19" s="285"/>
      <c r="EQ19" s="285"/>
      <c r="ER19" s="285"/>
      <c r="ES19" s="285"/>
      <c r="ET19" s="285"/>
      <c r="EU19" s="285"/>
      <c r="EV19" s="284"/>
      <c r="EW19" s="284"/>
      <c r="EX19" s="287"/>
      <c r="EY19" s="287"/>
      <c r="EZ19" s="284"/>
      <c r="FA19" s="284"/>
      <c r="FB19" s="28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1805.3477949278454</v>
      </c>
      <c r="BL20" s="16">
        <f t="shared" ref="BL20:CE20" si="276">BL18+BL19</f>
        <v>1611.0385612955829</v>
      </c>
      <c r="BM20" s="16">
        <f t="shared" si="276"/>
        <v>1587.3816768369306</v>
      </c>
      <c r="BN20" s="16">
        <f t="shared" si="276"/>
        <v>1582.5291043800348</v>
      </c>
      <c r="BO20" s="16">
        <f t="shared" si="276"/>
        <v>1372.5741123921034</v>
      </c>
      <c r="BP20" s="16">
        <f t="shared" si="276"/>
        <v>1993.1528674230219</v>
      </c>
      <c r="BQ20" s="16">
        <f t="shared" si="276"/>
        <v>2337.9496696821734</v>
      </c>
      <c r="BR20" s="16">
        <f t="shared" si="276"/>
        <v>2453.6867531552807</v>
      </c>
      <c r="BS20" s="16">
        <f t="shared" si="276"/>
        <v>2419.9269989071627</v>
      </c>
      <c r="BT20" s="16">
        <f t="shared" si="276"/>
        <v>2530.3292414825823</v>
      </c>
      <c r="BU20" s="16">
        <f t="shared" si="276"/>
        <v>2810.7299391591778</v>
      </c>
      <c r="BV20" s="16">
        <f t="shared" si="276"/>
        <v>2688.4493364018804</v>
      </c>
      <c r="BW20" s="16">
        <f t="shared" si="276"/>
        <v>2511.4443104340371</v>
      </c>
      <c r="BX20" s="16">
        <f t="shared" si="276"/>
        <v>2628.5918991731232</v>
      </c>
      <c r="BY20" s="16">
        <f t="shared" si="276"/>
        <v>2741.5601501729598</v>
      </c>
      <c r="BZ20" s="16">
        <f t="shared" si="276"/>
        <v>2677.4312184262508</v>
      </c>
      <c r="CA20" s="16">
        <f t="shared" si="276"/>
        <v>1932.7778831488718</v>
      </c>
      <c r="CB20" s="16">
        <f t="shared" si="276"/>
        <v>1411.1461320645794</v>
      </c>
      <c r="CC20" s="16">
        <f t="shared" si="276"/>
        <v>785.38841697151861</v>
      </c>
      <c r="CD20" s="16">
        <f t="shared" si="276"/>
        <v>393.12060405087055</v>
      </c>
      <c r="CE20" s="16">
        <f t="shared" si="276"/>
        <v>100.98379843504937</v>
      </c>
      <c r="CF20" s="11">
        <f t="shared" si="252"/>
        <v>40375.540468921034</v>
      </c>
      <c r="CG20" s="11">
        <f t="shared" si="253"/>
        <v>1919.052142879508</v>
      </c>
      <c r="CH20" s="11">
        <f t="shared" si="254"/>
        <v>951.45849161077922</v>
      </c>
      <c r="CI20" s="11">
        <f t="shared" si="255"/>
        <v>12671.000102443224</v>
      </c>
      <c r="CJ20" s="11">
        <f t="shared" si="256"/>
        <v>7300.848053097141</v>
      </c>
      <c r="CK20" s="15">
        <f t="shared" si="257"/>
        <v>0.31382861889357722</v>
      </c>
      <c r="CL20" s="15">
        <f t="shared" si="258"/>
        <v>0.18082353742650081</v>
      </c>
      <c r="CM20" s="11">
        <f t="shared" si="259"/>
        <v>8157.3634026525797</v>
      </c>
      <c r="CO20" s="7" t="str">
        <f t="shared" si="26"/>
        <v>2050_3</v>
      </c>
      <c r="CP20" s="30">
        <f>CP19</f>
        <v>2050</v>
      </c>
      <c r="CQ20" s="5" t="s">
        <v>23</v>
      </c>
      <c r="CR20" s="16">
        <f>CR18+CR19</f>
        <v>1813.156883599052</v>
      </c>
      <c r="CS20" s="16">
        <f t="shared" ref="CS20:DL20" si="277">CS18+CS19</f>
        <v>1616.7272493582641</v>
      </c>
      <c r="CT20" s="16">
        <f t="shared" si="277"/>
        <v>1594.081712553882</v>
      </c>
      <c r="CU20" s="16">
        <f t="shared" si="277"/>
        <v>1588.4192170077708</v>
      </c>
      <c r="CV20" s="16">
        <f t="shared" si="277"/>
        <v>1376.6917405036145</v>
      </c>
      <c r="CW20" s="16">
        <f t="shared" si="277"/>
        <v>2001.2988428234016</v>
      </c>
      <c r="CX20" s="16">
        <f t="shared" si="277"/>
        <v>2345.0753709914429</v>
      </c>
      <c r="CY20" s="16">
        <f t="shared" si="277"/>
        <v>2460.7461455867287</v>
      </c>
      <c r="CZ20" s="16">
        <f t="shared" si="277"/>
        <v>2425.3824383194278</v>
      </c>
      <c r="DA20" s="16">
        <f t="shared" si="277"/>
        <v>2535.8214864105639</v>
      </c>
      <c r="DB20" s="16">
        <f t="shared" si="277"/>
        <v>2816.1905389222866</v>
      </c>
      <c r="DC20" s="16">
        <f t="shared" si="277"/>
        <v>2689.4466508501255</v>
      </c>
      <c r="DD20" s="16">
        <f t="shared" si="277"/>
        <v>2512.4210288941322</v>
      </c>
      <c r="DE20" s="16">
        <f t="shared" si="277"/>
        <v>2629.5411406784533</v>
      </c>
      <c r="DF20" s="16">
        <f t="shared" si="277"/>
        <v>2741.5601501729598</v>
      </c>
      <c r="DG20" s="16">
        <f t="shared" si="277"/>
        <v>2677.4312184262508</v>
      </c>
      <c r="DH20" s="16">
        <f t="shared" si="277"/>
        <v>1932.7778831488718</v>
      </c>
      <c r="DI20" s="16">
        <f t="shared" si="277"/>
        <v>1411.1461320645794</v>
      </c>
      <c r="DJ20" s="16">
        <f t="shared" si="277"/>
        <v>785.38841697151861</v>
      </c>
      <c r="DK20" s="16">
        <f t="shared" si="277"/>
        <v>393.12060405087055</v>
      </c>
      <c r="DL20" s="16">
        <f t="shared" si="277"/>
        <v>100.98379843504937</v>
      </c>
      <c r="DM20" s="11">
        <f t="shared" si="260"/>
        <v>40447.408649769241</v>
      </c>
      <c r="DN20" s="11">
        <f t="shared" si="261"/>
        <v>1926.4853771472876</v>
      </c>
      <c r="DO20" s="11">
        <f t="shared" si="262"/>
        <v>955.316528423107</v>
      </c>
      <c r="DP20" s="11">
        <f t="shared" si="263"/>
        <v>12671.949343948554</v>
      </c>
      <c r="DQ20" s="11">
        <f t="shared" si="264"/>
        <v>7300.848053097141</v>
      </c>
      <c r="DR20" s="15">
        <f t="shared" si="265"/>
        <v>0.31329446723457399</v>
      </c>
      <c r="DS20" s="15">
        <f t="shared" si="266"/>
        <v>0.18050224468802387</v>
      </c>
      <c r="DT20" s="11">
        <f t="shared" si="267"/>
        <v>8183.812099905188</v>
      </c>
      <c r="DX20" s="28">
        <f>DX3</f>
        <v>2025</v>
      </c>
      <c r="DY20" s="3" t="s">
        <v>21</v>
      </c>
      <c r="DZ20" s="9">
        <f t="shared" ref="DZ20:ET20" si="278">ROUND(DZ3,0)</f>
        <v>1087</v>
      </c>
      <c r="EA20" s="9">
        <f t="shared" si="278"/>
        <v>956</v>
      </c>
      <c r="EB20" s="9">
        <f t="shared" si="278"/>
        <v>987</v>
      </c>
      <c r="EC20" s="9">
        <f t="shared" si="278"/>
        <v>907</v>
      </c>
      <c r="ED20" s="9">
        <f t="shared" si="278"/>
        <v>743</v>
      </c>
      <c r="EE20" s="9">
        <f t="shared" si="278"/>
        <v>1263</v>
      </c>
      <c r="EF20" s="9">
        <f t="shared" si="278"/>
        <v>1439</v>
      </c>
      <c r="EG20" s="9">
        <f t="shared" si="278"/>
        <v>1347</v>
      </c>
      <c r="EH20" s="9">
        <f t="shared" si="278"/>
        <v>1327</v>
      </c>
      <c r="EI20" s="9">
        <f t="shared" si="278"/>
        <v>1517</v>
      </c>
      <c r="EJ20" s="9">
        <f t="shared" si="278"/>
        <v>1578</v>
      </c>
      <c r="EK20" s="9">
        <f t="shared" si="278"/>
        <v>1306</v>
      </c>
      <c r="EL20" s="9">
        <f t="shared" si="278"/>
        <v>1240</v>
      </c>
      <c r="EM20" s="9">
        <f t="shared" si="278"/>
        <v>1140</v>
      </c>
      <c r="EN20" s="9">
        <f t="shared" si="278"/>
        <v>1188</v>
      </c>
      <c r="EO20" s="9">
        <f t="shared" si="278"/>
        <v>1071</v>
      </c>
      <c r="EP20" s="9">
        <f t="shared" si="278"/>
        <v>619</v>
      </c>
      <c r="EQ20" s="9">
        <f t="shared" si="278"/>
        <v>356</v>
      </c>
      <c r="ER20" s="9">
        <f t="shared" si="278"/>
        <v>170</v>
      </c>
      <c r="ES20" s="9">
        <f t="shared" si="278"/>
        <v>57</v>
      </c>
      <c r="ET20" s="9">
        <f t="shared" si="278"/>
        <v>5</v>
      </c>
      <c r="EU20" s="9">
        <f t="shared" ref="EU20:EU21" si="279">SUM(DZ20:ET20)</f>
        <v>20303</v>
      </c>
      <c r="EV20" s="9">
        <f>EA20*3/5+EB20*3/5</f>
        <v>1165.8000000000002</v>
      </c>
      <c r="EW20" s="9">
        <f>EB20*2/5+EC20*1/5</f>
        <v>576.20000000000005</v>
      </c>
      <c r="EX20" s="9">
        <f t="shared" ref="EX20:EX31" si="280">SUM(EM20:ET20)</f>
        <v>4606</v>
      </c>
      <c r="EY20" s="9">
        <f>SUM(EO20:ET20)</f>
        <v>2278</v>
      </c>
      <c r="EZ20" s="13">
        <f>EX20/EU20</f>
        <v>0.22686302516869428</v>
      </c>
      <c r="FA20" s="13">
        <f>EY20/EU20</f>
        <v>0.11220016746293651</v>
      </c>
      <c r="FB20" s="9">
        <f>SUM(ED20:EG20)</f>
        <v>4792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1034</v>
      </c>
      <c r="EA21" s="10">
        <f t="shared" si="281"/>
        <v>949</v>
      </c>
      <c r="EB21" s="10">
        <f t="shared" si="281"/>
        <v>943</v>
      </c>
      <c r="EC21" s="10">
        <f t="shared" si="281"/>
        <v>907</v>
      </c>
      <c r="ED21" s="10">
        <f t="shared" si="281"/>
        <v>847</v>
      </c>
      <c r="EE21" s="10">
        <f t="shared" si="281"/>
        <v>1421</v>
      </c>
      <c r="EF21" s="10">
        <f t="shared" si="281"/>
        <v>1446</v>
      </c>
      <c r="EG21" s="10">
        <f t="shared" si="281"/>
        <v>1411</v>
      </c>
      <c r="EH21" s="10">
        <f t="shared" si="281"/>
        <v>1443</v>
      </c>
      <c r="EI21" s="10">
        <f t="shared" si="281"/>
        <v>1527</v>
      </c>
      <c r="EJ21" s="10">
        <f t="shared" si="281"/>
        <v>1689</v>
      </c>
      <c r="EK21" s="10">
        <f t="shared" si="281"/>
        <v>1449</v>
      </c>
      <c r="EL21" s="10">
        <f t="shared" si="281"/>
        <v>1360</v>
      </c>
      <c r="EM21" s="10">
        <f t="shared" si="281"/>
        <v>1235</v>
      </c>
      <c r="EN21" s="10">
        <f t="shared" si="281"/>
        <v>1353</v>
      </c>
      <c r="EO21" s="10">
        <f t="shared" si="281"/>
        <v>1348</v>
      </c>
      <c r="EP21" s="10">
        <f t="shared" si="281"/>
        <v>913</v>
      </c>
      <c r="EQ21" s="10">
        <f t="shared" si="281"/>
        <v>697</v>
      </c>
      <c r="ER21" s="10">
        <f t="shared" si="281"/>
        <v>501</v>
      </c>
      <c r="ES21" s="10">
        <f t="shared" si="281"/>
        <v>223</v>
      </c>
      <c r="ET21" s="10">
        <f t="shared" si="281"/>
        <v>42</v>
      </c>
      <c r="EU21" s="10">
        <f t="shared" si="279"/>
        <v>22738</v>
      </c>
      <c r="EV21" s="10">
        <f t="shared" ref="EV21:EV31" si="282">EA21*3/5+EB21*3/5</f>
        <v>1135.1999999999998</v>
      </c>
      <c r="EW21" s="10">
        <f t="shared" ref="EW21:EW31" si="283">EB21*2/5+EC21*1/5</f>
        <v>558.6</v>
      </c>
      <c r="EX21" s="10">
        <f t="shared" si="280"/>
        <v>6312</v>
      </c>
      <c r="EY21" s="10">
        <f t="shared" ref="EY21:EY31" si="284">SUM(EO21:ET21)</f>
        <v>3724</v>
      </c>
      <c r="EZ21" s="14">
        <f t="shared" ref="EZ21:EZ31" si="285">EX21/EU21</f>
        <v>0.27759697422816432</v>
      </c>
      <c r="FA21" s="14">
        <f t="shared" ref="FA21:FA31" si="286">EY21/EU21</f>
        <v>0.1637786964552731</v>
      </c>
      <c r="FB21" s="10">
        <f>SUM(ED21:EG21)</f>
        <v>5125</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2121</v>
      </c>
      <c r="EA22" s="16">
        <f t="shared" ref="EA22:ET22" si="287">EA20+EA21</f>
        <v>1905</v>
      </c>
      <c r="EB22" s="16">
        <f t="shared" si="287"/>
        <v>1930</v>
      </c>
      <c r="EC22" s="16">
        <f t="shared" si="287"/>
        <v>1814</v>
      </c>
      <c r="ED22" s="16">
        <f t="shared" si="287"/>
        <v>1590</v>
      </c>
      <c r="EE22" s="16">
        <f t="shared" si="287"/>
        <v>2684</v>
      </c>
      <c r="EF22" s="16">
        <f t="shared" si="287"/>
        <v>2885</v>
      </c>
      <c r="EG22" s="16">
        <f t="shared" si="287"/>
        <v>2758</v>
      </c>
      <c r="EH22" s="16">
        <f t="shared" si="287"/>
        <v>2770</v>
      </c>
      <c r="EI22" s="16">
        <f t="shared" si="287"/>
        <v>3044</v>
      </c>
      <c r="EJ22" s="16">
        <f t="shared" si="287"/>
        <v>3267</v>
      </c>
      <c r="EK22" s="16">
        <f t="shared" si="287"/>
        <v>2755</v>
      </c>
      <c r="EL22" s="16">
        <f t="shared" si="287"/>
        <v>2600</v>
      </c>
      <c r="EM22" s="16">
        <f t="shared" si="287"/>
        <v>2375</v>
      </c>
      <c r="EN22" s="16">
        <f t="shared" si="287"/>
        <v>2541</v>
      </c>
      <c r="EO22" s="16">
        <f t="shared" si="287"/>
        <v>2419</v>
      </c>
      <c r="EP22" s="16">
        <f t="shared" si="287"/>
        <v>1532</v>
      </c>
      <c r="EQ22" s="16">
        <f t="shared" si="287"/>
        <v>1053</v>
      </c>
      <c r="ER22" s="16">
        <f t="shared" si="287"/>
        <v>671</v>
      </c>
      <c r="ES22" s="16">
        <f t="shared" si="287"/>
        <v>280</v>
      </c>
      <c r="ET22" s="16">
        <f t="shared" si="287"/>
        <v>47</v>
      </c>
      <c r="EU22" s="11">
        <f>SUM(DZ22:ET22)</f>
        <v>43041</v>
      </c>
      <c r="EV22" s="11">
        <f t="shared" si="282"/>
        <v>2301</v>
      </c>
      <c r="EW22" s="11">
        <f t="shared" si="283"/>
        <v>1134.8</v>
      </c>
      <c r="EX22" s="11">
        <f t="shared" si="280"/>
        <v>10918</v>
      </c>
      <c r="EY22" s="11">
        <f t="shared" si="284"/>
        <v>6002</v>
      </c>
      <c r="EZ22" s="15">
        <f t="shared" si="285"/>
        <v>0.25366511001138448</v>
      </c>
      <c r="FA22" s="15">
        <f t="shared" si="286"/>
        <v>0.1394484328895704</v>
      </c>
      <c r="FB22" s="11">
        <f>SUM(ED22:EG22)</f>
        <v>9917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1150</v>
      </c>
      <c r="EA23" s="9">
        <f t="shared" si="288"/>
        <v>926</v>
      </c>
      <c r="EB23" s="9">
        <f t="shared" si="288"/>
        <v>944</v>
      </c>
      <c r="EC23" s="9">
        <f t="shared" si="288"/>
        <v>884</v>
      </c>
      <c r="ED23" s="9">
        <f t="shared" si="288"/>
        <v>723</v>
      </c>
      <c r="EE23" s="9">
        <f t="shared" si="288"/>
        <v>1160</v>
      </c>
      <c r="EF23" s="9">
        <f t="shared" si="288"/>
        <v>1581</v>
      </c>
      <c r="EG23" s="9">
        <f t="shared" si="288"/>
        <v>1517</v>
      </c>
      <c r="EH23" s="9">
        <f t="shared" si="288"/>
        <v>1327</v>
      </c>
      <c r="EI23" s="9">
        <f t="shared" si="288"/>
        <v>1350</v>
      </c>
      <c r="EJ23" s="9">
        <f t="shared" si="288"/>
        <v>1492</v>
      </c>
      <c r="EK23" s="9">
        <f t="shared" si="288"/>
        <v>1604</v>
      </c>
      <c r="EL23" s="9">
        <f t="shared" si="288"/>
        <v>1257</v>
      </c>
      <c r="EM23" s="9">
        <f t="shared" si="288"/>
        <v>1202</v>
      </c>
      <c r="EN23" s="9">
        <f t="shared" si="288"/>
        <v>1074</v>
      </c>
      <c r="EO23" s="9">
        <f t="shared" si="288"/>
        <v>1032</v>
      </c>
      <c r="EP23" s="9">
        <f t="shared" si="288"/>
        <v>862</v>
      </c>
      <c r="EQ23" s="9">
        <f t="shared" si="288"/>
        <v>411</v>
      </c>
      <c r="ER23" s="9">
        <f t="shared" si="288"/>
        <v>164</v>
      </c>
      <c r="ES23" s="9">
        <f t="shared" si="288"/>
        <v>59</v>
      </c>
      <c r="ET23" s="9">
        <f t="shared" si="288"/>
        <v>9</v>
      </c>
      <c r="EU23" s="9">
        <f t="shared" ref="EU23:EU31" si="289">SUM(DZ23:ET23)</f>
        <v>20728</v>
      </c>
      <c r="EV23" s="9">
        <f t="shared" si="282"/>
        <v>1122</v>
      </c>
      <c r="EW23" s="9">
        <f t="shared" si="283"/>
        <v>554.40000000000009</v>
      </c>
      <c r="EX23" s="9">
        <f t="shared" si="280"/>
        <v>4813</v>
      </c>
      <c r="EY23" s="9">
        <f t="shared" si="284"/>
        <v>2537</v>
      </c>
      <c r="EZ23" s="13">
        <f t="shared" si="285"/>
        <v>0.23219799305287533</v>
      </c>
      <c r="FA23" s="13">
        <f t="shared" si="286"/>
        <v>0.12239482825164029</v>
      </c>
      <c r="FB23" s="9">
        <f t="shared" ref="FB23:FB31" si="290">SUM(ED23:EG23)</f>
        <v>4981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1094</v>
      </c>
      <c r="EA24" s="10">
        <f t="shared" si="291"/>
        <v>920</v>
      </c>
      <c r="EB24" s="10">
        <f t="shared" si="291"/>
        <v>878</v>
      </c>
      <c r="EC24" s="10">
        <f t="shared" si="291"/>
        <v>932</v>
      </c>
      <c r="ED24" s="10">
        <f t="shared" si="291"/>
        <v>808</v>
      </c>
      <c r="EE24" s="10">
        <f t="shared" si="291"/>
        <v>1253</v>
      </c>
      <c r="EF24" s="10">
        <f t="shared" si="291"/>
        <v>1622</v>
      </c>
      <c r="EG24" s="10">
        <f t="shared" si="291"/>
        <v>1494</v>
      </c>
      <c r="EH24" s="10">
        <f t="shared" si="291"/>
        <v>1393</v>
      </c>
      <c r="EI24" s="10">
        <f t="shared" si="291"/>
        <v>1441</v>
      </c>
      <c r="EJ24" s="10">
        <f t="shared" si="291"/>
        <v>1531</v>
      </c>
      <c r="EK24" s="10">
        <f t="shared" si="291"/>
        <v>1683</v>
      </c>
      <c r="EL24" s="10">
        <f t="shared" si="291"/>
        <v>1419</v>
      </c>
      <c r="EM24" s="10">
        <f t="shared" si="291"/>
        <v>1322</v>
      </c>
      <c r="EN24" s="10">
        <f t="shared" si="291"/>
        <v>1200</v>
      </c>
      <c r="EO24" s="10">
        <f t="shared" si="291"/>
        <v>1265</v>
      </c>
      <c r="EP24" s="10">
        <f t="shared" si="291"/>
        <v>1217</v>
      </c>
      <c r="EQ24" s="10">
        <f t="shared" si="291"/>
        <v>746</v>
      </c>
      <c r="ER24" s="10">
        <f t="shared" si="291"/>
        <v>468</v>
      </c>
      <c r="ES24" s="10">
        <f t="shared" si="291"/>
        <v>244</v>
      </c>
      <c r="ET24" s="10">
        <f t="shared" si="291"/>
        <v>59</v>
      </c>
      <c r="EU24" s="10">
        <f t="shared" si="289"/>
        <v>22989</v>
      </c>
      <c r="EV24" s="10">
        <f t="shared" si="282"/>
        <v>1078.8</v>
      </c>
      <c r="EW24" s="10">
        <f t="shared" si="283"/>
        <v>537.6</v>
      </c>
      <c r="EX24" s="10">
        <f t="shared" si="280"/>
        <v>6521</v>
      </c>
      <c r="EY24" s="10">
        <f t="shared" si="284"/>
        <v>3999</v>
      </c>
      <c r="EZ24" s="14">
        <f t="shared" si="285"/>
        <v>0.28365740136587064</v>
      </c>
      <c r="FA24" s="14">
        <f t="shared" si="286"/>
        <v>0.17395276001565965</v>
      </c>
      <c r="FB24" s="10">
        <f t="shared" si="290"/>
        <v>5177</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2244</v>
      </c>
      <c r="EA25" s="16">
        <f t="shared" ref="EA25:ET25" si="292">EA23+EA24</f>
        <v>1846</v>
      </c>
      <c r="EB25" s="16">
        <f t="shared" si="292"/>
        <v>1822</v>
      </c>
      <c r="EC25" s="16">
        <f t="shared" si="292"/>
        <v>1816</v>
      </c>
      <c r="ED25" s="16">
        <f t="shared" si="292"/>
        <v>1531</v>
      </c>
      <c r="EE25" s="16">
        <f t="shared" si="292"/>
        <v>2413</v>
      </c>
      <c r="EF25" s="16">
        <f t="shared" si="292"/>
        <v>3203</v>
      </c>
      <c r="EG25" s="16">
        <f t="shared" si="292"/>
        <v>3011</v>
      </c>
      <c r="EH25" s="16">
        <f t="shared" si="292"/>
        <v>2720</v>
      </c>
      <c r="EI25" s="16">
        <f t="shared" si="292"/>
        <v>2791</v>
      </c>
      <c r="EJ25" s="16">
        <f t="shared" si="292"/>
        <v>3023</v>
      </c>
      <c r="EK25" s="16">
        <f t="shared" si="292"/>
        <v>3287</v>
      </c>
      <c r="EL25" s="16">
        <f t="shared" si="292"/>
        <v>2676</v>
      </c>
      <c r="EM25" s="16">
        <f t="shared" si="292"/>
        <v>2524</v>
      </c>
      <c r="EN25" s="16">
        <f t="shared" si="292"/>
        <v>2274</v>
      </c>
      <c r="EO25" s="16">
        <f t="shared" si="292"/>
        <v>2297</v>
      </c>
      <c r="EP25" s="16">
        <f t="shared" si="292"/>
        <v>2079</v>
      </c>
      <c r="EQ25" s="16">
        <f t="shared" si="292"/>
        <v>1157</v>
      </c>
      <c r="ER25" s="16">
        <f t="shared" si="292"/>
        <v>632</v>
      </c>
      <c r="ES25" s="16">
        <f t="shared" si="292"/>
        <v>303</v>
      </c>
      <c r="ET25" s="16">
        <f t="shared" si="292"/>
        <v>68</v>
      </c>
      <c r="EU25" s="11">
        <f t="shared" si="289"/>
        <v>43717</v>
      </c>
      <c r="EV25" s="11">
        <f t="shared" si="282"/>
        <v>2200.8000000000002</v>
      </c>
      <c r="EW25" s="11">
        <f t="shared" si="283"/>
        <v>1092</v>
      </c>
      <c r="EX25" s="11">
        <f t="shared" si="280"/>
        <v>11334</v>
      </c>
      <c r="EY25" s="11">
        <f t="shared" si="284"/>
        <v>6536</v>
      </c>
      <c r="EZ25" s="15">
        <f t="shared" si="285"/>
        <v>0.25925841205938194</v>
      </c>
      <c r="FA25" s="15">
        <f t="shared" si="286"/>
        <v>0.14950705675137818</v>
      </c>
      <c r="FB25" s="11">
        <f t="shared" si="290"/>
        <v>10158</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1140</v>
      </c>
      <c r="EA26" s="9">
        <f t="shared" si="293"/>
        <v>980</v>
      </c>
      <c r="EB26" s="9">
        <f t="shared" si="293"/>
        <v>915</v>
      </c>
      <c r="EC26" s="9">
        <f t="shared" si="293"/>
        <v>846</v>
      </c>
      <c r="ED26" s="9">
        <f t="shared" si="293"/>
        <v>706</v>
      </c>
      <c r="EE26" s="9">
        <f t="shared" si="293"/>
        <v>1131</v>
      </c>
      <c r="EF26" s="9">
        <f t="shared" si="293"/>
        <v>1458</v>
      </c>
      <c r="EG26" s="9">
        <f t="shared" si="293"/>
        <v>1659</v>
      </c>
      <c r="EH26" s="9">
        <f t="shared" si="293"/>
        <v>1496</v>
      </c>
      <c r="EI26" s="9">
        <f t="shared" si="293"/>
        <v>1351</v>
      </c>
      <c r="EJ26" s="9">
        <f t="shared" si="293"/>
        <v>1328</v>
      </c>
      <c r="EK26" s="9">
        <f t="shared" si="293"/>
        <v>1516</v>
      </c>
      <c r="EL26" s="9">
        <f t="shared" si="293"/>
        <v>1543</v>
      </c>
      <c r="EM26" s="9">
        <f t="shared" si="293"/>
        <v>1218</v>
      </c>
      <c r="EN26" s="9">
        <f t="shared" si="293"/>
        <v>1132</v>
      </c>
      <c r="EO26" s="9">
        <f t="shared" si="293"/>
        <v>932</v>
      </c>
      <c r="EP26" s="9">
        <f t="shared" si="293"/>
        <v>830</v>
      </c>
      <c r="EQ26" s="9">
        <f t="shared" si="293"/>
        <v>572</v>
      </c>
      <c r="ER26" s="9">
        <f t="shared" si="293"/>
        <v>189</v>
      </c>
      <c r="ES26" s="9">
        <f t="shared" si="293"/>
        <v>57</v>
      </c>
      <c r="ET26" s="9">
        <f t="shared" si="293"/>
        <v>10</v>
      </c>
      <c r="EU26" s="9">
        <f t="shared" si="289"/>
        <v>21009</v>
      </c>
      <c r="EV26" s="9">
        <f t="shared" si="282"/>
        <v>1137</v>
      </c>
      <c r="EW26" s="9">
        <f t="shared" si="283"/>
        <v>535.20000000000005</v>
      </c>
      <c r="EX26" s="9">
        <f t="shared" si="280"/>
        <v>4940</v>
      </c>
      <c r="EY26" s="9">
        <f t="shared" si="284"/>
        <v>2590</v>
      </c>
      <c r="EZ26" s="13">
        <f t="shared" si="285"/>
        <v>0.23513732210005237</v>
      </c>
      <c r="FA26" s="13">
        <f t="shared" si="286"/>
        <v>0.12328049883383312</v>
      </c>
      <c r="FB26" s="9">
        <f t="shared" si="290"/>
        <v>4954</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1085</v>
      </c>
      <c r="EA27" s="10">
        <f t="shared" si="294"/>
        <v>974</v>
      </c>
      <c r="EB27" s="10">
        <f t="shared" si="294"/>
        <v>851</v>
      </c>
      <c r="EC27" s="10">
        <f t="shared" si="294"/>
        <v>867</v>
      </c>
      <c r="ED27" s="10">
        <f t="shared" si="294"/>
        <v>830</v>
      </c>
      <c r="EE27" s="10">
        <f t="shared" si="294"/>
        <v>1199</v>
      </c>
      <c r="EF27" s="10">
        <f t="shared" si="294"/>
        <v>1439</v>
      </c>
      <c r="EG27" s="10">
        <f t="shared" si="294"/>
        <v>1667</v>
      </c>
      <c r="EH27" s="10">
        <f t="shared" si="294"/>
        <v>1476</v>
      </c>
      <c r="EI27" s="10">
        <f t="shared" si="294"/>
        <v>1391</v>
      </c>
      <c r="EJ27" s="10">
        <f t="shared" si="294"/>
        <v>1444</v>
      </c>
      <c r="EK27" s="10">
        <f t="shared" si="294"/>
        <v>1525</v>
      </c>
      <c r="EL27" s="10">
        <f t="shared" si="294"/>
        <v>1648</v>
      </c>
      <c r="EM27" s="10">
        <f t="shared" si="294"/>
        <v>1379</v>
      </c>
      <c r="EN27" s="10">
        <f t="shared" si="294"/>
        <v>1283</v>
      </c>
      <c r="EO27" s="10">
        <f t="shared" si="294"/>
        <v>1122</v>
      </c>
      <c r="EP27" s="10">
        <f t="shared" si="294"/>
        <v>1143</v>
      </c>
      <c r="EQ27" s="10">
        <f t="shared" si="294"/>
        <v>995</v>
      </c>
      <c r="ER27" s="10">
        <f t="shared" si="294"/>
        <v>501</v>
      </c>
      <c r="ES27" s="10">
        <f t="shared" si="294"/>
        <v>227</v>
      </c>
      <c r="ET27" s="10">
        <f t="shared" si="294"/>
        <v>65</v>
      </c>
      <c r="EU27" s="10">
        <f t="shared" si="289"/>
        <v>23111</v>
      </c>
      <c r="EV27" s="10">
        <f t="shared" si="282"/>
        <v>1095</v>
      </c>
      <c r="EW27" s="10">
        <f t="shared" si="283"/>
        <v>513.79999999999995</v>
      </c>
      <c r="EX27" s="10">
        <f t="shared" si="280"/>
        <v>6715</v>
      </c>
      <c r="EY27" s="10">
        <f t="shared" si="284"/>
        <v>4053</v>
      </c>
      <c r="EZ27" s="14">
        <f t="shared" si="285"/>
        <v>0.29055428151096879</v>
      </c>
      <c r="FA27" s="14">
        <f t="shared" si="286"/>
        <v>0.17537103543767038</v>
      </c>
      <c r="FB27" s="10">
        <f t="shared" si="290"/>
        <v>5135</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2225</v>
      </c>
      <c r="EA28" s="16">
        <f t="shared" ref="EA28:ET28" si="295">EA26+EA27</f>
        <v>1954</v>
      </c>
      <c r="EB28" s="16">
        <f t="shared" si="295"/>
        <v>1766</v>
      </c>
      <c r="EC28" s="16">
        <f t="shared" si="295"/>
        <v>1713</v>
      </c>
      <c r="ED28" s="16">
        <f t="shared" si="295"/>
        <v>1536</v>
      </c>
      <c r="EE28" s="16">
        <f t="shared" si="295"/>
        <v>2330</v>
      </c>
      <c r="EF28" s="16">
        <f t="shared" si="295"/>
        <v>2897</v>
      </c>
      <c r="EG28" s="16">
        <f t="shared" si="295"/>
        <v>3326</v>
      </c>
      <c r="EH28" s="16">
        <f t="shared" si="295"/>
        <v>2972</v>
      </c>
      <c r="EI28" s="16">
        <f t="shared" si="295"/>
        <v>2742</v>
      </c>
      <c r="EJ28" s="16">
        <f t="shared" si="295"/>
        <v>2772</v>
      </c>
      <c r="EK28" s="16">
        <f t="shared" si="295"/>
        <v>3041</v>
      </c>
      <c r="EL28" s="16">
        <f t="shared" si="295"/>
        <v>3191</v>
      </c>
      <c r="EM28" s="16">
        <f t="shared" si="295"/>
        <v>2597</v>
      </c>
      <c r="EN28" s="16">
        <f t="shared" si="295"/>
        <v>2415</v>
      </c>
      <c r="EO28" s="16">
        <f t="shared" si="295"/>
        <v>2054</v>
      </c>
      <c r="EP28" s="16">
        <f t="shared" si="295"/>
        <v>1973</v>
      </c>
      <c r="EQ28" s="16">
        <f t="shared" si="295"/>
        <v>1567</v>
      </c>
      <c r="ER28" s="16">
        <f t="shared" si="295"/>
        <v>690</v>
      </c>
      <c r="ES28" s="16">
        <f t="shared" si="295"/>
        <v>284</v>
      </c>
      <c r="ET28" s="16">
        <f t="shared" si="295"/>
        <v>75</v>
      </c>
      <c r="EU28" s="11">
        <f t="shared" si="289"/>
        <v>44120</v>
      </c>
      <c r="EV28" s="11">
        <f t="shared" si="282"/>
        <v>2232</v>
      </c>
      <c r="EW28" s="11">
        <f t="shared" si="283"/>
        <v>1049</v>
      </c>
      <c r="EX28" s="11">
        <f t="shared" si="280"/>
        <v>11655</v>
      </c>
      <c r="EY28" s="11">
        <f t="shared" si="284"/>
        <v>6643</v>
      </c>
      <c r="EZ28" s="15">
        <f t="shared" si="285"/>
        <v>0.26416591115140525</v>
      </c>
      <c r="FA28" s="15">
        <f t="shared" si="286"/>
        <v>0.15056663644605622</v>
      </c>
      <c r="FB28" s="11">
        <f t="shared" si="290"/>
        <v>10089</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1081</v>
      </c>
      <c r="EA29" s="9">
        <f t="shared" si="296"/>
        <v>972</v>
      </c>
      <c r="EB29" s="9">
        <f t="shared" si="296"/>
        <v>968</v>
      </c>
      <c r="EC29" s="9">
        <f t="shared" si="296"/>
        <v>820</v>
      </c>
      <c r="ED29" s="9">
        <f t="shared" si="296"/>
        <v>675</v>
      </c>
      <c r="EE29" s="9">
        <f t="shared" si="296"/>
        <v>1106</v>
      </c>
      <c r="EF29" s="9">
        <f t="shared" si="296"/>
        <v>1424</v>
      </c>
      <c r="EG29" s="9">
        <f t="shared" si="296"/>
        <v>1536</v>
      </c>
      <c r="EH29" s="9">
        <f t="shared" si="296"/>
        <v>1635</v>
      </c>
      <c r="EI29" s="9">
        <f t="shared" si="296"/>
        <v>1522</v>
      </c>
      <c r="EJ29" s="9">
        <f t="shared" si="296"/>
        <v>1329</v>
      </c>
      <c r="EK29" s="9">
        <f t="shared" si="296"/>
        <v>1350</v>
      </c>
      <c r="EL29" s="9">
        <f t="shared" si="296"/>
        <v>1459</v>
      </c>
      <c r="EM29" s="9">
        <f t="shared" si="296"/>
        <v>1496</v>
      </c>
      <c r="EN29" s="9">
        <f t="shared" si="296"/>
        <v>1147</v>
      </c>
      <c r="EO29" s="9">
        <f t="shared" si="296"/>
        <v>983</v>
      </c>
      <c r="EP29" s="9">
        <f t="shared" si="296"/>
        <v>750</v>
      </c>
      <c r="EQ29" s="9">
        <f t="shared" si="296"/>
        <v>551</v>
      </c>
      <c r="ER29" s="9">
        <f t="shared" si="296"/>
        <v>264</v>
      </c>
      <c r="ES29" s="9">
        <f t="shared" si="296"/>
        <v>66</v>
      </c>
      <c r="ET29" s="9">
        <f t="shared" si="296"/>
        <v>9</v>
      </c>
      <c r="EU29" s="9">
        <f t="shared" si="289"/>
        <v>21143</v>
      </c>
      <c r="EV29" s="9">
        <f t="shared" si="282"/>
        <v>1164</v>
      </c>
      <c r="EW29" s="9">
        <f t="shared" si="283"/>
        <v>551.20000000000005</v>
      </c>
      <c r="EX29" s="9">
        <f t="shared" si="280"/>
        <v>5266</v>
      </c>
      <c r="EY29" s="9">
        <f t="shared" si="284"/>
        <v>2623</v>
      </c>
      <c r="EZ29" s="13">
        <f t="shared" si="285"/>
        <v>0.24906588468996832</v>
      </c>
      <c r="FA29" s="13">
        <f t="shared" si="286"/>
        <v>0.12405997256775292</v>
      </c>
      <c r="FB29" s="9">
        <f t="shared" si="290"/>
        <v>4741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1029</v>
      </c>
      <c r="EA30" s="10">
        <f t="shared" si="297"/>
        <v>966</v>
      </c>
      <c r="EB30" s="10">
        <f t="shared" si="297"/>
        <v>901</v>
      </c>
      <c r="EC30" s="10">
        <f t="shared" si="297"/>
        <v>841</v>
      </c>
      <c r="ED30" s="10">
        <f t="shared" si="297"/>
        <v>773</v>
      </c>
      <c r="EE30" s="10">
        <f t="shared" si="297"/>
        <v>1229</v>
      </c>
      <c r="EF30" s="10">
        <f t="shared" si="297"/>
        <v>1381</v>
      </c>
      <c r="EG30" s="10">
        <f t="shared" si="297"/>
        <v>1488</v>
      </c>
      <c r="EH30" s="10">
        <f t="shared" si="297"/>
        <v>1647</v>
      </c>
      <c r="EI30" s="10">
        <f t="shared" si="297"/>
        <v>1473</v>
      </c>
      <c r="EJ30" s="10">
        <f t="shared" si="297"/>
        <v>1395</v>
      </c>
      <c r="EK30" s="10">
        <f t="shared" si="297"/>
        <v>1439</v>
      </c>
      <c r="EL30" s="10">
        <f t="shared" si="297"/>
        <v>1494</v>
      </c>
      <c r="EM30" s="10">
        <f t="shared" si="297"/>
        <v>1602</v>
      </c>
      <c r="EN30" s="10">
        <f t="shared" si="297"/>
        <v>1339</v>
      </c>
      <c r="EO30" s="10">
        <f t="shared" si="297"/>
        <v>1200</v>
      </c>
      <c r="EP30" s="10">
        <f t="shared" si="297"/>
        <v>1013</v>
      </c>
      <c r="EQ30" s="10">
        <f t="shared" si="297"/>
        <v>934</v>
      </c>
      <c r="ER30" s="10">
        <f t="shared" si="297"/>
        <v>668</v>
      </c>
      <c r="ES30" s="10">
        <f t="shared" si="297"/>
        <v>243</v>
      </c>
      <c r="ET30" s="10">
        <f t="shared" si="297"/>
        <v>60</v>
      </c>
      <c r="EU30" s="10">
        <f t="shared" si="289"/>
        <v>23115</v>
      </c>
      <c r="EV30" s="10">
        <f t="shared" si="282"/>
        <v>1120.2</v>
      </c>
      <c r="EW30" s="10">
        <f t="shared" si="283"/>
        <v>528.59999999999991</v>
      </c>
      <c r="EX30" s="10">
        <f t="shared" si="280"/>
        <v>7059</v>
      </c>
      <c r="EY30" s="10">
        <f t="shared" si="284"/>
        <v>4118</v>
      </c>
      <c r="EZ30" s="14">
        <f t="shared" si="285"/>
        <v>0.30538611291369239</v>
      </c>
      <c r="FA30" s="14">
        <f t="shared" si="286"/>
        <v>0.17815271468743241</v>
      </c>
      <c r="FB30" s="10">
        <f t="shared" si="290"/>
        <v>4871</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2110</v>
      </c>
      <c r="EA31" s="16">
        <f t="shared" ref="EA31:ET31" si="298">EA29+EA30</f>
        <v>1938</v>
      </c>
      <c r="EB31" s="16">
        <f t="shared" si="298"/>
        <v>1869</v>
      </c>
      <c r="EC31" s="16">
        <f t="shared" si="298"/>
        <v>1661</v>
      </c>
      <c r="ED31" s="16">
        <f t="shared" si="298"/>
        <v>1448</v>
      </c>
      <c r="EE31" s="16">
        <f t="shared" si="298"/>
        <v>2335</v>
      </c>
      <c r="EF31" s="16">
        <f t="shared" si="298"/>
        <v>2805</v>
      </c>
      <c r="EG31" s="16">
        <f t="shared" si="298"/>
        <v>3024</v>
      </c>
      <c r="EH31" s="16">
        <f t="shared" si="298"/>
        <v>3282</v>
      </c>
      <c r="EI31" s="16">
        <f t="shared" si="298"/>
        <v>2995</v>
      </c>
      <c r="EJ31" s="16">
        <f t="shared" si="298"/>
        <v>2724</v>
      </c>
      <c r="EK31" s="16">
        <f t="shared" si="298"/>
        <v>2789</v>
      </c>
      <c r="EL31" s="16">
        <f t="shared" si="298"/>
        <v>2953</v>
      </c>
      <c r="EM31" s="16">
        <f t="shared" si="298"/>
        <v>3098</v>
      </c>
      <c r="EN31" s="16">
        <f t="shared" si="298"/>
        <v>2486</v>
      </c>
      <c r="EO31" s="16">
        <f t="shared" si="298"/>
        <v>2183</v>
      </c>
      <c r="EP31" s="16">
        <f t="shared" si="298"/>
        <v>1763</v>
      </c>
      <c r="EQ31" s="16">
        <f t="shared" si="298"/>
        <v>1485</v>
      </c>
      <c r="ER31" s="16">
        <f t="shared" si="298"/>
        <v>932</v>
      </c>
      <c r="ES31" s="16">
        <f t="shared" si="298"/>
        <v>309</v>
      </c>
      <c r="ET31" s="16">
        <f t="shared" si="298"/>
        <v>69</v>
      </c>
      <c r="EU31" s="11">
        <f t="shared" si="289"/>
        <v>44258</v>
      </c>
      <c r="EV31" s="11">
        <f t="shared" si="282"/>
        <v>2284.1999999999998</v>
      </c>
      <c r="EW31" s="11">
        <f t="shared" si="283"/>
        <v>1079.8</v>
      </c>
      <c r="EX31" s="11">
        <f t="shared" si="280"/>
        <v>12325</v>
      </c>
      <c r="EY31" s="11">
        <f t="shared" si="284"/>
        <v>6741</v>
      </c>
      <c r="EZ31" s="15">
        <f t="shared" si="285"/>
        <v>0.2784807266482896</v>
      </c>
      <c r="FA31" s="15">
        <f t="shared" si="286"/>
        <v>0.1523114465181436</v>
      </c>
      <c r="FB31" s="11">
        <f t="shared" si="290"/>
        <v>9612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19081</v>
      </c>
      <c r="D4" s="17">
        <f>SUM(C41:C61)</f>
        <v>21859</v>
      </c>
      <c r="E4" s="17">
        <f>C4+D4</f>
        <v>40940</v>
      </c>
      <c r="F4" s="85"/>
      <c r="G4" s="1" t="s">
        <v>58</v>
      </c>
      <c r="H4" s="1">
        <f>B4</f>
        <v>2010</v>
      </c>
      <c r="I4" s="17">
        <f>C4</f>
        <v>19081</v>
      </c>
      <c r="J4" s="17">
        <f>D4</f>
        <v>21859</v>
      </c>
      <c r="K4" s="17">
        <f>I4+J4</f>
        <v>40940</v>
      </c>
      <c r="N4" s="1" t="s">
        <v>58</v>
      </c>
      <c r="O4" s="1">
        <f>H4</f>
        <v>2010</v>
      </c>
      <c r="P4" s="17">
        <f>I4</f>
        <v>19081</v>
      </c>
      <c r="Q4" s="17">
        <f t="shared" ref="Q4:R4" si="0">J4</f>
        <v>21859</v>
      </c>
      <c r="R4" s="17">
        <f t="shared" si="0"/>
        <v>40940</v>
      </c>
      <c r="S4" s="1"/>
      <c r="T4" s="1"/>
      <c r="U4" s="1"/>
    </row>
    <row r="5" spans="1:21" x14ac:dyDescent="0.15">
      <c r="A5" s="1" t="s">
        <v>61</v>
      </c>
      <c r="B5" s="1">
        <f>管理者入力シート!B6</f>
        <v>2015</v>
      </c>
      <c r="C5" s="17">
        <f>SUM(B65:B85)</f>
        <v>19364</v>
      </c>
      <c r="D5" s="17">
        <f>SUM(C65:C85)</f>
        <v>22142</v>
      </c>
      <c r="E5" s="17">
        <f t="shared" ref="E5" si="1">C5+D5</f>
        <v>41506</v>
      </c>
      <c r="F5" s="85"/>
      <c r="G5" s="1" t="s">
        <v>57</v>
      </c>
      <c r="H5" s="1">
        <f t="shared" ref="H5:H6" si="2">B5</f>
        <v>2015</v>
      </c>
      <c r="I5" s="17">
        <f t="shared" ref="I5" si="3">C5</f>
        <v>19364</v>
      </c>
      <c r="J5" s="17">
        <f>D5</f>
        <v>22142</v>
      </c>
      <c r="K5" s="17">
        <f t="shared" ref="K5:K10" si="4">I5+J5</f>
        <v>41506</v>
      </c>
      <c r="N5" s="1" t="s">
        <v>57</v>
      </c>
      <c r="O5" s="1">
        <f t="shared" ref="O5:O10" si="5">H5</f>
        <v>2015</v>
      </c>
      <c r="P5" s="17">
        <f t="shared" ref="P5:P10" si="6">I5</f>
        <v>19364</v>
      </c>
      <c r="Q5" s="17">
        <f t="shared" ref="Q5:Q10" si="7">J5</f>
        <v>22142</v>
      </c>
      <c r="R5" s="17">
        <f t="shared" ref="R5:R10" si="8">K5</f>
        <v>41506</v>
      </c>
      <c r="S5" s="1"/>
      <c r="T5" s="1"/>
      <c r="U5" s="1"/>
    </row>
    <row r="6" spans="1:21" x14ac:dyDescent="0.15">
      <c r="A6" s="1" t="s">
        <v>62</v>
      </c>
      <c r="B6" s="1">
        <f>管理者入力シート!B5</f>
        <v>2020</v>
      </c>
      <c r="C6" s="17">
        <f>SUM(B89:B109)</f>
        <v>19850</v>
      </c>
      <c r="D6" s="17">
        <f>SUM(C89:C109)</f>
        <v>22436</v>
      </c>
      <c r="E6" s="17">
        <f>C6+D6</f>
        <v>42286</v>
      </c>
      <c r="F6" s="85"/>
      <c r="G6" s="1" t="s">
        <v>62</v>
      </c>
      <c r="H6" s="1">
        <f t="shared" si="2"/>
        <v>2020</v>
      </c>
      <c r="I6" s="17">
        <f>C6</f>
        <v>19850</v>
      </c>
      <c r="J6" s="17">
        <f>D6</f>
        <v>22436</v>
      </c>
      <c r="K6" s="17">
        <f t="shared" si="4"/>
        <v>42286</v>
      </c>
      <c r="N6" s="1" t="s">
        <v>62</v>
      </c>
      <c r="O6" s="1">
        <f t="shared" si="5"/>
        <v>2020</v>
      </c>
      <c r="P6" s="17">
        <f t="shared" si="6"/>
        <v>19850</v>
      </c>
      <c r="Q6" s="17">
        <f t="shared" si="7"/>
        <v>22436</v>
      </c>
      <c r="R6" s="17">
        <f t="shared" si="8"/>
        <v>42286</v>
      </c>
      <c r="S6" s="1"/>
      <c r="T6" s="1"/>
      <c r="U6" s="1"/>
    </row>
    <row r="7" spans="1:21" x14ac:dyDescent="0.15">
      <c r="G7" s="1" t="s">
        <v>106</v>
      </c>
      <c r="H7" s="1">
        <f>管理者入力シート!B8</f>
        <v>2025</v>
      </c>
      <c r="I7" s="17">
        <f>SUM(H69:H89)</f>
        <v>20072</v>
      </c>
      <c r="J7" s="17">
        <f>SUM(I69:I89)</f>
        <v>22507</v>
      </c>
      <c r="K7" s="17">
        <f t="shared" si="4"/>
        <v>42579</v>
      </c>
      <c r="N7" s="1" t="s">
        <v>106</v>
      </c>
      <c r="O7" s="1">
        <f t="shared" si="5"/>
        <v>2025</v>
      </c>
      <c r="P7" s="17">
        <f t="shared" si="6"/>
        <v>20072</v>
      </c>
      <c r="Q7" s="17">
        <f t="shared" si="7"/>
        <v>22507</v>
      </c>
      <c r="R7" s="17">
        <f t="shared" si="8"/>
        <v>42579</v>
      </c>
      <c r="S7" s="236">
        <f>SUM(O69:O89)</f>
        <v>20076</v>
      </c>
      <c r="T7" s="236">
        <f>SUM(P69:P89)</f>
        <v>22512</v>
      </c>
      <c r="U7" s="236">
        <f>S7+T7</f>
        <v>42588</v>
      </c>
    </row>
    <row r="8" spans="1:21" x14ac:dyDescent="0.15">
      <c r="A8" s="69" t="s">
        <v>71</v>
      </c>
      <c r="G8" s="1" t="s">
        <v>107</v>
      </c>
      <c r="H8" s="1">
        <f>管理者入力シート!B9</f>
        <v>2030</v>
      </c>
      <c r="I8" s="17">
        <f>SUM(H93:H113)</f>
        <v>20166</v>
      </c>
      <c r="J8" s="17">
        <f>SUM(I93:I113)</f>
        <v>22442</v>
      </c>
      <c r="K8" s="17">
        <f t="shared" si="4"/>
        <v>42608</v>
      </c>
      <c r="N8" s="1" t="s">
        <v>107</v>
      </c>
      <c r="O8" s="1">
        <f t="shared" si="5"/>
        <v>2030</v>
      </c>
      <c r="P8" s="17">
        <f t="shared" si="6"/>
        <v>20166</v>
      </c>
      <c r="Q8" s="17">
        <f t="shared" si="7"/>
        <v>22442</v>
      </c>
      <c r="R8" s="17">
        <f t="shared" si="8"/>
        <v>42608</v>
      </c>
      <c r="S8" s="236">
        <f>SUM(O93:O113)</f>
        <v>20175</v>
      </c>
      <c r="T8" s="236">
        <f>SUM(P93:P113)</f>
        <v>22453</v>
      </c>
      <c r="U8" s="236">
        <f t="shared" ref="U8:U10" si="9">S8+T8</f>
        <v>42628</v>
      </c>
    </row>
    <row r="9" spans="1:21" x14ac:dyDescent="0.15">
      <c r="A9" s="2" t="s">
        <v>72</v>
      </c>
      <c r="G9" s="1" t="s">
        <v>108</v>
      </c>
      <c r="H9" s="1">
        <f>管理者入力シート!B10</f>
        <v>2035</v>
      </c>
      <c r="I9" s="17">
        <f>SUM(H117:H137)</f>
        <v>20109</v>
      </c>
      <c r="J9" s="17">
        <f>SUM(I117:I137)</f>
        <v>22239</v>
      </c>
      <c r="K9" s="17">
        <f t="shared" si="4"/>
        <v>42348</v>
      </c>
      <c r="N9" s="1" t="s">
        <v>108</v>
      </c>
      <c r="O9" s="1">
        <f t="shared" si="5"/>
        <v>2035</v>
      </c>
      <c r="P9" s="17">
        <f t="shared" si="6"/>
        <v>20109</v>
      </c>
      <c r="Q9" s="17">
        <f t="shared" si="7"/>
        <v>22239</v>
      </c>
      <c r="R9" s="17">
        <f t="shared" si="8"/>
        <v>42348</v>
      </c>
      <c r="S9" s="236">
        <f>SUM(O117:O137)</f>
        <v>20124</v>
      </c>
      <c r="T9" s="236">
        <f>SUM(P117:P137)</f>
        <v>22257</v>
      </c>
      <c r="U9" s="236">
        <f t="shared" si="9"/>
        <v>42381</v>
      </c>
    </row>
    <row r="10" spans="1:21" x14ac:dyDescent="0.15">
      <c r="A10" s="1" t="s">
        <v>58</v>
      </c>
      <c r="B10" s="1">
        <f>B4</f>
        <v>2010</v>
      </c>
      <c r="C10" s="17">
        <f>ROUND(VLOOKUP(B10&amp;"_3",管理者用人口入力シート!A:AA,26,FALSE),0)</f>
        <v>2540</v>
      </c>
      <c r="D10" s="12"/>
      <c r="E10" s="12"/>
      <c r="G10" s="1" t="s">
        <v>109</v>
      </c>
      <c r="H10" s="1">
        <f>管理者入力シート!B11</f>
        <v>2040</v>
      </c>
      <c r="I10" s="17">
        <f>SUM(H141:H161)</f>
        <v>19913</v>
      </c>
      <c r="J10" s="17">
        <f>SUM(I141:I161)</f>
        <v>21926</v>
      </c>
      <c r="K10" s="17">
        <f t="shared" si="4"/>
        <v>41839</v>
      </c>
      <c r="N10" s="1" t="s">
        <v>109</v>
      </c>
      <c r="O10" s="1">
        <f t="shared" si="5"/>
        <v>2040</v>
      </c>
      <c r="P10" s="17">
        <f t="shared" si="6"/>
        <v>19913</v>
      </c>
      <c r="Q10" s="17">
        <f t="shared" si="7"/>
        <v>21926</v>
      </c>
      <c r="R10" s="17">
        <f t="shared" si="8"/>
        <v>41839</v>
      </c>
      <c r="S10" s="236">
        <f>SUM(O141:O161)</f>
        <v>19934</v>
      </c>
      <c r="T10" s="236">
        <f>SUM(P141:P161)</f>
        <v>21947</v>
      </c>
      <c r="U10" s="236">
        <f t="shared" si="9"/>
        <v>41881</v>
      </c>
    </row>
    <row r="11" spans="1:21" x14ac:dyDescent="0.15">
      <c r="A11" s="1" t="s">
        <v>61</v>
      </c>
      <c r="B11" s="1">
        <f t="shared" ref="B11:B12" si="10">B5</f>
        <v>2015</v>
      </c>
      <c r="C11" s="17">
        <f>ROUND(VLOOKUP(B11&amp;"_3",管理者用人口入力シート!A:AA,26,FALSE),0)</f>
        <v>2414</v>
      </c>
      <c r="D11" s="12"/>
      <c r="E11" s="12"/>
      <c r="I11" s="12"/>
      <c r="J11" s="12"/>
      <c r="K11" s="12"/>
      <c r="P11" s="12"/>
    </row>
    <row r="12" spans="1:21" x14ac:dyDescent="0.15">
      <c r="A12" s="1" t="s">
        <v>62</v>
      </c>
      <c r="B12" s="1">
        <f t="shared" si="10"/>
        <v>2020</v>
      </c>
      <c r="C12" s="17">
        <f>ROUND(VLOOKUP(B12&amp;"_3",管理者用人口入力シート!A:AA,26,FALSE),0)</f>
        <v>2369</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1254</v>
      </c>
      <c r="D14" s="12"/>
      <c r="E14" s="12"/>
      <c r="G14" s="1" t="s">
        <v>58</v>
      </c>
      <c r="H14" s="1">
        <f>H4</f>
        <v>2010</v>
      </c>
      <c r="I14" s="17">
        <f>C10</f>
        <v>2540</v>
      </c>
      <c r="J14" s="12"/>
      <c r="K14" s="12"/>
      <c r="N14" s="1" t="s">
        <v>58</v>
      </c>
      <c r="O14" s="1">
        <f>O4</f>
        <v>2010</v>
      </c>
      <c r="P14" s="17">
        <f>I14</f>
        <v>2540</v>
      </c>
      <c r="Q14" s="17"/>
    </row>
    <row r="15" spans="1:21" x14ac:dyDescent="0.15">
      <c r="A15" s="1" t="s">
        <v>61</v>
      </c>
      <c r="B15" s="1">
        <f t="shared" ref="B15:B16" si="11">B5</f>
        <v>2015</v>
      </c>
      <c r="C15" s="17">
        <f>ROUND(VLOOKUP(B15&amp;"_3",管理者用人口入力シート!A:AA,27,FALSE),0)</f>
        <v>1207</v>
      </c>
      <c r="D15" s="12"/>
      <c r="E15" s="12"/>
      <c r="G15" s="1" t="s">
        <v>57</v>
      </c>
      <c r="H15" s="1">
        <f t="shared" ref="H15:H20" si="12">H5</f>
        <v>2015</v>
      </c>
      <c r="I15" s="17">
        <f>C11</f>
        <v>2414</v>
      </c>
      <c r="J15" s="12"/>
      <c r="K15" s="12"/>
      <c r="N15" s="1" t="s">
        <v>57</v>
      </c>
      <c r="O15" s="1">
        <f t="shared" ref="O15:O20" si="13">O5</f>
        <v>2015</v>
      </c>
      <c r="P15" s="17">
        <f t="shared" ref="P15:P20" si="14">I15</f>
        <v>2414</v>
      </c>
      <c r="Q15" s="17"/>
    </row>
    <row r="16" spans="1:21" x14ac:dyDescent="0.15">
      <c r="A16" s="1" t="s">
        <v>62</v>
      </c>
      <c r="B16" s="1">
        <f t="shared" si="11"/>
        <v>2020</v>
      </c>
      <c r="C16" s="17">
        <f>ROUND(VLOOKUP(B16&amp;"_3",管理者用人口入力シート!A:AA,27,FALSE),0)</f>
        <v>1149</v>
      </c>
      <c r="D16" s="12"/>
      <c r="E16" s="12"/>
      <c r="G16" s="1" t="s">
        <v>62</v>
      </c>
      <c r="H16" s="1">
        <f t="shared" si="12"/>
        <v>2020</v>
      </c>
      <c r="I16" s="17">
        <f>C12</f>
        <v>2369</v>
      </c>
      <c r="J16" s="12"/>
      <c r="K16" s="12"/>
      <c r="N16" s="1" t="s">
        <v>62</v>
      </c>
      <c r="O16" s="1">
        <f t="shared" si="13"/>
        <v>2020</v>
      </c>
      <c r="P16" s="17">
        <f t="shared" si="14"/>
        <v>2369</v>
      </c>
      <c r="Q16" s="17"/>
    </row>
    <row r="17" spans="1:17" x14ac:dyDescent="0.15">
      <c r="G17" s="1" t="s">
        <v>106</v>
      </c>
      <c r="H17" s="1">
        <f t="shared" si="12"/>
        <v>2025</v>
      </c>
      <c r="I17" s="17">
        <f>ROUND(VLOOKUP(H17&amp;"_3",管理者用人口入力シート!BH:CM,26,FALSE),0)</f>
        <v>2301</v>
      </c>
      <c r="J17" s="12"/>
      <c r="K17" s="12"/>
      <c r="N17" s="1" t="s">
        <v>106</v>
      </c>
      <c r="O17" s="1">
        <f t="shared" si="13"/>
        <v>2025</v>
      </c>
      <c r="P17" s="17">
        <f t="shared" si="14"/>
        <v>2301</v>
      </c>
      <c r="Q17" s="17">
        <f>ROUND(VLOOKUP(H17&amp;"_3",管理者用人口入力シート!CO:DT,26,FALSE),0)</f>
        <v>2302</v>
      </c>
    </row>
    <row r="18" spans="1:17" x14ac:dyDescent="0.15">
      <c r="A18" s="69" t="s">
        <v>110</v>
      </c>
      <c r="G18" s="1" t="s">
        <v>107</v>
      </c>
      <c r="H18" s="1">
        <f t="shared" si="12"/>
        <v>2030</v>
      </c>
      <c r="I18" s="17">
        <f>ROUND(VLOOKUP(H18&amp;"_3",管理者用人口入力シート!BH:CM,26,FALSE),0)</f>
        <v>2201</v>
      </c>
      <c r="J18" s="12"/>
      <c r="K18" s="12"/>
      <c r="N18" s="1" t="s">
        <v>107</v>
      </c>
      <c r="O18" s="1">
        <f t="shared" si="13"/>
        <v>2030</v>
      </c>
      <c r="P18" s="17">
        <f t="shared" si="14"/>
        <v>2201</v>
      </c>
      <c r="Q18" s="17">
        <f>ROUND(VLOOKUP(H18&amp;"_3",管理者用人口入力シート!CO:DT,26,FALSE),0)</f>
        <v>2204</v>
      </c>
    </row>
    <row r="19" spans="1:17" x14ac:dyDescent="0.15">
      <c r="A19" s="2" t="s">
        <v>84</v>
      </c>
      <c r="G19" s="1" t="s">
        <v>108</v>
      </c>
      <c r="H19" s="1">
        <f t="shared" si="12"/>
        <v>2035</v>
      </c>
      <c r="I19" s="17">
        <f>ROUND(VLOOKUP(H19&amp;"_3",管理者用人口入力シート!BH:CM,26,FALSE),0)</f>
        <v>2144</v>
      </c>
      <c r="J19" s="12"/>
      <c r="K19" s="12"/>
      <c r="N19" s="1" t="s">
        <v>108</v>
      </c>
      <c r="O19" s="1">
        <f t="shared" si="13"/>
        <v>2035</v>
      </c>
      <c r="P19" s="17">
        <f t="shared" si="14"/>
        <v>2144</v>
      </c>
      <c r="Q19" s="17">
        <f>ROUND(VLOOKUP(H19&amp;"_3",管理者用人口入力シート!CO:DT,26,FALSE),0)</f>
        <v>2148</v>
      </c>
    </row>
    <row r="20" spans="1:17" x14ac:dyDescent="0.15">
      <c r="A20" s="1" t="s">
        <v>58</v>
      </c>
      <c r="B20" s="1">
        <f>B4</f>
        <v>2010</v>
      </c>
      <c r="C20" s="17">
        <f>SUM(B54:C61)</f>
        <v>8160</v>
      </c>
      <c r="D20" s="12"/>
      <c r="E20" s="12"/>
      <c r="G20" s="1" t="s">
        <v>109</v>
      </c>
      <c r="H20" s="1">
        <f t="shared" si="12"/>
        <v>2040</v>
      </c>
      <c r="I20" s="17">
        <f>ROUND(VLOOKUP(H20&amp;"_3",管理者用人口入力シート!BH:CM,26,FALSE),0)</f>
        <v>2093</v>
      </c>
      <c r="J20" s="12"/>
      <c r="K20" s="12"/>
      <c r="N20" s="1" t="s">
        <v>109</v>
      </c>
      <c r="O20" s="1">
        <f t="shared" si="13"/>
        <v>2040</v>
      </c>
      <c r="P20" s="17">
        <f t="shared" si="14"/>
        <v>2093</v>
      </c>
      <c r="Q20" s="17">
        <f>ROUND(VLOOKUP(H20&amp;"_3",管理者用人口入力シート!CO:DT,26,FALSE),0)</f>
        <v>2098</v>
      </c>
    </row>
    <row r="21" spans="1:17" x14ac:dyDescent="0.15">
      <c r="A21" s="1" t="s">
        <v>61</v>
      </c>
      <c r="B21" s="1">
        <f t="shared" ref="B21:B22" si="15">B5</f>
        <v>2015</v>
      </c>
      <c r="C21" s="17">
        <f>SUM(B78:C85)</f>
        <v>9577</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10473</v>
      </c>
      <c r="D22" s="12"/>
      <c r="E22" s="12"/>
      <c r="G22" s="1" t="s">
        <v>58</v>
      </c>
      <c r="H22" s="1">
        <f>H4</f>
        <v>2010</v>
      </c>
      <c r="I22" s="17">
        <f>C14</f>
        <v>1254</v>
      </c>
      <c r="J22" s="12"/>
      <c r="K22" s="12"/>
      <c r="N22" s="1" t="s">
        <v>58</v>
      </c>
      <c r="O22" s="1">
        <f>O4</f>
        <v>2010</v>
      </c>
      <c r="P22" s="17">
        <f>I22</f>
        <v>1254</v>
      </c>
      <c r="Q22" s="17"/>
    </row>
    <row r="23" spans="1:17" x14ac:dyDescent="0.15">
      <c r="A23" s="2" t="s">
        <v>86</v>
      </c>
      <c r="G23" s="1" t="s">
        <v>57</v>
      </c>
      <c r="H23" s="1">
        <f t="shared" ref="H23:H28" si="16">H5</f>
        <v>2015</v>
      </c>
      <c r="I23" s="17">
        <f t="shared" ref="I23:I24" si="17">C15</f>
        <v>1207</v>
      </c>
      <c r="J23" s="12"/>
      <c r="K23" s="12"/>
      <c r="N23" s="1" t="s">
        <v>57</v>
      </c>
      <c r="O23" s="1">
        <f t="shared" ref="O23:O28" si="18">O5</f>
        <v>2015</v>
      </c>
      <c r="P23" s="17">
        <f t="shared" ref="P23:P28" si="19">I23</f>
        <v>1207</v>
      </c>
      <c r="Q23" s="17"/>
    </row>
    <row r="24" spans="1:17" x14ac:dyDescent="0.15">
      <c r="A24" s="1" t="s">
        <v>58</v>
      </c>
      <c r="B24" s="1">
        <f>B4</f>
        <v>2010</v>
      </c>
      <c r="C24" s="17">
        <f>SUM(B56:C61)</f>
        <v>4309</v>
      </c>
      <c r="D24" s="12"/>
      <c r="E24" s="12"/>
      <c r="G24" s="1" t="s">
        <v>62</v>
      </c>
      <c r="H24" s="1">
        <f t="shared" si="16"/>
        <v>2020</v>
      </c>
      <c r="I24" s="17">
        <f t="shared" si="17"/>
        <v>1149</v>
      </c>
      <c r="J24" s="12"/>
      <c r="K24" s="12"/>
      <c r="N24" s="1" t="s">
        <v>62</v>
      </c>
      <c r="O24" s="1">
        <f t="shared" si="18"/>
        <v>2020</v>
      </c>
      <c r="P24" s="17">
        <f t="shared" si="19"/>
        <v>1149</v>
      </c>
      <c r="Q24" s="17"/>
    </row>
    <row r="25" spans="1:17" x14ac:dyDescent="0.15">
      <c r="A25" s="1" t="s">
        <v>61</v>
      </c>
      <c r="B25" s="1">
        <f t="shared" ref="B25:B26" si="20">B5</f>
        <v>2015</v>
      </c>
      <c r="C25" s="17">
        <f>SUM(B80:C85)</f>
        <v>4798</v>
      </c>
      <c r="D25" s="12"/>
      <c r="E25" s="12"/>
      <c r="G25" s="1" t="s">
        <v>106</v>
      </c>
      <c r="H25" s="1">
        <f t="shared" si="16"/>
        <v>2025</v>
      </c>
      <c r="I25" s="17">
        <f>ROUND(VLOOKUP(H25&amp;"_3",管理者用人口入力シート!BH:CM,27,FALSE),0)</f>
        <v>1135</v>
      </c>
      <c r="J25" s="12"/>
      <c r="K25" s="12"/>
      <c r="N25" s="1" t="s">
        <v>106</v>
      </c>
      <c r="O25" s="1">
        <f t="shared" si="18"/>
        <v>2025</v>
      </c>
      <c r="P25" s="17">
        <f t="shared" si="19"/>
        <v>1135</v>
      </c>
      <c r="Q25" s="17">
        <f>ROUND(VLOOKUP(H17&amp;"_3",管理者用人口入力シート!CO:DT,27,FALSE),0)</f>
        <v>1136</v>
      </c>
    </row>
    <row r="26" spans="1:17" x14ac:dyDescent="0.15">
      <c r="A26" s="1" t="s">
        <v>62</v>
      </c>
      <c r="B26" s="1">
        <f t="shared" si="20"/>
        <v>2020</v>
      </c>
      <c r="C26" s="17">
        <f>SUM(B104:C109)</f>
        <v>5143</v>
      </c>
      <c r="D26" s="12"/>
      <c r="E26" s="12"/>
      <c r="G26" s="1" t="s">
        <v>107</v>
      </c>
      <c r="H26" s="1">
        <f t="shared" si="16"/>
        <v>2030</v>
      </c>
      <c r="I26" s="17">
        <f>ROUND(VLOOKUP(H26&amp;"_3",管理者用人口入力シート!BH:CM,27,FALSE),0)</f>
        <v>1092</v>
      </c>
      <c r="J26" s="12"/>
      <c r="K26" s="12"/>
      <c r="N26" s="1" t="s">
        <v>107</v>
      </c>
      <c r="O26" s="1">
        <f t="shared" si="18"/>
        <v>2030</v>
      </c>
      <c r="P26" s="17">
        <f t="shared" si="19"/>
        <v>1092</v>
      </c>
      <c r="Q26" s="17">
        <f>ROUND(VLOOKUP(H18&amp;"_3",管理者用人口入力シート!CO:DT,27,FALSE),0)</f>
        <v>1093</v>
      </c>
    </row>
    <row r="27" spans="1:17" x14ac:dyDescent="0.15">
      <c r="G27" s="1" t="s">
        <v>108</v>
      </c>
      <c r="H27" s="1">
        <f t="shared" si="16"/>
        <v>2035</v>
      </c>
      <c r="I27" s="17">
        <f>ROUND(VLOOKUP(H27&amp;"_3",管理者用人口入力シート!BH:CM,27,FALSE),0)</f>
        <v>1049</v>
      </c>
      <c r="J27" s="12"/>
      <c r="K27" s="12"/>
      <c r="N27" s="1" t="s">
        <v>108</v>
      </c>
      <c r="O27" s="1">
        <f t="shared" si="18"/>
        <v>2035</v>
      </c>
      <c r="P27" s="17">
        <f t="shared" si="19"/>
        <v>1049</v>
      </c>
      <c r="Q27" s="17">
        <f>ROUND(VLOOKUP(H19&amp;"_3",管理者用人口入力シート!CO:DT,27,FALSE),0)</f>
        <v>1051</v>
      </c>
    </row>
    <row r="28" spans="1:17" x14ac:dyDescent="0.15">
      <c r="A28" s="69" t="s">
        <v>85</v>
      </c>
      <c r="G28" s="1" t="s">
        <v>109</v>
      </c>
      <c r="H28" s="1">
        <f t="shared" si="16"/>
        <v>2040</v>
      </c>
      <c r="I28" s="17">
        <f>ROUND(VLOOKUP(H28&amp;"_3",管理者用人口入力シート!BH:CM,27,FALSE),0)</f>
        <v>1023</v>
      </c>
      <c r="J28" s="12"/>
      <c r="K28" s="12"/>
      <c r="N28" s="1" t="s">
        <v>109</v>
      </c>
      <c r="O28" s="1">
        <f t="shared" si="18"/>
        <v>2040</v>
      </c>
      <c r="P28" s="17">
        <f t="shared" si="19"/>
        <v>1023</v>
      </c>
      <c r="Q28" s="17">
        <f>ROUND(VLOOKUP(H20&amp;"_3",管理者用人口入力シート!CO:DT,27,FALSE),0)</f>
        <v>1026</v>
      </c>
    </row>
    <row r="29" spans="1:17" x14ac:dyDescent="0.15">
      <c r="A29" s="2" t="s">
        <v>84</v>
      </c>
    </row>
    <row r="30" spans="1:17" x14ac:dyDescent="0.15">
      <c r="A30" s="1" t="s">
        <v>58</v>
      </c>
      <c r="B30" s="1">
        <f>B4</f>
        <v>2010</v>
      </c>
      <c r="C30" s="38">
        <f>ROUND((SUM(B54:C61)/SUM(B41:C61)),2)</f>
        <v>0.2</v>
      </c>
      <c r="D30" s="205"/>
      <c r="E30" s="205"/>
      <c r="G30" s="69" t="s">
        <v>110</v>
      </c>
      <c r="N30" s="69" t="s">
        <v>110</v>
      </c>
    </row>
    <row r="31" spans="1:17" x14ac:dyDescent="0.15">
      <c r="A31" s="1" t="s">
        <v>61</v>
      </c>
      <c r="B31" s="1">
        <f t="shared" ref="B31:B32" si="21">B5</f>
        <v>2015</v>
      </c>
      <c r="C31" s="38">
        <f>ROUND((SUM(B78:C85)/SUM(B65:C85)),2)</f>
        <v>0.23</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0.25</v>
      </c>
      <c r="D32" s="205"/>
      <c r="E32" s="205"/>
      <c r="G32" s="1" t="s">
        <v>58</v>
      </c>
      <c r="H32" s="1">
        <f>H4</f>
        <v>2010</v>
      </c>
      <c r="I32" s="17">
        <f>C20</f>
        <v>8160</v>
      </c>
      <c r="J32" s="12"/>
      <c r="K32" s="12"/>
      <c r="N32" s="1" t="s">
        <v>58</v>
      </c>
      <c r="O32" s="1">
        <f>O4</f>
        <v>2010</v>
      </c>
      <c r="P32" s="17">
        <f>I32</f>
        <v>8160</v>
      </c>
      <c r="Q32" s="17"/>
    </row>
    <row r="33" spans="1:17" x14ac:dyDescent="0.15">
      <c r="A33" s="2" t="s">
        <v>86</v>
      </c>
      <c r="G33" s="1" t="s">
        <v>57</v>
      </c>
      <c r="H33" s="1">
        <f t="shared" ref="H33:H38" si="22">H5</f>
        <v>2015</v>
      </c>
      <c r="I33" s="17">
        <f>C21</f>
        <v>9577</v>
      </c>
      <c r="J33" s="12"/>
      <c r="K33" s="12"/>
      <c r="N33" s="1" t="s">
        <v>57</v>
      </c>
      <c r="O33" s="1">
        <f t="shared" ref="O33:O38" si="23">O5</f>
        <v>2015</v>
      </c>
      <c r="P33" s="17">
        <f t="shared" ref="P33:P38" si="24">I33</f>
        <v>9577</v>
      </c>
      <c r="Q33" s="17"/>
    </row>
    <row r="34" spans="1:17" x14ac:dyDescent="0.15">
      <c r="A34" s="1" t="s">
        <v>58</v>
      </c>
      <c r="B34" s="1">
        <f>B4</f>
        <v>2010</v>
      </c>
      <c r="C34" s="38">
        <f>ROUND((SUM(B56:C61)/SUM(B41:C61)),2)</f>
        <v>0.11</v>
      </c>
      <c r="D34" s="205"/>
      <c r="E34" s="205"/>
      <c r="G34" s="1" t="s">
        <v>62</v>
      </c>
      <c r="H34" s="1">
        <f t="shared" si="22"/>
        <v>2020</v>
      </c>
      <c r="I34" s="17">
        <f>C22</f>
        <v>10473</v>
      </c>
      <c r="J34" s="12"/>
      <c r="K34" s="12"/>
      <c r="N34" s="1" t="s">
        <v>62</v>
      </c>
      <c r="O34" s="1">
        <f t="shared" si="23"/>
        <v>2020</v>
      </c>
      <c r="P34" s="17">
        <f t="shared" si="24"/>
        <v>10473</v>
      </c>
      <c r="Q34" s="17"/>
    </row>
    <row r="35" spans="1:17" x14ac:dyDescent="0.15">
      <c r="A35" s="1" t="s">
        <v>61</v>
      </c>
      <c r="B35" s="1">
        <f t="shared" ref="B35:B36" si="25">B5</f>
        <v>2015</v>
      </c>
      <c r="C35" s="38">
        <f>ROUND((SUM(B80:C85)/SUM(B65:C85)),2)</f>
        <v>0.12</v>
      </c>
      <c r="D35" s="205"/>
      <c r="E35" s="205"/>
      <c r="G35" s="1" t="s">
        <v>106</v>
      </c>
      <c r="H35" s="1">
        <f t="shared" si="22"/>
        <v>2025</v>
      </c>
      <c r="I35" s="17">
        <f>SUM(H82:I89)</f>
        <v>10918</v>
      </c>
      <c r="J35" s="12"/>
      <c r="K35" s="12"/>
      <c r="N35" s="1" t="s">
        <v>106</v>
      </c>
      <c r="O35" s="1">
        <f t="shared" si="23"/>
        <v>2025</v>
      </c>
      <c r="P35" s="17">
        <f t="shared" si="24"/>
        <v>10918</v>
      </c>
      <c r="Q35" s="17">
        <f>SUM(O82:P89)</f>
        <v>10918</v>
      </c>
    </row>
    <row r="36" spans="1:17" x14ac:dyDescent="0.15">
      <c r="A36" s="1" t="s">
        <v>62</v>
      </c>
      <c r="B36" s="1">
        <f t="shared" si="25"/>
        <v>2020</v>
      </c>
      <c r="C36" s="38">
        <f>ROUND((SUM(B104:C109)/SUM(B89:C109)),2)</f>
        <v>0.12</v>
      </c>
      <c r="D36" s="205"/>
      <c r="E36" s="205"/>
      <c r="G36" s="1" t="s">
        <v>107</v>
      </c>
      <c r="H36" s="1">
        <f t="shared" si="22"/>
        <v>2030</v>
      </c>
      <c r="I36" s="17">
        <f>SUM(H106:I113)</f>
        <v>11334</v>
      </c>
      <c r="J36" s="12"/>
      <c r="K36" s="12"/>
      <c r="N36" s="1" t="s">
        <v>107</v>
      </c>
      <c r="O36" s="1">
        <f t="shared" si="23"/>
        <v>2030</v>
      </c>
      <c r="P36" s="17">
        <f t="shared" si="24"/>
        <v>11334</v>
      </c>
      <c r="Q36" s="17">
        <f>SUM(O106:P113)</f>
        <v>11334</v>
      </c>
    </row>
    <row r="37" spans="1:17" x14ac:dyDescent="0.15">
      <c r="G37" s="1" t="s">
        <v>108</v>
      </c>
      <c r="H37" s="1">
        <f t="shared" si="22"/>
        <v>2035</v>
      </c>
      <c r="I37" s="17">
        <f>SUM(H130:I137)</f>
        <v>11655</v>
      </c>
      <c r="J37" s="12"/>
      <c r="K37" s="12"/>
      <c r="N37" s="1" t="s">
        <v>108</v>
      </c>
      <c r="O37" s="1">
        <f t="shared" si="23"/>
        <v>2035</v>
      </c>
      <c r="P37" s="17">
        <f t="shared" si="24"/>
        <v>11655</v>
      </c>
      <c r="Q37" s="17">
        <f>SUM(O130:P137)</f>
        <v>11655</v>
      </c>
    </row>
    <row r="38" spans="1:17" x14ac:dyDescent="0.15">
      <c r="A38" s="69" t="s">
        <v>113</v>
      </c>
      <c r="G38" s="1" t="s">
        <v>109</v>
      </c>
      <c r="H38" s="1">
        <f t="shared" si="22"/>
        <v>2040</v>
      </c>
      <c r="I38" s="17">
        <f>SUM(H154:I161)</f>
        <v>12325</v>
      </c>
      <c r="J38" s="12"/>
      <c r="K38" s="12"/>
      <c r="N38" s="1" t="s">
        <v>109</v>
      </c>
      <c r="O38" s="1">
        <f t="shared" si="23"/>
        <v>2040</v>
      </c>
      <c r="P38" s="17">
        <f t="shared" si="24"/>
        <v>12325</v>
      </c>
      <c r="Q38" s="17">
        <f>SUM(O154:P161)</f>
        <v>12325</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4309</v>
      </c>
      <c r="J40" s="12"/>
      <c r="K40" s="12"/>
      <c r="N40" s="1" t="s">
        <v>58</v>
      </c>
      <c r="O40" s="1">
        <f>O4</f>
        <v>2010</v>
      </c>
      <c r="P40" s="17">
        <f>I40</f>
        <v>4309</v>
      </c>
      <c r="Q40" s="17"/>
    </row>
    <row r="41" spans="1:17" x14ac:dyDescent="0.15">
      <c r="A41" s="2" t="s">
        <v>0</v>
      </c>
      <c r="B41" s="17">
        <f>ROUND(VLOOKUP(B$39&amp;"_1",管理者用人口入力シート!A:X,D41,FALSE),0)</f>
        <v>1196</v>
      </c>
      <c r="C41" s="17">
        <f>ROUND(VLOOKUP(B$39&amp;"_2",管理者用人口入力シート!A:X,D41,FALSE),0)</f>
        <v>1129</v>
      </c>
      <c r="D41" s="2">
        <v>4</v>
      </c>
      <c r="G41" s="1" t="s">
        <v>57</v>
      </c>
      <c r="H41" s="1">
        <f t="shared" ref="H41:H46" si="26">H5</f>
        <v>2015</v>
      </c>
      <c r="I41" s="17">
        <f>C25</f>
        <v>4798</v>
      </c>
      <c r="J41" s="12"/>
      <c r="K41" s="12"/>
      <c r="N41" s="1" t="s">
        <v>57</v>
      </c>
      <c r="O41" s="1">
        <f t="shared" ref="O41:O46" si="27">O5</f>
        <v>2015</v>
      </c>
      <c r="P41" s="17">
        <f t="shared" ref="P41:P46" si="28">I41</f>
        <v>4798</v>
      </c>
      <c r="Q41" s="17"/>
    </row>
    <row r="42" spans="1:17" x14ac:dyDescent="0.15">
      <c r="A42" s="2" t="s">
        <v>1</v>
      </c>
      <c r="B42" s="17">
        <f>ROUND(VLOOKUP(B$39&amp;"_1",管理者用人口入力シート!A:X,D42,FALSE),0)</f>
        <v>1070</v>
      </c>
      <c r="C42" s="17">
        <f>ROUND(VLOOKUP(B$39&amp;"_2",管理者用人口入力シート!A:X,D42,FALSE),0)</f>
        <v>1044</v>
      </c>
      <c r="D42" s="2">
        <v>5</v>
      </c>
      <c r="G42" s="1" t="s">
        <v>62</v>
      </c>
      <c r="H42" s="1">
        <f t="shared" si="26"/>
        <v>2020</v>
      </c>
      <c r="I42" s="17">
        <f>C26</f>
        <v>5143</v>
      </c>
      <c r="J42" s="12"/>
      <c r="K42" s="12"/>
      <c r="N42" s="1" t="s">
        <v>62</v>
      </c>
      <c r="O42" s="1">
        <f t="shared" si="27"/>
        <v>2020</v>
      </c>
      <c r="P42" s="17">
        <f t="shared" si="28"/>
        <v>5143</v>
      </c>
      <c r="Q42" s="17"/>
    </row>
    <row r="43" spans="1:17" x14ac:dyDescent="0.15">
      <c r="A43" s="2" t="s">
        <v>2</v>
      </c>
      <c r="B43" s="17">
        <f>ROUND(VLOOKUP(B$39&amp;"_1",管理者用人口入力シート!A:X,D43,FALSE),0)</f>
        <v>1058</v>
      </c>
      <c r="C43" s="17">
        <f>ROUND(VLOOKUP(B$39&amp;"_2",管理者用人口入力シート!A:X,D43,FALSE),0)</f>
        <v>1061</v>
      </c>
      <c r="D43" s="2">
        <v>6</v>
      </c>
      <c r="G43" s="1" t="s">
        <v>106</v>
      </c>
      <c r="H43" s="1">
        <f t="shared" si="26"/>
        <v>2025</v>
      </c>
      <c r="I43" s="17">
        <f>SUM(H84:I89)</f>
        <v>6002</v>
      </c>
      <c r="J43" s="12"/>
      <c r="K43" s="12"/>
      <c r="N43" s="1" t="s">
        <v>106</v>
      </c>
      <c r="O43" s="1">
        <f t="shared" si="27"/>
        <v>2025</v>
      </c>
      <c r="P43" s="17">
        <f t="shared" si="28"/>
        <v>6002</v>
      </c>
      <c r="Q43" s="17">
        <f>SUM(O84:P89)</f>
        <v>6002</v>
      </c>
    </row>
    <row r="44" spans="1:17" x14ac:dyDescent="0.15">
      <c r="A44" s="2" t="s">
        <v>3</v>
      </c>
      <c r="B44" s="17">
        <f>ROUND(VLOOKUP(B$39&amp;"_1",管理者用人口入力シート!A:X,D44,FALSE),0)</f>
        <v>1007</v>
      </c>
      <c r="C44" s="17">
        <f>ROUND(VLOOKUP(B$39&amp;"_2",管理者用人口入力シート!A:X,D44,FALSE),0)</f>
        <v>1023</v>
      </c>
      <c r="D44" s="2">
        <v>7</v>
      </c>
      <c r="G44" s="1" t="s">
        <v>107</v>
      </c>
      <c r="H44" s="1">
        <f t="shared" si="26"/>
        <v>2030</v>
      </c>
      <c r="I44" s="17">
        <f>SUM(H108:I113)</f>
        <v>6536</v>
      </c>
      <c r="J44" s="12"/>
      <c r="K44" s="12"/>
      <c r="N44" s="1" t="s">
        <v>107</v>
      </c>
      <c r="O44" s="1">
        <f t="shared" si="27"/>
        <v>2030</v>
      </c>
      <c r="P44" s="17">
        <f t="shared" si="28"/>
        <v>6536</v>
      </c>
      <c r="Q44" s="17">
        <f>SUM(O108:P113)</f>
        <v>6536</v>
      </c>
    </row>
    <row r="45" spans="1:17" x14ac:dyDescent="0.15">
      <c r="A45" s="2" t="s">
        <v>4</v>
      </c>
      <c r="B45" s="17">
        <f>ROUND(VLOOKUP(B$39&amp;"_1",管理者用人口入力シート!A:X,D45,FALSE),0)</f>
        <v>761</v>
      </c>
      <c r="C45" s="17">
        <f>ROUND(VLOOKUP(B$39&amp;"_2",管理者用人口入力シート!A:X,D45,FALSE),0)</f>
        <v>953</v>
      </c>
      <c r="D45" s="2">
        <v>8</v>
      </c>
      <c r="G45" s="1" t="s">
        <v>108</v>
      </c>
      <c r="H45" s="1">
        <f t="shared" si="26"/>
        <v>2035</v>
      </c>
      <c r="I45" s="17">
        <f>SUM(H132:I137)</f>
        <v>6643</v>
      </c>
      <c r="J45" s="12"/>
      <c r="K45" s="12"/>
      <c r="N45" s="1" t="s">
        <v>108</v>
      </c>
      <c r="O45" s="1">
        <f t="shared" si="27"/>
        <v>2035</v>
      </c>
      <c r="P45" s="17">
        <f t="shared" si="28"/>
        <v>6643</v>
      </c>
      <c r="Q45" s="17">
        <f>SUM(O132:P137)</f>
        <v>6643</v>
      </c>
    </row>
    <row r="46" spans="1:17" x14ac:dyDescent="0.15">
      <c r="A46" s="2" t="s">
        <v>5</v>
      </c>
      <c r="B46" s="17">
        <f>ROUND(VLOOKUP(B$39&amp;"_1",管理者用人口入力シート!A:X,D46,FALSE),0)</f>
        <v>1116</v>
      </c>
      <c r="C46" s="17">
        <f>ROUND(VLOOKUP(B$39&amp;"_2",管理者用人口入力シート!A:X,D46,FALSE),0)</f>
        <v>1317</v>
      </c>
      <c r="D46" s="2">
        <v>9</v>
      </c>
      <c r="G46" s="1" t="s">
        <v>109</v>
      </c>
      <c r="H46" s="1">
        <f t="shared" si="26"/>
        <v>2040</v>
      </c>
      <c r="I46" s="17">
        <f>SUM(H156:I161)</f>
        <v>6741</v>
      </c>
      <c r="J46" s="12"/>
      <c r="K46" s="12"/>
      <c r="N46" s="1" t="s">
        <v>109</v>
      </c>
      <c r="O46" s="1">
        <f t="shared" si="27"/>
        <v>2040</v>
      </c>
      <c r="P46" s="17">
        <f t="shared" si="28"/>
        <v>6741</v>
      </c>
      <c r="Q46" s="17">
        <f>SUM(O156:P161)</f>
        <v>6741</v>
      </c>
    </row>
    <row r="47" spans="1:17" x14ac:dyDescent="0.15">
      <c r="A47" s="2" t="s">
        <v>6</v>
      </c>
      <c r="B47" s="17">
        <f>ROUND(VLOOKUP(B$39&amp;"_1",管理者用人口入力シート!A:X,D47,FALSE),0)</f>
        <v>1477</v>
      </c>
      <c r="C47" s="17">
        <f>ROUND(VLOOKUP(B$39&amp;"_2",管理者用人口入力シート!A:X,D47,FALSE),0)</f>
        <v>1598</v>
      </c>
      <c r="D47" s="2">
        <v>10</v>
      </c>
    </row>
    <row r="48" spans="1:17" x14ac:dyDescent="0.15">
      <c r="A48" s="2" t="s">
        <v>7</v>
      </c>
      <c r="B48" s="17">
        <f>ROUND(VLOOKUP(B$39&amp;"_1",管理者用人口入力シート!A:X,D48,FALSE),0)</f>
        <v>1616</v>
      </c>
      <c r="C48" s="17">
        <f>ROUND(VLOOKUP(B$39&amp;"_2",管理者用人口入力シート!A:X,D48,FALSE),0)</f>
        <v>1704</v>
      </c>
      <c r="D48" s="2">
        <v>11</v>
      </c>
      <c r="G48" s="69" t="s">
        <v>85</v>
      </c>
      <c r="N48" s="69" t="s">
        <v>85</v>
      </c>
    </row>
    <row r="49" spans="1:17" x14ac:dyDescent="0.15">
      <c r="A49" s="2" t="s">
        <v>8</v>
      </c>
      <c r="B49" s="17">
        <f>ROUND(VLOOKUP(B$39&amp;"_1",管理者用人口入力シート!A:X,D49,FALSE),0)</f>
        <v>1311</v>
      </c>
      <c r="C49" s="17">
        <f>ROUND(VLOOKUP(B$39&amp;"_2",管理者用人口入力シート!A:X,D49,FALSE),0)</f>
        <v>1472</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1236</v>
      </c>
      <c r="C50" s="17">
        <f>ROUND(VLOOKUP(B$39&amp;"_2",管理者用人口入力シート!A:X,D50,FALSE),0)</f>
        <v>1375</v>
      </c>
      <c r="D50" s="2">
        <v>13</v>
      </c>
      <c r="G50" s="1" t="s">
        <v>58</v>
      </c>
      <c r="H50" s="1">
        <f>H4</f>
        <v>2010</v>
      </c>
      <c r="I50" s="38">
        <f>C30</f>
        <v>0.2</v>
      </c>
      <c r="J50" s="205"/>
      <c r="K50" s="205"/>
      <c r="N50" s="1" t="s">
        <v>58</v>
      </c>
      <c r="O50" s="1">
        <f>O4</f>
        <v>2010</v>
      </c>
      <c r="P50" s="38">
        <f t="shared" ref="P50:P56" si="29">I50</f>
        <v>0.2</v>
      </c>
      <c r="Q50" s="1"/>
    </row>
    <row r="51" spans="1:17" x14ac:dyDescent="0.15">
      <c r="A51" s="2" t="s">
        <v>10</v>
      </c>
      <c r="B51" s="17">
        <f>ROUND(VLOOKUP(B$39&amp;"_1",管理者用人口入力シート!A:X,D51,FALSE),0)</f>
        <v>1232</v>
      </c>
      <c r="C51" s="17">
        <f>ROUND(VLOOKUP(B$39&amp;"_2",管理者用人口入力シート!A:X,D51,FALSE),0)</f>
        <v>1310</v>
      </c>
      <c r="D51" s="2">
        <v>14</v>
      </c>
      <c r="G51" s="1" t="s">
        <v>57</v>
      </c>
      <c r="H51" s="1">
        <f t="shared" ref="H51:H56" si="30">H5</f>
        <v>2015</v>
      </c>
      <c r="I51" s="38">
        <f t="shared" ref="I51:I52" si="31">C31</f>
        <v>0.23</v>
      </c>
      <c r="J51" s="205"/>
      <c r="K51" s="205"/>
      <c r="N51" s="1" t="s">
        <v>57</v>
      </c>
      <c r="O51" s="1">
        <f t="shared" ref="O51:O56" si="32">O5</f>
        <v>2015</v>
      </c>
      <c r="P51" s="38">
        <f t="shared" si="29"/>
        <v>0.23</v>
      </c>
      <c r="Q51" s="1"/>
    </row>
    <row r="52" spans="1:17" x14ac:dyDescent="0.15">
      <c r="A52" s="2" t="s">
        <v>11</v>
      </c>
      <c r="B52" s="17">
        <f>ROUND(VLOOKUP(B$39&amp;"_1",管理者用人口入力シート!A:X,D52,FALSE),0)</f>
        <v>1361</v>
      </c>
      <c r="C52" s="17">
        <f>ROUND(VLOOKUP(B$39&amp;"_2",管理者用人口入力シート!A:X,D52,FALSE),0)</f>
        <v>1468</v>
      </c>
      <c r="D52" s="2">
        <v>15</v>
      </c>
      <c r="G52" s="1" t="s">
        <v>62</v>
      </c>
      <c r="H52" s="1">
        <f t="shared" si="30"/>
        <v>2020</v>
      </c>
      <c r="I52" s="38">
        <f t="shared" si="31"/>
        <v>0.25</v>
      </c>
      <c r="J52" s="205"/>
      <c r="K52" s="205"/>
      <c r="N52" s="1" t="s">
        <v>62</v>
      </c>
      <c r="O52" s="1">
        <f t="shared" si="32"/>
        <v>2020</v>
      </c>
      <c r="P52" s="38">
        <f t="shared" si="29"/>
        <v>0.25</v>
      </c>
      <c r="Q52" s="1"/>
    </row>
    <row r="53" spans="1:17" x14ac:dyDescent="0.15">
      <c r="A53" s="2" t="s">
        <v>12</v>
      </c>
      <c r="B53" s="17">
        <f>ROUND(VLOOKUP(B$39&amp;"_1",管理者用人口入力シート!A:X,D53,FALSE),0)</f>
        <v>1370</v>
      </c>
      <c r="C53" s="17">
        <f>ROUND(VLOOKUP(B$39&amp;"_2",管理者用人口入力シート!A:X,D53,FALSE),0)</f>
        <v>1515</v>
      </c>
      <c r="D53" s="2">
        <v>16</v>
      </c>
      <c r="G53" s="1" t="s">
        <v>106</v>
      </c>
      <c r="H53" s="1">
        <f t="shared" si="30"/>
        <v>2025</v>
      </c>
      <c r="I53" s="38">
        <f>ROUND((SUM(H82:I89)/SUM(H69:I89)),2)</f>
        <v>0.26</v>
      </c>
      <c r="J53" s="205"/>
      <c r="K53" s="205"/>
      <c r="L53" s="70"/>
      <c r="M53" s="70"/>
      <c r="N53" s="1" t="s">
        <v>106</v>
      </c>
      <c r="O53" s="1">
        <f t="shared" si="32"/>
        <v>2025</v>
      </c>
      <c r="P53" s="38">
        <f t="shared" si="29"/>
        <v>0.26</v>
      </c>
      <c r="Q53" s="38">
        <f>ROUND((SUM(O82:P89)/SUM(O69:P89)),2)</f>
        <v>0.26</v>
      </c>
    </row>
    <row r="54" spans="1:17" x14ac:dyDescent="0.15">
      <c r="A54" s="2" t="s">
        <v>13</v>
      </c>
      <c r="B54" s="17">
        <f>ROUND(VLOOKUP(B$39&amp;"_1",管理者用人口入力シート!A:X,D54,FALSE),0)</f>
        <v>962</v>
      </c>
      <c r="C54" s="17">
        <f>ROUND(VLOOKUP(B$39&amp;"_2",管理者用人口入力シート!A:X,D54,FALSE),0)</f>
        <v>1123</v>
      </c>
      <c r="D54" s="2">
        <v>17</v>
      </c>
      <c r="G54" s="1" t="s">
        <v>107</v>
      </c>
      <c r="H54" s="1">
        <f t="shared" si="30"/>
        <v>2030</v>
      </c>
      <c r="I54" s="38">
        <f>ROUND((SUM(H106:I113)/SUM(H93:I113)),2)</f>
        <v>0.27</v>
      </c>
      <c r="J54" s="205"/>
      <c r="K54" s="205"/>
      <c r="N54" s="1" t="s">
        <v>107</v>
      </c>
      <c r="O54" s="1">
        <f t="shared" si="32"/>
        <v>2030</v>
      </c>
      <c r="P54" s="38">
        <f t="shared" si="29"/>
        <v>0.27</v>
      </c>
      <c r="Q54" s="38">
        <f>ROUND((SUM(O106:P113)/SUM(O93:P113)),2)</f>
        <v>0.27</v>
      </c>
    </row>
    <row r="55" spans="1:17" x14ac:dyDescent="0.15">
      <c r="A55" s="2" t="s">
        <v>14</v>
      </c>
      <c r="B55" s="17">
        <f>ROUND(VLOOKUP(B$39&amp;"_1",管理者用人口入力シート!A:X,D55,FALSE),0)</f>
        <v>763</v>
      </c>
      <c r="C55" s="17">
        <f>ROUND(VLOOKUP(B$39&amp;"_2",管理者用人口入力シート!A:X,D55,FALSE),0)</f>
        <v>1003</v>
      </c>
      <c r="D55" s="2">
        <v>18</v>
      </c>
      <c r="G55" s="1" t="s">
        <v>108</v>
      </c>
      <c r="H55" s="1">
        <f t="shared" si="30"/>
        <v>2035</v>
      </c>
      <c r="I55" s="38">
        <f>ROUND((SUM(H130:I137)/SUM(H117:I137)),2)</f>
        <v>0.28000000000000003</v>
      </c>
      <c r="J55" s="205"/>
      <c r="K55" s="205"/>
      <c r="N55" s="1" t="s">
        <v>108</v>
      </c>
      <c r="O55" s="1">
        <f t="shared" si="32"/>
        <v>2035</v>
      </c>
      <c r="P55" s="38">
        <f t="shared" si="29"/>
        <v>0.28000000000000003</v>
      </c>
      <c r="Q55" s="38">
        <f>ROUND((SUM(O130:P137)/SUM(O117:P137)),2)</f>
        <v>0.28000000000000003</v>
      </c>
    </row>
    <row r="56" spans="1:17" x14ac:dyDescent="0.15">
      <c r="A56" s="2" t="s">
        <v>15</v>
      </c>
      <c r="B56" s="17">
        <f>ROUND(VLOOKUP(B$39&amp;"_1",管理者用人口入力シート!A:X,D56,FALSE),0)</f>
        <v>678</v>
      </c>
      <c r="C56" s="17">
        <f>ROUND(VLOOKUP(B$39&amp;"_2",管理者用人口入力シート!A:X,D56,FALSE),0)</f>
        <v>1019</v>
      </c>
      <c r="D56" s="2">
        <v>19</v>
      </c>
      <c r="G56" s="1" t="s">
        <v>109</v>
      </c>
      <c r="H56" s="1">
        <f t="shared" si="30"/>
        <v>2040</v>
      </c>
      <c r="I56" s="38">
        <f>ROUND((SUM(H154:I161)/SUM(H141:I161)),2)</f>
        <v>0.28999999999999998</v>
      </c>
      <c r="J56" s="205"/>
      <c r="K56" s="205"/>
      <c r="N56" s="1" t="s">
        <v>109</v>
      </c>
      <c r="O56" s="1">
        <f t="shared" si="32"/>
        <v>2040</v>
      </c>
      <c r="P56" s="38">
        <f t="shared" si="29"/>
        <v>0.28999999999999998</v>
      </c>
      <c r="Q56" s="38">
        <f>ROUND((SUM(O154:P161)/SUM(O141:P161)),2)</f>
        <v>0.28999999999999998</v>
      </c>
    </row>
    <row r="57" spans="1:17" x14ac:dyDescent="0.15">
      <c r="A57" s="2" t="s">
        <v>16</v>
      </c>
      <c r="B57" s="17">
        <f>ROUND(VLOOKUP(B$39&amp;"_1",管理者用人口入力シート!A:X,D57,FALSE),0)</f>
        <v>544</v>
      </c>
      <c r="C57" s="17">
        <f>ROUND(VLOOKUP(B$39&amp;"_2",管理者用人口入力シート!A:X,D57,FALSE),0)</f>
        <v>834</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225</v>
      </c>
      <c r="C58" s="17">
        <f>ROUND(VLOOKUP(B$39&amp;"_2",管理者用人口入力シート!A:X,D58,FALSE),0)</f>
        <v>552</v>
      </c>
      <c r="D58" s="2">
        <v>21</v>
      </c>
      <c r="G58" s="1" t="s">
        <v>58</v>
      </c>
      <c r="H58" s="1">
        <f>H4</f>
        <v>2010</v>
      </c>
      <c r="I58" s="38">
        <f>C34</f>
        <v>0.11</v>
      </c>
      <c r="J58" s="205"/>
      <c r="K58" s="205"/>
      <c r="N58" s="1" t="s">
        <v>58</v>
      </c>
      <c r="O58" s="1">
        <f>O4</f>
        <v>2010</v>
      </c>
      <c r="P58" s="38">
        <f t="shared" ref="P58:P64" si="33">I58</f>
        <v>0.11</v>
      </c>
      <c r="Q58" s="1"/>
    </row>
    <row r="59" spans="1:17" x14ac:dyDescent="0.15">
      <c r="A59" s="2" t="s">
        <v>18</v>
      </c>
      <c r="B59" s="17">
        <f>ROUND(VLOOKUP(B$39&amp;"_1",管理者用人口入力シート!A:X,D59,FALSE),0)</f>
        <v>69</v>
      </c>
      <c r="C59" s="17">
        <f>ROUND(VLOOKUP(B$39&amp;"_2",管理者用人口入力シート!A:X,D59,FALSE),0)</f>
        <v>237</v>
      </c>
      <c r="D59" s="2">
        <v>22</v>
      </c>
      <c r="G59" s="1" t="s">
        <v>57</v>
      </c>
      <c r="H59" s="1">
        <f t="shared" ref="H59:H64" si="34">H5</f>
        <v>2015</v>
      </c>
      <c r="I59" s="38">
        <f t="shared" ref="I59:I60" si="35">C35</f>
        <v>0.12</v>
      </c>
      <c r="J59" s="205"/>
      <c r="K59" s="205"/>
      <c r="N59" s="1" t="s">
        <v>57</v>
      </c>
      <c r="O59" s="1">
        <f t="shared" ref="O59:O64" si="36">O5</f>
        <v>2015</v>
      </c>
      <c r="P59" s="38">
        <f t="shared" si="33"/>
        <v>0.12</v>
      </c>
      <c r="Q59" s="1"/>
    </row>
    <row r="60" spans="1:17" x14ac:dyDescent="0.15">
      <c r="A60" s="2" t="s">
        <v>19</v>
      </c>
      <c r="B60" s="17">
        <f>ROUND(VLOOKUP(B$39&amp;"_1",管理者用人口入力シート!A:X,D60,FALSE),0)</f>
        <v>27</v>
      </c>
      <c r="C60" s="17">
        <f>ROUND(VLOOKUP(B$39&amp;"_2",管理者用人口入力シート!A:X,D60,FALSE),0)</f>
        <v>102</v>
      </c>
      <c r="D60" s="2">
        <v>23</v>
      </c>
      <c r="G60" s="1" t="s">
        <v>62</v>
      </c>
      <c r="H60" s="1">
        <f t="shared" si="34"/>
        <v>2020</v>
      </c>
      <c r="I60" s="38">
        <f t="shared" si="35"/>
        <v>0.12</v>
      </c>
      <c r="J60" s="205"/>
      <c r="K60" s="205"/>
      <c r="N60" s="1" t="s">
        <v>62</v>
      </c>
      <c r="O60" s="1">
        <f t="shared" si="36"/>
        <v>2020</v>
      </c>
      <c r="P60" s="38">
        <f t="shared" si="33"/>
        <v>0.12</v>
      </c>
      <c r="Q60" s="1"/>
    </row>
    <row r="61" spans="1:17" x14ac:dyDescent="0.15">
      <c r="A61" s="2" t="s">
        <v>20</v>
      </c>
      <c r="B61" s="17">
        <f>ROUND(VLOOKUP(B$39&amp;"_1",管理者用人口入力シート!A:X,D61,FALSE),0)</f>
        <v>2</v>
      </c>
      <c r="C61" s="17">
        <f>ROUND(VLOOKUP(B$39&amp;"_2",管理者用人口入力シート!A:X,D61,FALSE),0)</f>
        <v>20</v>
      </c>
      <c r="D61" s="2">
        <v>24</v>
      </c>
      <c r="G61" s="1" t="s">
        <v>106</v>
      </c>
      <c r="H61" s="1">
        <f t="shared" si="34"/>
        <v>2025</v>
      </c>
      <c r="I61" s="38">
        <f>ROUND((SUM(H84:I89)/SUM(H69:I89)),2)</f>
        <v>0.14000000000000001</v>
      </c>
      <c r="J61" s="205"/>
      <c r="K61" s="205"/>
      <c r="N61" s="1" t="s">
        <v>106</v>
      </c>
      <c r="O61" s="1">
        <f t="shared" si="36"/>
        <v>2025</v>
      </c>
      <c r="P61" s="38">
        <f t="shared" si="33"/>
        <v>0.14000000000000001</v>
      </c>
      <c r="Q61" s="38">
        <f>ROUND((SUM(O84:P89)/SUM(O69:P89)),2)</f>
        <v>0.14000000000000001</v>
      </c>
    </row>
    <row r="62" spans="1:17" x14ac:dyDescent="0.15">
      <c r="G62" s="1" t="s">
        <v>107</v>
      </c>
      <c r="H62" s="1">
        <f t="shared" si="34"/>
        <v>2030</v>
      </c>
      <c r="I62" s="38">
        <f>ROUND((SUM(H108:I113)/SUM(H93:I113)),2)</f>
        <v>0.15</v>
      </c>
      <c r="J62" s="205"/>
      <c r="K62" s="205"/>
      <c r="N62" s="1" t="s">
        <v>107</v>
      </c>
      <c r="O62" s="1">
        <f t="shared" si="36"/>
        <v>2030</v>
      </c>
      <c r="P62" s="38">
        <f t="shared" si="33"/>
        <v>0.15</v>
      </c>
      <c r="Q62" s="38">
        <f>ROUND((SUM(O108:P113)/SUM(O93:P113)),2)</f>
        <v>0.15</v>
      </c>
    </row>
    <row r="63" spans="1:17" x14ac:dyDescent="0.15">
      <c r="A63" s="2" t="s">
        <v>384</v>
      </c>
      <c r="B63" s="316">
        <f>管理者入力シート!B6</f>
        <v>2015</v>
      </c>
      <c r="C63" s="317"/>
      <c r="D63" s="2" t="s">
        <v>114</v>
      </c>
      <c r="G63" s="1" t="s">
        <v>108</v>
      </c>
      <c r="H63" s="1">
        <f t="shared" si="34"/>
        <v>2035</v>
      </c>
      <c r="I63" s="38">
        <f>ROUND((SUM(H132:I137)/SUM(H117:I137)),2)</f>
        <v>0.16</v>
      </c>
      <c r="J63" s="205"/>
      <c r="K63" s="205"/>
      <c r="N63" s="1" t="s">
        <v>108</v>
      </c>
      <c r="O63" s="1">
        <f t="shared" si="36"/>
        <v>2035</v>
      </c>
      <c r="P63" s="38">
        <f t="shared" si="33"/>
        <v>0.16</v>
      </c>
      <c r="Q63" s="38">
        <f>ROUND((SUM(O132:P137)/SUM(O117:P137)),2)</f>
        <v>0.16</v>
      </c>
    </row>
    <row r="64" spans="1:17" x14ac:dyDescent="0.15">
      <c r="A64" s="2" t="s">
        <v>115</v>
      </c>
      <c r="B64" s="18" t="s">
        <v>21</v>
      </c>
      <c r="C64" s="18" t="s">
        <v>22</v>
      </c>
      <c r="G64" s="1" t="s">
        <v>109</v>
      </c>
      <c r="H64" s="1">
        <f t="shared" si="34"/>
        <v>2040</v>
      </c>
      <c r="I64" s="38">
        <f>ROUND((SUM(H156:I161)/SUM(H141:I161)),2)</f>
        <v>0.16</v>
      </c>
      <c r="J64" s="205"/>
      <c r="K64" s="205"/>
      <c r="N64" s="1" t="s">
        <v>109</v>
      </c>
      <c r="O64" s="1">
        <f t="shared" si="36"/>
        <v>2040</v>
      </c>
      <c r="P64" s="38">
        <f t="shared" si="33"/>
        <v>0.16</v>
      </c>
      <c r="Q64" s="38">
        <f>ROUND((SUM(O156:P161)/SUM(O141:P161)),2)</f>
        <v>0.16</v>
      </c>
    </row>
    <row r="65" spans="1:21" x14ac:dyDescent="0.15">
      <c r="A65" s="2" t="s">
        <v>0</v>
      </c>
      <c r="B65" s="17">
        <f>ROUND(VLOOKUP(B$63&amp;"_1",管理者用人口入力シート!A:X,D65,FALSE),0)</f>
        <v>1172</v>
      </c>
      <c r="C65" s="17">
        <f>ROUND(VLOOKUP(B$63&amp;"_2",管理者用人口入力シート!A:X,D65,FALSE),0)</f>
        <v>1129</v>
      </c>
      <c r="D65" s="2">
        <v>4</v>
      </c>
    </row>
    <row r="66" spans="1:21" x14ac:dyDescent="0.15">
      <c r="A66" s="2" t="s">
        <v>1</v>
      </c>
      <c r="B66" s="17">
        <f>ROUND(VLOOKUP(B$63&amp;"_1",管理者用人口入力シート!A:X,D66,FALSE),0)</f>
        <v>1019</v>
      </c>
      <c r="C66" s="17">
        <f>ROUND(VLOOKUP(B$63&amp;"_2",管理者用人口入力シート!A:X,D66,FALSE),0)</f>
        <v>989</v>
      </c>
      <c r="D66" s="2">
        <v>5</v>
      </c>
      <c r="G66" s="69" t="s">
        <v>113</v>
      </c>
      <c r="N66" s="69" t="s">
        <v>113</v>
      </c>
    </row>
    <row r="67" spans="1:21" x14ac:dyDescent="0.15">
      <c r="A67" s="2" t="s">
        <v>2</v>
      </c>
      <c r="B67" s="17">
        <f>ROUND(VLOOKUP(B$63&amp;"_1",管理者用人口入力シート!A:X,D67,FALSE),0)</f>
        <v>1053</v>
      </c>
      <c r="C67" s="17">
        <f>ROUND(VLOOKUP(B$63&amp;"_2",管理者用人口入力シート!A:X,D67,FALSE),0)</f>
        <v>962</v>
      </c>
      <c r="D67" s="2">
        <v>6</v>
      </c>
      <c r="G67" s="2" t="s">
        <v>106</v>
      </c>
      <c r="H67" s="316">
        <f>管理者入力シート!B8</f>
        <v>2025</v>
      </c>
      <c r="I67" s="317"/>
      <c r="J67" s="2" t="s">
        <v>114</v>
      </c>
      <c r="K67" s="209"/>
      <c r="O67" s="316">
        <f>管理者入力シート!B8</f>
        <v>2025</v>
      </c>
      <c r="P67" s="317"/>
      <c r="Q67" s="2" t="s">
        <v>114</v>
      </c>
    </row>
    <row r="68" spans="1:21" x14ac:dyDescent="0.15">
      <c r="A68" s="2" t="s">
        <v>3</v>
      </c>
      <c r="B68" s="17">
        <f>ROUND(VLOOKUP(B$63&amp;"_1",管理者用人口入力シート!A:X,D68,FALSE),0)</f>
        <v>961</v>
      </c>
      <c r="C68" s="17">
        <f>ROUND(VLOOKUP(B$63&amp;"_2",管理者用人口入力シート!A:X,D68,FALSE),0)</f>
        <v>1046</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758</v>
      </c>
      <c r="C69" s="17">
        <f>ROUND(VLOOKUP(B$63&amp;"_2",管理者用人口入力シート!A:X,D69,FALSE),0)</f>
        <v>877</v>
      </c>
      <c r="D69" s="2">
        <v>8</v>
      </c>
      <c r="G69" s="2" t="s">
        <v>0</v>
      </c>
      <c r="H69" s="17">
        <f>ROUND(VLOOKUP(H$67&amp;"_1",管理者用人口入力シート!BH:CE,J69,FALSE),0)</f>
        <v>1087</v>
      </c>
      <c r="I69" s="17">
        <f>ROUND(VLOOKUP(H$67&amp;"_2",管理者用人口入力シート!BH:CE,J69,FALSE),0)</f>
        <v>1034</v>
      </c>
      <c r="J69" s="2">
        <v>4</v>
      </c>
      <c r="K69" s="12"/>
      <c r="N69" s="2" t="s">
        <v>0</v>
      </c>
      <c r="O69" s="17">
        <f>ROUND(VLOOKUP(O$67&amp;"_1",管理者用人口入力シート!CO:DL,Q69,FALSE),0)</f>
        <v>1088</v>
      </c>
      <c r="P69" s="17">
        <f>ROUND(VLOOKUP(O$67&amp;"_2",管理者用人口入力シート!CO:DL,Q69,FALSE),0)</f>
        <v>1035</v>
      </c>
      <c r="Q69" s="2">
        <v>4</v>
      </c>
      <c r="U69" s="85"/>
    </row>
    <row r="70" spans="1:21" x14ac:dyDescent="0.15">
      <c r="A70" s="2" t="s">
        <v>5</v>
      </c>
      <c r="B70" s="17">
        <f>ROUND(VLOOKUP(B$63&amp;"_1",管理者用人口入力シート!A:X,D70,FALSE),0)</f>
        <v>1072</v>
      </c>
      <c r="C70" s="17">
        <f>ROUND(VLOOKUP(B$63&amp;"_2",管理者用人口入力シート!A:X,D70,FALSE),0)</f>
        <v>1279</v>
      </c>
      <c r="D70" s="2">
        <v>9</v>
      </c>
      <c r="G70" s="2" t="s">
        <v>1</v>
      </c>
      <c r="H70" s="17">
        <f>ROUND(VLOOKUP(H$67&amp;"_1",管理者用人口入力シート!BH:CE,J70,FALSE),0)</f>
        <v>956</v>
      </c>
      <c r="I70" s="17">
        <f>ROUND(VLOOKUP(H$67&amp;"_2",管理者用人口入力シート!BH:CE,J70,FALSE),0)</f>
        <v>949</v>
      </c>
      <c r="J70" s="2">
        <v>5</v>
      </c>
      <c r="K70" s="12"/>
      <c r="N70" s="2" t="s">
        <v>1</v>
      </c>
      <c r="O70" s="17">
        <f>ROUND(VLOOKUP(O$67&amp;"_1",管理者用人口入力シート!CO:DL,Q70,FALSE),0)</f>
        <v>956</v>
      </c>
      <c r="P70" s="17">
        <f>ROUND(VLOOKUP(O$67&amp;"_2",管理者用人口入力シート!CO:DL,Q70,FALSE),0)</f>
        <v>949</v>
      </c>
      <c r="Q70" s="2">
        <v>5</v>
      </c>
      <c r="U70" s="85"/>
    </row>
    <row r="71" spans="1:21" x14ac:dyDescent="0.15">
      <c r="A71" s="2" t="s">
        <v>6</v>
      </c>
      <c r="B71" s="17">
        <f>ROUND(VLOOKUP(B$63&amp;"_1",管理者用人口入力シート!A:X,D71,FALSE),0)</f>
        <v>1337</v>
      </c>
      <c r="C71" s="17">
        <f>ROUND(VLOOKUP(B$63&amp;"_2",管理者用人口入力シート!A:X,D71,FALSE),0)</f>
        <v>1464</v>
      </c>
      <c r="D71" s="2">
        <v>10</v>
      </c>
      <c r="G71" s="2" t="s">
        <v>2</v>
      </c>
      <c r="H71" s="17">
        <f>ROUND(VLOOKUP(H$67&amp;"_1",管理者用人口入力シート!BH:CE,J71,FALSE),0)</f>
        <v>987</v>
      </c>
      <c r="I71" s="17">
        <f>ROUND(VLOOKUP(H$67&amp;"_2",管理者用人口入力シート!BH:CE,J71,FALSE),0)</f>
        <v>943</v>
      </c>
      <c r="J71" s="2">
        <v>6</v>
      </c>
      <c r="K71" s="12"/>
      <c r="N71" s="2" t="s">
        <v>2</v>
      </c>
      <c r="O71" s="17">
        <f>ROUND(VLOOKUP(O$67&amp;"_1",管理者用人口入力シート!CO:DL,Q71,FALSE),0)</f>
        <v>988</v>
      </c>
      <c r="P71" s="17">
        <f>ROUND(VLOOKUP(O$67&amp;"_2",管理者用人口入力シート!CO:DL,Q71,FALSE),0)</f>
        <v>944</v>
      </c>
      <c r="Q71" s="2">
        <v>6</v>
      </c>
      <c r="U71" s="85"/>
    </row>
    <row r="72" spans="1:21" x14ac:dyDescent="0.15">
      <c r="A72" s="2" t="s">
        <v>7</v>
      </c>
      <c r="B72" s="17">
        <f>ROUND(VLOOKUP(B$63&amp;"_1",管理者用人口入力シート!A:X,D72,FALSE),0)</f>
        <v>1469</v>
      </c>
      <c r="C72" s="17">
        <f>ROUND(VLOOKUP(B$63&amp;"_2",管理者用人口入力シート!A:X,D72,FALSE),0)</f>
        <v>1538</v>
      </c>
      <c r="D72" s="2">
        <v>11</v>
      </c>
      <c r="G72" s="2" t="s">
        <v>3</v>
      </c>
      <c r="H72" s="17">
        <f>ROUND(VLOOKUP(H$67&amp;"_1",管理者用人口入力シート!BH:CE,J72,FALSE),0)</f>
        <v>907</v>
      </c>
      <c r="I72" s="17">
        <f>ROUND(VLOOKUP(H$67&amp;"_2",管理者用人口入力シート!BH:CE,J72,FALSE),0)</f>
        <v>907</v>
      </c>
      <c r="J72" s="2">
        <v>7</v>
      </c>
      <c r="K72" s="12"/>
      <c r="N72" s="2" t="s">
        <v>3</v>
      </c>
      <c r="O72" s="17">
        <f>ROUND(VLOOKUP(O$67&amp;"_1",管理者用人口入力シート!CO:DL,Q72,FALSE),0)</f>
        <v>907</v>
      </c>
      <c r="P72" s="17">
        <f>ROUND(VLOOKUP(O$67&amp;"_2",管理者用人口入力シート!CO:DL,Q72,FALSE),0)</f>
        <v>907</v>
      </c>
      <c r="Q72" s="2">
        <v>7</v>
      </c>
      <c r="U72" s="85"/>
    </row>
    <row r="73" spans="1:21" x14ac:dyDescent="0.15">
      <c r="A73" s="2" t="s">
        <v>8</v>
      </c>
      <c r="B73" s="17">
        <f>ROUND(VLOOKUP(B$63&amp;"_1",管理者用人口入力シート!A:X,D73,FALSE),0)</f>
        <v>1547</v>
      </c>
      <c r="C73" s="17">
        <f>ROUND(VLOOKUP(B$63&amp;"_2",管理者用人口入力シート!A:X,D73,FALSE),0)</f>
        <v>1672</v>
      </c>
      <c r="D73" s="2">
        <v>12</v>
      </c>
      <c r="G73" s="2" t="s">
        <v>4</v>
      </c>
      <c r="H73" s="17">
        <f>ROUND(VLOOKUP(H$67&amp;"_1",管理者用人口入力シート!BH:CE,J73,FALSE),0)</f>
        <v>743</v>
      </c>
      <c r="I73" s="17">
        <f>ROUND(VLOOKUP(H$67&amp;"_2",管理者用人口入力シート!BH:CE,J73,FALSE),0)</f>
        <v>847</v>
      </c>
      <c r="J73" s="2">
        <v>8</v>
      </c>
      <c r="K73" s="12"/>
      <c r="N73" s="2" t="s">
        <v>4</v>
      </c>
      <c r="O73" s="17">
        <f>ROUND(VLOOKUP(O$67&amp;"_1",管理者用人口入力シート!CO:DL,Q73,FALSE),0)</f>
        <v>743</v>
      </c>
      <c r="P73" s="17">
        <f>ROUND(VLOOKUP(O$67&amp;"_2",管理者用人口入力シート!CO:DL,Q73,FALSE),0)</f>
        <v>847</v>
      </c>
      <c r="Q73" s="2">
        <v>8</v>
      </c>
      <c r="U73" s="85"/>
    </row>
    <row r="74" spans="1:21" x14ac:dyDescent="0.15">
      <c r="A74" s="2" t="s">
        <v>9</v>
      </c>
      <c r="B74" s="17">
        <f>ROUND(VLOOKUP(B$63&amp;"_1",管理者用人口入力シート!A:X,D74,FALSE),0)</f>
        <v>1309</v>
      </c>
      <c r="C74" s="17">
        <f>ROUND(VLOOKUP(B$63&amp;"_2",管理者用人口入力シート!A:X,D74,FALSE),0)</f>
        <v>1456</v>
      </c>
      <c r="D74" s="2">
        <v>13</v>
      </c>
      <c r="G74" s="2" t="s">
        <v>5</v>
      </c>
      <c r="H74" s="17">
        <f>ROUND(VLOOKUP(H$67&amp;"_1",管理者用人口入力シート!BH:CE,J74,FALSE),0)</f>
        <v>1186</v>
      </c>
      <c r="I74" s="17">
        <f>ROUND(VLOOKUP(H$67&amp;"_2",管理者用人口入力シート!BH:CE,J74,FALSE),0)</f>
        <v>1344</v>
      </c>
      <c r="J74" s="2">
        <v>9</v>
      </c>
      <c r="K74" s="12"/>
      <c r="N74" s="2" t="s">
        <v>5</v>
      </c>
      <c r="O74" s="17">
        <f>ROUND(VLOOKUP(O$67&amp;"_1",管理者用人口入力シート!CO:DL,Q74,FALSE),0)</f>
        <v>1188</v>
      </c>
      <c r="P74" s="17">
        <f>ROUND(VLOOKUP(O$67&amp;"_2",管理者用人口入力シート!CO:DL,Q74,FALSE),0)</f>
        <v>1346</v>
      </c>
      <c r="Q74" s="2">
        <v>9</v>
      </c>
      <c r="U74" s="85"/>
    </row>
    <row r="75" spans="1:21" x14ac:dyDescent="0.15">
      <c r="A75" s="2" t="s">
        <v>10</v>
      </c>
      <c r="B75" s="17">
        <f>ROUND(VLOOKUP(B$63&amp;"_1",管理者用人口入力シート!A:X,D75,FALSE),0)</f>
        <v>1218</v>
      </c>
      <c r="C75" s="17">
        <f>ROUND(VLOOKUP(B$63&amp;"_2",管理者用人口入力シート!A:X,D75,FALSE),0)</f>
        <v>1383</v>
      </c>
      <c r="D75" s="2">
        <v>14</v>
      </c>
      <c r="G75" s="2" t="s">
        <v>6</v>
      </c>
      <c r="H75" s="17">
        <f>ROUND(VLOOKUP(H$67&amp;"_1",管理者用人口入力シート!BH:CE,J75,FALSE),0)</f>
        <v>1362</v>
      </c>
      <c r="I75" s="17">
        <f>ROUND(VLOOKUP(H$67&amp;"_2",管理者用人口入力シート!BH:CE,J75,FALSE),0)</f>
        <v>1369</v>
      </c>
      <c r="J75" s="2">
        <v>10</v>
      </c>
      <c r="K75" s="12"/>
      <c r="N75" s="2" t="s">
        <v>6</v>
      </c>
      <c r="O75" s="17">
        <f>ROUND(VLOOKUP(O$67&amp;"_1",管理者用人口入力シート!CO:DL,Q75,FALSE),0)</f>
        <v>1362</v>
      </c>
      <c r="P75" s="17">
        <f>ROUND(VLOOKUP(O$67&amp;"_2",管理者用人口入力シート!CO:DL,Q75,FALSE),0)</f>
        <v>1369</v>
      </c>
      <c r="Q75" s="2">
        <v>10</v>
      </c>
      <c r="U75" s="85"/>
    </row>
    <row r="76" spans="1:21" x14ac:dyDescent="0.15">
      <c r="A76" s="2" t="s">
        <v>11</v>
      </c>
      <c r="B76" s="17">
        <f>ROUND(VLOOKUP(B$63&amp;"_1",管理者用人口入力シート!A:X,D76,FALSE),0)</f>
        <v>1202</v>
      </c>
      <c r="C76" s="17">
        <f>ROUND(VLOOKUP(B$63&amp;"_2",管理者用人口入力シート!A:X,D76,FALSE),0)</f>
        <v>1295</v>
      </c>
      <c r="D76" s="2">
        <v>15</v>
      </c>
      <c r="G76" s="2" t="s">
        <v>7</v>
      </c>
      <c r="H76" s="17">
        <f>ROUND(VLOOKUP(H$67&amp;"_1",管理者用人口入力シート!BH:CE,J76,FALSE),0)</f>
        <v>1270</v>
      </c>
      <c r="I76" s="17">
        <f>ROUND(VLOOKUP(H$67&amp;"_2",管理者用人口入力シート!BH:CE,J76,FALSE),0)</f>
        <v>1334</v>
      </c>
      <c r="J76" s="2">
        <v>11</v>
      </c>
      <c r="K76" s="12"/>
      <c r="N76" s="2" t="s">
        <v>7</v>
      </c>
      <c r="O76" s="17">
        <f>ROUND(VLOOKUP(O$67&amp;"_1",管理者用人口入力シート!CO:DL,Q76,FALSE),0)</f>
        <v>1270</v>
      </c>
      <c r="P76" s="17">
        <f>ROUND(VLOOKUP(O$67&amp;"_2",管理者用人口入力シート!CO:DL,Q76,FALSE),0)</f>
        <v>1334</v>
      </c>
      <c r="Q76" s="2">
        <v>11</v>
      </c>
      <c r="U76" s="85"/>
    </row>
    <row r="77" spans="1:21" x14ac:dyDescent="0.15">
      <c r="A77" s="2" t="s">
        <v>12</v>
      </c>
      <c r="B77" s="17">
        <f>ROUND(VLOOKUP(B$63&amp;"_1",管理者用人口入力シート!A:X,D77,FALSE),0)</f>
        <v>1287</v>
      </c>
      <c r="C77" s="17">
        <f>ROUND(VLOOKUP(B$63&amp;"_2",管理者用人口入力シート!A:X,D77,FALSE),0)</f>
        <v>1435</v>
      </c>
      <c r="D77" s="2">
        <v>16</v>
      </c>
      <c r="G77" s="2" t="s">
        <v>8</v>
      </c>
      <c r="H77" s="17">
        <f>ROUND(VLOOKUP(H$67&amp;"_1",管理者用人口入力シート!BH:CE,J77,FALSE),0)</f>
        <v>1327</v>
      </c>
      <c r="I77" s="17">
        <f>ROUND(VLOOKUP(H$67&amp;"_2",管理者用人口入力シート!BH:CE,J77,FALSE),0)</f>
        <v>1443</v>
      </c>
      <c r="J77" s="2">
        <v>12</v>
      </c>
      <c r="K77" s="12"/>
      <c r="N77" s="2" t="s">
        <v>8</v>
      </c>
      <c r="O77" s="17">
        <f>ROUND(VLOOKUP(O$67&amp;"_1",管理者用人口入力シート!CO:DL,Q77,FALSE),0)</f>
        <v>1327</v>
      </c>
      <c r="P77" s="17">
        <f>ROUND(VLOOKUP(O$67&amp;"_2",管理者用人口入力シート!CO:DL,Q77,FALSE),0)</f>
        <v>1444</v>
      </c>
      <c r="Q77" s="2">
        <v>12</v>
      </c>
      <c r="U77" s="85"/>
    </row>
    <row r="78" spans="1:21" x14ac:dyDescent="0.15">
      <c r="A78" s="2" t="s">
        <v>13</v>
      </c>
      <c r="B78" s="17">
        <f>ROUND(VLOOKUP(B$63&amp;"_1",管理者用人口入力シート!A:X,D78,FALSE),0)</f>
        <v>1314</v>
      </c>
      <c r="C78" s="17">
        <f>ROUND(VLOOKUP(B$63&amp;"_2",管理者用人口入力シート!A:X,D78,FALSE),0)</f>
        <v>1474</v>
      </c>
      <c r="D78" s="2">
        <v>17</v>
      </c>
      <c r="G78" s="2" t="s">
        <v>9</v>
      </c>
      <c r="H78" s="17">
        <f>ROUND(VLOOKUP(H$67&amp;"_1",管理者用人口入力シート!BH:CE,J78,FALSE),0)</f>
        <v>1517</v>
      </c>
      <c r="I78" s="17">
        <f>ROUND(VLOOKUP(H$67&amp;"_2",管理者用人口入力シート!BH:CE,J78,FALSE),0)</f>
        <v>1527</v>
      </c>
      <c r="J78" s="2">
        <v>13</v>
      </c>
      <c r="K78" s="12"/>
      <c r="N78" s="2" t="s">
        <v>9</v>
      </c>
      <c r="O78" s="17">
        <f>ROUND(VLOOKUP(O$67&amp;"_1",管理者用人口入力シート!CO:DL,Q78,FALSE),0)</f>
        <v>1517</v>
      </c>
      <c r="P78" s="17">
        <f>ROUND(VLOOKUP(O$67&amp;"_2",管理者用人口入力シート!CO:DL,Q78,FALSE),0)</f>
        <v>1527</v>
      </c>
      <c r="Q78" s="2">
        <v>13</v>
      </c>
      <c r="U78" s="85"/>
    </row>
    <row r="79" spans="1:21" x14ac:dyDescent="0.15">
      <c r="A79" s="2" t="s">
        <v>14</v>
      </c>
      <c r="B79" s="17">
        <f>ROUND(VLOOKUP(B$63&amp;"_1",管理者用人口入力シート!A:X,D79,FALSE),0)</f>
        <v>908</v>
      </c>
      <c r="C79" s="17">
        <f>ROUND(VLOOKUP(B$63&amp;"_2",管理者用人口入力シート!A:X,D79,FALSE),0)</f>
        <v>1083</v>
      </c>
      <c r="D79" s="2">
        <v>18</v>
      </c>
      <c r="G79" s="2" t="s">
        <v>10</v>
      </c>
      <c r="H79" s="17">
        <f>ROUND(VLOOKUP(H$67&amp;"_1",管理者用人口入力シート!BH:CE,J79,FALSE),0)</f>
        <v>1578</v>
      </c>
      <c r="I79" s="17">
        <f>ROUND(VLOOKUP(H$67&amp;"_2",管理者用人口入力シート!BH:CE,J79,FALSE),0)</f>
        <v>1689</v>
      </c>
      <c r="J79" s="2">
        <v>14</v>
      </c>
      <c r="K79" s="12"/>
      <c r="N79" s="2" t="s">
        <v>10</v>
      </c>
      <c r="O79" s="17">
        <f>ROUND(VLOOKUP(O$67&amp;"_1",管理者用人口入力シート!CO:DL,Q79,FALSE),0)</f>
        <v>1578</v>
      </c>
      <c r="P79" s="17">
        <f>ROUND(VLOOKUP(O$67&amp;"_2",管理者用人口入力シート!CO:DL,Q79,FALSE),0)</f>
        <v>1689</v>
      </c>
      <c r="Q79" s="2">
        <v>14</v>
      </c>
      <c r="U79" s="85"/>
    </row>
    <row r="80" spans="1:21" x14ac:dyDescent="0.15">
      <c r="A80" s="2" t="s">
        <v>15</v>
      </c>
      <c r="B80" s="17">
        <f>ROUND(VLOOKUP(B$63&amp;"_1",管理者用人口入力シート!A:X,D80,FALSE),0)</f>
        <v>680</v>
      </c>
      <c r="C80" s="17">
        <f>ROUND(VLOOKUP(B$63&amp;"_2",管理者用人口入力シート!A:X,D80,FALSE),0)</f>
        <v>940</v>
      </c>
      <c r="D80" s="2">
        <v>19</v>
      </c>
      <c r="G80" s="2" t="s">
        <v>11</v>
      </c>
      <c r="H80" s="17">
        <f>ROUND(VLOOKUP(H$67&amp;"_1",管理者用人口入力シート!BH:CE,J80,FALSE),0)</f>
        <v>1306</v>
      </c>
      <c r="I80" s="17">
        <f>ROUND(VLOOKUP(H$67&amp;"_2",管理者用人口入力シート!BH:CE,J80,FALSE),0)</f>
        <v>1449</v>
      </c>
      <c r="J80" s="2">
        <v>15</v>
      </c>
      <c r="K80" s="12"/>
      <c r="N80" s="2" t="s">
        <v>11</v>
      </c>
      <c r="O80" s="17">
        <f>ROUND(VLOOKUP(O$67&amp;"_1",管理者用人口入力シート!CO:DL,Q80,FALSE),0)</f>
        <v>1306</v>
      </c>
      <c r="P80" s="17">
        <f>ROUND(VLOOKUP(O$67&amp;"_2",管理者用人口入力シート!CO:DL,Q80,FALSE),0)</f>
        <v>1449</v>
      </c>
      <c r="Q80" s="2">
        <v>15</v>
      </c>
      <c r="U80" s="85"/>
    </row>
    <row r="81" spans="1:21" x14ac:dyDescent="0.15">
      <c r="A81" s="2" t="s">
        <v>16</v>
      </c>
      <c r="B81" s="17">
        <f>ROUND(VLOOKUP(B$63&amp;"_1",管理者用人口入力シート!A:X,D81,FALSE),0)</f>
        <v>557</v>
      </c>
      <c r="C81" s="17">
        <f>ROUND(VLOOKUP(B$63&amp;"_2",管理者用人口入力シート!A:X,D81,FALSE),0)</f>
        <v>916</v>
      </c>
      <c r="D81" s="2">
        <v>20</v>
      </c>
      <c r="G81" s="2" t="s">
        <v>12</v>
      </c>
      <c r="H81" s="17">
        <f>ROUND(VLOOKUP(H$67&amp;"_1",管理者用人口入力シート!BH:CE,J81,FALSE),0)</f>
        <v>1240</v>
      </c>
      <c r="I81" s="17">
        <f>ROUND(VLOOKUP(H$67&amp;"_2",管理者用人口入力シート!BH:CE,J81,FALSE),0)</f>
        <v>1360</v>
      </c>
      <c r="J81" s="2">
        <v>16</v>
      </c>
      <c r="K81" s="12"/>
      <c r="N81" s="2" t="s">
        <v>12</v>
      </c>
      <c r="O81" s="17">
        <f>ROUND(VLOOKUP(O$67&amp;"_1",管理者用人口入力シート!CO:DL,Q81,FALSE),0)</f>
        <v>1240</v>
      </c>
      <c r="P81" s="17">
        <f>ROUND(VLOOKUP(O$67&amp;"_2",管理者用人口入力シート!CO:DL,Q81,FALSE),0)</f>
        <v>1360</v>
      </c>
      <c r="Q81" s="2">
        <v>16</v>
      </c>
      <c r="U81" s="85"/>
    </row>
    <row r="82" spans="1:21" x14ac:dyDescent="0.15">
      <c r="A82" s="2" t="s">
        <v>17</v>
      </c>
      <c r="B82" s="17">
        <f>ROUND(VLOOKUP(B$63&amp;"_1",管理者用人口入力シート!A:X,D82,FALSE),0)</f>
        <v>362</v>
      </c>
      <c r="C82" s="17">
        <f>ROUND(VLOOKUP(B$63&amp;"_2",管理者用人口入力シート!A:X,D82,FALSE),0)</f>
        <v>682</v>
      </c>
      <c r="D82" s="2">
        <v>21</v>
      </c>
      <c r="G82" s="2" t="s">
        <v>13</v>
      </c>
      <c r="H82" s="17">
        <f>ROUND(VLOOKUP(H$67&amp;"_1",管理者用人口入力シート!BH:CE,J82,FALSE),0)</f>
        <v>1140</v>
      </c>
      <c r="I82" s="17">
        <f>ROUND(VLOOKUP(H$67&amp;"_2",管理者用人口入力シート!BH:CE,J82,FALSE),0)</f>
        <v>1235</v>
      </c>
      <c r="J82" s="2">
        <v>17</v>
      </c>
      <c r="K82" s="12"/>
      <c r="N82" s="2" t="s">
        <v>13</v>
      </c>
      <c r="O82" s="17">
        <f>ROUND(VLOOKUP(O$67&amp;"_1",管理者用人口入力シート!CO:DL,Q82,FALSE),0)</f>
        <v>1140</v>
      </c>
      <c r="P82" s="17">
        <f>ROUND(VLOOKUP(O$67&amp;"_2",管理者用人口入力シート!CO:DL,Q82,FALSE),0)</f>
        <v>1235</v>
      </c>
      <c r="Q82" s="2">
        <v>17</v>
      </c>
      <c r="U82" s="85"/>
    </row>
    <row r="83" spans="1:21" x14ac:dyDescent="0.15">
      <c r="A83" s="2" t="s">
        <v>18</v>
      </c>
      <c r="B83" s="17">
        <f>ROUND(VLOOKUP(B$63&amp;"_1",管理者用人口入力シート!A:X,D83,FALSE),0)</f>
        <v>105</v>
      </c>
      <c r="C83" s="17">
        <f>ROUND(VLOOKUP(B$63&amp;"_2",管理者用人口入力シート!A:X,D83,FALSE),0)</f>
        <v>369</v>
      </c>
      <c r="D83" s="2">
        <v>22</v>
      </c>
      <c r="G83" s="2" t="s">
        <v>14</v>
      </c>
      <c r="H83" s="17">
        <f>ROUND(VLOOKUP(H$67&amp;"_1",管理者用人口入力シート!BH:CE,J83,FALSE),0)</f>
        <v>1188</v>
      </c>
      <c r="I83" s="17">
        <f>ROUND(VLOOKUP(H$67&amp;"_2",管理者用人口入力シート!BH:CE,J83,FALSE),0)</f>
        <v>1353</v>
      </c>
      <c r="J83" s="2">
        <v>18</v>
      </c>
      <c r="K83" s="12"/>
      <c r="N83" s="2" t="s">
        <v>14</v>
      </c>
      <c r="O83" s="17">
        <f>ROUND(VLOOKUP(O$67&amp;"_1",管理者用人口入力シート!CO:DL,Q83,FALSE),0)</f>
        <v>1188</v>
      </c>
      <c r="P83" s="17">
        <f>ROUND(VLOOKUP(O$67&amp;"_2",管理者用人口入力シート!CO:DL,Q83,FALSE),0)</f>
        <v>1353</v>
      </c>
      <c r="Q83" s="2">
        <v>18</v>
      </c>
      <c r="U83" s="85"/>
    </row>
    <row r="84" spans="1:21" x14ac:dyDescent="0.15">
      <c r="A84" s="2" t="s">
        <v>19</v>
      </c>
      <c r="B84" s="17">
        <f>ROUND(VLOOKUP(B$63&amp;"_1",管理者用人口入力シート!A:X,D84,FALSE),0)</f>
        <v>30</v>
      </c>
      <c r="C84" s="17">
        <f>ROUND(VLOOKUP(B$63&amp;"_2",管理者用人口入力シート!A:X,D84,FALSE),0)</f>
        <v>129</v>
      </c>
      <c r="D84" s="2">
        <v>23</v>
      </c>
      <c r="G84" s="2" t="s">
        <v>15</v>
      </c>
      <c r="H84" s="17">
        <f>ROUND(VLOOKUP(H$67&amp;"_1",管理者用人口入力シート!BH:CE,J84,FALSE),0)</f>
        <v>1071</v>
      </c>
      <c r="I84" s="17">
        <f>ROUND(VLOOKUP(H$67&amp;"_2",管理者用人口入力シート!BH:CE,J84,FALSE),0)</f>
        <v>1348</v>
      </c>
      <c r="J84" s="2">
        <v>19</v>
      </c>
      <c r="K84" s="12"/>
      <c r="N84" s="2" t="s">
        <v>15</v>
      </c>
      <c r="O84" s="17">
        <f>ROUND(VLOOKUP(O$67&amp;"_1",管理者用人口入力シート!CO:DL,Q84,FALSE),0)</f>
        <v>1071</v>
      </c>
      <c r="P84" s="17">
        <f>ROUND(VLOOKUP(O$67&amp;"_2",管理者用人口入力シート!CO:DL,Q84,FALSE),0)</f>
        <v>1348</v>
      </c>
      <c r="Q84" s="2">
        <v>19</v>
      </c>
      <c r="U84" s="85"/>
    </row>
    <row r="85" spans="1:21" x14ac:dyDescent="0.15">
      <c r="A85" s="2" t="s">
        <v>20</v>
      </c>
      <c r="B85" s="17">
        <f>ROUND(VLOOKUP(B$63&amp;"_1",管理者用人口入力シート!A:X,D85,FALSE),0)</f>
        <v>4</v>
      </c>
      <c r="C85" s="17">
        <f>ROUND(VLOOKUP(B$63&amp;"_2",管理者用人口入力シート!A:X,D85,FALSE),0)</f>
        <v>24</v>
      </c>
      <c r="D85" s="2">
        <v>24</v>
      </c>
      <c r="G85" s="2" t="s">
        <v>16</v>
      </c>
      <c r="H85" s="17">
        <f>ROUND(VLOOKUP(H$67&amp;"_1",管理者用人口入力シート!BH:CE,J85,FALSE),0)</f>
        <v>619</v>
      </c>
      <c r="I85" s="17">
        <f>ROUND(VLOOKUP(H$67&amp;"_2",管理者用人口入力シート!BH:CE,J85,FALSE),0)</f>
        <v>913</v>
      </c>
      <c r="J85" s="2">
        <v>20</v>
      </c>
      <c r="K85" s="12"/>
      <c r="N85" s="2" t="s">
        <v>16</v>
      </c>
      <c r="O85" s="17">
        <f>ROUND(VLOOKUP(O$67&amp;"_1",管理者用人口入力シート!CO:DL,Q85,FALSE),0)</f>
        <v>619</v>
      </c>
      <c r="P85" s="17">
        <f>ROUND(VLOOKUP(O$67&amp;"_2",管理者用人口入力シート!CO:DL,Q85,FALSE),0)</f>
        <v>913</v>
      </c>
      <c r="Q85" s="2">
        <v>20</v>
      </c>
      <c r="U85" s="85"/>
    </row>
    <row r="86" spans="1:21" x14ac:dyDescent="0.15">
      <c r="G86" s="2" t="s">
        <v>17</v>
      </c>
      <c r="H86" s="17">
        <f>ROUND(VLOOKUP(H$67&amp;"_1",管理者用人口入力シート!BH:CE,J86,FALSE),0)</f>
        <v>356</v>
      </c>
      <c r="I86" s="17">
        <f>ROUND(VLOOKUP(H$67&amp;"_2",管理者用人口入力シート!BH:CE,J86,FALSE),0)</f>
        <v>697</v>
      </c>
      <c r="J86" s="2">
        <v>21</v>
      </c>
      <c r="K86" s="12"/>
      <c r="N86" s="2" t="s">
        <v>17</v>
      </c>
      <c r="O86" s="17">
        <f>ROUND(VLOOKUP(O$67&amp;"_1",管理者用人口入力シート!CO:DL,Q86,FALSE),0)</f>
        <v>356</v>
      </c>
      <c r="P86" s="17">
        <f>ROUND(VLOOKUP(O$67&amp;"_2",管理者用人口入力シート!CO:DL,Q86,FALSE),0)</f>
        <v>697</v>
      </c>
      <c r="Q86" s="2">
        <v>21</v>
      </c>
      <c r="U86" s="85"/>
    </row>
    <row r="87" spans="1:21" x14ac:dyDescent="0.15">
      <c r="A87" s="2" t="s">
        <v>62</v>
      </c>
      <c r="B87" s="316">
        <f>管理者入力シート!B5</f>
        <v>2020</v>
      </c>
      <c r="C87" s="317"/>
      <c r="D87" s="2" t="s">
        <v>114</v>
      </c>
      <c r="G87" s="2" t="s">
        <v>18</v>
      </c>
      <c r="H87" s="17">
        <f>ROUND(VLOOKUP(H$67&amp;"_1",管理者用人口入力シート!BH:CE,J87,FALSE),0)</f>
        <v>170</v>
      </c>
      <c r="I87" s="17">
        <f>ROUND(VLOOKUP(H$67&amp;"_2",管理者用人口入力シート!BH:CE,J87,FALSE),0)</f>
        <v>501</v>
      </c>
      <c r="J87" s="2">
        <v>22</v>
      </c>
      <c r="K87" s="12"/>
      <c r="N87" s="2" t="s">
        <v>18</v>
      </c>
      <c r="O87" s="17">
        <f>ROUND(VLOOKUP(O$67&amp;"_1",管理者用人口入力シート!CO:DL,Q87,FALSE),0)</f>
        <v>170</v>
      </c>
      <c r="P87" s="17">
        <f>ROUND(VLOOKUP(O$67&amp;"_2",管理者用人口入力シート!CO:DL,Q87,FALSE),0)</f>
        <v>501</v>
      </c>
      <c r="Q87" s="2">
        <v>22</v>
      </c>
      <c r="U87" s="85"/>
    </row>
    <row r="88" spans="1:21" x14ac:dyDescent="0.15">
      <c r="A88" s="2" t="s">
        <v>115</v>
      </c>
      <c r="B88" s="18" t="s">
        <v>21</v>
      </c>
      <c r="C88" s="18" t="s">
        <v>22</v>
      </c>
      <c r="G88" s="2" t="s">
        <v>19</v>
      </c>
      <c r="H88" s="17">
        <f>ROUND(VLOOKUP(H$67&amp;"_1",管理者用人口入力シート!BH:CE,J88,FALSE),0)</f>
        <v>57</v>
      </c>
      <c r="I88" s="17">
        <f>ROUND(VLOOKUP(H$67&amp;"_2",管理者用人口入力シート!BH:CE,J88,FALSE),0)</f>
        <v>223</v>
      </c>
      <c r="J88" s="2">
        <v>23</v>
      </c>
      <c r="K88" s="12"/>
      <c r="N88" s="2" t="s">
        <v>19</v>
      </c>
      <c r="O88" s="17">
        <f>ROUND(VLOOKUP(O$67&amp;"_1",管理者用人口入力シート!CO:DL,Q88,FALSE),0)</f>
        <v>57</v>
      </c>
      <c r="P88" s="17">
        <f>ROUND(VLOOKUP(O$67&amp;"_2",管理者用人口入力シート!CO:DL,Q88,FALSE),0)</f>
        <v>223</v>
      </c>
      <c r="Q88" s="2">
        <v>23</v>
      </c>
      <c r="U88" s="85"/>
    </row>
    <row r="89" spans="1:21" x14ac:dyDescent="0.15">
      <c r="A89" s="2" t="s">
        <v>0</v>
      </c>
      <c r="B89" s="17">
        <f>ROUND(VLOOKUP(B$87&amp;"_1",管理者用人口入力シート!A:X,D89,FALSE),0)</f>
        <v>1121</v>
      </c>
      <c r="C89" s="17">
        <f>ROUND(VLOOKUP(B$87&amp;"_2",管理者用人口入力シート!A:X,D89,FALSE),0)</f>
        <v>1067</v>
      </c>
      <c r="D89" s="2">
        <v>4</v>
      </c>
      <c r="G89" s="2" t="s">
        <v>20</v>
      </c>
      <c r="H89" s="17">
        <f>ROUND(VLOOKUP(H$67&amp;"_1",管理者用人口入力シート!BH:CE,J89,FALSE),0)</f>
        <v>5</v>
      </c>
      <c r="I89" s="17">
        <f>ROUND(VLOOKUP(H$67&amp;"_2",管理者用人口入力シート!BH:CE,J89,FALSE),0)</f>
        <v>42</v>
      </c>
      <c r="J89" s="2">
        <v>24</v>
      </c>
      <c r="K89" s="12"/>
      <c r="N89" s="2" t="s">
        <v>20</v>
      </c>
      <c r="O89" s="17">
        <f>ROUND(VLOOKUP(O$67&amp;"_1",管理者用人口入力シート!CO:DL,Q89,FALSE),0)</f>
        <v>5</v>
      </c>
      <c r="P89" s="17">
        <f>ROUND(VLOOKUP(O$67&amp;"_2",管理者用人口入力シート!CO:DL,Q89,FALSE),0)</f>
        <v>42</v>
      </c>
      <c r="Q89" s="2">
        <v>24</v>
      </c>
      <c r="U89" s="85"/>
    </row>
    <row r="90" spans="1:21" x14ac:dyDescent="0.15">
      <c r="A90" s="2" t="s">
        <v>1</v>
      </c>
      <c r="B90" s="17">
        <f>ROUND(VLOOKUP(B$87&amp;"_1",管理者用人口入力シート!A:X,D90,FALSE),0)</f>
        <v>999</v>
      </c>
      <c r="C90" s="17">
        <f>ROUND(VLOOKUP(B$87&amp;"_2",管理者用人口入力シート!A:X,D90,FALSE),0)</f>
        <v>1020</v>
      </c>
      <c r="D90" s="2">
        <v>5</v>
      </c>
    </row>
    <row r="91" spans="1:21" x14ac:dyDescent="0.15">
      <c r="A91" s="2" t="s">
        <v>2</v>
      </c>
      <c r="B91" s="17">
        <f>ROUND(VLOOKUP(B$87&amp;"_1",管理者用人口入力シート!A:X,D91,FALSE),0)</f>
        <v>1011</v>
      </c>
      <c r="C91" s="17">
        <f>ROUND(VLOOKUP(B$87&amp;"_2",管理者用人口入力シート!A:X,D91,FALSE),0)</f>
        <v>919</v>
      </c>
      <c r="D91" s="2">
        <v>6</v>
      </c>
      <c r="G91" s="2" t="s">
        <v>107</v>
      </c>
      <c r="H91" s="316">
        <f>管理者入力シート!B9</f>
        <v>2030</v>
      </c>
      <c r="I91" s="317"/>
      <c r="J91" s="2" t="s">
        <v>114</v>
      </c>
      <c r="K91" s="209"/>
      <c r="O91" s="316">
        <f>管理者入力シート!B9</f>
        <v>2030</v>
      </c>
      <c r="P91" s="317"/>
      <c r="Q91" s="2" t="s">
        <v>114</v>
      </c>
    </row>
    <row r="92" spans="1:21" x14ac:dyDescent="0.15">
      <c r="A92" s="2" t="s">
        <v>3</v>
      </c>
      <c r="B92" s="17">
        <f>ROUND(VLOOKUP(B$87&amp;"_1",管理者用人口入力シート!A:X,D92,FALSE),0)</f>
        <v>931</v>
      </c>
      <c r="C92" s="17">
        <f>ROUND(VLOOKUP(B$87&amp;"_2",管理者用人口入力シート!A:X,D92,FALSE),0)</f>
        <v>951</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813</v>
      </c>
      <c r="C93" s="17">
        <f>ROUND(VLOOKUP(B$87&amp;"_2",管理者用人口入力シート!A:X,D93,FALSE),0)</f>
        <v>968</v>
      </c>
      <c r="D93" s="2">
        <v>8</v>
      </c>
      <c r="G93" s="2" t="s">
        <v>0</v>
      </c>
      <c r="H93" s="17">
        <f>ROUND(VLOOKUP(H$91&amp;"_1",管理者用人口入力シート!BH:CE,J93,FALSE),0)</f>
        <v>1063</v>
      </c>
      <c r="I93" s="17">
        <f>ROUND(VLOOKUP(H$91&amp;"_2",管理者用人口入力シート!BH:CE,J93,FALSE),0)</f>
        <v>1012</v>
      </c>
      <c r="J93" s="2">
        <v>4</v>
      </c>
      <c r="K93" s="12"/>
      <c r="N93" s="2" t="s">
        <v>0</v>
      </c>
      <c r="O93" s="17">
        <f>ROUND(VLOOKUP(O$91&amp;"_1",管理者用人口入力シート!CO:DL,Q93,FALSE),0)</f>
        <v>1065</v>
      </c>
      <c r="P93" s="17">
        <f>ROUND(VLOOKUP(O$91&amp;"_2",管理者用人口入力シート!CO:DL,Q93,FALSE),0)</f>
        <v>1014</v>
      </c>
      <c r="Q93" s="2">
        <v>4</v>
      </c>
      <c r="T93" s="85"/>
    </row>
    <row r="94" spans="1:21" x14ac:dyDescent="0.15">
      <c r="A94" s="2" t="s">
        <v>5</v>
      </c>
      <c r="B94" s="17">
        <f>ROUND(VLOOKUP(B$87&amp;"_1",管理者用人口入力シート!A:X,D94,FALSE),0)</f>
        <v>1144</v>
      </c>
      <c r="C94" s="17">
        <f>ROUND(VLOOKUP(B$87&amp;"_2",管理者用人口入力シート!A:X,D94,FALSE),0)</f>
        <v>1259</v>
      </c>
      <c r="D94" s="2">
        <v>9</v>
      </c>
      <c r="G94" s="2" t="s">
        <v>1</v>
      </c>
      <c r="H94" s="17">
        <f>ROUND(VLOOKUP(H$91&amp;"_1",管理者用人口入力シート!BH:CE,J94,FALSE),0)</f>
        <v>926</v>
      </c>
      <c r="I94" s="17">
        <f>ROUND(VLOOKUP(H$91&amp;"_2",管理者用人口入力シート!BH:CE,J94,FALSE),0)</f>
        <v>920</v>
      </c>
      <c r="J94" s="2">
        <v>5</v>
      </c>
      <c r="K94" s="12"/>
      <c r="N94" s="2" t="s">
        <v>1</v>
      </c>
      <c r="O94" s="17">
        <f>ROUND(VLOOKUP(O$91&amp;"_1",管理者用人口入力シート!CO:DL,Q94,FALSE),0)</f>
        <v>927</v>
      </c>
      <c r="P94" s="17">
        <f>ROUND(VLOOKUP(O$91&amp;"_2",管理者用人口入力シート!CO:DL,Q94,FALSE),0)</f>
        <v>921</v>
      </c>
      <c r="Q94" s="2">
        <v>5</v>
      </c>
      <c r="T94" s="85"/>
    </row>
    <row r="95" spans="1:21" x14ac:dyDescent="0.15">
      <c r="A95" s="2" t="s">
        <v>6</v>
      </c>
      <c r="B95" s="17">
        <f>ROUND(VLOOKUP(B$87&amp;"_1",管理者用人口入力シート!A:X,D95,FALSE),0)</f>
        <v>1269</v>
      </c>
      <c r="C95" s="17">
        <f>ROUND(VLOOKUP(B$87&amp;"_2",管理者用人口入力シート!A:X,D95,FALSE),0)</f>
        <v>1361</v>
      </c>
      <c r="D95" s="2">
        <v>10</v>
      </c>
      <c r="G95" s="2" t="s">
        <v>2</v>
      </c>
      <c r="H95" s="17">
        <f>ROUND(VLOOKUP(H$91&amp;"_1",管理者用人口入力シート!BH:CE,J95,FALSE),0)</f>
        <v>944</v>
      </c>
      <c r="I95" s="17">
        <f>ROUND(VLOOKUP(H$91&amp;"_2",管理者用人口入力シート!BH:CE,J95,FALSE),0)</f>
        <v>878</v>
      </c>
      <c r="J95" s="2">
        <v>6</v>
      </c>
      <c r="K95" s="12"/>
      <c r="N95" s="2" t="s">
        <v>2</v>
      </c>
      <c r="O95" s="17">
        <f>ROUND(VLOOKUP(O$91&amp;"_1",管理者用人口入力シート!CO:DL,Q95,FALSE),0)</f>
        <v>945</v>
      </c>
      <c r="P95" s="17">
        <f>ROUND(VLOOKUP(O$91&amp;"_2",管理者用人口入力シート!CO:DL,Q95,FALSE),0)</f>
        <v>879</v>
      </c>
      <c r="Q95" s="2">
        <v>6</v>
      </c>
      <c r="T95" s="85"/>
    </row>
    <row r="96" spans="1:21" x14ac:dyDescent="0.15">
      <c r="A96" s="2" t="s">
        <v>7</v>
      </c>
      <c r="B96" s="17">
        <f>ROUND(VLOOKUP(B$87&amp;"_1",管理者用人口入力シート!A:X,D96,FALSE),0)</f>
        <v>1346</v>
      </c>
      <c r="C96" s="17">
        <f>ROUND(VLOOKUP(B$87&amp;"_2",管理者用人口入力シート!A:X,D96,FALSE),0)</f>
        <v>1461</v>
      </c>
      <c r="D96" s="2">
        <v>11</v>
      </c>
      <c r="G96" s="2" t="s">
        <v>3</v>
      </c>
      <c r="H96" s="17">
        <f>ROUND(VLOOKUP(H$91&amp;"_1",管理者用人口入力シート!BH:CE,J96,FALSE),0)</f>
        <v>884</v>
      </c>
      <c r="I96" s="17">
        <f>ROUND(VLOOKUP(H$91&amp;"_2",管理者用人口入力シート!BH:CE,J96,FALSE),0)</f>
        <v>932</v>
      </c>
      <c r="J96" s="2">
        <v>7</v>
      </c>
      <c r="K96" s="12"/>
      <c r="N96" s="2" t="s">
        <v>3</v>
      </c>
      <c r="O96" s="17">
        <f>ROUND(VLOOKUP(O$91&amp;"_1",管理者用人口入力シート!CO:DL,Q96,FALSE),0)</f>
        <v>885</v>
      </c>
      <c r="P96" s="17">
        <f>ROUND(VLOOKUP(O$91&amp;"_2",管理者用人口入力シート!CO:DL,Q96,FALSE),0)</f>
        <v>933</v>
      </c>
      <c r="Q96" s="2">
        <v>7</v>
      </c>
      <c r="T96" s="85"/>
    </row>
    <row r="97" spans="1:20" x14ac:dyDescent="0.15">
      <c r="A97" s="2" t="s">
        <v>8</v>
      </c>
      <c r="B97" s="17">
        <f>ROUND(VLOOKUP(B$87&amp;"_1",管理者用人口入力シート!A:X,D97,FALSE),0)</f>
        <v>1491</v>
      </c>
      <c r="C97" s="17">
        <f>ROUND(VLOOKUP(B$87&amp;"_2",管理者用人口入力シート!A:X,D97,FALSE),0)</f>
        <v>1529</v>
      </c>
      <c r="D97" s="2">
        <v>12</v>
      </c>
      <c r="G97" s="2" t="s">
        <v>4</v>
      </c>
      <c r="H97" s="17">
        <f>ROUND(VLOOKUP(H$91&amp;"_1",管理者用人口入力シート!BH:CE,J97,FALSE),0)</f>
        <v>723</v>
      </c>
      <c r="I97" s="17">
        <f>ROUND(VLOOKUP(H$91&amp;"_2",管理者用人口入力シート!BH:CE,J97,FALSE),0)</f>
        <v>808</v>
      </c>
      <c r="J97" s="2">
        <v>8</v>
      </c>
      <c r="K97" s="12"/>
      <c r="N97" s="2" t="s">
        <v>4</v>
      </c>
      <c r="O97" s="17">
        <f>ROUND(VLOOKUP(O$91&amp;"_1",管理者用人口入力シート!CO:DL,Q97,FALSE),0)</f>
        <v>723</v>
      </c>
      <c r="P97" s="17">
        <f>ROUND(VLOOKUP(O$91&amp;"_2",管理者用人口入力シート!CO:DL,Q97,FALSE),0)</f>
        <v>808</v>
      </c>
      <c r="Q97" s="2">
        <v>8</v>
      </c>
      <c r="T97" s="85"/>
    </row>
    <row r="98" spans="1:20" x14ac:dyDescent="0.15">
      <c r="A98" s="2" t="s">
        <v>9</v>
      </c>
      <c r="B98" s="17">
        <f>ROUND(VLOOKUP(B$87&amp;"_1",管理者用人口入力シート!A:X,D98,FALSE),0)</f>
        <v>1604</v>
      </c>
      <c r="C98" s="17">
        <f>ROUND(VLOOKUP(B$87&amp;"_2",管理者用人口入力シート!A:X,D98,FALSE),0)</f>
        <v>1685</v>
      </c>
      <c r="D98" s="2">
        <v>13</v>
      </c>
      <c r="G98" s="2" t="s">
        <v>5</v>
      </c>
      <c r="H98" s="17">
        <f>ROUND(VLOOKUP(H$91&amp;"_1",管理者用人口入力シート!BH:CE,J98,FALSE),0)</f>
        <v>1083</v>
      </c>
      <c r="I98" s="17">
        <f>ROUND(VLOOKUP(H$91&amp;"_2",管理者用人口入力シート!BH:CE,J98,FALSE),0)</f>
        <v>1176</v>
      </c>
      <c r="J98" s="2">
        <v>9</v>
      </c>
      <c r="K98" s="12"/>
      <c r="N98" s="2" t="s">
        <v>5</v>
      </c>
      <c r="O98" s="17">
        <f>ROUND(VLOOKUP(O$91&amp;"_1",管理者用人口入力シート!CO:DL,Q98,FALSE),0)</f>
        <v>1085</v>
      </c>
      <c r="P98" s="17">
        <f>ROUND(VLOOKUP(O$91&amp;"_2",管理者用人口入力シート!CO:DL,Q98,FALSE),0)</f>
        <v>1178</v>
      </c>
      <c r="Q98" s="2">
        <v>9</v>
      </c>
      <c r="T98" s="85"/>
    </row>
    <row r="99" spans="1:20" x14ac:dyDescent="0.15">
      <c r="A99" s="2" t="s">
        <v>10</v>
      </c>
      <c r="B99" s="17">
        <f>ROUND(VLOOKUP(B$87&amp;"_1",管理者用人口入力シート!A:X,D99,FALSE),0)</f>
        <v>1286</v>
      </c>
      <c r="C99" s="17">
        <f>ROUND(VLOOKUP(B$87&amp;"_2",管理者用人口入力シート!A:X,D99,FALSE),0)</f>
        <v>1454</v>
      </c>
      <c r="D99" s="2">
        <v>14</v>
      </c>
      <c r="G99" s="2" t="s">
        <v>6</v>
      </c>
      <c r="H99" s="17">
        <f>ROUND(VLOOKUP(H$91&amp;"_1",管理者用人口入力シート!BH:CE,J99,FALSE),0)</f>
        <v>1412</v>
      </c>
      <c r="I99" s="17">
        <f>ROUND(VLOOKUP(H$91&amp;"_2",管理者用人口入力シート!BH:CE,J99,FALSE),0)</f>
        <v>1462</v>
      </c>
      <c r="J99" s="2">
        <v>10</v>
      </c>
      <c r="K99" s="12"/>
      <c r="N99" s="2" t="s">
        <v>6</v>
      </c>
      <c r="O99" s="17">
        <f>ROUND(VLOOKUP(O$91&amp;"_1",管理者用人口入力シート!CO:DL,Q99,FALSE),0)</f>
        <v>1414</v>
      </c>
      <c r="P99" s="17">
        <f>ROUND(VLOOKUP(O$91&amp;"_2",管理者用人口入力シート!CO:DL,Q99,FALSE),0)</f>
        <v>1464</v>
      </c>
      <c r="Q99" s="2">
        <v>10</v>
      </c>
      <c r="T99" s="85"/>
    </row>
    <row r="100" spans="1:20" x14ac:dyDescent="0.15">
      <c r="A100" s="2" t="s">
        <v>11</v>
      </c>
      <c r="B100" s="17">
        <f>ROUND(VLOOKUP(B$87&amp;"_1",管理者用人口入力シート!A:X,D100,FALSE),0)</f>
        <v>1289</v>
      </c>
      <c r="C100" s="17">
        <f>ROUND(VLOOKUP(B$87&amp;"_2",管理者用人口入力シート!A:X,D100,FALSE),0)</f>
        <v>1388</v>
      </c>
      <c r="D100" s="2">
        <v>15</v>
      </c>
      <c r="G100" s="2" t="s">
        <v>7</v>
      </c>
      <c r="H100" s="17">
        <f>ROUND(VLOOKUP(H$91&amp;"_1",管理者用人口入力シート!BH:CE,J100,FALSE),0)</f>
        <v>1363</v>
      </c>
      <c r="I100" s="17">
        <f>ROUND(VLOOKUP(H$91&amp;"_2",管理者用人口入力シート!BH:CE,J100,FALSE),0)</f>
        <v>1342</v>
      </c>
      <c r="J100" s="2">
        <v>11</v>
      </c>
      <c r="K100" s="12"/>
      <c r="N100" s="2" t="s">
        <v>7</v>
      </c>
      <c r="O100" s="17">
        <f>ROUND(VLOOKUP(O$91&amp;"_1",管理者用人口入力シート!CO:DL,Q100,FALSE),0)</f>
        <v>1363</v>
      </c>
      <c r="P100" s="17">
        <f>ROUND(VLOOKUP(O$91&amp;"_2",管理者用人口入力シート!CO:DL,Q100,FALSE),0)</f>
        <v>1342</v>
      </c>
      <c r="Q100" s="2">
        <v>11</v>
      </c>
      <c r="T100" s="85"/>
    </row>
    <row r="101" spans="1:20" x14ac:dyDescent="0.15">
      <c r="A101" s="2" t="s">
        <v>12</v>
      </c>
      <c r="B101" s="17">
        <f>ROUND(VLOOKUP(B$87&amp;"_1",管理者用人口入力シート!A:X,D101,FALSE),0)</f>
        <v>1176</v>
      </c>
      <c r="C101" s="17">
        <f>ROUND(VLOOKUP(B$87&amp;"_2",管理者用人口入力シート!A:X,D101,FALSE),0)</f>
        <v>1271</v>
      </c>
      <c r="D101" s="2">
        <v>16</v>
      </c>
      <c r="G101" s="2" t="s">
        <v>8</v>
      </c>
      <c r="H101" s="17">
        <f>ROUND(VLOOKUP(H$91&amp;"_1",管理者用人口入力シート!BH:CE,J101,FALSE),0)</f>
        <v>1252</v>
      </c>
      <c r="I101" s="17">
        <f>ROUND(VLOOKUP(H$91&amp;"_2",管理者用人口入力シート!BH:CE,J101,FALSE),0)</f>
        <v>1317</v>
      </c>
      <c r="J101" s="2">
        <v>12</v>
      </c>
      <c r="K101" s="12"/>
      <c r="N101" s="2" t="s">
        <v>8</v>
      </c>
      <c r="O101" s="17">
        <f>ROUND(VLOOKUP(O$91&amp;"_1",管理者用人口入力シート!CO:DL,Q101,FALSE),0)</f>
        <v>1252</v>
      </c>
      <c r="P101" s="17">
        <f>ROUND(VLOOKUP(O$91&amp;"_2",管理者用人口入力シート!CO:DL,Q101,FALSE),0)</f>
        <v>1318</v>
      </c>
      <c r="Q101" s="2">
        <v>12</v>
      </c>
      <c r="T101" s="85"/>
    </row>
    <row r="102" spans="1:20" x14ac:dyDescent="0.15">
      <c r="A102" s="2" t="s">
        <v>13</v>
      </c>
      <c r="B102" s="17">
        <f>ROUND(VLOOKUP(B$87&amp;"_1",管理者用人口入力シート!A:X,D102,FALSE),0)</f>
        <v>1262</v>
      </c>
      <c r="C102" s="17">
        <f>ROUND(VLOOKUP(B$87&amp;"_2",管理者用人口入力シート!A:X,D102,FALSE),0)</f>
        <v>1393</v>
      </c>
      <c r="D102" s="2">
        <v>17</v>
      </c>
      <c r="G102" s="2" t="s">
        <v>9</v>
      </c>
      <c r="H102" s="17">
        <f>ROUND(VLOOKUP(H$91&amp;"_1",管理者用人口入力シート!BH:CE,J102,FALSE),0)</f>
        <v>1350</v>
      </c>
      <c r="I102" s="17">
        <f>ROUND(VLOOKUP(H$91&amp;"_2",管理者用人口入力シート!BH:CE,J102,FALSE),0)</f>
        <v>1441</v>
      </c>
      <c r="J102" s="2">
        <v>13</v>
      </c>
      <c r="K102" s="12"/>
      <c r="N102" s="2" t="s">
        <v>9</v>
      </c>
      <c r="O102" s="17">
        <f>ROUND(VLOOKUP(O$91&amp;"_1",管理者用人口入力シート!CO:DL,Q102,FALSE),0)</f>
        <v>1350</v>
      </c>
      <c r="P102" s="17">
        <f>ROUND(VLOOKUP(O$91&amp;"_2",管理者用人口入力シート!CO:DL,Q102,FALSE),0)</f>
        <v>1442</v>
      </c>
      <c r="Q102" s="2">
        <v>13</v>
      </c>
      <c r="T102" s="85"/>
    </row>
    <row r="103" spans="1:20" x14ac:dyDescent="0.15">
      <c r="A103" s="2" t="s">
        <v>14</v>
      </c>
      <c r="B103" s="17">
        <f>ROUND(VLOOKUP(B$87&amp;"_1",管理者用人口入力シート!A:X,D103,FALSE),0)</f>
        <v>1234</v>
      </c>
      <c r="C103" s="17">
        <f>ROUND(VLOOKUP(B$87&amp;"_2",管理者用人口入力シート!A:X,D103,FALSE),0)</f>
        <v>1441</v>
      </c>
      <c r="D103" s="2">
        <v>18</v>
      </c>
      <c r="G103" s="2" t="s">
        <v>10</v>
      </c>
      <c r="H103" s="17">
        <f>ROUND(VLOOKUP(H$91&amp;"_1",管理者用人口入力シート!BH:CE,J103,FALSE),0)</f>
        <v>1492</v>
      </c>
      <c r="I103" s="17">
        <f>ROUND(VLOOKUP(H$91&amp;"_2",管理者用人口入力シート!BH:CE,J103,FALSE),0)</f>
        <v>1531</v>
      </c>
      <c r="J103" s="2">
        <v>14</v>
      </c>
      <c r="K103" s="12"/>
      <c r="N103" s="2" t="s">
        <v>10</v>
      </c>
      <c r="O103" s="17">
        <f>ROUND(VLOOKUP(O$91&amp;"_1",管理者用人口入力シート!CO:DL,Q103,FALSE),0)</f>
        <v>1492</v>
      </c>
      <c r="P103" s="17">
        <f>ROUND(VLOOKUP(O$91&amp;"_2",管理者用人口入力シート!CO:DL,Q103,FALSE),0)</f>
        <v>1531</v>
      </c>
      <c r="Q103" s="2">
        <v>14</v>
      </c>
      <c r="T103" s="85"/>
    </row>
    <row r="104" spans="1:20" x14ac:dyDescent="0.15">
      <c r="A104" s="2" t="s">
        <v>15</v>
      </c>
      <c r="B104" s="17">
        <f>ROUND(VLOOKUP(B$87&amp;"_1",管理者用人口入力シート!A:X,D104,FALSE),0)</f>
        <v>769</v>
      </c>
      <c r="C104" s="17">
        <f>ROUND(VLOOKUP(B$87&amp;"_2",管理者用人口入力シート!A:X,D104,FALSE),0)</f>
        <v>1011</v>
      </c>
      <c r="D104" s="2">
        <v>19</v>
      </c>
      <c r="G104" s="2" t="s">
        <v>11</v>
      </c>
      <c r="H104" s="17">
        <f>ROUND(VLOOKUP(H$91&amp;"_1",管理者用人口入力シート!BH:CE,J104,FALSE),0)</f>
        <v>1604</v>
      </c>
      <c r="I104" s="17">
        <f>ROUND(VLOOKUP(H$91&amp;"_2",管理者用人口入力シート!BH:CE,J104,FALSE),0)</f>
        <v>1683</v>
      </c>
      <c r="J104" s="2">
        <v>15</v>
      </c>
      <c r="K104" s="12"/>
      <c r="N104" s="2" t="s">
        <v>11</v>
      </c>
      <c r="O104" s="17">
        <f>ROUND(VLOOKUP(O$91&amp;"_1",管理者用人口入力シート!CO:DL,Q104,FALSE),0)</f>
        <v>1604</v>
      </c>
      <c r="P104" s="17">
        <f>ROUND(VLOOKUP(O$91&amp;"_2",管理者用人口入力シート!CO:DL,Q104,FALSE),0)</f>
        <v>1683</v>
      </c>
      <c r="Q104" s="2">
        <v>15</v>
      </c>
      <c r="T104" s="85"/>
    </row>
    <row r="105" spans="1:20" x14ac:dyDescent="0.15">
      <c r="A105" s="2" t="s">
        <v>16</v>
      </c>
      <c r="B105" s="17">
        <f>ROUND(VLOOKUP(B$87&amp;"_1",管理者用人口入力シート!A:X,D105,FALSE),0)</f>
        <v>536</v>
      </c>
      <c r="C105" s="17">
        <f>ROUND(VLOOKUP(B$87&amp;"_2",管理者用人口入力シート!A:X,D105,FALSE),0)</f>
        <v>853</v>
      </c>
      <c r="D105" s="2">
        <v>20</v>
      </c>
      <c r="G105" s="2" t="s">
        <v>12</v>
      </c>
      <c r="H105" s="17">
        <f>ROUND(VLOOKUP(H$91&amp;"_1",管理者用人口入力シート!BH:CE,J105,FALSE),0)</f>
        <v>1257</v>
      </c>
      <c r="I105" s="17">
        <f>ROUND(VLOOKUP(H$91&amp;"_2",管理者用人口入力シート!BH:CE,J105,FALSE),0)</f>
        <v>1419</v>
      </c>
      <c r="J105" s="2">
        <v>16</v>
      </c>
      <c r="K105" s="12"/>
      <c r="N105" s="2" t="s">
        <v>12</v>
      </c>
      <c r="O105" s="17">
        <f>ROUND(VLOOKUP(O$91&amp;"_1",管理者用人口入力シート!CO:DL,Q105,FALSE),0)</f>
        <v>1257</v>
      </c>
      <c r="P105" s="17">
        <f>ROUND(VLOOKUP(O$91&amp;"_2",管理者用人口入力シート!CO:DL,Q105,FALSE),0)</f>
        <v>1419</v>
      </c>
      <c r="Q105" s="2">
        <v>16</v>
      </c>
      <c r="T105" s="85"/>
    </row>
    <row r="106" spans="1:20" x14ac:dyDescent="0.15">
      <c r="A106" s="2" t="s">
        <v>17</v>
      </c>
      <c r="B106" s="17">
        <f>ROUND(VLOOKUP(B$87&amp;"_1",管理者用人口入力シート!A:X,D106,FALSE),0)</f>
        <v>369</v>
      </c>
      <c r="C106" s="17">
        <f>ROUND(VLOOKUP(B$87&amp;"_2",管理者用人口入力シート!A:X,D106,FALSE),0)</f>
        <v>748</v>
      </c>
      <c r="D106" s="2">
        <v>21</v>
      </c>
      <c r="G106" s="2" t="s">
        <v>13</v>
      </c>
      <c r="H106" s="17">
        <f>ROUND(VLOOKUP(H$91&amp;"_1",管理者用人口入力シート!BH:CE,J106,FALSE),0)</f>
        <v>1202</v>
      </c>
      <c r="I106" s="17">
        <f>ROUND(VLOOKUP(H$91&amp;"_2",管理者用人口入力シート!BH:CE,J106,FALSE),0)</f>
        <v>1322</v>
      </c>
      <c r="J106" s="2">
        <v>17</v>
      </c>
      <c r="K106" s="12"/>
      <c r="N106" s="2" t="s">
        <v>13</v>
      </c>
      <c r="O106" s="17">
        <f>ROUND(VLOOKUP(O$91&amp;"_1",管理者用人口入力シート!CO:DL,Q106,FALSE),0)</f>
        <v>1202</v>
      </c>
      <c r="P106" s="17">
        <f>ROUND(VLOOKUP(O$91&amp;"_2",管理者用人口入力シート!CO:DL,Q106,FALSE),0)</f>
        <v>1322</v>
      </c>
      <c r="Q106" s="2">
        <v>17</v>
      </c>
      <c r="T106" s="85"/>
    </row>
    <row r="107" spans="1:20" x14ac:dyDescent="0.15">
      <c r="A107" s="2" t="s">
        <v>18</v>
      </c>
      <c r="B107" s="17">
        <f>ROUND(VLOOKUP(B$87&amp;"_1",管理者用人口入力シート!A:X,D107,FALSE),0)</f>
        <v>165</v>
      </c>
      <c r="C107" s="17">
        <f>ROUND(VLOOKUP(B$87&amp;"_2",管理者用人口入力シート!A:X,D107,FALSE),0)</f>
        <v>459</v>
      </c>
      <c r="D107" s="2">
        <v>22</v>
      </c>
      <c r="G107" s="2" t="s">
        <v>14</v>
      </c>
      <c r="H107" s="17">
        <f>ROUND(VLOOKUP(H$91&amp;"_1",管理者用人口入力シート!BH:CE,J107,FALSE),0)</f>
        <v>1074</v>
      </c>
      <c r="I107" s="17">
        <f>ROUND(VLOOKUP(H$91&amp;"_2",管理者用人口入力シート!BH:CE,J107,FALSE),0)</f>
        <v>1200</v>
      </c>
      <c r="J107" s="2">
        <v>18</v>
      </c>
      <c r="K107" s="12"/>
      <c r="N107" s="2" t="s">
        <v>14</v>
      </c>
      <c r="O107" s="17">
        <f>ROUND(VLOOKUP(O$91&amp;"_1",管理者用人口入力シート!CO:DL,Q107,FALSE),0)</f>
        <v>1074</v>
      </c>
      <c r="P107" s="17">
        <f>ROUND(VLOOKUP(O$91&amp;"_2",管理者用人口入力シート!CO:DL,Q107,FALSE),0)</f>
        <v>1200</v>
      </c>
      <c r="Q107" s="2">
        <v>18</v>
      </c>
      <c r="T107" s="85"/>
    </row>
    <row r="108" spans="1:20" x14ac:dyDescent="0.15">
      <c r="A108" s="2" t="s">
        <v>19</v>
      </c>
      <c r="B108" s="17">
        <f>ROUND(VLOOKUP(B$87&amp;"_1",管理者用人口入力シート!A:X,D108,FALSE),0)</f>
        <v>30</v>
      </c>
      <c r="C108" s="17">
        <f>ROUND(VLOOKUP(B$87&amp;"_2",管理者用人口入力シート!A:X,D108,FALSE),0)</f>
        <v>160</v>
      </c>
      <c r="D108" s="2">
        <v>23</v>
      </c>
      <c r="G108" s="2" t="s">
        <v>15</v>
      </c>
      <c r="H108" s="17">
        <f>ROUND(VLOOKUP(H$91&amp;"_1",管理者用人口入力シート!BH:CE,J108,FALSE),0)</f>
        <v>1032</v>
      </c>
      <c r="I108" s="17">
        <f>ROUND(VLOOKUP(H$91&amp;"_2",管理者用人口入力シート!BH:CE,J108,FALSE),0)</f>
        <v>1265</v>
      </c>
      <c r="J108" s="2">
        <v>19</v>
      </c>
      <c r="K108" s="12"/>
      <c r="N108" s="2" t="s">
        <v>15</v>
      </c>
      <c r="O108" s="17">
        <f>ROUND(VLOOKUP(O$91&amp;"_1",管理者用人口入力シート!CO:DL,Q108,FALSE),0)</f>
        <v>1032</v>
      </c>
      <c r="P108" s="17">
        <f>ROUND(VLOOKUP(O$91&amp;"_2",管理者用人口入力シート!CO:DL,Q108,FALSE),0)</f>
        <v>1265</v>
      </c>
      <c r="Q108" s="2">
        <v>19</v>
      </c>
      <c r="T108" s="85"/>
    </row>
    <row r="109" spans="1:20" x14ac:dyDescent="0.15">
      <c r="A109" s="2" t="s">
        <v>20</v>
      </c>
      <c r="B109" s="17">
        <f>ROUND(VLOOKUP(B$87&amp;"_1",管理者用人口入力シート!A:X,D109,FALSE),0)</f>
        <v>5</v>
      </c>
      <c r="C109" s="17">
        <f>ROUND(VLOOKUP(B$87&amp;"_2",管理者用人口入力シート!A:X,D109,FALSE),0)</f>
        <v>38</v>
      </c>
      <c r="D109" s="2">
        <v>24</v>
      </c>
      <c r="G109" s="2" t="s">
        <v>16</v>
      </c>
      <c r="H109" s="17">
        <f>ROUND(VLOOKUP(H$91&amp;"_1",管理者用人口入力シート!BH:CE,J109,FALSE),0)</f>
        <v>862</v>
      </c>
      <c r="I109" s="17">
        <f>ROUND(VLOOKUP(H$91&amp;"_2",管理者用人口入力シート!BH:CE,J109,FALSE),0)</f>
        <v>1217</v>
      </c>
      <c r="J109" s="2">
        <v>20</v>
      </c>
      <c r="K109" s="12"/>
      <c r="N109" s="2" t="s">
        <v>16</v>
      </c>
      <c r="O109" s="17">
        <f>ROUND(VLOOKUP(O$91&amp;"_1",管理者用人口入力シート!CO:DL,Q109,FALSE),0)</f>
        <v>862</v>
      </c>
      <c r="P109" s="17">
        <f>ROUND(VLOOKUP(O$91&amp;"_2",管理者用人口入力シート!CO:DL,Q109,FALSE),0)</f>
        <v>1217</v>
      </c>
      <c r="Q109" s="2">
        <v>20</v>
      </c>
      <c r="T109" s="85"/>
    </row>
    <row r="110" spans="1:20" x14ac:dyDescent="0.15">
      <c r="G110" s="2" t="s">
        <v>17</v>
      </c>
      <c r="H110" s="17">
        <f>ROUND(VLOOKUP(H$91&amp;"_1",管理者用人口入力シート!BH:CE,J110,FALSE),0)</f>
        <v>411</v>
      </c>
      <c r="I110" s="17">
        <f>ROUND(VLOOKUP(H$91&amp;"_2",管理者用人口入力シート!BH:CE,J110,FALSE),0)</f>
        <v>746</v>
      </c>
      <c r="J110" s="2">
        <v>21</v>
      </c>
      <c r="K110" s="12"/>
      <c r="N110" s="2" t="s">
        <v>17</v>
      </c>
      <c r="O110" s="17">
        <f>ROUND(VLOOKUP(O$91&amp;"_1",管理者用人口入力シート!CO:DL,Q110,FALSE),0)</f>
        <v>411</v>
      </c>
      <c r="P110" s="17">
        <f>ROUND(VLOOKUP(O$91&amp;"_2",管理者用人口入力シート!CO:DL,Q110,FALSE),0)</f>
        <v>746</v>
      </c>
      <c r="Q110" s="2">
        <v>21</v>
      </c>
      <c r="T110" s="85"/>
    </row>
    <row r="111" spans="1:20" x14ac:dyDescent="0.15">
      <c r="G111" s="2" t="s">
        <v>18</v>
      </c>
      <c r="H111" s="17">
        <f>ROUND(VLOOKUP(H$91&amp;"_1",管理者用人口入力シート!BH:CE,J111,FALSE),0)</f>
        <v>164</v>
      </c>
      <c r="I111" s="17">
        <f>ROUND(VLOOKUP(H$91&amp;"_2",管理者用人口入力シート!BH:CE,J111,FALSE),0)</f>
        <v>468</v>
      </c>
      <c r="J111" s="2">
        <v>22</v>
      </c>
      <c r="K111" s="12"/>
      <c r="N111" s="2" t="s">
        <v>18</v>
      </c>
      <c r="O111" s="17">
        <f>ROUND(VLOOKUP(O$91&amp;"_1",管理者用人口入力シート!CO:DL,Q111,FALSE),0)</f>
        <v>164</v>
      </c>
      <c r="P111" s="17">
        <f>ROUND(VLOOKUP(O$91&amp;"_2",管理者用人口入力シート!CO:DL,Q111,FALSE),0)</f>
        <v>468</v>
      </c>
      <c r="Q111" s="2">
        <v>22</v>
      </c>
      <c r="T111" s="85"/>
    </row>
    <row r="112" spans="1:20" x14ac:dyDescent="0.15">
      <c r="G112" s="2" t="s">
        <v>19</v>
      </c>
      <c r="H112" s="17">
        <f>ROUND(VLOOKUP(H$91&amp;"_1",管理者用人口入力シート!BH:CE,J112,FALSE),0)</f>
        <v>59</v>
      </c>
      <c r="I112" s="17">
        <f>ROUND(VLOOKUP(H$91&amp;"_2",管理者用人口入力シート!BH:CE,J112,FALSE),0)</f>
        <v>244</v>
      </c>
      <c r="J112" s="2">
        <v>23</v>
      </c>
      <c r="K112" s="12"/>
      <c r="N112" s="2" t="s">
        <v>19</v>
      </c>
      <c r="O112" s="17">
        <f>ROUND(VLOOKUP(O$91&amp;"_1",管理者用人口入力シート!CO:DL,Q112,FALSE),0)</f>
        <v>59</v>
      </c>
      <c r="P112" s="17">
        <f>ROUND(VLOOKUP(O$91&amp;"_2",管理者用人口入力シート!CO:DL,Q112,FALSE),0)</f>
        <v>244</v>
      </c>
      <c r="Q112" s="2">
        <v>23</v>
      </c>
      <c r="T112" s="85"/>
    </row>
    <row r="113" spans="7:20" x14ac:dyDescent="0.15">
      <c r="G113" s="2" t="s">
        <v>20</v>
      </c>
      <c r="H113" s="17">
        <f>ROUND(VLOOKUP(H$91&amp;"_1",管理者用人口入力シート!BH:CE,J113,FALSE),0)</f>
        <v>9</v>
      </c>
      <c r="I113" s="17">
        <f>ROUND(VLOOKUP(H$91&amp;"_2",管理者用人口入力シート!BH:CE,J113,FALSE),0)</f>
        <v>59</v>
      </c>
      <c r="J113" s="2">
        <v>24</v>
      </c>
      <c r="K113" s="12"/>
      <c r="N113" s="2" t="s">
        <v>20</v>
      </c>
      <c r="O113" s="17">
        <f>ROUND(VLOOKUP(O$91&amp;"_1",管理者用人口入力シート!CO:DL,Q113,FALSE),0)</f>
        <v>9</v>
      </c>
      <c r="P113" s="17">
        <f>ROUND(VLOOKUP(O$91&amp;"_2",管理者用人口入力シート!CO:DL,Q113,FALSE),0)</f>
        <v>59</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1035</v>
      </c>
      <c r="I117" s="17">
        <f>ROUND(VLOOKUP(H$115&amp;"_2",管理者用人口入力シート!BH:CE,J117,FALSE),0)</f>
        <v>986</v>
      </c>
      <c r="J117" s="2">
        <v>4</v>
      </c>
      <c r="N117" s="2" t="s">
        <v>0</v>
      </c>
      <c r="O117" s="17">
        <f>ROUND(VLOOKUP(O$115&amp;"_1",管理者用人口入力シート!CO:DL,Q117,FALSE),0)</f>
        <v>1038</v>
      </c>
      <c r="P117" s="17">
        <f>ROUND(VLOOKUP(O$115&amp;"_2",管理者用人口入力シート!CO:DL,Q117,FALSE),0)</f>
        <v>988</v>
      </c>
      <c r="Q117" s="2">
        <v>4</v>
      </c>
      <c r="T117" s="85"/>
    </row>
    <row r="118" spans="7:20" x14ac:dyDescent="0.15">
      <c r="G118" s="2" t="s">
        <v>1</v>
      </c>
      <c r="H118" s="17">
        <f>ROUND(VLOOKUP(H$115&amp;"_1",管理者用人口入力シート!BH:CE,J118,FALSE),0)</f>
        <v>906</v>
      </c>
      <c r="I118" s="17">
        <f>ROUND(VLOOKUP(H$115&amp;"_2",管理者用人口入力シート!BH:CE,J118,FALSE),0)</f>
        <v>900</v>
      </c>
      <c r="J118" s="2">
        <v>5</v>
      </c>
      <c r="N118" s="2" t="s">
        <v>1</v>
      </c>
      <c r="O118" s="17">
        <f>ROUND(VLOOKUP(O$115&amp;"_1",管理者用人口入力シート!CO:DL,Q118,FALSE),0)</f>
        <v>908</v>
      </c>
      <c r="P118" s="17">
        <f>ROUND(VLOOKUP(O$115&amp;"_2",管理者用人口入力シート!CO:DL,Q118,FALSE),0)</f>
        <v>902</v>
      </c>
      <c r="Q118" s="2">
        <v>5</v>
      </c>
      <c r="T118" s="85"/>
    </row>
    <row r="119" spans="7:20" x14ac:dyDescent="0.15">
      <c r="G119" s="2" t="s">
        <v>2</v>
      </c>
      <c r="H119" s="17">
        <f>ROUND(VLOOKUP(H$115&amp;"_1",管理者用人口入力シート!BH:CE,J119,FALSE),0)</f>
        <v>915</v>
      </c>
      <c r="I119" s="17">
        <f>ROUND(VLOOKUP(H$115&amp;"_2",管理者用人口入力シート!BH:CE,J119,FALSE),0)</f>
        <v>851</v>
      </c>
      <c r="J119" s="2">
        <v>6</v>
      </c>
      <c r="N119" s="2" t="s">
        <v>2</v>
      </c>
      <c r="O119" s="17">
        <f>ROUND(VLOOKUP(O$115&amp;"_1",管理者用人口入力シート!CO:DL,Q119,FALSE),0)</f>
        <v>917</v>
      </c>
      <c r="P119" s="17">
        <f>ROUND(VLOOKUP(O$115&amp;"_2",管理者用人口入力シート!CO:DL,Q119,FALSE),0)</f>
        <v>853</v>
      </c>
      <c r="Q119" s="2">
        <v>6</v>
      </c>
      <c r="T119" s="85"/>
    </row>
    <row r="120" spans="7:20" x14ac:dyDescent="0.15">
      <c r="G120" s="2" t="s">
        <v>3</v>
      </c>
      <c r="H120" s="17">
        <f>ROUND(VLOOKUP(H$115&amp;"_1",管理者用人口入力シート!BH:CE,J120,FALSE),0)</f>
        <v>846</v>
      </c>
      <c r="I120" s="17">
        <f>ROUND(VLOOKUP(H$115&amp;"_2",管理者用人口入力シート!BH:CE,J120,FALSE),0)</f>
        <v>867</v>
      </c>
      <c r="J120" s="2">
        <v>7</v>
      </c>
      <c r="N120" s="2" t="s">
        <v>3</v>
      </c>
      <c r="O120" s="17">
        <f>ROUND(VLOOKUP(O$115&amp;"_1",管理者用人口入力シート!CO:DL,Q120,FALSE),0)</f>
        <v>847</v>
      </c>
      <c r="P120" s="17">
        <f>ROUND(VLOOKUP(O$115&amp;"_2",管理者用人口入力シート!CO:DL,Q120,FALSE),0)</f>
        <v>868</v>
      </c>
      <c r="Q120" s="2">
        <v>7</v>
      </c>
      <c r="T120" s="85"/>
    </row>
    <row r="121" spans="7:20" x14ac:dyDescent="0.15">
      <c r="G121" s="2" t="s">
        <v>4</v>
      </c>
      <c r="H121" s="17">
        <f>ROUND(VLOOKUP(H$115&amp;"_1",管理者用人口入力シート!BH:CE,J121,FALSE),0)</f>
        <v>706</v>
      </c>
      <c r="I121" s="17">
        <f>ROUND(VLOOKUP(H$115&amp;"_2",管理者用人口入力シート!BH:CE,J121,FALSE),0)</f>
        <v>830</v>
      </c>
      <c r="J121" s="2">
        <v>8</v>
      </c>
      <c r="N121" s="2" t="s">
        <v>4</v>
      </c>
      <c r="O121" s="17">
        <f>ROUND(VLOOKUP(O$115&amp;"_1",管理者用人口入力シート!CO:DL,Q121,FALSE),0)</f>
        <v>706</v>
      </c>
      <c r="P121" s="17">
        <f>ROUND(VLOOKUP(O$115&amp;"_2",管理者用人口入力シート!CO:DL,Q121,FALSE),0)</f>
        <v>831</v>
      </c>
      <c r="Q121" s="2">
        <v>8</v>
      </c>
      <c r="T121" s="85"/>
    </row>
    <row r="122" spans="7:20" x14ac:dyDescent="0.15">
      <c r="G122" s="2" t="s">
        <v>5</v>
      </c>
      <c r="H122" s="17">
        <f>ROUND(VLOOKUP(H$115&amp;"_1",管理者用人口入力シート!BH:CE,J122,FALSE),0)</f>
        <v>1054</v>
      </c>
      <c r="I122" s="17">
        <f>ROUND(VLOOKUP(H$115&amp;"_2",管理者用人口入力シート!BH:CE,J122,FALSE),0)</f>
        <v>1122</v>
      </c>
      <c r="J122" s="2">
        <v>9</v>
      </c>
      <c r="N122" s="2" t="s">
        <v>5</v>
      </c>
      <c r="O122" s="17">
        <f>ROUND(VLOOKUP(O$115&amp;"_1",管理者用人口入力シート!CO:DL,Q122,FALSE),0)</f>
        <v>1056</v>
      </c>
      <c r="P122" s="17">
        <f>ROUND(VLOOKUP(O$115&amp;"_2",管理者用人口入力シート!CO:DL,Q122,FALSE),0)</f>
        <v>1124</v>
      </c>
      <c r="Q122" s="2">
        <v>9</v>
      </c>
      <c r="T122" s="85"/>
    </row>
    <row r="123" spans="7:20" x14ac:dyDescent="0.15">
      <c r="G123" s="2" t="s">
        <v>6</v>
      </c>
      <c r="H123" s="17">
        <f>ROUND(VLOOKUP(H$115&amp;"_1",管理者用人口入力シート!BH:CE,J123,FALSE),0)</f>
        <v>1289</v>
      </c>
      <c r="I123" s="17">
        <f>ROUND(VLOOKUP(H$115&amp;"_2",管理者用人口入力シート!BH:CE,J123,FALSE),0)</f>
        <v>1278</v>
      </c>
      <c r="J123" s="2">
        <v>10</v>
      </c>
      <c r="N123" s="2" t="s">
        <v>6</v>
      </c>
      <c r="O123" s="17">
        <f>ROUND(VLOOKUP(O$115&amp;"_1",管理者用人口入力シート!CO:DL,Q123,FALSE),0)</f>
        <v>1292</v>
      </c>
      <c r="P123" s="17">
        <f>ROUND(VLOOKUP(O$115&amp;"_2",管理者用人口入力シート!CO:DL,Q123,FALSE),0)</f>
        <v>1281</v>
      </c>
      <c r="Q123" s="2">
        <v>10</v>
      </c>
      <c r="T123" s="85"/>
    </row>
    <row r="124" spans="7:20" x14ac:dyDescent="0.15">
      <c r="G124" s="2" t="s">
        <v>7</v>
      </c>
      <c r="H124" s="17">
        <f>ROUND(VLOOKUP(H$115&amp;"_1",管理者用人口入力シート!BH:CE,J124,FALSE),0)</f>
        <v>1413</v>
      </c>
      <c r="I124" s="17">
        <f>ROUND(VLOOKUP(H$115&amp;"_2",管理者用人口入力シート!BH:CE,J124,FALSE),0)</f>
        <v>1433</v>
      </c>
      <c r="J124" s="2">
        <v>11</v>
      </c>
      <c r="N124" s="2" t="s">
        <v>7</v>
      </c>
      <c r="O124" s="17">
        <f>ROUND(VLOOKUP(O$115&amp;"_1",管理者用人口入力シート!CO:DL,Q124,FALSE),0)</f>
        <v>1415</v>
      </c>
      <c r="P124" s="17">
        <f>ROUND(VLOOKUP(O$115&amp;"_2",管理者用人口入力シート!CO:DL,Q124,FALSE),0)</f>
        <v>1435</v>
      </c>
      <c r="Q124" s="2">
        <v>11</v>
      </c>
      <c r="T124" s="85"/>
    </row>
    <row r="125" spans="7:20" x14ac:dyDescent="0.15">
      <c r="G125" s="2" t="s">
        <v>8</v>
      </c>
      <c r="H125" s="17">
        <f>ROUND(VLOOKUP(H$115&amp;"_1",管理者用人口入力シート!BH:CE,J125,FALSE),0)</f>
        <v>1344</v>
      </c>
      <c r="I125" s="17">
        <f>ROUND(VLOOKUP(H$115&amp;"_2",管理者用人口入力シート!BH:CE,J125,FALSE),0)</f>
        <v>1325</v>
      </c>
      <c r="J125" s="2">
        <v>12</v>
      </c>
      <c r="N125" s="2" t="s">
        <v>8</v>
      </c>
      <c r="O125" s="17">
        <f>ROUND(VLOOKUP(O$115&amp;"_1",管理者用人口入力シート!CO:DL,Q125,FALSE),0)</f>
        <v>1344</v>
      </c>
      <c r="P125" s="17">
        <f>ROUND(VLOOKUP(O$115&amp;"_2",管理者用人口入力シート!CO:DL,Q125,FALSE),0)</f>
        <v>1326</v>
      </c>
      <c r="Q125" s="2">
        <v>12</v>
      </c>
      <c r="T125" s="85"/>
    </row>
    <row r="126" spans="7:20" x14ac:dyDescent="0.15">
      <c r="G126" s="2" t="s">
        <v>9</v>
      </c>
      <c r="H126" s="17">
        <f>ROUND(VLOOKUP(H$115&amp;"_1",管理者用人口入力シート!BH:CE,J126,FALSE),0)</f>
        <v>1274</v>
      </c>
      <c r="I126" s="17">
        <f>ROUND(VLOOKUP(H$115&amp;"_2",管理者用人口入力シート!BH:CE,J126,FALSE),0)</f>
        <v>1315</v>
      </c>
      <c r="J126" s="2">
        <v>13</v>
      </c>
      <c r="N126" s="2" t="s">
        <v>9</v>
      </c>
      <c r="O126" s="17">
        <f>ROUND(VLOOKUP(O$115&amp;"_1",管理者用人口入力シート!CO:DL,Q126,FALSE),0)</f>
        <v>1274</v>
      </c>
      <c r="P126" s="17">
        <f>ROUND(VLOOKUP(O$115&amp;"_2",管理者用人口入力シート!CO:DL,Q126,FALSE),0)</f>
        <v>1316</v>
      </c>
      <c r="Q126" s="2">
        <v>13</v>
      </c>
      <c r="T126" s="85"/>
    </row>
    <row r="127" spans="7:20" x14ac:dyDescent="0.15">
      <c r="G127" s="2" t="s">
        <v>10</v>
      </c>
      <c r="H127" s="17">
        <f>ROUND(VLOOKUP(H$115&amp;"_1",管理者用人口入力シート!BH:CE,J127,FALSE),0)</f>
        <v>1328</v>
      </c>
      <c r="I127" s="17">
        <f>ROUND(VLOOKUP(H$115&amp;"_2",管理者用人口入力シート!BH:CE,J127,FALSE),0)</f>
        <v>1444</v>
      </c>
      <c r="J127" s="2">
        <v>14</v>
      </c>
      <c r="N127" s="2" t="s">
        <v>10</v>
      </c>
      <c r="O127" s="17">
        <f>ROUND(VLOOKUP(O$115&amp;"_1",管理者用人口入力シート!CO:DL,Q127,FALSE),0)</f>
        <v>1328</v>
      </c>
      <c r="P127" s="17">
        <f>ROUND(VLOOKUP(O$115&amp;"_2",管理者用人口入力シート!CO:DL,Q127,FALSE),0)</f>
        <v>1445</v>
      </c>
      <c r="Q127" s="2">
        <v>14</v>
      </c>
      <c r="T127" s="85"/>
    </row>
    <row r="128" spans="7:20" x14ac:dyDescent="0.15">
      <c r="G128" s="2" t="s">
        <v>11</v>
      </c>
      <c r="H128" s="17">
        <f>ROUND(VLOOKUP(H$115&amp;"_1",管理者用人口入力シート!BH:CE,J128,FALSE),0)</f>
        <v>1516</v>
      </c>
      <c r="I128" s="17">
        <f>ROUND(VLOOKUP(H$115&amp;"_2",管理者用人口入力シート!BH:CE,J128,FALSE),0)</f>
        <v>1525</v>
      </c>
      <c r="J128" s="2">
        <v>15</v>
      </c>
      <c r="N128" s="2" t="s">
        <v>11</v>
      </c>
      <c r="O128" s="17">
        <f>ROUND(VLOOKUP(O$115&amp;"_1",管理者用人口入力シート!CO:DL,Q128,FALSE),0)</f>
        <v>1516</v>
      </c>
      <c r="P128" s="17">
        <f>ROUND(VLOOKUP(O$115&amp;"_2",管理者用人口入力シート!CO:DL,Q128,FALSE),0)</f>
        <v>1525</v>
      </c>
      <c r="Q128" s="2">
        <v>15</v>
      </c>
      <c r="T128" s="85"/>
    </row>
    <row r="129" spans="7:20" x14ac:dyDescent="0.15">
      <c r="G129" s="2" t="s">
        <v>12</v>
      </c>
      <c r="H129" s="17">
        <f>ROUND(VLOOKUP(H$115&amp;"_1",管理者用人口入力シート!BH:CE,J129,FALSE),0)</f>
        <v>1543</v>
      </c>
      <c r="I129" s="17">
        <f>ROUND(VLOOKUP(H$115&amp;"_2",管理者用人口入力シート!BH:CE,J129,FALSE),0)</f>
        <v>1648</v>
      </c>
      <c r="J129" s="2">
        <v>16</v>
      </c>
      <c r="N129" s="2" t="s">
        <v>12</v>
      </c>
      <c r="O129" s="17">
        <f>ROUND(VLOOKUP(O$115&amp;"_1",管理者用人口入力シート!CO:DL,Q129,FALSE),0)</f>
        <v>1543</v>
      </c>
      <c r="P129" s="17">
        <f>ROUND(VLOOKUP(O$115&amp;"_2",管理者用人口入力シート!CO:DL,Q129,FALSE),0)</f>
        <v>1648</v>
      </c>
      <c r="Q129" s="2">
        <v>16</v>
      </c>
      <c r="T129" s="85"/>
    </row>
    <row r="130" spans="7:20" x14ac:dyDescent="0.15">
      <c r="G130" s="2" t="s">
        <v>13</v>
      </c>
      <c r="H130" s="17">
        <f>ROUND(VLOOKUP(H$115&amp;"_1",管理者用人口入力シート!BH:CE,J130,FALSE),0)</f>
        <v>1218</v>
      </c>
      <c r="I130" s="17">
        <f>ROUND(VLOOKUP(H$115&amp;"_2",管理者用人口入力シート!BH:CE,J130,FALSE),0)</f>
        <v>1379</v>
      </c>
      <c r="J130" s="2">
        <v>17</v>
      </c>
      <c r="N130" s="2" t="s">
        <v>13</v>
      </c>
      <c r="O130" s="17">
        <f>ROUND(VLOOKUP(O$115&amp;"_1",管理者用人口入力シート!CO:DL,Q130,FALSE),0)</f>
        <v>1218</v>
      </c>
      <c r="P130" s="17">
        <f>ROUND(VLOOKUP(O$115&amp;"_2",管理者用人口入力シート!CO:DL,Q130,FALSE),0)</f>
        <v>1379</v>
      </c>
      <c r="Q130" s="2">
        <v>17</v>
      </c>
      <c r="T130" s="85"/>
    </row>
    <row r="131" spans="7:20" x14ac:dyDescent="0.15">
      <c r="G131" s="2" t="s">
        <v>14</v>
      </c>
      <c r="H131" s="17">
        <f>ROUND(VLOOKUP(H$115&amp;"_1",管理者用人口入力シート!BH:CE,J131,FALSE),0)</f>
        <v>1132</v>
      </c>
      <c r="I131" s="17">
        <f>ROUND(VLOOKUP(H$115&amp;"_2",管理者用人口入力シート!BH:CE,J131,FALSE),0)</f>
        <v>1283</v>
      </c>
      <c r="J131" s="2">
        <v>18</v>
      </c>
      <c r="N131" s="2" t="s">
        <v>14</v>
      </c>
      <c r="O131" s="17">
        <f>ROUND(VLOOKUP(O$115&amp;"_1",管理者用人口入力シート!CO:DL,Q131,FALSE),0)</f>
        <v>1132</v>
      </c>
      <c r="P131" s="17">
        <f>ROUND(VLOOKUP(O$115&amp;"_2",管理者用人口入力シート!CO:DL,Q131,FALSE),0)</f>
        <v>1283</v>
      </c>
      <c r="Q131" s="2">
        <v>18</v>
      </c>
      <c r="T131" s="85"/>
    </row>
    <row r="132" spans="7:20" x14ac:dyDescent="0.15">
      <c r="G132" s="2" t="s">
        <v>15</v>
      </c>
      <c r="H132" s="17">
        <f>ROUND(VLOOKUP(H$115&amp;"_1",管理者用人口入力シート!BH:CE,J132,FALSE),0)</f>
        <v>932</v>
      </c>
      <c r="I132" s="17">
        <f>ROUND(VLOOKUP(H$115&amp;"_2",管理者用人口入力シート!BH:CE,J132,FALSE),0)</f>
        <v>1122</v>
      </c>
      <c r="J132" s="2">
        <v>19</v>
      </c>
      <c r="N132" s="2" t="s">
        <v>15</v>
      </c>
      <c r="O132" s="17">
        <f>ROUND(VLOOKUP(O$115&amp;"_1",管理者用人口入力シート!CO:DL,Q132,FALSE),0)</f>
        <v>932</v>
      </c>
      <c r="P132" s="17">
        <f>ROUND(VLOOKUP(O$115&amp;"_2",管理者用人口入力シート!CO:DL,Q132,FALSE),0)</f>
        <v>1122</v>
      </c>
      <c r="Q132" s="2">
        <v>19</v>
      </c>
      <c r="T132" s="85"/>
    </row>
    <row r="133" spans="7:20" x14ac:dyDescent="0.15">
      <c r="G133" s="2" t="s">
        <v>16</v>
      </c>
      <c r="H133" s="17">
        <f>ROUND(VLOOKUP(H$115&amp;"_1",管理者用人口入力シート!BH:CE,J133,FALSE),0)</f>
        <v>830</v>
      </c>
      <c r="I133" s="17">
        <f>ROUND(VLOOKUP(H$115&amp;"_2",管理者用人口入力シート!BH:CE,J133,FALSE),0)</f>
        <v>1143</v>
      </c>
      <c r="J133" s="2">
        <v>20</v>
      </c>
      <c r="N133" s="2" t="s">
        <v>16</v>
      </c>
      <c r="O133" s="17">
        <f>ROUND(VLOOKUP(O$115&amp;"_1",管理者用人口入力シート!CO:DL,Q133,FALSE),0)</f>
        <v>830</v>
      </c>
      <c r="P133" s="17">
        <f>ROUND(VLOOKUP(O$115&amp;"_2",管理者用人口入力シート!CO:DL,Q133,FALSE),0)</f>
        <v>1143</v>
      </c>
      <c r="Q133" s="2">
        <v>20</v>
      </c>
      <c r="T133" s="85"/>
    </row>
    <row r="134" spans="7:20" x14ac:dyDescent="0.15">
      <c r="G134" s="2" t="s">
        <v>17</v>
      </c>
      <c r="H134" s="17">
        <f>ROUND(VLOOKUP(H$115&amp;"_1",管理者用人口入力シート!BH:CE,J134,FALSE),0)</f>
        <v>572</v>
      </c>
      <c r="I134" s="17">
        <f>ROUND(VLOOKUP(H$115&amp;"_2",管理者用人口入力シート!BH:CE,J134,FALSE),0)</f>
        <v>995</v>
      </c>
      <c r="J134" s="2">
        <v>21</v>
      </c>
      <c r="N134" s="2" t="s">
        <v>17</v>
      </c>
      <c r="O134" s="17">
        <f>ROUND(VLOOKUP(O$115&amp;"_1",管理者用人口入力シート!CO:DL,Q134,FALSE),0)</f>
        <v>572</v>
      </c>
      <c r="P134" s="17">
        <f>ROUND(VLOOKUP(O$115&amp;"_2",管理者用人口入力シート!CO:DL,Q134,FALSE),0)</f>
        <v>995</v>
      </c>
      <c r="Q134" s="2">
        <v>21</v>
      </c>
      <c r="T134" s="85"/>
    </row>
    <row r="135" spans="7:20" x14ac:dyDescent="0.15">
      <c r="G135" s="2" t="s">
        <v>18</v>
      </c>
      <c r="H135" s="17">
        <f>ROUND(VLOOKUP(H$115&amp;"_1",管理者用人口入力シート!BH:CE,J135,FALSE),0)</f>
        <v>189</v>
      </c>
      <c r="I135" s="17">
        <f>ROUND(VLOOKUP(H$115&amp;"_2",管理者用人口入力シート!BH:CE,J135,FALSE),0)</f>
        <v>501</v>
      </c>
      <c r="J135" s="2">
        <v>22</v>
      </c>
      <c r="N135" s="2" t="s">
        <v>18</v>
      </c>
      <c r="O135" s="17">
        <f>ROUND(VLOOKUP(O$115&amp;"_1",管理者用人口入力シート!CO:DL,Q135,FALSE),0)</f>
        <v>189</v>
      </c>
      <c r="P135" s="17">
        <f>ROUND(VLOOKUP(O$115&amp;"_2",管理者用人口入力シート!CO:DL,Q135,FALSE),0)</f>
        <v>501</v>
      </c>
      <c r="Q135" s="2">
        <v>22</v>
      </c>
      <c r="T135" s="85"/>
    </row>
    <row r="136" spans="7:20" x14ac:dyDescent="0.15">
      <c r="G136" s="2" t="s">
        <v>19</v>
      </c>
      <c r="H136" s="17">
        <f>ROUND(VLOOKUP(H$115&amp;"_1",管理者用人口入力シート!BH:CE,J136,FALSE),0)</f>
        <v>57</v>
      </c>
      <c r="I136" s="17">
        <f>ROUND(VLOOKUP(H$115&amp;"_2",管理者用人口入力シート!BH:CE,J136,FALSE),0)</f>
        <v>227</v>
      </c>
      <c r="J136" s="2">
        <v>23</v>
      </c>
      <c r="N136" s="2" t="s">
        <v>19</v>
      </c>
      <c r="O136" s="17">
        <f>ROUND(VLOOKUP(O$115&amp;"_1",管理者用人口入力シート!CO:DL,Q136,FALSE),0)</f>
        <v>57</v>
      </c>
      <c r="P136" s="17">
        <f>ROUND(VLOOKUP(O$115&amp;"_2",管理者用人口入力シート!CO:DL,Q136,FALSE),0)</f>
        <v>227</v>
      </c>
      <c r="Q136" s="2">
        <v>23</v>
      </c>
      <c r="T136" s="85"/>
    </row>
    <row r="137" spans="7:20" x14ac:dyDescent="0.15">
      <c r="G137" s="2" t="s">
        <v>20</v>
      </c>
      <c r="H137" s="17">
        <f>ROUND(VLOOKUP(H$115&amp;"_1",管理者用人口入力シート!BH:CE,J137,FALSE),0)</f>
        <v>10</v>
      </c>
      <c r="I137" s="17">
        <f>ROUND(VLOOKUP(H$115&amp;"_2",管理者用人口入力シート!BH:CE,J137,FALSE),0)</f>
        <v>65</v>
      </c>
      <c r="J137" s="2">
        <v>24</v>
      </c>
      <c r="N137" s="2" t="s">
        <v>20</v>
      </c>
      <c r="O137" s="17">
        <f>ROUND(VLOOKUP(O$115&amp;"_1",管理者用人口入力シート!CO:DL,Q137,FALSE),0)</f>
        <v>10</v>
      </c>
      <c r="P137" s="17">
        <f>ROUND(VLOOKUP(O$115&amp;"_2",管理者用人口入力シート!CO:DL,Q137,FALSE),0)</f>
        <v>65</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976</v>
      </c>
      <c r="I141" s="17">
        <f>ROUND(VLOOKUP(H$139&amp;"_2",管理者用人口入力シート!BH:CE,J141,FALSE),0)</f>
        <v>929</v>
      </c>
      <c r="J141" s="2">
        <v>4</v>
      </c>
      <c r="N141" s="2" t="s">
        <v>0</v>
      </c>
      <c r="O141" s="17">
        <f>ROUND(VLOOKUP(O$139&amp;"_1",管理者用人口入力シート!CO:DL,Q141,FALSE),0)</f>
        <v>979</v>
      </c>
      <c r="P141" s="17">
        <f>ROUND(VLOOKUP(O$139&amp;"_2",管理者用人口入力シート!CO:DL,Q141,FALSE),0)</f>
        <v>932</v>
      </c>
      <c r="Q141" s="2">
        <v>4</v>
      </c>
    </row>
    <row r="142" spans="7:20" x14ac:dyDescent="0.15">
      <c r="G142" s="2" t="s">
        <v>1</v>
      </c>
      <c r="H142" s="17">
        <f>ROUND(VLOOKUP(H$139&amp;"_1",管理者用人口入力シート!BH:CE,J142,FALSE),0)</f>
        <v>883</v>
      </c>
      <c r="I142" s="17">
        <f>ROUND(VLOOKUP(H$139&amp;"_2",管理者用人口入力シート!BH:CE,J142,FALSE),0)</f>
        <v>877</v>
      </c>
      <c r="J142" s="2">
        <v>5</v>
      </c>
      <c r="N142" s="2" t="s">
        <v>1</v>
      </c>
      <c r="O142" s="17">
        <f>ROUND(VLOOKUP(O$139&amp;"_1",管理者用人口入力シート!CO:DL,Q142,FALSE),0)</f>
        <v>885</v>
      </c>
      <c r="P142" s="17">
        <f>ROUND(VLOOKUP(O$139&amp;"_2",管理者用人口入力シート!CO:DL,Q142,FALSE),0)</f>
        <v>879</v>
      </c>
      <c r="Q142" s="2">
        <v>5</v>
      </c>
    </row>
    <row r="143" spans="7:20" x14ac:dyDescent="0.15">
      <c r="G143" s="2" t="s">
        <v>2</v>
      </c>
      <c r="H143" s="17">
        <f>ROUND(VLOOKUP(H$139&amp;"_1",管理者用人口入力シート!BH:CE,J143,FALSE),0)</f>
        <v>895</v>
      </c>
      <c r="I143" s="17">
        <f>ROUND(VLOOKUP(H$139&amp;"_2",管理者用人口入力シート!BH:CE,J143,FALSE),0)</f>
        <v>833</v>
      </c>
      <c r="J143" s="2">
        <v>6</v>
      </c>
      <c r="N143" s="2" t="s">
        <v>2</v>
      </c>
      <c r="O143" s="17">
        <f>ROUND(VLOOKUP(O$139&amp;"_1",管理者用人口入力シート!CO:DL,Q143,FALSE),0)</f>
        <v>898</v>
      </c>
      <c r="P143" s="17">
        <f>ROUND(VLOOKUP(O$139&amp;"_2",管理者用人口入力シート!CO:DL,Q143,FALSE),0)</f>
        <v>835</v>
      </c>
      <c r="Q143" s="2">
        <v>6</v>
      </c>
    </row>
    <row r="144" spans="7:20" x14ac:dyDescent="0.15">
      <c r="G144" s="2" t="s">
        <v>3</v>
      </c>
      <c r="H144" s="17">
        <f>ROUND(VLOOKUP(H$139&amp;"_1",管理者用人口入力シート!BH:CE,J144,FALSE),0)</f>
        <v>820</v>
      </c>
      <c r="I144" s="17">
        <f>ROUND(VLOOKUP(H$139&amp;"_2",管理者用人口入力シート!BH:CE,J144,FALSE),0)</f>
        <v>841</v>
      </c>
      <c r="J144" s="2">
        <v>7</v>
      </c>
      <c r="N144" s="2" t="s">
        <v>3</v>
      </c>
      <c r="O144" s="17">
        <f>ROUND(VLOOKUP(O$139&amp;"_1",管理者用人口入力シート!CO:DL,Q144,FALSE),0)</f>
        <v>822</v>
      </c>
      <c r="P144" s="17">
        <f>ROUND(VLOOKUP(O$139&amp;"_2",管理者用人口入力シート!CO:DL,Q144,FALSE),0)</f>
        <v>842</v>
      </c>
      <c r="Q144" s="2">
        <v>7</v>
      </c>
    </row>
    <row r="145" spans="7:17" x14ac:dyDescent="0.15">
      <c r="G145" s="2" t="s">
        <v>4</v>
      </c>
      <c r="H145" s="17">
        <f>ROUND(VLOOKUP(H$139&amp;"_1",管理者用人口入力シート!BH:CE,J145,FALSE),0)</f>
        <v>675</v>
      </c>
      <c r="I145" s="17">
        <f>ROUND(VLOOKUP(H$139&amp;"_2",管理者用人口入力シート!BH:CE,J145,FALSE),0)</f>
        <v>773</v>
      </c>
      <c r="J145" s="2">
        <v>8</v>
      </c>
      <c r="N145" s="2" t="s">
        <v>4</v>
      </c>
      <c r="O145" s="17">
        <f>ROUND(VLOOKUP(O$139&amp;"_1",管理者用人口入力シート!CO:DL,Q145,FALSE),0)</f>
        <v>676</v>
      </c>
      <c r="P145" s="17">
        <f>ROUND(VLOOKUP(O$139&amp;"_2",管理者用人口入力シート!CO:DL,Q145,FALSE),0)</f>
        <v>773</v>
      </c>
      <c r="Q145" s="2">
        <v>8</v>
      </c>
    </row>
    <row r="146" spans="7:17" x14ac:dyDescent="0.15">
      <c r="G146" s="2" t="s">
        <v>5</v>
      </c>
      <c r="H146" s="17">
        <f>ROUND(VLOOKUP(H$139&amp;"_1",管理者用人口入力シート!BH:CE,J146,FALSE),0)</f>
        <v>1029</v>
      </c>
      <c r="I146" s="17">
        <f>ROUND(VLOOKUP(H$139&amp;"_2",管理者用人口入力シート!BH:CE,J146,FALSE),0)</f>
        <v>1152</v>
      </c>
      <c r="J146" s="2">
        <v>9</v>
      </c>
      <c r="N146" s="2" t="s">
        <v>5</v>
      </c>
      <c r="O146" s="17">
        <f>ROUND(VLOOKUP(O$139&amp;"_1",管理者用人口入力シート!CO:DL,Q146,FALSE),0)</f>
        <v>1032</v>
      </c>
      <c r="P146" s="17">
        <f>ROUND(VLOOKUP(O$139&amp;"_2",管理者用人口入力シート!CO:DL,Q146,FALSE),0)</f>
        <v>1155</v>
      </c>
      <c r="Q146" s="2">
        <v>9</v>
      </c>
    </row>
    <row r="147" spans="7:17" x14ac:dyDescent="0.15">
      <c r="G147" s="2" t="s">
        <v>6</v>
      </c>
      <c r="H147" s="17">
        <f>ROUND(VLOOKUP(H$139&amp;"_1",管理者用人口入力シート!BH:CE,J147,FALSE),0)</f>
        <v>1256</v>
      </c>
      <c r="I147" s="17">
        <f>ROUND(VLOOKUP(H$139&amp;"_2",管理者用人口入力シート!BH:CE,J147,FALSE),0)</f>
        <v>1220</v>
      </c>
      <c r="J147" s="2">
        <v>10</v>
      </c>
      <c r="N147" s="2" t="s">
        <v>6</v>
      </c>
      <c r="O147" s="17">
        <f>ROUND(VLOOKUP(O$139&amp;"_1",管理者用人口入力シート!CO:DL,Q147,FALSE),0)</f>
        <v>1258</v>
      </c>
      <c r="P147" s="17">
        <f>ROUND(VLOOKUP(O$139&amp;"_2",管理者用人口入力シート!CO:DL,Q147,FALSE),0)</f>
        <v>1222</v>
      </c>
      <c r="Q147" s="2">
        <v>10</v>
      </c>
    </row>
    <row r="148" spans="7:17" x14ac:dyDescent="0.15">
      <c r="G148" s="2" t="s">
        <v>7</v>
      </c>
      <c r="H148" s="17">
        <f>ROUND(VLOOKUP(H$139&amp;"_1",管理者用人口入力シート!BH:CE,J148,FALSE),0)</f>
        <v>1290</v>
      </c>
      <c r="I148" s="17">
        <f>ROUND(VLOOKUP(H$139&amp;"_2",管理者用人口入力シート!BH:CE,J148,FALSE),0)</f>
        <v>1253</v>
      </c>
      <c r="J148" s="2">
        <v>11</v>
      </c>
      <c r="N148" s="2" t="s">
        <v>7</v>
      </c>
      <c r="O148" s="17">
        <f>ROUND(VLOOKUP(O$139&amp;"_1",管理者用人口入力シート!CO:DL,Q148,FALSE),0)</f>
        <v>1293</v>
      </c>
      <c r="P148" s="17">
        <f>ROUND(VLOOKUP(O$139&amp;"_2",管理者用人口入力シート!CO:DL,Q148,FALSE),0)</f>
        <v>1255</v>
      </c>
      <c r="Q148" s="2">
        <v>11</v>
      </c>
    </row>
    <row r="149" spans="7:17" x14ac:dyDescent="0.15">
      <c r="G149" s="2" t="s">
        <v>8</v>
      </c>
      <c r="H149" s="17">
        <f>ROUND(VLOOKUP(H$139&amp;"_1",管理者用人口入力シート!BH:CE,J149,FALSE),0)</f>
        <v>1393</v>
      </c>
      <c r="I149" s="17">
        <f>ROUND(VLOOKUP(H$139&amp;"_2",管理者用人口入力シート!BH:CE,J149,FALSE),0)</f>
        <v>1415</v>
      </c>
      <c r="J149" s="2">
        <v>12</v>
      </c>
      <c r="N149" s="2" t="s">
        <v>8</v>
      </c>
      <c r="O149" s="17">
        <f>ROUND(VLOOKUP(O$139&amp;"_1",管理者用人口入力シート!CO:DL,Q149,FALSE),0)</f>
        <v>1395</v>
      </c>
      <c r="P149" s="17">
        <f>ROUND(VLOOKUP(O$139&amp;"_2",管理者用人口入力シート!CO:DL,Q149,FALSE),0)</f>
        <v>1418</v>
      </c>
      <c r="Q149" s="2">
        <v>12</v>
      </c>
    </row>
    <row r="150" spans="7:17" x14ac:dyDescent="0.15">
      <c r="G150" s="2" t="s">
        <v>9</v>
      </c>
      <c r="H150" s="17">
        <f>ROUND(VLOOKUP(H$139&amp;"_1",管理者用人口入力シート!BH:CE,J150,FALSE),0)</f>
        <v>1368</v>
      </c>
      <c r="I150" s="17">
        <f>ROUND(VLOOKUP(H$139&amp;"_2",管理者用人口入力シート!BH:CE,J150,FALSE),0)</f>
        <v>1323</v>
      </c>
      <c r="J150" s="2">
        <v>13</v>
      </c>
      <c r="N150" s="2" t="s">
        <v>9</v>
      </c>
      <c r="O150" s="17">
        <f>ROUND(VLOOKUP(O$139&amp;"_1",管理者用人口入力シート!CO:DL,Q150,FALSE),0)</f>
        <v>1368</v>
      </c>
      <c r="P150" s="17">
        <f>ROUND(VLOOKUP(O$139&amp;"_2",管理者用人口入力シート!CO:DL,Q150,FALSE),0)</f>
        <v>1324</v>
      </c>
      <c r="Q150" s="2">
        <v>13</v>
      </c>
    </row>
    <row r="151" spans="7:17" x14ac:dyDescent="0.15">
      <c r="G151" s="2" t="s">
        <v>10</v>
      </c>
      <c r="H151" s="17">
        <f>ROUND(VLOOKUP(H$139&amp;"_1",管理者用人口入力シート!BH:CE,J151,FALSE),0)</f>
        <v>1253</v>
      </c>
      <c r="I151" s="17">
        <f>ROUND(VLOOKUP(H$139&amp;"_2",管理者用人口入力シート!BH:CE,J151,FALSE),0)</f>
        <v>1318</v>
      </c>
      <c r="J151" s="2">
        <v>14</v>
      </c>
      <c r="N151" s="2" t="s">
        <v>10</v>
      </c>
      <c r="O151" s="17">
        <f>ROUND(VLOOKUP(O$139&amp;"_1",管理者用人口入力シート!CO:DL,Q151,FALSE),0)</f>
        <v>1253</v>
      </c>
      <c r="P151" s="17">
        <f>ROUND(VLOOKUP(O$139&amp;"_2",管理者用人口入力シート!CO:DL,Q151,FALSE),0)</f>
        <v>1319</v>
      </c>
      <c r="Q151" s="2">
        <v>14</v>
      </c>
    </row>
    <row r="152" spans="7:17" x14ac:dyDescent="0.15">
      <c r="G152" s="2" t="s">
        <v>11</v>
      </c>
      <c r="H152" s="17">
        <f>ROUND(VLOOKUP(H$139&amp;"_1",管理者用人口入力シート!BH:CE,J152,FALSE),0)</f>
        <v>1350</v>
      </c>
      <c r="I152" s="17">
        <f>ROUND(VLOOKUP(H$139&amp;"_2",管理者用人口入力シート!BH:CE,J152,FALSE),0)</f>
        <v>1439</v>
      </c>
      <c r="J152" s="2">
        <v>15</v>
      </c>
      <c r="N152" s="2" t="s">
        <v>11</v>
      </c>
      <c r="O152" s="17">
        <f>ROUND(VLOOKUP(O$139&amp;"_1",管理者用人口入力シート!CO:DL,Q152,FALSE),0)</f>
        <v>1350</v>
      </c>
      <c r="P152" s="17">
        <f>ROUND(VLOOKUP(O$139&amp;"_2",管理者用人口入力シート!CO:DL,Q152,FALSE),0)</f>
        <v>1440</v>
      </c>
      <c r="Q152" s="2">
        <v>15</v>
      </c>
    </row>
    <row r="153" spans="7:17" x14ac:dyDescent="0.15">
      <c r="G153" s="2" t="s">
        <v>12</v>
      </c>
      <c r="H153" s="17">
        <f>ROUND(VLOOKUP(H$139&amp;"_1",管理者用人口入力シート!BH:CE,J153,FALSE),0)</f>
        <v>1459</v>
      </c>
      <c r="I153" s="17">
        <f>ROUND(VLOOKUP(H$139&amp;"_2",管理者用人口入力シート!BH:CE,J153,FALSE),0)</f>
        <v>1494</v>
      </c>
      <c r="J153" s="2">
        <v>16</v>
      </c>
      <c r="N153" s="2" t="s">
        <v>12</v>
      </c>
      <c r="O153" s="17">
        <f>ROUND(VLOOKUP(O$139&amp;"_1",管理者用人口入力シート!CO:DL,Q153,FALSE),0)</f>
        <v>1459</v>
      </c>
      <c r="P153" s="17">
        <f>ROUND(VLOOKUP(O$139&amp;"_2",管理者用人口入力シート!CO:DL,Q153,FALSE),0)</f>
        <v>1494</v>
      </c>
      <c r="Q153" s="2">
        <v>16</v>
      </c>
    </row>
    <row r="154" spans="7:17" x14ac:dyDescent="0.15">
      <c r="G154" s="2" t="s">
        <v>13</v>
      </c>
      <c r="H154" s="17">
        <f>ROUND(VLOOKUP(H$139&amp;"_1",管理者用人口入力シート!BH:CE,J154,FALSE),0)</f>
        <v>1496</v>
      </c>
      <c r="I154" s="17">
        <f>ROUND(VLOOKUP(H$139&amp;"_2",管理者用人口入力シート!BH:CE,J154,FALSE),0)</f>
        <v>1602</v>
      </c>
      <c r="J154" s="2">
        <v>17</v>
      </c>
      <c r="N154" s="2" t="s">
        <v>13</v>
      </c>
      <c r="O154" s="17">
        <f>ROUND(VLOOKUP(O$139&amp;"_1",管理者用人口入力シート!CO:DL,Q154,FALSE),0)</f>
        <v>1496</v>
      </c>
      <c r="P154" s="17">
        <f>ROUND(VLOOKUP(O$139&amp;"_2",管理者用人口入力シート!CO:DL,Q154,FALSE),0)</f>
        <v>1602</v>
      </c>
      <c r="Q154" s="2">
        <v>17</v>
      </c>
    </row>
    <row r="155" spans="7:17" x14ac:dyDescent="0.15">
      <c r="G155" s="2" t="s">
        <v>14</v>
      </c>
      <c r="H155" s="17">
        <f>ROUND(VLOOKUP(H$139&amp;"_1",管理者用人口入力シート!BH:CE,J155,FALSE),0)</f>
        <v>1147</v>
      </c>
      <c r="I155" s="17">
        <f>ROUND(VLOOKUP(H$139&amp;"_2",管理者用人口入力シート!BH:CE,J155,FALSE),0)</f>
        <v>1339</v>
      </c>
      <c r="J155" s="2">
        <v>18</v>
      </c>
      <c r="N155" s="2" t="s">
        <v>14</v>
      </c>
      <c r="O155" s="17">
        <f>ROUND(VLOOKUP(O$139&amp;"_1",管理者用人口入力シート!CO:DL,Q155,FALSE),0)</f>
        <v>1147</v>
      </c>
      <c r="P155" s="17">
        <f>ROUND(VLOOKUP(O$139&amp;"_2",管理者用人口入力シート!CO:DL,Q155,FALSE),0)</f>
        <v>1339</v>
      </c>
      <c r="Q155" s="2">
        <v>18</v>
      </c>
    </row>
    <row r="156" spans="7:17" x14ac:dyDescent="0.15">
      <c r="G156" s="2" t="s">
        <v>15</v>
      </c>
      <c r="H156" s="17">
        <f>ROUND(VLOOKUP(H$139&amp;"_1",管理者用人口入力シート!BH:CE,J156,FALSE),0)</f>
        <v>983</v>
      </c>
      <c r="I156" s="17">
        <f>ROUND(VLOOKUP(H$139&amp;"_2",管理者用人口入力シート!BH:CE,J156,FALSE),0)</f>
        <v>1200</v>
      </c>
      <c r="J156" s="2">
        <v>19</v>
      </c>
      <c r="N156" s="2" t="s">
        <v>15</v>
      </c>
      <c r="O156" s="17">
        <f>ROUND(VLOOKUP(O$139&amp;"_1",管理者用人口入力シート!CO:DL,Q156,FALSE),0)</f>
        <v>983</v>
      </c>
      <c r="P156" s="17">
        <f>ROUND(VLOOKUP(O$139&amp;"_2",管理者用人口入力シート!CO:DL,Q156,FALSE),0)</f>
        <v>1200</v>
      </c>
      <c r="Q156" s="2">
        <v>19</v>
      </c>
    </row>
    <row r="157" spans="7:17" x14ac:dyDescent="0.15">
      <c r="G157" s="2" t="s">
        <v>16</v>
      </c>
      <c r="H157" s="17">
        <f>ROUND(VLOOKUP(H$139&amp;"_1",管理者用人口入力シート!BH:CE,J157,FALSE),0)</f>
        <v>750</v>
      </c>
      <c r="I157" s="17">
        <f>ROUND(VLOOKUP(H$139&amp;"_2",管理者用人口入力シート!BH:CE,J157,FALSE),0)</f>
        <v>1013</v>
      </c>
      <c r="J157" s="2">
        <v>20</v>
      </c>
      <c r="N157" s="2" t="s">
        <v>16</v>
      </c>
      <c r="O157" s="17">
        <f>ROUND(VLOOKUP(O$139&amp;"_1",管理者用人口入力シート!CO:DL,Q157,FALSE),0)</f>
        <v>750</v>
      </c>
      <c r="P157" s="17">
        <f>ROUND(VLOOKUP(O$139&amp;"_2",管理者用人口入力シート!CO:DL,Q157,FALSE),0)</f>
        <v>1013</v>
      </c>
      <c r="Q157" s="2">
        <v>20</v>
      </c>
    </row>
    <row r="158" spans="7:17" x14ac:dyDescent="0.15">
      <c r="G158" s="2" t="s">
        <v>17</v>
      </c>
      <c r="H158" s="17">
        <f>ROUND(VLOOKUP(H$139&amp;"_1",管理者用人口入力シート!BH:CE,J158,FALSE),0)</f>
        <v>551</v>
      </c>
      <c r="I158" s="17">
        <f>ROUND(VLOOKUP(H$139&amp;"_2",管理者用人口入力シート!BH:CE,J158,FALSE),0)</f>
        <v>934</v>
      </c>
      <c r="J158" s="2">
        <v>21</v>
      </c>
      <c r="N158" s="2" t="s">
        <v>17</v>
      </c>
      <c r="O158" s="17">
        <f>ROUND(VLOOKUP(O$139&amp;"_1",管理者用人口入力シート!CO:DL,Q158,FALSE),0)</f>
        <v>551</v>
      </c>
      <c r="P158" s="17">
        <f>ROUND(VLOOKUP(O$139&amp;"_2",管理者用人口入力シート!CO:DL,Q158,FALSE),0)</f>
        <v>934</v>
      </c>
      <c r="Q158" s="2">
        <v>21</v>
      </c>
    </row>
    <row r="159" spans="7:17" x14ac:dyDescent="0.15">
      <c r="G159" s="2" t="s">
        <v>18</v>
      </c>
      <c r="H159" s="17">
        <f>ROUND(VLOOKUP(H$139&amp;"_1",管理者用人口入力シート!BH:CE,J159,FALSE),0)</f>
        <v>264</v>
      </c>
      <c r="I159" s="17">
        <f>ROUND(VLOOKUP(H$139&amp;"_2",管理者用人口入力シート!BH:CE,J159,FALSE),0)</f>
        <v>668</v>
      </c>
      <c r="J159" s="2">
        <v>22</v>
      </c>
      <c r="N159" s="2" t="s">
        <v>18</v>
      </c>
      <c r="O159" s="17">
        <f>ROUND(VLOOKUP(O$139&amp;"_1",管理者用人口入力シート!CO:DL,Q159,FALSE),0)</f>
        <v>264</v>
      </c>
      <c r="P159" s="17">
        <f>ROUND(VLOOKUP(O$139&amp;"_2",管理者用人口入力シート!CO:DL,Q159,FALSE),0)</f>
        <v>668</v>
      </c>
      <c r="Q159" s="2">
        <v>22</v>
      </c>
    </row>
    <row r="160" spans="7:17" x14ac:dyDescent="0.15">
      <c r="G160" s="2" t="s">
        <v>19</v>
      </c>
      <c r="H160" s="17">
        <f>ROUND(VLOOKUP(H$139&amp;"_1",管理者用人口入力シート!BH:CE,J160,FALSE),0)</f>
        <v>66</v>
      </c>
      <c r="I160" s="17">
        <f>ROUND(VLOOKUP(H$139&amp;"_2",管理者用人口入力シート!BH:CE,J160,FALSE),0)</f>
        <v>243</v>
      </c>
      <c r="J160" s="2">
        <v>23</v>
      </c>
      <c r="N160" s="2" t="s">
        <v>19</v>
      </c>
      <c r="O160" s="17">
        <f>ROUND(VLOOKUP(O$139&amp;"_1",管理者用人口入力シート!CO:DL,Q160,FALSE),0)</f>
        <v>66</v>
      </c>
      <c r="P160" s="17">
        <f>ROUND(VLOOKUP(O$139&amp;"_2",管理者用人口入力シート!CO:DL,Q160,FALSE),0)</f>
        <v>243</v>
      </c>
      <c r="Q160" s="2">
        <v>23</v>
      </c>
    </row>
    <row r="161" spans="7:17" x14ac:dyDescent="0.15">
      <c r="G161" s="2" t="s">
        <v>20</v>
      </c>
      <c r="H161" s="17">
        <f>ROUND(VLOOKUP(H$139&amp;"_1",管理者用人口入力シート!BH:CE,J161,FALSE),0)</f>
        <v>9</v>
      </c>
      <c r="I161" s="17">
        <f>ROUND(VLOOKUP(H$139&amp;"_2",管理者用人口入力シート!BH:CE,J161,FALSE),0)</f>
        <v>60</v>
      </c>
      <c r="J161" s="2">
        <v>24</v>
      </c>
      <c r="N161" s="2" t="s">
        <v>20</v>
      </c>
      <c r="O161" s="17">
        <f>ROUND(VLOOKUP(O$139&amp;"_1",管理者用人口入力シート!CO:DL,Q161,FALSE),0)</f>
        <v>9</v>
      </c>
      <c r="P161" s="17">
        <f>ROUND(VLOOKUP(O$139&amp;"_2",管理者用人口入力シート!CO:DL,Q161,FALSE),0)</f>
        <v>60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948</v>
      </c>
      <c r="I165" s="17">
        <f>ROUND(VLOOKUP(H$163&amp;"_2",管理者用人口入力シート!BH:CE,J165,FALSE),0)</f>
        <v>902</v>
      </c>
      <c r="J165" s="2">
        <v>4</v>
      </c>
      <c r="N165" s="2" t="s">
        <v>0</v>
      </c>
      <c r="O165" s="17">
        <f>ROUND(VLOOKUP(O$163&amp;"_1",管理者用人口入力シート!CO:DL,Q165,FALSE),0)</f>
        <v>951</v>
      </c>
      <c r="P165" s="17">
        <f>ROUND(VLOOKUP(O$163&amp;"_2",管理者用人口入力シート!CO:DL,Q165,FALSE),0)</f>
        <v>906</v>
      </c>
      <c r="Q165" s="2">
        <v>4</v>
      </c>
    </row>
    <row r="166" spans="7:17" x14ac:dyDescent="0.15">
      <c r="G166" s="2" t="s">
        <v>1</v>
      </c>
      <c r="H166" s="17">
        <f>ROUND(VLOOKUP(H$163&amp;"_1",管理者用人口入力シート!BH:CE,J166,FALSE),0)</f>
        <v>832</v>
      </c>
      <c r="I166" s="17">
        <f>ROUND(VLOOKUP(H$163&amp;"_2",管理者用人口入力シート!BH:CE,J166,FALSE),0)</f>
        <v>827</v>
      </c>
      <c r="J166" s="2">
        <v>5</v>
      </c>
      <c r="N166" s="2" t="s">
        <v>1</v>
      </c>
      <c r="O166" s="17">
        <f>ROUND(VLOOKUP(O$163&amp;"_1",管理者用人口入力シート!CO:DL,Q166,FALSE),0)</f>
        <v>835</v>
      </c>
      <c r="P166" s="17">
        <f>ROUND(VLOOKUP(O$163&amp;"_2",管理者用人口入力シート!CO:DL,Q166,FALSE),0)</f>
        <v>829</v>
      </c>
      <c r="Q166" s="2">
        <v>5</v>
      </c>
    </row>
    <row r="167" spans="7:17" x14ac:dyDescent="0.15">
      <c r="G167" s="2" t="s">
        <v>2</v>
      </c>
      <c r="H167" s="17">
        <f>ROUND(VLOOKUP(H$163&amp;"_1",管理者用人口入力シート!BH:CE,J167,FALSE),0)</f>
        <v>872</v>
      </c>
      <c r="I167" s="17">
        <f>ROUND(VLOOKUP(H$163&amp;"_2",管理者用人口入力シート!BH:CE,J167,FALSE),0)</f>
        <v>811</v>
      </c>
      <c r="J167" s="2">
        <v>6</v>
      </c>
      <c r="N167" s="2" t="s">
        <v>2</v>
      </c>
      <c r="O167" s="17">
        <f>ROUND(VLOOKUP(O$163&amp;"_1",管理者用人口入力シート!CO:DL,Q167,FALSE),0)</f>
        <v>875</v>
      </c>
      <c r="P167" s="17">
        <f>ROUND(VLOOKUP(O$163&amp;"_2",管理者用人口入力シート!CO:DL,Q167,FALSE),0)</f>
        <v>814</v>
      </c>
      <c r="Q167" s="2">
        <v>6</v>
      </c>
    </row>
    <row r="168" spans="7:17" x14ac:dyDescent="0.15">
      <c r="G168" s="2" t="s">
        <v>3</v>
      </c>
      <c r="H168" s="17">
        <f>ROUND(VLOOKUP(H$163&amp;"_1",管理者用人口入力シート!BH:CE,J168,FALSE),0)</f>
        <v>802</v>
      </c>
      <c r="I168" s="17">
        <f>ROUND(VLOOKUP(H$163&amp;"_2",管理者用人口入力シート!BH:CE,J168,FALSE),0)</f>
        <v>822</v>
      </c>
      <c r="J168" s="2">
        <v>7</v>
      </c>
      <c r="N168" s="2" t="s">
        <v>3</v>
      </c>
      <c r="O168" s="17">
        <f>ROUND(VLOOKUP(O$163&amp;"_1",管理者用人口入力シート!CO:DL,Q168,FALSE),0)</f>
        <v>805</v>
      </c>
      <c r="P168" s="17">
        <f>ROUND(VLOOKUP(O$163&amp;"_2",管理者用人口入力シート!CO:DL,Q168,FALSE),0)</f>
        <v>825</v>
      </c>
      <c r="Q168" s="2">
        <v>7</v>
      </c>
    </row>
    <row r="169" spans="7:17" x14ac:dyDescent="0.15">
      <c r="G169" s="2" t="s">
        <v>4</v>
      </c>
      <c r="H169" s="17">
        <f>ROUND(VLOOKUP(H$163&amp;"_1",管理者用人口入力シート!BH:CE,J169,FALSE),0)</f>
        <v>654</v>
      </c>
      <c r="I169" s="17">
        <f>ROUND(VLOOKUP(H$163&amp;"_2",管理者用人口入力シート!BH:CE,J169,FALSE),0)</f>
        <v>749</v>
      </c>
      <c r="J169" s="2">
        <v>8</v>
      </c>
      <c r="N169" s="2" t="s">
        <v>4</v>
      </c>
      <c r="O169" s="17">
        <f>ROUND(VLOOKUP(O$163&amp;"_1",管理者用人口入力シート!CO:DL,Q169,FALSE),0)</f>
        <v>656</v>
      </c>
      <c r="P169" s="17">
        <f>ROUND(VLOOKUP(O$163&amp;"_2",管理者用人口入力シート!CO:DL,Q169,FALSE),0)</f>
        <v>750</v>
      </c>
      <c r="Q169" s="2">
        <v>8</v>
      </c>
    </row>
    <row r="170" spans="7:17" x14ac:dyDescent="0.15">
      <c r="G170" s="2" t="s">
        <v>5</v>
      </c>
      <c r="H170" s="17">
        <f>ROUND(VLOOKUP(H$163&amp;"_1",管理者用人口入力シート!BH:CE,J170,FALSE),0)</f>
        <v>984</v>
      </c>
      <c r="I170" s="17">
        <f>ROUND(VLOOKUP(H$163&amp;"_2",管理者用人口入力シート!BH:CE,J170,FALSE),0)</f>
        <v>1072</v>
      </c>
      <c r="J170" s="2">
        <v>9</v>
      </c>
      <c r="N170" s="2" t="s">
        <v>5</v>
      </c>
      <c r="O170" s="17">
        <f>ROUND(VLOOKUP(O$163&amp;"_1",管理者用人口入力シート!CO:DL,Q170,FALSE),0)</f>
        <v>987</v>
      </c>
      <c r="P170" s="17">
        <f>ROUND(VLOOKUP(O$163&amp;"_2",管理者用人口入力シート!CO:DL,Q170,FALSE),0)</f>
        <v>1076</v>
      </c>
      <c r="Q170" s="2">
        <v>9</v>
      </c>
    </row>
    <row r="171" spans="7:17" x14ac:dyDescent="0.15">
      <c r="G171" s="2" t="s">
        <v>6</v>
      </c>
      <c r="H171" s="17">
        <f>ROUND(VLOOKUP(H$163&amp;"_1",管理者用人口入力シート!BH:CE,J171,FALSE),0)</f>
        <v>1225</v>
      </c>
      <c r="I171" s="17">
        <f>ROUND(VLOOKUP(H$163&amp;"_2",管理者用人口入力シート!BH:CE,J171,FALSE),0)</f>
        <v>1252</v>
      </c>
      <c r="J171" s="2">
        <v>10</v>
      </c>
      <c r="N171" s="2" t="s">
        <v>6</v>
      </c>
      <c r="O171" s="17">
        <f>ROUND(VLOOKUP(O$163&amp;"_1",管理者用人口入力シート!CO:DL,Q171,FALSE),0)</f>
        <v>1229</v>
      </c>
      <c r="P171" s="17">
        <f>ROUND(VLOOKUP(O$163&amp;"_2",管理者用人口入力シート!CO:DL,Q171,FALSE),0)</f>
        <v>1256</v>
      </c>
      <c r="Q171" s="2">
        <v>10</v>
      </c>
    </row>
    <row r="172" spans="7:17" x14ac:dyDescent="0.15">
      <c r="G172" s="2" t="s">
        <v>7</v>
      </c>
      <c r="H172" s="17">
        <f>ROUND(VLOOKUP(H$163&amp;"_1",管理者用人口入力シート!BH:CE,J172,FALSE),0)</f>
        <v>1257</v>
      </c>
      <c r="I172" s="17">
        <f>ROUND(VLOOKUP(H$163&amp;"_2",管理者用人口入力シート!BH:CE,J172,FALSE),0)</f>
        <v>1196</v>
      </c>
      <c r="J172" s="2">
        <v>11</v>
      </c>
      <c r="N172" s="2" t="s">
        <v>7</v>
      </c>
      <c r="O172" s="17">
        <f>ROUND(VLOOKUP(O$163&amp;"_1",管理者用人口入力シート!CO:DL,Q172,FALSE),0)</f>
        <v>1259</v>
      </c>
      <c r="P172" s="17">
        <f>ROUND(VLOOKUP(O$163&amp;"_2",管理者用人口入力シート!CO:DL,Q172,FALSE),0)</f>
        <v>1198</v>
      </c>
      <c r="Q172" s="2">
        <v>11</v>
      </c>
    </row>
    <row r="173" spans="7:17" x14ac:dyDescent="0.15">
      <c r="G173" s="2" t="s">
        <v>8</v>
      </c>
      <c r="H173" s="17">
        <f>ROUND(VLOOKUP(H$163&amp;"_1",管理者用人口入力シート!BH:CE,J173,FALSE),0)</f>
        <v>1272</v>
      </c>
      <c r="I173" s="17">
        <f>ROUND(VLOOKUP(H$163&amp;"_2",管理者用人口入力シート!BH:CE,J173,FALSE),0)</f>
        <v>1238</v>
      </c>
      <c r="J173" s="2">
        <v>12</v>
      </c>
      <c r="N173" s="2" t="s">
        <v>8</v>
      </c>
      <c r="O173" s="17">
        <f>ROUND(VLOOKUP(O$163&amp;"_1",管理者用人口入力シート!CO:DL,Q173,FALSE),0)</f>
        <v>1274</v>
      </c>
      <c r="P173" s="17">
        <f>ROUND(VLOOKUP(O$163&amp;"_2",管理者用人口入力シート!CO:DL,Q173,FALSE),0)</f>
        <v>1241</v>
      </c>
      <c r="Q173" s="2">
        <v>12</v>
      </c>
    </row>
    <row r="174" spans="7:17" x14ac:dyDescent="0.15">
      <c r="G174" s="2" t="s">
        <v>9</v>
      </c>
      <c r="H174" s="17">
        <f>ROUND(VLOOKUP(H$163&amp;"_1",管理者用人口入力シート!BH:CE,J174,FALSE),0)</f>
        <v>1417</v>
      </c>
      <c r="I174" s="17">
        <f>ROUND(VLOOKUP(H$163&amp;"_2",管理者用人口入力シート!BH:CE,J174,FALSE),0)</f>
        <v>1413</v>
      </c>
      <c r="J174" s="2">
        <v>13</v>
      </c>
      <c r="N174" s="2" t="s">
        <v>9</v>
      </c>
      <c r="O174" s="17">
        <f>ROUND(VLOOKUP(O$163&amp;"_1",管理者用人口入力シート!CO:DL,Q174,FALSE),0)</f>
        <v>1420</v>
      </c>
      <c r="P174" s="17">
        <f>ROUND(VLOOKUP(O$163&amp;"_2",管理者用人口入力シート!CO:DL,Q174,FALSE),0)</f>
        <v>1416</v>
      </c>
      <c r="Q174" s="2">
        <v>13</v>
      </c>
    </row>
    <row r="175" spans="7:17" x14ac:dyDescent="0.15">
      <c r="G175" s="2" t="s">
        <v>10</v>
      </c>
      <c r="H175" s="17">
        <f>ROUND(VLOOKUP(H$163&amp;"_1",管理者用人口入力シート!BH:CE,J175,FALSE),0)</f>
        <v>1345</v>
      </c>
      <c r="I175" s="17">
        <f>ROUND(VLOOKUP(H$163&amp;"_2",管理者用人口入力シート!BH:CE,J175,FALSE),0)</f>
        <v>1326</v>
      </c>
      <c r="J175" s="2">
        <v>14</v>
      </c>
      <c r="N175" s="2" t="s">
        <v>10</v>
      </c>
      <c r="O175" s="17">
        <f>ROUND(VLOOKUP(O$163&amp;"_1",管理者用人口入力シート!CO:DL,Q175,FALSE),0)</f>
        <v>1345</v>
      </c>
      <c r="P175" s="17">
        <f>ROUND(VLOOKUP(O$163&amp;"_2",管理者用人口入力シート!CO:DL,Q175,FALSE),0)</f>
        <v>1327</v>
      </c>
      <c r="Q175" s="2">
        <v>14</v>
      </c>
    </row>
    <row r="176" spans="7:17" x14ac:dyDescent="0.15">
      <c r="G176" s="2" t="s">
        <v>11</v>
      </c>
      <c r="H176" s="17">
        <f>ROUND(VLOOKUP(H$163&amp;"_1",管理者用人口入力シート!BH:CE,J176,FALSE),0)</f>
        <v>1273</v>
      </c>
      <c r="I176" s="17">
        <f>ROUND(VLOOKUP(H$163&amp;"_2",管理者用人口入力シート!BH:CE,J176,FALSE),0)</f>
        <v>1314</v>
      </c>
      <c r="J176" s="2">
        <v>15</v>
      </c>
      <c r="N176" s="2" t="s">
        <v>11</v>
      </c>
      <c r="O176" s="17">
        <f>ROUND(VLOOKUP(O$163&amp;"_1",管理者用人口入力シート!CO:DL,Q176,FALSE),0)</f>
        <v>1273</v>
      </c>
      <c r="P176" s="17">
        <f>ROUND(VLOOKUP(O$163&amp;"_2",管理者用人口入力シート!CO:DL,Q176,FALSE),0)</f>
        <v>1315</v>
      </c>
      <c r="Q176" s="2">
        <v>15</v>
      </c>
    </row>
    <row r="177" spans="7:17" x14ac:dyDescent="0.15">
      <c r="G177" s="2" t="s">
        <v>12</v>
      </c>
      <c r="H177" s="17">
        <f>ROUND(VLOOKUP(H$163&amp;"_1",管理者用人口入力シート!BH:CE,J177,FALSE),0)</f>
        <v>1299</v>
      </c>
      <c r="I177" s="17">
        <f>ROUND(VLOOKUP(H$163&amp;"_2",管理者用人口入力シート!BH:CE,J177,FALSE),0)</f>
        <v>1409</v>
      </c>
      <c r="J177" s="2">
        <v>16</v>
      </c>
      <c r="N177" s="2" t="s">
        <v>12</v>
      </c>
      <c r="O177" s="17">
        <f>ROUND(VLOOKUP(O$163&amp;"_1",管理者用人口入力シート!CO:DL,Q177,FALSE),0)</f>
        <v>1299</v>
      </c>
      <c r="P177" s="17">
        <f>ROUND(VLOOKUP(O$163&amp;"_2",管理者用人口入力シート!CO:DL,Q177,FALSE),0)</f>
        <v>1410</v>
      </c>
      <c r="Q177" s="2">
        <v>16</v>
      </c>
    </row>
    <row r="178" spans="7:17" x14ac:dyDescent="0.15">
      <c r="G178" s="2" t="s">
        <v>13</v>
      </c>
      <c r="H178" s="17">
        <f>ROUND(VLOOKUP(H$163&amp;"_1",管理者用人口入力シート!BH:CE,J178,FALSE),0)</f>
        <v>1414</v>
      </c>
      <c r="I178" s="17">
        <f>ROUND(VLOOKUP(H$163&amp;"_2",管理者用人口入力シート!BH:CE,J178,FALSE),0)</f>
        <v>1452</v>
      </c>
      <c r="J178" s="2">
        <v>17</v>
      </c>
      <c r="N178" s="2" t="s">
        <v>13</v>
      </c>
      <c r="O178" s="17">
        <f>ROUND(VLOOKUP(O$163&amp;"_1",管理者用人口入力シート!CO:DL,Q178,FALSE),0)</f>
        <v>1414</v>
      </c>
      <c r="P178" s="17">
        <f>ROUND(VLOOKUP(O$163&amp;"_2",管理者用人口入力シート!CO:DL,Q178,FALSE),0)</f>
        <v>1452</v>
      </c>
      <c r="Q178" s="2">
        <v>17</v>
      </c>
    </row>
    <row r="179" spans="7:17" x14ac:dyDescent="0.15">
      <c r="G179" s="2" t="s">
        <v>14</v>
      </c>
      <c r="H179" s="17">
        <f>ROUND(VLOOKUP(H$163&amp;"_1",管理者用人口入力シート!BH:CE,J179,FALSE),0)</f>
        <v>1408</v>
      </c>
      <c r="I179" s="17">
        <f>ROUND(VLOOKUP(H$163&amp;"_2",管理者用人口入力シート!BH:CE,J179,FALSE),0)</f>
        <v>1556</v>
      </c>
      <c r="J179" s="2">
        <v>18</v>
      </c>
      <c r="N179" s="2" t="s">
        <v>14</v>
      </c>
      <c r="O179" s="17">
        <f>ROUND(VLOOKUP(O$163&amp;"_1",管理者用人口入力シート!CO:DL,Q179,FALSE),0)</f>
        <v>1408</v>
      </c>
      <c r="P179" s="17">
        <f>ROUND(VLOOKUP(O$163&amp;"_2",管理者用人口入力シート!CO:DL,Q179,FALSE),0)</f>
        <v>1556</v>
      </c>
      <c r="Q179" s="2">
        <v>18</v>
      </c>
    </row>
    <row r="180" spans="7:17" x14ac:dyDescent="0.15">
      <c r="G180" s="2" t="s">
        <v>15</v>
      </c>
      <c r="H180" s="17">
        <f>ROUND(VLOOKUP(H$163&amp;"_1",管理者用人口入力シート!BH:CE,J180,FALSE),0)</f>
        <v>996</v>
      </c>
      <c r="I180" s="17">
        <f>ROUND(VLOOKUP(H$163&amp;"_2",管理者用人口入力シート!BH:CE,J180,FALSE),0)</f>
        <v>1252</v>
      </c>
      <c r="J180" s="2">
        <v>19</v>
      </c>
      <c r="N180" s="2" t="s">
        <v>15</v>
      </c>
      <c r="O180" s="17">
        <f>ROUND(VLOOKUP(O$163&amp;"_1",管理者用人口入力シート!CO:DL,Q180,FALSE),0)</f>
        <v>996</v>
      </c>
      <c r="P180" s="17">
        <f>ROUND(VLOOKUP(O$163&amp;"_2",管理者用人口入力シート!CO:DL,Q180,FALSE),0)</f>
        <v>1252</v>
      </c>
      <c r="Q180" s="2">
        <v>19</v>
      </c>
    </row>
    <row r="181" spans="7:17" x14ac:dyDescent="0.15">
      <c r="G181" s="2" t="s">
        <v>16</v>
      </c>
      <c r="H181" s="17">
        <f>ROUND(VLOOKUP(H$163&amp;"_1",管理者用人口入力シート!BH:CE,J181,FALSE),0)</f>
        <v>791</v>
      </c>
      <c r="I181" s="17">
        <f>ROUND(VLOOKUP(H$163&amp;"_2",管理者用人口入力シート!BH:CE,J181,FALSE),0)</f>
        <v>1084</v>
      </c>
      <c r="J181" s="2">
        <v>20</v>
      </c>
      <c r="N181" s="2" t="s">
        <v>16</v>
      </c>
      <c r="O181" s="17">
        <f>ROUND(VLOOKUP(O$163&amp;"_1",管理者用人口入力シート!CO:DL,Q181,FALSE),0)</f>
        <v>791</v>
      </c>
      <c r="P181" s="17">
        <f>ROUND(VLOOKUP(O$163&amp;"_2",管理者用人口入力シート!CO:DL,Q181,FALSE),0)</f>
        <v>1084</v>
      </c>
      <c r="Q181" s="2">
        <v>20</v>
      </c>
    </row>
    <row r="182" spans="7:17" x14ac:dyDescent="0.15">
      <c r="G182" s="2" t="s">
        <v>17</v>
      </c>
      <c r="H182" s="17">
        <f>ROUND(VLOOKUP(H$163&amp;"_1",管理者用人口入力シート!BH:CE,J182,FALSE),0)</f>
        <v>498</v>
      </c>
      <c r="I182" s="17">
        <f>ROUND(VLOOKUP(H$163&amp;"_2",管理者用人口入力シート!BH:CE,J182,FALSE),0)</f>
        <v>828</v>
      </c>
      <c r="J182" s="2">
        <v>21</v>
      </c>
      <c r="N182" s="2" t="s">
        <v>17</v>
      </c>
      <c r="O182" s="17">
        <f>ROUND(VLOOKUP(O$163&amp;"_1",管理者用人口入力シート!CO:DL,Q182,FALSE),0)</f>
        <v>498</v>
      </c>
      <c r="P182" s="17">
        <f>ROUND(VLOOKUP(O$163&amp;"_2",管理者用人口入力シート!CO:DL,Q182,FALSE),0)</f>
        <v>828</v>
      </c>
      <c r="Q182" s="2">
        <v>21</v>
      </c>
    </row>
    <row r="183" spans="7:17" x14ac:dyDescent="0.15">
      <c r="G183" s="2" t="s">
        <v>18</v>
      </c>
      <c r="H183" s="17">
        <f>ROUND(VLOOKUP(H$163&amp;"_1",管理者用人口入力シート!BH:CE,J183,FALSE),0)</f>
        <v>254</v>
      </c>
      <c r="I183" s="17">
        <f>ROUND(VLOOKUP(H$163&amp;"_2",管理者用人口入力シート!BH:CE,J183,FALSE),0)</f>
        <v>627</v>
      </c>
      <c r="J183" s="2">
        <v>22</v>
      </c>
      <c r="N183" s="2" t="s">
        <v>18</v>
      </c>
      <c r="O183" s="17">
        <f>ROUND(VLOOKUP(O$163&amp;"_1",管理者用人口入力シート!CO:DL,Q183,FALSE),0)</f>
        <v>254</v>
      </c>
      <c r="P183" s="17">
        <f>ROUND(VLOOKUP(O$163&amp;"_2",管理者用人口入力シート!CO:DL,Q183,FALSE),0)</f>
        <v>627</v>
      </c>
      <c r="Q183" s="2">
        <v>22</v>
      </c>
    </row>
    <row r="184" spans="7:17" x14ac:dyDescent="0.15">
      <c r="G184" s="2" t="s">
        <v>19</v>
      </c>
      <c r="H184" s="17">
        <f>ROUND(VLOOKUP(H$163&amp;"_1",管理者用人口入力シート!BH:CE,J184,FALSE),0)</f>
        <v>92</v>
      </c>
      <c r="I184" s="17">
        <f>ROUND(VLOOKUP(H$163&amp;"_2",管理者用人口入力シート!BH:CE,J184,FALSE),0)</f>
        <v>324</v>
      </c>
      <c r="J184" s="2">
        <v>23</v>
      </c>
      <c r="N184" s="2" t="s">
        <v>19</v>
      </c>
      <c r="O184" s="17">
        <f>ROUND(VLOOKUP(O$163&amp;"_1",管理者用人口入力シート!CO:DL,Q184,FALSE),0)</f>
        <v>92</v>
      </c>
      <c r="P184" s="17">
        <f>ROUND(VLOOKUP(O$163&amp;"_2",管理者用人口入力シート!CO:DL,Q184,FALSE),0)</f>
        <v>324</v>
      </c>
      <c r="Q184" s="2">
        <v>23</v>
      </c>
    </row>
    <row r="185" spans="7:17" x14ac:dyDescent="0.15">
      <c r="G185" s="2" t="s">
        <v>20</v>
      </c>
      <c r="H185" s="17">
        <f>ROUND(VLOOKUP(H$163&amp;"_1",管理者用人口入力シート!BH:CE,J185,FALSE),0)</f>
        <v>11</v>
      </c>
      <c r="I185" s="17">
        <f>ROUND(VLOOKUP(H$163&amp;"_2",管理者用人口入力シート!BH:CE,J185,FALSE),0)</f>
        <v>65</v>
      </c>
      <c r="J185" s="2">
        <v>24</v>
      </c>
      <c r="N185" s="2" t="s">
        <v>20</v>
      </c>
      <c r="O185" s="17">
        <f>ROUND(VLOOKUP(O$163&amp;"_1",管理者用人口入力シート!CO:DL,Q185,FALSE),0)</f>
        <v>11</v>
      </c>
      <c r="P185" s="17">
        <f>ROUND(VLOOKUP(O$163&amp;"_2",管理者用人口入力シート!CO:DL,Q185,FALSE),0)</f>
        <v>65</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925</v>
      </c>
      <c r="I189" s="17">
        <f>ROUND(VLOOKUP(H$187&amp;"_2",管理者用人口入力シート!BH:CE,J189,FALSE),0)</f>
        <v>880</v>
      </c>
      <c r="J189" s="2">
        <v>4</v>
      </c>
      <c r="N189" s="2" t="s">
        <v>0</v>
      </c>
      <c r="O189" s="17">
        <f>ROUND(VLOOKUP(O$187&amp;"_1",管理者用人口入力シート!CO:DL,Q189,FALSE),0)</f>
        <v>929</v>
      </c>
      <c r="P189" s="17">
        <f>ROUND(VLOOKUP(O$187&amp;"_2",管理者用人口入力シート!CO:DL,Q189,FALSE),0)</f>
        <v>884</v>
      </c>
      <c r="Q189" s="2">
        <v>4</v>
      </c>
    </row>
    <row r="190" spans="7:17" x14ac:dyDescent="0.15">
      <c r="G190" s="2" t="s">
        <v>1</v>
      </c>
      <c r="H190" s="17">
        <f>ROUND(VLOOKUP(H$187&amp;"_1",管理者用人口入力シート!BH:CE,J190,FALSE),0)</f>
        <v>808</v>
      </c>
      <c r="I190" s="17">
        <f>ROUND(VLOOKUP(H$187&amp;"_2",管理者用人口入力シート!BH:CE,J190,FALSE),0)</f>
        <v>803</v>
      </c>
      <c r="J190" s="2">
        <v>5</v>
      </c>
      <c r="N190" s="2" t="s">
        <v>1</v>
      </c>
      <c r="O190" s="17">
        <f>ROUND(VLOOKUP(O$187&amp;"_1",管理者用人口入力シート!CO:DL,Q190,FALSE),0)</f>
        <v>811</v>
      </c>
      <c r="P190" s="17">
        <f>ROUND(VLOOKUP(O$187&amp;"_2",管理者用人口入力シート!CO:DL,Q190,FALSE),0)</f>
        <v>806</v>
      </c>
      <c r="Q190" s="2">
        <v>5</v>
      </c>
    </row>
    <row r="191" spans="7:17" x14ac:dyDescent="0.15">
      <c r="G191" s="2" t="s">
        <v>2</v>
      </c>
      <c r="H191" s="17">
        <f>ROUND(VLOOKUP(H$187&amp;"_1",管理者用人口入力シート!BH:CE,J191,FALSE),0)</f>
        <v>822</v>
      </c>
      <c r="I191" s="17">
        <f>ROUND(VLOOKUP(H$187&amp;"_2",管理者用人口入力シート!BH:CE,J191,FALSE),0)</f>
        <v>765</v>
      </c>
      <c r="J191" s="2">
        <v>6</v>
      </c>
      <c r="N191" s="2" t="s">
        <v>2</v>
      </c>
      <c r="O191" s="17">
        <f>ROUND(VLOOKUP(O$187&amp;"_1",管理者用人口入力シート!CO:DL,Q191,FALSE),0)</f>
        <v>826</v>
      </c>
      <c r="P191" s="17">
        <f>ROUND(VLOOKUP(O$187&amp;"_2",管理者用人口入力シート!CO:DL,Q191,FALSE),0)</f>
        <v>768</v>
      </c>
      <c r="Q191" s="2">
        <v>6</v>
      </c>
    </row>
    <row r="192" spans="7:17" x14ac:dyDescent="0.15">
      <c r="G192" s="2" t="s">
        <v>3</v>
      </c>
      <c r="H192" s="17">
        <f>ROUND(VLOOKUP(H$187&amp;"_1",管理者用人口入力シート!BH:CE,J192,FALSE),0)</f>
        <v>781</v>
      </c>
      <c r="I192" s="17">
        <f>ROUND(VLOOKUP(H$187&amp;"_2",管理者用人口入力シート!BH:CE,J192,FALSE),0)</f>
        <v>801</v>
      </c>
      <c r="J192" s="2">
        <v>7</v>
      </c>
      <c r="N192" s="2" t="s">
        <v>3</v>
      </c>
      <c r="O192" s="17">
        <f>ROUND(VLOOKUP(O$187&amp;"_1",管理者用人口入力シート!CO:DL,Q192,FALSE),0)</f>
        <v>784</v>
      </c>
      <c r="P192" s="17">
        <f>ROUND(VLOOKUP(O$187&amp;"_2",管理者用人口入力シート!CO:DL,Q192,FALSE),0)</f>
        <v>804</v>
      </c>
      <c r="Q192" s="2">
        <v>7</v>
      </c>
    </row>
    <row r="193" spans="7:17" x14ac:dyDescent="0.15">
      <c r="G193" s="2" t="s">
        <v>4</v>
      </c>
      <c r="H193" s="17">
        <f>ROUND(VLOOKUP(H$187&amp;"_1",管理者用人口入力シート!BH:CE,J193,FALSE),0)</f>
        <v>640</v>
      </c>
      <c r="I193" s="17">
        <f>ROUND(VLOOKUP(H$187&amp;"_2",管理者用人口入力シート!BH:CE,J193,FALSE),0)</f>
        <v>733</v>
      </c>
      <c r="J193" s="2">
        <v>8</v>
      </c>
      <c r="N193" s="2" t="s">
        <v>4</v>
      </c>
      <c r="O193" s="17">
        <f>ROUND(VLOOKUP(O$187&amp;"_1",管理者用人口入力シート!CO:DL,Q193,FALSE),0)</f>
        <v>642</v>
      </c>
      <c r="P193" s="17">
        <f>ROUND(VLOOKUP(O$187&amp;"_2",管理者用人口入力シート!CO:DL,Q193,FALSE),0)</f>
        <v>735</v>
      </c>
      <c r="Q193" s="2">
        <v>8</v>
      </c>
    </row>
    <row r="194" spans="7:17" x14ac:dyDescent="0.15">
      <c r="G194" s="2" t="s">
        <v>5</v>
      </c>
      <c r="H194" s="17">
        <f>ROUND(VLOOKUP(H$187&amp;"_1",管理者用人口入力シート!BH:CE,J194,FALSE),0)</f>
        <v>954</v>
      </c>
      <c r="I194" s="17">
        <f>ROUND(VLOOKUP(H$187&amp;"_2",管理者用人口入力シート!BH:CE,J194,FALSE),0)</f>
        <v>1039</v>
      </c>
      <c r="J194" s="2">
        <v>9</v>
      </c>
      <c r="N194" s="2" t="s">
        <v>5</v>
      </c>
      <c r="O194" s="17">
        <f>ROUND(VLOOKUP(O$187&amp;"_1",管理者用人口入力シート!CO:DL,Q194,FALSE),0)</f>
        <v>958</v>
      </c>
      <c r="P194" s="17">
        <f>ROUND(VLOOKUP(O$187&amp;"_2",管理者用人口入力シート!CO:DL,Q194,FALSE),0)</f>
        <v>1044</v>
      </c>
      <c r="Q194" s="2">
        <v>9</v>
      </c>
    </row>
    <row r="195" spans="7:17" x14ac:dyDescent="0.15">
      <c r="G195" s="2" t="s">
        <v>6</v>
      </c>
      <c r="H195" s="17">
        <f>ROUND(VLOOKUP(H$187&amp;"_1",管理者用人口入力シート!BH:CE,J195,FALSE),0)</f>
        <v>1172</v>
      </c>
      <c r="I195" s="17">
        <f>ROUND(VLOOKUP(H$187&amp;"_2",管理者用人口入力シート!BH:CE,J195,FALSE),0)</f>
        <v>1166</v>
      </c>
      <c r="J195" s="2">
        <v>10</v>
      </c>
      <c r="N195" s="2" t="s">
        <v>6</v>
      </c>
      <c r="O195" s="17">
        <f>ROUND(VLOOKUP(O$187&amp;"_1",管理者用人口入力シート!CO:DL,Q195,FALSE),0)</f>
        <v>1176</v>
      </c>
      <c r="P195" s="17">
        <f>ROUND(VLOOKUP(O$187&amp;"_2",管理者用人口入力シート!CO:DL,Q195,FALSE),0)</f>
        <v>1170</v>
      </c>
      <c r="Q195" s="2">
        <v>10</v>
      </c>
    </row>
    <row r="196" spans="7:17" x14ac:dyDescent="0.15">
      <c r="G196" s="2" t="s">
        <v>7</v>
      </c>
      <c r="H196" s="17">
        <f>ROUND(VLOOKUP(H$187&amp;"_1",管理者用人口入力シート!BH:CE,J196,FALSE),0)</f>
        <v>1226</v>
      </c>
      <c r="I196" s="17">
        <f>ROUND(VLOOKUP(H$187&amp;"_2",管理者用人口入力シート!BH:CE,J196,FALSE),0)</f>
        <v>1228</v>
      </c>
      <c r="J196" s="2">
        <v>11</v>
      </c>
      <c r="N196" s="2" t="s">
        <v>7</v>
      </c>
      <c r="O196" s="17">
        <f>ROUND(VLOOKUP(O$187&amp;"_1",管理者用人口入力シート!CO:DL,Q196,FALSE),0)</f>
        <v>1230</v>
      </c>
      <c r="P196" s="17">
        <f>ROUND(VLOOKUP(O$187&amp;"_2",管理者用人口入力シート!CO:DL,Q196,FALSE),0)</f>
        <v>1231</v>
      </c>
      <c r="Q196" s="2">
        <v>11</v>
      </c>
    </row>
    <row r="197" spans="7:17" x14ac:dyDescent="0.15">
      <c r="G197" s="2" t="s">
        <v>8</v>
      </c>
      <c r="H197" s="17">
        <f>ROUND(VLOOKUP(H$187&amp;"_1",管理者用人口入力シート!BH:CE,J197,FALSE),0)</f>
        <v>1239</v>
      </c>
      <c r="I197" s="17">
        <f>ROUND(VLOOKUP(H$187&amp;"_2",管理者用人口入力シート!BH:CE,J197,FALSE),0)</f>
        <v>1181</v>
      </c>
      <c r="J197" s="2">
        <v>12</v>
      </c>
      <c r="N197" s="2" t="s">
        <v>8</v>
      </c>
      <c r="O197" s="17">
        <f>ROUND(VLOOKUP(O$187&amp;"_1",管理者用人口入力シート!CO:DL,Q197,FALSE),0)</f>
        <v>1241</v>
      </c>
      <c r="P197" s="17">
        <f>ROUND(VLOOKUP(O$187&amp;"_2",管理者用人口入力シート!CO:DL,Q197,FALSE),0)</f>
        <v>1184</v>
      </c>
      <c r="Q197" s="2">
        <v>12</v>
      </c>
    </row>
    <row r="198" spans="7:17" x14ac:dyDescent="0.15">
      <c r="G198" s="2" t="s">
        <v>9</v>
      </c>
      <c r="H198" s="17">
        <f>ROUND(VLOOKUP(H$187&amp;"_1",管理者用人口入力シート!BH:CE,J198,FALSE),0)</f>
        <v>1294</v>
      </c>
      <c r="I198" s="17">
        <f>ROUND(VLOOKUP(H$187&amp;"_2",管理者用人口入力シート!BH:CE,J198,FALSE),0)</f>
        <v>1236</v>
      </c>
      <c r="J198" s="2">
        <v>13</v>
      </c>
      <c r="N198" s="2" t="s">
        <v>9</v>
      </c>
      <c r="O198" s="17">
        <f>ROUND(VLOOKUP(O$187&amp;"_1",管理者用人口入力シート!CO:DL,Q198,FALSE),0)</f>
        <v>1297</v>
      </c>
      <c r="P198" s="17">
        <f>ROUND(VLOOKUP(O$187&amp;"_2",管理者用人口入力シート!CO:DL,Q198,FALSE),0)</f>
        <v>1239</v>
      </c>
      <c r="Q198" s="2">
        <v>13</v>
      </c>
    </row>
    <row r="199" spans="7:17" x14ac:dyDescent="0.15">
      <c r="G199" s="2" t="s">
        <v>10</v>
      </c>
      <c r="H199" s="17">
        <f>ROUND(VLOOKUP(H$187&amp;"_1",管理者用人口入力シート!BH:CE,J199,FALSE),0)</f>
        <v>1394</v>
      </c>
      <c r="I199" s="17">
        <f>ROUND(VLOOKUP(H$187&amp;"_2",管理者用人口入力シート!BH:CE,J199,FALSE),0)</f>
        <v>1416</v>
      </c>
      <c r="J199" s="2">
        <v>14</v>
      </c>
      <c r="N199" s="2" t="s">
        <v>10</v>
      </c>
      <c r="O199" s="17">
        <f>ROUND(VLOOKUP(O$187&amp;"_1",管理者用人口入力シート!CO:DL,Q199,FALSE),0)</f>
        <v>1397</v>
      </c>
      <c r="P199" s="17">
        <f>ROUND(VLOOKUP(O$187&amp;"_2",管理者用人口入力シート!CO:DL,Q199,FALSE),0)</f>
        <v>1420</v>
      </c>
      <c r="Q199" s="2">
        <v>14</v>
      </c>
    </row>
    <row r="200" spans="7:17" x14ac:dyDescent="0.15">
      <c r="G200" s="2" t="s">
        <v>11</v>
      </c>
      <c r="H200" s="17">
        <f>ROUND(VLOOKUP(H$187&amp;"_1",管理者用人口入力シート!BH:CE,J200,FALSE),0)</f>
        <v>1367</v>
      </c>
      <c r="I200" s="17">
        <f>ROUND(VLOOKUP(H$187&amp;"_2",管理者用人口入力シート!BH:CE,J200,FALSE),0)</f>
        <v>1322</v>
      </c>
      <c r="J200" s="2">
        <v>15</v>
      </c>
      <c r="N200" s="2" t="s">
        <v>11</v>
      </c>
      <c r="O200" s="17">
        <f>ROUND(VLOOKUP(O$187&amp;"_1",管理者用人口入力シート!CO:DL,Q200,FALSE),0)</f>
        <v>1367</v>
      </c>
      <c r="P200" s="17">
        <f>ROUND(VLOOKUP(O$187&amp;"_2",管理者用人口入力シート!CO:DL,Q200,FALSE),0)</f>
        <v>1323</v>
      </c>
      <c r="Q200" s="2">
        <v>15</v>
      </c>
    </row>
    <row r="201" spans="7:17" x14ac:dyDescent="0.15">
      <c r="G201" s="2" t="s">
        <v>12</v>
      </c>
      <c r="H201" s="17">
        <f>ROUND(VLOOKUP(H$187&amp;"_1",管理者用人口入力シート!BH:CE,J201,FALSE),0)</f>
        <v>1225</v>
      </c>
      <c r="I201" s="17">
        <f>ROUND(VLOOKUP(H$187&amp;"_2",管理者用人口入力シート!BH:CE,J201,FALSE),0)</f>
        <v>1287</v>
      </c>
      <c r="J201" s="2">
        <v>16</v>
      </c>
      <c r="N201" s="2" t="s">
        <v>12</v>
      </c>
      <c r="O201" s="17">
        <f>ROUND(VLOOKUP(O$187&amp;"_1",管理者用人口入力シート!CO:DL,Q201,FALSE),0)</f>
        <v>1225</v>
      </c>
      <c r="P201" s="17">
        <f>ROUND(VLOOKUP(O$187&amp;"_2",管理者用人口入力シート!CO:DL,Q201,FALSE),0)</f>
        <v>1288</v>
      </c>
      <c r="Q201" s="2">
        <v>16</v>
      </c>
    </row>
    <row r="202" spans="7:17" x14ac:dyDescent="0.15">
      <c r="G202" s="2" t="s">
        <v>13</v>
      </c>
      <c r="H202" s="17">
        <f>ROUND(VLOOKUP(H$187&amp;"_1",管理者用人口入力シート!BH:CE,J202,FALSE),0)</f>
        <v>1259</v>
      </c>
      <c r="I202" s="17">
        <f>ROUND(VLOOKUP(H$187&amp;"_2",管理者用人口入力シート!BH:CE,J202,FALSE),0)</f>
        <v>1370</v>
      </c>
      <c r="J202" s="2">
        <v>17</v>
      </c>
      <c r="N202" s="2" t="s">
        <v>13</v>
      </c>
      <c r="O202" s="17">
        <f>ROUND(VLOOKUP(O$187&amp;"_1",管理者用人口入力シート!CO:DL,Q202,FALSE),0)</f>
        <v>1259</v>
      </c>
      <c r="P202" s="17">
        <f>ROUND(VLOOKUP(O$187&amp;"_2",管理者用人口入力シート!CO:DL,Q202,FALSE),0)</f>
        <v>1371</v>
      </c>
      <c r="Q202" s="2">
        <v>17</v>
      </c>
    </row>
    <row r="203" spans="7:17" x14ac:dyDescent="0.15">
      <c r="G203" s="2" t="s">
        <v>14</v>
      </c>
      <c r="H203" s="17">
        <f>ROUND(VLOOKUP(H$187&amp;"_1",管理者用人口入力シート!BH:CE,J203,FALSE),0)</f>
        <v>1332</v>
      </c>
      <c r="I203" s="17">
        <f>ROUND(VLOOKUP(H$187&amp;"_2",管理者用人口入力シート!BH:CE,J203,FALSE),0)</f>
        <v>1410</v>
      </c>
      <c r="J203" s="2">
        <v>18</v>
      </c>
      <c r="N203" s="2" t="s">
        <v>14</v>
      </c>
      <c r="O203" s="17">
        <f>ROUND(VLOOKUP(O$187&amp;"_1",管理者用人口入力シート!CO:DL,Q203,FALSE),0)</f>
        <v>1332</v>
      </c>
      <c r="P203" s="17">
        <f>ROUND(VLOOKUP(O$187&amp;"_2",管理者用人口入力シート!CO:DL,Q203,FALSE),0)</f>
        <v>1410</v>
      </c>
      <c r="Q203" s="2">
        <v>18</v>
      </c>
    </row>
    <row r="204" spans="7:17" x14ac:dyDescent="0.15">
      <c r="G204" s="2" t="s">
        <v>15</v>
      </c>
      <c r="H204" s="17">
        <f>ROUND(VLOOKUP(H$187&amp;"_1",管理者用人口入力シート!BH:CE,J204,FALSE),0)</f>
        <v>1223</v>
      </c>
      <c r="I204" s="17">
        <f>ROUND(VLOOKUP(H$187&amp;"_2",管理者用人口入力シート!BH:CE,J204,FALSE),0)</f>
        <v>1455</v>
      </c>
      <c r="J204" s="2">
        <v>19</v>
      </c>
      <c r="N204" s="2" t="s">
        <v>15</v>
      </c>
      <c r="O204" s="17">
        <f>ROUND(VLOOKUP(O$187&amp;"_1",管理者用人口入力シート!CO:DL,Q204,FALSE),0)</f>
        <v>1223</v>
      </c>
      <c r="P204" s="17">
        <f>ROUND(VLOOKUP(O$187&amp;"_2",管理者用人口入力シート!CO:DL,Q204,FALSE),0)</f>
        <v>1455</v>
      </c>
      <c r="Q204" s="2">
        <v>19</v>
      </c>
    </row>
    <row r="205" spans="7:17" x14ac:dyDescent="0.15">
      <c r="G205" s="2" t="s">
        <v>16</v>
      </c>
      <c r="H205" s="17">
        <f>ROUND(VLOOKUP(H$187&amp;"_1",管理者用人口入力シート!BH:CE,J205,FALSE),0)</f>
        <v>802</v>
      </c>
      <c r="I205" s="17">
        <f>ROUND(VLOOKUP(H$187&amp;"_2",管理者用人口入力シート!BH:CE,J205,FALSE),0)</f>
        <v>1131</v>
      </c>
      <c r="J205" s="2">
        <v>20</v>
      </c>
      <c r="N205" s="2" t="s">
        <v>16</v>
      </c>
      <c r="O205" s="17">
        <f>ROUND(VLOOKUP(O$187&amp;"_1",管理者用人口入力シート!CO:DL,Q205,FALSE),0)</f>
        <v>802</v>
      </c>
      <c r="P205" s="17">
        <f>ROUND(VLOOKUP(O$187&amp;"_2",管理者用人口入力シート!CO:DL,Q205,FALSE),0)</f>
        <v>1131</v>
      </c>
      <c r="Q205" s="2">
        <v>20</v>
      </c>
    </row>
    <row r="206" spans="7:17" x14ac:dyDescent="0.15">
      <c r="G206" s="2" t="s">
        <v>17</v>
      </c>
      <c r="H206" s="17">
        <f>ROUND(VLOOKUP(H$187&amp;"_1",管理者用人口入力シート!BH:CE,J206,FALSE),0)</f>
        <v>525</v>
      </c>
      <c r="I206" s="17">
        <f>ROUND(VLOOKUP(H$187&amp;"_2",管理者用人口入力シート!BH:CE,J206,FALSE),0)</f>
        <v>886</v>
      </c>
      <c r="J206" s="2">
        <v>21</v>
      </c>
      <c r="N206" s="2" t="s">
        <v>17</v>
      </c>
      <c r="O206" s="17">
        <f>ROUND(VLOOKUP(O$187&amp;"_1",管理者用人口入力シート!CO:DL,Q206,FALSE),0)</f>
        <v>525</v>
      </c>
      <c r="P206" s="17">
        <f>ROUND(VLOOKUP(O$187&amp;"_2",管理者用人口入力シート!CO:DL,Q206,FALSE),0)</f>
        <v>886</v>
      </c>
      <c r="Q206" s="2">
        <v>21</v>
      </c>
    </row>
    <row r="207" spans="7:17" x14ac:dyDescent="0.15">
      <c r="G207" s="2" t="s">
        <v>18</v>
      </c>
      <c r="H207" s="17">
        <f>ROUND(VLOOKUP(H$187&amp;"_1",管理者用人口入力シート!BH:CE,J207,FALSE),0)</f>
        <v>230</v>
      </c>
      <c r="I207" s="17">
        <f>ROUND(VLOOKUP(H$187&amp;"_2",管理者用人口入力シート!BH:CE,J207,FALSE),0)</f>
        <v>556</v>
      </c>
      <c r="J207" s="2">
        <v>22</v>
      </c>
      <c r="N207" s="2" t="s">
        <v>18</v>
      </c>
      <c r="O207" s="17">
        <f>ROUND(VLOOKUP(O$187&amp;"_1",管理者用人口入力シート!CO:DL,Q207,FALSE),0)</f>
        <v>230</v>
      </c>
      <c r="P207" s="17">
        <f>ROUND(VLOOKUP(O$187&amp;"_2",管理者用人口入力シート!CO:DL,Q207,FALSE),0)</f>
        <v>556</v>
      </c>
      <c r="Q207" s="2">
        <v>22</v>
      </c>
    </row>
    <row r="208" spans="7:17" x14ac:dyDescent="0.15">
      <c r="G208" s="2" t="s">
        <v>19</v>
      </c>
      <c r="H208" s="17">
        <f>ROUND(VLOOKUP(H$187&amp;"_1",管理者用人口入力シート!BH:CE,J208,FALSE),0)</f>
        <v>89</v>
      </c>
      <c r="I208" s="17">
        <f>ROUND(VLOOKUP(H$187&amp;"_2",管理者用人口入力シート!BH:CE,J208,FALSE),0)</f>
        <v>305</v>
      </c>
      <c r="J208" s="2">
        <v>23</v>
      </c>
      <c r="N208" s="2" t="s">
        <v>19</v>
      </c>
      <c r="O208" s="17">
        <f>ROUND(VLOOKUP(O$187&amp;"_1",管理者用人口入力シート!CO:DL,Q208,FALSE),0)</f>
        <v>89</v>
      </c>
      <c r="P208" s="17">
        <f>ROUND(VLOOKUP(O$187&amp;"_2",管理者用人口入力シート!CO:DL,Q208,FALSE),0)</f>
        <v>305</v>
      </c>
      <c r="Q208" s="2">
        <v>23</v>
      </c>
    </row>
    <row r="209" spans="7:17" x14ac:dyDescent="0.15">
      <c r="G209" s="2" t="s">
        <v>20</v>
      </c>
      <c r="H209" s="17">
        <f>ROUND(VLOOKUP(H$187&amp;"_1",管理者用人口入力シート!BH:CE,J209,FALSE),0)</f>
        <v>15</v>
      </c>
      <c r="I209" s="17">
        <f>ROUND(VLOOKUP(H$187&amp;"_2",管理者用人口入力シート!BH:CE,J209,FALSE),0)</f>
        <v>86</v>
      </c>
      <c r="J209" s="2">
        <v>24</v>
      </c>
      <c r="N209" s="2" t="s">
        <v>20</v>
      </c>
      <c r="O209" s="17">
        <f>ROUND(VLOOKUP(O$187&amp;"_1",管理者用人口入力シート!CO:DL,Q209,FALSE),0)</f>
        <v>15</v>
      </c>
      <c r="P209" s="17">
        <f>ROUND(VLOOKUP(O$187&amp;"_2",管理者用人口入力シート!CO:DL,Q209,FALSE),0)</f>
        <v>86</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2075</v>
      </c>
      <c r="P214" s="17">
        <f>O93+P93</f>
        <v>2079</v>
      </c>
      <c r="Q214" s="2">
        <v>4</v>
      </c>
    </row>
    <row r="215" spans="7:17" x14ac:dyDescent="0.15">
      <c r="N215" s="2" t="s">
        <v>1</v>
      </c>
      <c r="O215" s="17">
        <f t="shared" ref="O215:O233" si="37">H94+I94</f>
        <v>1846</v>
      </c>
      <c r="P215" s="17">
        <f t="shared" ref="P215:P233" si="38">O94+P94</f>
        <v>1848</v>
      </c>
      <c r="Q215" s="2">
        <v>5</v>
      </c>
    </row>
    <row r="216" spans="7:17" x14ac:dyDescent="0.15">
      <c r="N216" s="2" t="s">
        <v>2</v>
      </c>
      <c r="O216" s="17">
        <f t="shared" si="37"/>
        <v>1822</v>
      </c>
      <c r="P216" s="17">
        <f t="shared" si="38"/>
        <v>1824</v>
      </c>
      <c r="Q216" s="2">
        <v>6</v>
      </c>
    </row>
    <row r="217" spans="7:17" x14ac:dyDescent="0.15">
      <c r="N217" s="2" t="s">
        <v>3</v>
      </c>
      <c r="O217" s="17">
        <f t="shared" si="37"/>
        <v>1816</v>
      </c>
      <c r="P217" s="17">
        <f t="shared" si="38"/>
        <v>1818</v>
      </c>
      <c r="Q217" s="2">
        <v>7</v>
      </c>
    </row>
    <row r="218" spans="7:17" x14ac:dyDescent="0.15">
      <c r="N218" s="2" t="s">
        <v>4</v>
      </c>
      <c r="O218" s="17">
        <f t="shared" si="37"/>
        <v>1531</v>
      </c>
      <c r="P218" s="17">
        <f t="shared" si="38"/>
        <v>1531</v>
      </c>
      <c r="Q218" s="2">
        <v>8</v>
      </c>
    </row>
    <row r="219" spans="7:17" x14ac:dyDescent="0.15">
      <c r="N219" s="2" t="s">
        <v>5</v>
      </c>
      <c r="O219" s="17">
        <f t="shared" si="37"/>
        <v>2259</v>
      </c>
      <c r="P219" s="17">
        <f t="shared" si="38"/>
        <v>2263</v>
      </c>
      <c r="Q219" s="2">
        <v>9</v>
      </c>
    </row>
    <row r="220" spans="7:17" x14ac:dyDescent="0.15">
      <c r="N220" s="2" t="s">
        <v>6</v>
      </c>
      <c r="O220" s="17">
        <f t="shared" si="37"/>
        <v>2874</v>
      </c>
      <c r="P220" s="17">
        <f t="shared" si="38"/>
        <v>2878</v>
      </c>
      <c r="Q220" s="2">
        <v>10</v>
      </c>
    </row>
    <row r="221" spans="7:17" x14ac:dyDescent="0.15">
      <c r="N221" s="2" t="s">
        <v>7</v>
      </c>
      <c r="O221" s="17">
        <f t="shared" si="37"/>
        <v>2705</v>
      </c>
      <c r="P221" s="17">
        <f t="shared" si="38"/>
        <v>2705</v>
      </c>
      <c r="Q221" s="2">
        <v>11</v>
      </c>
    </row>
    <row r="222" spans="7:17" x14ac:dyDescent="0.15">
      <c r="N222" s="2" t="s">
        <v>8</v>
      </c>
      <c r="O222" s="17">
        <f t="shared" si="37"/>
        <v>2569</v>
      </c>
      <c r="P222" s="17">
        <f t="shared" si="38"/>
        <v>2570</v>
      </c>
      <c r="Q222" s="2">
        <v>12</v>
      </c>
    </row>
    <row r="223" spans="7:17" x14ac:dyDescent="0.15">
      <c r="N223" s="2" t="s">
        <v>9</v>
      </c>
      <c r="O223" s="17">
        <f t="shared" si="37"/>
        <v>2791</v>
      </c>
      <c r="P223" s="17">
        <f t="shared" si="38"/>
        <v>2792</v>
      </c>
      <c r="Q223" s="2">
        <v>13</v>
      </c>
    </row>
    <row r="224" spans="7:17" x14ac:dyDescent="0.15">
      <c r="N224" s="2" t="s">
        <v>10</v>
      </c>
      <c r="O224" s="17">
        <f t="shared" si="37"/>
        <v>3023</v>
      </c>
      <c r="P224" s="17">
        <f t="shared" si="38"/>
        <v>3023</v>
      </c>
      <c r="Q224" s="2">
        <v>14</v>
      </c>
    </row>
    <row r="225" spans="14:17" x14ac:dyDescent="0.15">
      <c r="N225" s="2" t="s">
        <v>11</v>
      </c>
      <c r="O225" s="17">
        <f t="shared" si="37"/>
        <v>3287</v>
      </c>
      <c r="P225" s="17">
        <f t="shared" si="38"/>
        <v>3287</v>
      </c>
      <c r="Q225" s="2">
        <v>15</v>
      </c>
    </row>
    <row r="226" spans="14:17" x14ac:dyDescent="0.15">
      <c r="N226" s="2" t="s">
        <v>12</v>
      </c>
      <c r="O226" s="17">
        <f t="shared" si="37"/>
        <v>2676</v>
      </c>
      <c r="P226" s="17">
        <f t="shared" si="38"/>
        <v>2676</v>
      </c>
      <c r="Q226" s="2">
        <v>16</v>
      </c>
    </row>
    <row r="227" spans="14:17" x14ac:dyDescent="0.15">
      <c r="N227" s="2" t="s">
        <v>13</v>
      </c>
      <c r="O227" s="17">
        <f t="shared" si="37"/>
        <v>2524</v>
      </c>
      <c r="P227" s="17">
        <f t="shared" si="38"/>
        <v>2524</v>
      </c>
      <c r="Q227" s="2">
        <v>17</v>
      </c>
    </row>
    <row r="228" spans="14:17" x14ac:dyDescent="0.15">
      <c r="N228" s="2" t="s">
        <v>14</v>
      </c>
      <c r="O228" s="17">
        <f t="shared" si="37"/>
        <v>2274</v>
      </c>
      <c r="P228" s="17">
        <f t="shared" si="38"/>
        <v>2274</v>
      </c>
      <c r="Q228" s="2">
        <v>18</v>
      </c>
    </row>
    <row r="229" spans="14:17" x14ac:dyDescent="0.15">
      <c r="N229" s="2" t="s">
        <v>15</v>
      </c>
      <c r="O229" s="17">
        <f t="shared" si="37"/>
        <v>2297</v>
      </c>
      <c r="P229" s="17">
        <f t="shared" si="38"/>
        <v>2297</v>
      </c>
      <c r="Q229" s="2">
        <v>19</v>
      </c>
    </row>
    <row r="230" spans="14:17" x14ac:dyDescent="0.15">
      <c r="N230" s="2" t="s">
        <v>16</v>
      </c>
      <c r="O230" s="17">
        <f t="shared" si="37"/>
        <v>2079</v>
      </c>
      <c r="P230" s="17">
        <f t="shared" si="38"/>
        <v>2079</v>
      </c>
      <c r="Q230" s="2">
        <v>20</v>
      </c>
    </row>
    <row r="231" spans="14:17" x14ac:dyDescent="0.15">
      <c r="N231" s="2" t="s">
        <v>17</v>
      </c>
      <c r="O231" s="17">
        <f t="shared" si="37"/>
        <v>1157</v>
      </c>
      <c r="P231" s="17">
        <f t="shared" si="38"/>
        <v>1157</v>
      </c>
      <c r="Q231" s="2">
        <v>21</v>
      </c>
    </row>
    <row r="232" spans="14:17" x14ac:dyDescent="0.15">
      <c r="N232" s="2" t="s">
        <v>18</v>
      </c>
      <c r="O232" s="17">
        <f t="shared" si="37"/>
        <v>632</v>
      </c>
      <c r="P232" s="17">
        <f t="shared" si="38"/>
        <v>632</v>
      </c>
      <c r="Q232" s="2">
        <v>22</v>
      </c>
    </row>
    <row r="233" spans="14:17" x14ac:dyDescent="0.15">
      <c r="N233" s="2" t="s">
        <v>19</v>
      </c>
      <c r="O233" s="17">
        <f t="shared" si="37"/>
        <v>303</v>
      </c>
      <c r="P233" s="17">
        <f t="shared" si="38"/>
        <v>303</v>
      </c>
      <c r="Q233" s="2">
        <v>23</v>
      </c>
    </row>
    <row r="234" spans="14:17" x14ac:dyDescent="0.15">
      <c r="N234" s="2" t="s">
        <v>20</v>
      </c>
      <c r="O234" s="17">
        <f>H113+I113</f>
        <v>68</v>
      </c>
      <c r="P234" s="17">
        <f>O113+P113</f>
        <v>68</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1905</v>
      </c>
      <c r="P238" s="17">
        <f>O141+P141</f>
        <v>1911</v>
      </c>
      <c r="Q238" s="2">
        <v>4</v>
      </c>
    </row>
    <row r="239" spans="14:17" x14ac:dyDescent="0.15">
      <c r="N239" s="2" t="s">
        <v>1</v>
      </c>
      <c r="O239" s="17">
        <f t="shared" ref="O239:O257" si="39">H142+I142</f>
        <v>1760</v>
      </c>
      <c r="P239" s="17">
        <f t="shared" ref="P239:P257" si="40">O142+P142</f>
        <v>1764</v>
      </c>
      <c r="Q239" s="2">
        <v>5</v>
      </c>
    </row>
    <row r="240" spans="14:17" x14ac:dyDescent="0.15">
      <c r="N240" s="2" t="s">
        <v>2</v>
      </c>
      <c r="O240" s="17">
        <f t="shared" si="39"/>
        <v>1728</v>
      </c>
      <c r="P240" s="17">
        <f t="shared" si="40"/>
        <v>1733</v>
      </c>
      <c r="Q240" s="2">
        <v>6</v>
      </c>
    </row>
    <row r="241" spans="14:17" x14ac:dyDescent="0.15">
      <c r="N241" s="2" t="s">
        <v>3</v>
      </c>
      <c r="O241" s="17">
        <f t="shared" si="39"/>
        <v>1661</v>
      </c>
      <c r="P241" s="17">
        <f t="shared" si="40"/>
        <v>1664</v>
      </c>
      <c r="Q241" s="2">
        <v>7</v>
      </c>
    </row>
    <row r="242" spans="14:17" x14ac:dyDescent="0.15">
      <c r="N242" s="2" t="s">
        <v>4</v>
      </c>
      <c r="O242" s="17">
        <f t="shared" si="39"/>
        <v>1448</v>
      </c>
      <c r="P242" s="17">
        <f t="shared" si="40"/>
        <v>1449</v>
      </c>
      <c r="Q242" s="2">
        <v>8</v>
      </c>
    </row>
    <row r="243" spans="14:17" x14ac:dyDescent="0.15">
      <c r="N243" s="2" t="s">
        <v>5</v>
      </c>
      <c r="O243" s="17">
        <f t="shared" si="39"/>
        <v>2181</v>
      </c>
      <c r="P243" s="17">
        <f t="shared" si="40"/>
        <v>2187</v>
      </c>
      <c r="Q243" s="2">
        <v>9</v>
      </c>
    </row>
    <row r="244" spans="14:17" x14ac:dyDescent="0.15">
      <c r="N244" s="2" t="s">
        <v>6</v>
      </c>
      <c r="O244" s="17">
        <f t="shared" si="39"/>
        <v>2476</v>
      </c>
      <c r="P244" s="17">
        <f t="shared" si="40"/>
        <v>2480</v>
      </c>
      <c r="Q244" s="2">
        <v>10</v>
      </c>
    </row>
    <row r="245" spans="14:17" x14ac:dyDescent="0.15">
      <c r="N245" s="2" t="s">
        <v>7</v>
      </c>
      <c r="O245" s="17">
        <f t="shared" si="39"/>
        <v>2543</v>
      </c>
      <c r="P245" s="17">
        <f t="shared" si="40"/>
        <v>2548</v>
      </c>
      <c r="Q245" s="2">
        <v>11</v>
      </c>
    </row>
    <row r="246" spans="14:17" x14ac:dyDescent="0.15">
      <c r="N246" s="2" t="s">
        <v>8</v>
      </c>
      <c r="O246" s="17">
        <f t="shared" si="39"/>
        <v>2808</v>
      </c>
      <c r="P246" s="17">
        <f t="shared" si="40"/>
        <v>2813</v>
      </c>
      <c r="Q246" s="2">
        <v>12</v>
      </c>
    </row>
    <row r="247" spans="14:17" x14ac:dyDescent="0.15">
      <c r="N247" s="2" t="s">
        <v>9</v>
      </c>
      <c r="O247" s="17">
        <f t="shared" si="39"/>
        <v>2691</v>
      </c>
      <c r="P247" s="17">
        <f t="shared" si="40"/>
        <v>2692</v>
      </c>
      <c r="Q247" s="2">
        <v>13</v>
      </c>
    </row>
    <row r="248" spans="14:17" x14ac:dyDescent="0.15">
      <c r="N248" s="2" t="s">
        <v>10</v>
      </c>
      <c r="O248" s="17">
        <f t="shared" si="39"/>
        <v>2571</v>
      </c>
      <c r="P248" s="17">
        <f t="shared" si="40"/>
        <v>2572</v>
      </c>
      <c r="Q248" s="2">
        <v>14</v>
      </c>
    </row>
    <row r="249" spans="14:17" x14ac:dyDescent="0.15">
      <c r="N249" s="2" t="s">
        <v>11</v>
      </c>
      <c r="O249" s="17">
        <f t="shared" si="39"/>
        <v>2789</v>
      </c>
      <c r="P249" s="17">
        <f t="shared" si="40"/>
        <v>2790</v>
      </c>
      <c r="Q249" s="2">
        <v>15</v>
      </c>
    </row>
    <row r="250" spans="14:17" x14ac:dyDescent="0.15">
      <c r="N250" s="2" t="s">
        <v>12</v>
      </c>
      <c r="O250" s="17">
        <f t="shared" si="39"/>
        <v>2953</v>
      </c>
      <c r="P250" s="17">
        <f t="shared" si="40"/>
        <v>2953</v>
      </c>
      <c r="Q250" s="2">
        <v>16</v>
      </c>
    </row>
    <row r="251" spans="14:17" x14ac:dyDescent="0.15">
      <c r="N251" s="2" t="s">
        <v>13</v>
      </c>
      <c r="O251" s="17">
        <f t="shared" si="39"/>
        <v>3098</v>
      </c>
      <c r="P251" s="17">
        <f t="shared" si="40"/>
        <v>3098</v>
      </c>
      <c r="Q251" s="2">
        <v>17</v>
      </c>
    </row>
    <row r="252" spans="14:17" x14ac:dyDescent="0.15">
      <c r="N252" s="2" t="s">
        <v>14</v>
      </c>
      <c r="O252" s="17">
        <f t="shared" si="39"/>
        <v>2486</v>
      </c>
      <c r="P252" s="17">
        <f t="shared" si="40"/>
        <v>2486</v>
      </c>
      <c r="Q252" s="2">
        <v>18</v>
      </c>
    </row>
    <row r="253" spans="14:17" x14ac:dyDescent="0.15">
      <c r="N253" s="2" t="s">
        <v>15</v>
      </c>
      <c r="O253" s="17">
        <f t="shared" si="39"/>
        <v>2183</v>
      </c>
      <c r="P253" s="17">
        <f t="shared" si="40"/>
        <v>2183</v>
      </c>
      <c r="Q253" s="2">
        <v>19</v>
      </c>
    </row>
    <row r="254" spans="14:17" x14ac:dyDescent="0.15">
      <c r="N254" s="2" t="s">
        <v>16</v>
      </c>
      <c r="O254" s="17">
        <f t="shared" si="39"/>
        <v>1763</v>
      </c>
      <c r="P254" s="17">
        <f t="shared" si="40"/>
        <v>1763</v>
      </c>
      <c r="Q254" s="2">
        <v>20</v>
      </c>
    </row>
    <row r="255" spans="14:17" x14ac:dyDescent="0.15">
      <c r="N255" s="2" t="s">
        <v>17</v>
      </c>
      <c r="O255" s="17">
        <f t="shared" si="39"/>
        <v>1485</v>
      </c>
      <c r="P255" s="17">
        <f t="shared" si="40"/>
        <v>1485</v>
      </c>
      <c r="Q255" s="2">
        <v>21</v>
      </c>
    </row>
    <row r="256" spans="14:17" x14ac:dyDescent="0.15">
      <c r="N256" s="2" t="s">
        <v>18</v>
      </c>
      <c r="O256" s="17">
        <f t="shared" si="39"/>
        <v>932</v>
      </c>
      <c r="P256" s="17">
        <f t="shared" si="40"/>
        <v>932</v>
      </c>
      <c r="Q256" s="2">
        <v>22</v>
      </c>
    </row>
    <row r="257" spans="14:17" x14ac:dyDescent="0.15">
      <c r="N257" s="2" t="s">
        <v>19</v>
      </c>
      <c r="O257" s="17">
        <f t="shared" si="39"/>
        <v>309</v>
      </c>
      <c r="P257" s="17">
        <f t="shared" si="40"/>
        <v>309</v>
      </c>
      <c r="Q257" s="2">
        <v>23</v>
      </c>
    </row>
    <row r="258" spans="14:17" x14ac:dyDescent="0.15">
      <c r="N258" s="2" t="s">
        <v>20</v>
      </c>
      <c r="O258" s="17">
        <f>H161+I161</f>
        <v>69</v>
      </c>
      <c r="P258" s="17">
        <f>O161+P161</f>
        <v>69</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2019-03-13T11:26:43Z</cp:lastPrinted>
  <dcterms:created xsi:type="dcterms:W3CDTF">2018-08-17T00:57:13Z</dcterms:created>
  <dcterms:modified xsi:type="dcterms:W3CDTF">2023-03-06T05:58:24Z</dcterms:modified>
</cp:coreProperties>
</file>