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nLswMJA6SVQknyXqGwT0srkbm7qJWdgwhfY06htlmLcThiPECi5HGaY7larv/BjMe8WaZjLNIxY+plnGUk6pyA==" workbookSaltValue="oYcuRP3Cua2RiGz1PKL+W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X8" i="17"/>
  <c r="BW4" i="17" s="1"/>
  <c r="AT8" i="17"/>
  <c r="BS4" i="17" s="1"/>
  <c r="BT7"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U7" i="17"/>
  <c r="BX6" i="17"/>
  <c r="BP6" i="17"/>
  <c r="BT6" i="17"/>
  <c r="O42" i="18"/>
  <c r="O60" i="18"/>
  <c r="O52" i="18"/>
  <c r="O24" i="18"/>
  <c r="O34" i="18"/>
  <c r="O16" i="18"/>
  <c r="BQ5" i="17" l="1"/>
  <c r="BS5" i="17"/>
  <c r="BU5" i="17"/>
  <c r="EQ4" i="17"/>
  <c r="ER7" i="17" s="1"/>
  <c r="O75" i="18"/>
  <c r="DI7" i="17"/>
  <c r="DJ10" i="17" s="1"/>
  <c r="ER4" i="17"/>
  <c r="CC5" i="17"/>
  <c r="CJ5"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CD10" i="17" l="1"/>
  <c r="CE13" i="17" s="1"/>
  <c r="EQ5" i="17"/>
  <c r="EQ21" i="17"/>
  <c r="EQ22" i="17" s="1"/>
  <c r="BS10" i="17"/>
  <c r="BT13" i="17" s="1"/>
  <c r="I150" i="18" s="1"/>
  <c r="DH7" i="17"/>
  <c r="P85" i="18" s="1"/>
  <c r="CM5" i="17"/>
  <c r="EV4" i="17"/>
  <c r="P84" i="18"/>
  <c r="I113" i="18"/>
  <c r="DK5" i="17"/>
  <c r="DD10" i="17"/>
  <c r="DE13" i="17" s="1"/>
  <c r="DF16" i="17" s="1"/>
  <c r="ET7" i="17"/>
  <c r="ET24" i="17" s="1"/>
  <c r="ET25" i="17" s="1"/>
  <c r="P88" i="18"/>
  <c r="CE10" i="17"/>
  <c r="I137" i="18" s="1"/>
  <c r="CY5" i="17"/>
  <c r="P76" i="18"/>
  <c r="BV8" i="17"/>
  <c r="CC10" i="17"/>
  <c r="CD13" i="17" s="1"/>
  <c r="I160" i="18" s="1"/>
  <c r="CI5" i="17"/>
  <c r="BX8" i="17"/>
  <c r="EM5" i="17"/>
  <c r="ES5" i="17"/>
  <c r="P86" i="18"/>
  <c r="DI5" i="17"/>
  <c r="DQ5" i="17" s="1"/>
  <c r="DK8" i="17"/>
  <c r="I110" i="18"/>
  <c r="CZ10" i="17"/>
  <c r="P125" i="18" s="1"/>
  <c r="EN7" i="17"/>
  <c r="EN8" i="17" s="1"/>
  <c r="EL7" i="17"/>
  <c r="EM10" i="17" s="1"/>
  <c r="I111" i="18"/>
  <c r="I99" i="18"/>
  <c r="P83" i="18"/>
  <c r="CY8" i="17"/>
  <c r="DF5" i="17"/>
  <c r="DQ4" i="17"/>
  <c r="O222" i="18"/>
  <c r="O234"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5"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CE14" i="17"/>
  <c r="BZ11" i="17"/>
  <c r="BR12" i="17"/>
  <c r="H148" i="18" s="1"/>
  <c r="DE9" i="17"/>
  <c r="O130" i="18" s="1"/>
  <c r="DD8" i="17"/>
  <c r="DP7" i="17"/>
  <c r="BU11" i="17"/>
  <c r="BV12" i="17"/>
  <c r="H152" i="18" s="1"/>
  <c r="O249" i="18" s="1"/>
  <c r="EY21" i="17" l="1"/>
  <c r="BS11" i="17"/>
  <c r="EX21" i="17"/>
  <c r="I125" i="18"/>
  <c r="O247" i="18"/>
  <c r="BU16" i="17"/>
  <c r="O256" i="18"/>
  <c r="ET8" i="17"/>
  <c r="P129" i="18"/>
  <c r="O257" i="18"/>
  <c r="EO8" i="17"/>
  <c r="DP5"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82" i="18" s="1"/>
  <c r="I132" i="18"/>
  <c r="I45" i="18" s="1"/>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48" i="18" l="1"/>
  <c r="EY8" i="17"/>
  <c r="P150" i="18"/>
  <c r="P247" i="18" s="1"/>
  <c r="EX8" i="17"/>
  <c r="P249" i="18"/>
  <c r="P224" i="18"/>
  <c r="CI11" i="17"/>
  <c r="DE14" i="17"/>
  <c r="CL4" i="17"/>
  <c r="BL8" i="17"/>
  <c r="CJ11" i="17"/>
  <c r="CC19" i="17"/>
  <c r="I207" i="18" s="1"/>
  <c r="CG7" i="17"/>
  <c r="EC11" i="17"/>
  <c r="CJ16" i="17"/>
  <c r="EO11" i="17"/>
  <c r="CF7" i="17"/>
  <c r="CL7" i="17" s="1"/>
  <c r="CK5" i="17"/>
  <c r="CI16" i="17"/>
  <c r="EP13" i="17"/>
  <c r="EP30" i="17" s="1"/>
  <c r="CR5" i="17"/>
  <c r="DM5" i="17" s="1"/>
  <c r="DS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R4" i="17"/>
  <c r="DS4" i="17"/>
  <c r="DQ11" i="17"/>
  <c r="CG9" i="17"/>
  <c r="BN12" i="17"/>
  <c r="CH9" i="17"/>
  <c r="BM11" i="17"/>
  <c r="CH11" i="17" s="1"/>
  <c r="I27" i="18" s="1"/>
  <c r="P27" i="18" s="1"/>
  <c r="CV14" i="17"/>
  <c r="DT12" i="17"/>
  <c r="CK7" i="17"/>
  <c r="DN6" i="17"/>
  <c r="BL11" i="17"/>
  <c r="BM12" i="17"/>
  <c r="DP12" i="17"/>
  <c r="CI14" i="17"/>
  <c r="BM13" i="17"/>
  <c r="CG10" i="17"/>
  <c r="CI19" i="17" l="1"/>
  <c r="CF8" i="17"/>
  <c r="CL8" i="17" s="1"/>
  <c r="CS8" i="17"/>
  <c r="DN8" i="17" s="1"/>
  <c r="Q18" i="18" s="1"/>
  <c r="EP31" i="17"/>
  <c r="CJ19" i="17"/>
  <c r="H142" i="18"/>
  <c r="DN7" i="17"/>
  <c r="DR5" i="17"/>
  <c r="O215" i="18"/>
  <c r="EX30" i="17"/>
  <c r="EP14" i="17"/>
  <c r="EY11" i="17"/>
  <c r="EY30"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CF12" i="17" s="1"/>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K8" i="17"/>
  <c r="CH13" i="17"/>
  <c r="CG12" i="17"/>
  <c r="DM9" i="17"/>
  <c r="P18" i="18"/>
  <c r="DN9" i="17"/>
  <c r="DM8" i="17" l="1"/>
  <c r="DR8" i="17" s="1"/>
  <c r="DW10" i="17"/>
  <c r="EY14" i="17"/>
  <c r="H167" i="18"/>
  <c r="CK12" i="17"/>
  <c r="DW16" i="17"/>
  <c r="DR7" i="17"/>
  <c r="CT11" i="17"/>
  <c r="DN11" i="17" s="1"/>
  <c r="Q19" i="18" s="1"/>
  <c r="P144"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DW8"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M11" i="17" l="1"/>
  <c r="CK13" i="17"/>
  <c r="DW9" i="17"/>
  <c r="DW17" i="17" s="1"/>
  <c r="DX1" i="17" s="1"/>
  <c r="DO11" i="17"/>
  <c r="Q27" i="18" s="1"/>
  <c r="T10" i="18"/>
  <c r="P241" i="18"/>
  <c r="Q63"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12" i="19"/>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P56" i="18" l="1"/>
  <c r="EE13" i="17"/>
  <c r="EE7" i="17"/>
  <c r="EF10" i="17" s="1"/>
  <c r="C37" i="21"/>
  <c r="EG4" i="17"/>
  <c r="EE10" i="17"/>
  <c r="EG3" i="17"/>
  <c r="EF3" i="17"/>
  <c r="EE9" i="17"/>
  <c r="EF12" i="17" s="1"/>
  <c r="DX18" i="17"/>
  <c r="EE12" i="17"/>
  <c r="EE6" i="17"/>
  <c r="EF9" i="17" s="1"/>
  <c r="EE4" i="17"/>
  <c r="EF4" i="17"/>
  <c r="EF21" i="17" s="1"/>
  <c r="EE3" i="17"/>
  <c r="EF7" i="17"/>
  <c r="U10" i="18"/>
  <c r="D44" i="21" s="1"/>
  <c r="DN17" i="17"/>
  <c r="P191" i="18"/>
  <c r="CL14" i="17"/>
  <c r="G71" i="19"/>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E116" i="21"/>
  <c r="DR16" i="17"/>
  <c r="BL18" i="17"/>
  <c r="BK17" i="17"/>
  <c r="CF17" i="17" s="1"/>
  <c r="CF15" i="17"/>
  <c r="CM20" i="17"/>
  <c r="CF16" i="17"/>
  <c r="BL19" i="17"/>
  <c r="DR14" i="17"/>
  <c r="DS14" i="17"/>
  <c r="BK20" i="17" l="1"/>
  <c r="CH20" i="17"/>
  <c r="EG7" i="17"/>
  <c r="EG12" i="17"/>
  <c r="FB12" i="17" s="1"/>
  <c r="EF11" i="17"/>
  <c r="EF26" i="17"/>
  <c r="EE29" i="17"/>
  <c r="EE14" i="17"/>
  <c r="EF29" i="17"/>
  <c r="EE26" i="17"/>
  <c r="EE11" i="17"/>
  <c r="D10" i="19"/>
  <c r="D47" i="21" s="1"/>
  <c r="EG6" i="17"/>
  <c r="EF5" i="17"/>
  <c r="EF20" i="17"/>
  <c r="EF22" i="17" s="1"/>
  <c r="D46" i="21"/>
  <c r="EH6" i="17"/>
  <c r="EG5" i="17"/>
  <c r="EG20" i="17"/>
  <c r="EE23" i="17"/>
  <c r="EE8" i="17"/>
  <c r="EG13" i="17"/>
  <c r="EG30" i="17" s="1"/>
  <c r="EF27" i="17"/>
  <c r="EF13" i="17"/>
  <c r="EF30" i="17" s="1"/>
  <c r="EE27" i="17"/>
  <c r="EH10" i="17"/>
  <c r="EG24" i="17"/>
  <c r="EG21" i="17"/>
  <c r="EH7" i="17"/>
  <c r="EG10" i="17"/>
  <c r="EF24" i="17"/>
  <c r="D38" i="21"/>
  <c r="C39" i="21"/>
  <c r="D39" i="21"/>
  <c r="D37" i="21"/>
  <c r="C38" i="21"/>
  <c r="EF6" i="17"/>
  <c r="EF8" i="17" s="1"/>
  <c r="EU3" i="17"/>
  <c r="EE5" i="17"/>
  <c r="FB3" i="17"/>
  <c r="EE20" i="17"/>
  <c r="EE24" i="17"/>
  <c r="FB7" i="17"/>
  <c r="EE30" i="17"/>
  <c r="EE21" i="17"/>
  <c r="EU4" i="17"/>
  <c r="FB4"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8" i="17" l="1"/>
  <c r="EG22" i="17"/>
  <c r="FB8" i="17"/>
  <c r="FB6" i="17"/>
  <c r="FB13" i="17"/>
  <c r="DZ13" i="17" s="1"/>
  <c r="DZ30" i="17" s="1"/>
  <c r="EF14" i="17"/>
  <c r="EF31" i="17"/>
  <c r="D11" i="19"/>
  <c r="FB30" i="17"/>
  <c r="FB24" i="17"/>
  <c r="FB10" i="17"/>
  <c r="EG27" i="17"/>
  <c r="FB27" i="17" s="1"/>
  <c r="EH13" i="17"/>
  <c r="EH30" i="17" s="1"/>
  <c r="FB20" i="17"/>
  <c r="EU20" i="17"/>
  <c r="EE22" i="17"/>
  <c r="EE25" i="17"/>
  <c r="EH24" i="17"/>
  <c r="EI10" i="17"/>
  <c r="EU5" i="17"/>
  <c r="FB5" i="17"/>
  <c r="EZ3" i="17"/>
  <c r="FA3" i="17"/>
  <c r="EI9" i="17"/>
  <c r="EH23" i="17"/>
  <c r="EH8" i="17"/>
  <c r="EF23" i="17"/>
  <c r="EF25" i="17" s="1"/>
  <c r="EG9" i="17"/>
  <c r="EH27" i="17"/>
  <c r="EI13" i="17"/>
  <c r="EE31" i="17"/>
  <c r="DZ7" i="17"/>
  <c r="DZ6" i="17"/>
  <c r="EF28" i="17"/>
  <c r="EZ4" i="17"/>
  <c r="FA4" i="17"/>
  <c r="EE28" i="17"/>
  <c r="EU21" i="17"/>
  <c r="FB21" i="17"/>
  <c r="EG23" i="17"/>
  <c r="EG25" i="17" s="1"/>
  <c r="EH9" i="17"/>
  <c r="EG29" i="17"/>
  <c r="EG14" i="17"/>
  <c r="CK18" i="17"/>
  <c r="DS20" i="17"/>
  <c r="DS18" i="17"/>
  <c r="CK19" i="17"/>
  <c r="CL19" i="17"/>
  <c r="CF20" i="17"/>
  <c r="FB14" i="17" l="1"/>
  <c r="DZ12" i="17"/>
  <c r="FB25" i="17"/>
  <c r="FB22" i="17"/>
  <c r="EU22" i="17"/>
  <c r="EJ12" i="17"/>
  <c r="EI26" i="17"/>
  <c r="FA20" i="17"/>
  <c r="EZ20" i="17"/>
  <c r="FB29" i="17"/>
  <c r="EG31" i="17"/>
  <c r="FB31" i="17" s="1"/>
  <c r="EU7" i="17"/>
  <c r="EA10" i="17"/>
  <c r="DZ24" i="17"/>
  <c r="EU24" i="17" s="1"/>
  <c r="DZ29" i="17"/>
  <c r="DZ31" i="17" s="1"/>
  <c r="DZ14" i="17"/>
  <c r="DZ9" i="17"/>
  <c r="DZ10" i="17"/>
  <c r="EH26" i="17"/>
  <c r="EH28" i="17" s="1"/>
  <c r="EI12" i="17"/>
  <c r="EI29" i="17" s="1"/>
  <c r="EH11" i="17"/>
  <c r="FB23" i="17"/>
  <c r="EI30" i="17"/>
  <c r="EH25" i="17"/>
  <c r="EU6" i="17"/>
  <c r="DZ8" i="17"/>
  <c r="EU8" i="17" s="1"/>
  <c r="EA9" i="17"/>
  <c r="DZ23" i="17"/>
  <c r="EZ5" i="17"/>
  <c r="FA5" i="17"/>
  <c r="EZ21" i="17"/>
  <c r="FA21" i="17"/>
  <c r="EG26" i="17"/>
  <c r="EG11" i="17"/>
  <c r="FB11" i="17" s="1"/>
  <c r="EH12" i="17"/>
  <c r="FB9" i="17"/>
  <c r="EI11" i="17"/>
  <c r="EJ13" i="17"/>
  <c r="EJ30" i="17" s="1"/>
  <c r="EI27" i="17"/>
  <c r="CK20" i="17"/>
  <c r="CL20" i="17"/>
  <c r="EI31" i="17" l="1"/>
  <c r="EI14" i="17"/>
  <c r="EI28" i="17"/>
  <c r="EZ7" i="17"/>
  <c r="FA7" i="17"/>
  <c r="EA27" i="17"/>
  <c r="EV27" i="17" s="1"/>
  <c r="EV10" i="17"/>
  <c r="EB13" i="17"/>
  <c r="EH29" i="17"/>
  <c r="EH31" i="17" s="1"/>
  <c r="EH14" i="17"/>
  <c r="EA13" i="17"/>
  <c r="DZ27" i="17"/>
  <c r="EU10" i="17"/>
  <c r="DZ25" i="17"/>
  <c r="EU25" i="17" s="1"/>
  <c r="EU23" i="17"/>
  <c r="EA12" i="17"/>
  <c r="DZ11" i="17"/>
  <c r="DZ26" i="17"/>
  <c r="EJ29" i="17"/>
  <c r="EJ31" i="17" s="1"/>
  <c r="EJ14" i="17"/>
  <c r="EU9" i="17"/>
  <c r="EB12" i="17"/>
  <c r="EA26" i="17"/>
  <c r="EA11" i="17"/>
  <c r="EV9" i="17"/>
  <c r="H36" i="21"/>
  <c r="FA22" i="17"/>
  <c r="EZ22" i="17"/>
  <c r="EG28" i="17"/>
  <c r="FB28" i="17" s="1"/>
  <c r="FB26" i="17"/>
  <c r="FA8" i="17"/>
  <c r="EZ8" i="17"/>
  <c r="FA6" i="17"/>
  <c r="EZ6" i="17"/>
  <c r="FA24" i="17"/>
  <c r="EZ24" i="17"/>
  <c r="EU27" i="17" l="1"/>
  <c r="FA23" i="17"/>
  <c r="EZ23" i="17"/>
  <c r="EV26" i="17"/>
  <c r="EA28" i="17"/>
  <c r="FA27" i="17"/>
  <c r="EZ27" i="17"/>
  <c r="EA30" i="17"/>
  <c r="EU13" i="17"/>
  <c r="EV13" i="17"/>
  <c r="EW13" i="17"/>
  <c r="EB30" i="17"/>
  <c r="EW30" i="17" s="1"/>
  <c r="H37" i="21"/>
  <c r="EZ25" i="17"/>
  <c r="FA25" i="17"/>
  <c r="FA9" i="17"/>
  <c r="EZ9" i="17"/>
  <c r="EB14" i="17"/>
  <c r="EW14" i="17" s="1"/>
  <c r="EW12" i="17"/>
  <c r="EB29" i="17"/>
  <c r="EZ10" i="17"/>
  <c r="FA10" i="17"/>
  <c r="EU11" i="17"/>
  <c r="EV11" i="17"/>
  <c r="DZ28" i="17"/>
  <c r="EU26" i="17"/>
  <c r="EA29" i="17"/>
  <c r="EA14" i="17"/>
  <c r="EU12" i="17"/>
  <c r="EV12" i="17"/>
  <c r="EZ11" i="17" l="1"/>
  <c r="FA11" i="17"/>
  <c r="EB31" i="17"/>
  <c r="EW31" i="17" s="1"/>
  <c r="EW29" i="17"/>
  <c r="FA12" i="17"/>
  <c r="EZ12" i="17"/>
  <c r="EU28" i="17"/>
  <c r="EV28" i="17"/>
  <c r="EZ13" i="17"/>
  <c r="FA13" i="17"/>
  <c r="EV14" i="17"/>
  <c r="EU14" i="17"/>
  <c r="EV30" i="17"/>
  <c r="EU30" i="17"/>
  <c r="EA31" i="17"/>
  <c r="EV29" i="17"/>
  <c r="EU29" i="17"/>
  <c r="FA26" i="17"/>
  <c r="EZ26" i="17"/>
  <c r="FA14" i="17" l="1"/>
  <c r="EZ14" i="17"/>
  <c r="FA28" i="17"/>
  <c r="H38" i="21"/>
  <c r="EZ28" i="17"/>
  <c r="FA29" i="17"/>
  <c r="EZ29" i="17"/>
  <c r="EU31" i="17"/>
  <c r="EV31" i="17"/>
  <c r="EZ30" i="17"/>
  <c r="FA30" i="17"/>
  <c r="H39" i="21" l="1"/>
  <c r="EZ31" i="17"/>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<sst xmlns="http://schemas.openxmlformats.org/spreadsheetml/2006/main" count="1405" uniqueCount="476">
  <si>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</si>
  <si>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</si>
  <si>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</si>
  <si>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</si>
  <si>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</si>
  <si>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</si>
  <si>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</si>
  <si>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</si>
  <si>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</si>
  <si>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</si>
  <si>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</si>
  <si>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</si>
  <si>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</si>
  <si>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</si>
  <si>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</si>
  <si>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</si>
  <si>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</si>
  <si>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</si>
  <si>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</si>
  <si>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</si>
  <si>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</si>
  <si>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</si>
  <si>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</si>
  <si>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</si>
  <si>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</si>
  <si>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</si>
  <si>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</si>
  <si>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</si>
  <si>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</si>
  <si>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</si>
  <si>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</si>
  <si>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</si>
  <si>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</si>
  <si>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</si>
  <si>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</si>
  <si>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</si>
  <si>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</si>
  <si>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</si>
  <si>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</si>
  <si>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</si>
  <si>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</si>
  <si>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</si>
  <si>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</si>
  <si>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</si>
  <si>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</si>
  <si>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</si>
  <si>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</si>
  <si>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</si>
  <si>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</si>
  <si>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</si>
  <si>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</si>
  <si>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</si>
  <si>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</si>
  <si>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</si>
  <si>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</si>
  <si>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</si>
  <si>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</si>
  <si>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</si>
  <si>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</si>
  <si>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</si>
  <si>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</si>
  <si>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</si>
  <si>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</si>
  <si>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</si>
  <si>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</si>
  <si>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</si>
  <si>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</si>
  <si>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</si>
  <si>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</si>
  <si>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</si>
  <si>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</si>
  <si>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</si>
  <si>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</si>
  <si>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</si>
  <si>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</si>
  <si>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</si>
  <si>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</si>
  <si>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</si>
  <si>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</si>
  <si>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</si>
  <si>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</si>
  <si>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</si>
  <si>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</si>
  <si>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</si>
  <si>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</si>
  <si>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</si>
  <si>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</si>
  <si>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</si>
  <si>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</si>
  <si>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</si>
  <si>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</si>
  <si>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</si>
  <si>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</si>
  <si>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</si>
  <si>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</si>
  <si>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</si>
  <si>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</si>
  <si>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</si>
  <si>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</si>
  <si>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</si>
  <si>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</si>
  <si>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</si>
  <si>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</si>
  <si>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</si>
  <si>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</si>
  <si>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</si>
  <si>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</si>
  <si>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</si>
  <si>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</si>
  <si>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</si>
  <si>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</si>
  <si>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</si>
  <si>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</si>
  <si>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</si>
  <si>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</si>
  <si>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</si>
  <si>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</si>
  <si>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</si>
  <si>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</si>
  <si>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</si>
  <si>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</si>
  <si>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</si>
  <si>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</si>
  <si>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</si>
  <si>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</si>
  <si>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</si>
  <si>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</si>
  <si>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</si>
  <si>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</si>
  <si>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</si>
  <si>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</si>
  <si>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</si>
  <si>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</si>
  <si>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</si>
  <si>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</si>
  <si>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</si>
  <si>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</si>
  <si>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</si>
  <si>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</si>
  <si>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</si>
  <si>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</si>
  <si>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</si>
  <si>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</si>
  <si>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</si>
  <si>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</si>
  <si>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</si>
  <si>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</si>
  <si>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</si>
  <si>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</si>
  <si>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</si>
  <si>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</si>
  <si>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</si>
  <si>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</si>
  <si>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</si>
  <si>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</si>
  <si>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</si>
  <si>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</si>
  <si>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</si>
  <si>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</si>
  <si>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</si>
  <si>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</si>
  <si>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</si>
  <si>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</si>
  <si>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</si>
  <si>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</si>
  <si>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</si>
  <si>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</si>
  <si>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</si>
  <si>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</si>
  <si>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</si>
  <si>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</si>
  <si>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</si>
  <si>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</si>
  <si>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</si>
  <si>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</si>
  <si>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</si>
  <si>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</si>
  <si>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</si>
  <si>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</si>
  <si>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</si>
  <si>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</si>
  <si>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</si>
  <si>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</si>
  <si>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</si>
  <si>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</si>
  <si>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</si>
  <si>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</si>
  <si>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</si>
  <si>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</si>
  <si>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</si>
  <si>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</si>
  <si>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</si>
  <si>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</si>
  <si>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</si>
  <si>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</si>
  <si>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</si>
  <si>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</si>
  <si>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</si>
  <si>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</si>
  <si>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</si>
  <si>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</si>
  <si>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</si>
  <si>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</si>
  <si>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</si>
  <si>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</si>
  <si>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</si>
  <si>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</si>
  <si>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</si>
  <si>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</si>
  <si>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</si>
  <si>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</si>
  <si>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</si>
  <si>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</si>
  <si>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</si>
  <si>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</si>
  <si>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</si>
  <si>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</si>
  <si>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</si>
  <si>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</si>
  <si>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</si>
  <si>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</si>
  <si>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</si>
  <si>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</si>
  <si>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</si>
  <si>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</si>
  <si>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</si>
  <si>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</si>
  <si>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</si>
  <si>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</si>
  <si>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</si>
  <si>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</si>
  <si>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</si>
  <si>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</si>
  <si>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</si>
  <si>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</si>
  <si>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</si>
  <si>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</si>
  <si>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</si>
  <si>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</si>
  <si>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</si>
  <si>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</si>
  <si>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</si>
  <si>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</si>
  <si>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</si>
  <si>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</si>
  <si>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</si>
  <si>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</si>
  <si>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</si>
  <si>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</si>
  <si>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</si>
  <si>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</si>
  <si>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</si>
  <si>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</si>
  <si>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</si>
  <si>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</si>
  <si>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</si>
  <si>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</si>
  <si>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</si>
  <si>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</si>
  <si>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</si>
  <si>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</si>
  <si>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</si>
  <si>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</si>
  <si>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</si>
  <si>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</si>
  <si>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</si>
  <si>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</si>
  <si>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</si>
  <si>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</si>
  <si>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</si>
  <si>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</si>
  <si>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</si>
  <si>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</si>
  <si>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</si>
  <si>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</si>
  <si>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</si>
  <si>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</si>
  <si>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</si>
  <si>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</si>
  <si>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</si>
  <si>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</si>
  <si>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</si>
  <si>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</si>
  <si>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</si>
  <si>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</si>
  <si>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</si>
  <si>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</si>
  <si>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</si>
  <si>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</si>
  <si>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</si>
  <si>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</si>
  <si>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</si>
  <si>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</si>
  <si>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</si>
  <si>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</si>
  <si>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</si>
  <si>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</si>
  <si>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</si>
  <si>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</si>
  <si>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</si>
  <si>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</si>
  <si>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</si>
  <si>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</si>
  <si>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</si>
  <si>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</si>
  <si>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</si>
  <si>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</si>
  <si>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</si>
  <si>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</si>
  <si>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</si>
  <si>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</si>
  <si>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</si>
  <si>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</si>
  <si>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</si>
  <si>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</si>
  <si>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</si>
  <si>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</si>
  <si>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</si>
  <si>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</si>
  <si>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</si>
  <si>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</si>
  <si>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</si>
  <si>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</si>
  <si>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</si>
  <si>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</si>
  <si>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</si>
  <si>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</si>
  <si>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</si>
  <si>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</si>
  <si>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</si>
  <si>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</si>
  <si>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</si>
  <si>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</si>
  <si>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</si>
  <si>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</si>
  <si>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</si>
  <si>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</si>
  <si>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</si>
  <si>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</si>
  <si>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</si>
  <si>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</si>
  <si>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</si>
  <si>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</si>
  <si>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</si>
  <si>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</si>
  <si>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</si>
  <si>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</si>
  <si>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</si>
  <si>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</si>
  <si>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</si>
  <si>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</si>
  <si>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</si>
  <si>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</si>
  <si>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</si>
  <si>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</si>
  <si>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</si>
  <si>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</si>
  <si>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</si>
  <si>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</si>
  <si>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</si>
  <si>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</si>
  <si>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</si>
  <si>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</si>
  <si>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</si>
  <si>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</si>
  <si>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</si>
  <si>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</si>
  <si>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</si>
  <si>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</si>
  <si>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</si>
  <si>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</si>
  <si>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</si>
  <si>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</si>
  <si>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</si>
  <si>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</si>
  <si>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</si>
  <si>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</si>
  <si>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</si>
  <si>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</si>
  <si>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</si>
  <si>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</si>
  <si>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</si>
  <si>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</si>
  <si>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</si>
  <si>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</si>
  <si>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</si>
  <si>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</si>
  <si>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</si>
  <si>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</si>
  <si>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</si>
  <si>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</si>
  <si>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</si>
  <si>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</si>
  <si>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</si>
  <si>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</si>
  <si>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</si>
  <si>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</si>
  <si>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</si>
  <si>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</si>
  <si>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</si>
  <si>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</si>
  <si>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</si>
  <si>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</si>
  <si>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</si>
  <si>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</si>
  <si>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</si>
  <si>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</si>
  <si>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</si>
  <si>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</si>
  <si>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</si>
  <si>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</si>
  <si>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</si>
  <si>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</si>
  <si>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</si>
  <si>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</si>
  <si>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</si>
  <si>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</si>
  <si>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</si>
  <si>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</si>
  <si>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</si>
  <si>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</si>
  <si>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</si>
  <si>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</si>
  <si>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</si>
  <si>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</si>
  <si>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</si>
  <si>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</si>
  <si>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</si>
  <si>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</si>
  <si>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</si>
  <si>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</si>
  <si>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</si>
  <si>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</si>
  <si>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</si>
  <si>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</si>
  <si>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</si>
  <si>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</si>
  <si>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</si>
  <si>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</si>
  <si>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</si>
  <si>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</si>
  <si>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</si>
  <si>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</si>
  <si>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</si>
  <si>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</si>
  <si>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</si>
  <si>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</si>
  <si>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</si>
  <si>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</si>
  <si>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</si>
  <si>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</si>
  <si>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</si>
  <si>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</si>
  <si>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</si>
  <si>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</si>
  <si>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</si>
  <si>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</si>
  <si>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</si>
  <si>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</si>
  <si>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</si>
  <si>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</si>
  <si>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</si>
  <si>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</si>
  <si>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</si>
  <si>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</si>
  <si>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</si>
  <si>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</si>
  <si>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</si>
  <si>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</si>
  <si>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</si>
  <si>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</si>
  <si>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45201_7</t>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</si>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</sst>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1289</c:v>
                </c:pt>
                <c:pt idx="1">
                  <c:v>1287</c:v>
                </c:pt>
                <c:pt idx="2">
                  <c:v>1293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6221888"/>
        <c:axId val="386223848"/>
      </c:barChart>
      <c:catAx>
        <c:axId val="38622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223848"/>
        <c:crosses val="autoZero"/>
        <c:auto val="1"/>
        <c:lblAlgn val="ctr"/>
        <c:lblOffset val="100"/>
        <c:noMultiLvlLbl val="0"/>
      </c:catAx>
      <c:valAx>
        <c:axId val="3862238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221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633</c:v>
                </c:pt>
                <c:pt idx="1">
                  <c:v>638</c:v>
                </c:pt>
                <c:pt idx="2">
                  <c:v>615</c:v>
                </c:pt>
                <c:pt idx="3">
                  <c:v>631</c:v>
                </c:pt>
                <c:pt idx="4">
                  <c:v>575</c:v>
                </c:pt>
                <c:pt idx="5">
                  <c:v>500</c:v>
                </c:pt>
                <c:pt idx="6">
                  <c:v>457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3326736"/>
        <c:axId val="453327912"/>
      </c:barChart>
      <c:catAx>
        <c:axId val="453326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27912"/>
        <c:crosses val="autoZero"/>
        <c:auto val="1"/>
        <c:lblAlgn val="ctr"/>
        <c:lblOffset val="100"/>
        <c:noMultiLvlLbl val="0"/>
      </c:catAx>
      <c:valAx>
        <c:axId val="453327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26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0.19</c:v>
                </c:pt>
                <c:pt idx="1">
                  <c:v>0.24</c:v>
                </c:pt>
                <c:pt idx="2">
                  <c:v>0.27</c:v>
                </c:pt>
                <c:pt idx="3">
                  <c:v>0.28999999999999998</c:v>
                </c:pt>
                <c:pt idx="4">
                  <c:v>0.3</c:v>
                </c:pt>
                <c:pt idx="5">
                  <c:v>0.31</c:v>
                </c:pt>
                <c:pt idx="6">
                  <c:v>0.33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3329088"/>
        <c:axId val="453328304"/>
      </c:barChart>
      <c:catAx>
        <c:axId val="453329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28304"/>
        <c:crosses val="autoZero"/>
        <c:auto val="1"/>
        <c:lblAlgn val="ctr"/>
        <c:lblOffset val="100"/>
        <c:noMultiLvlLbl val="0"/>
      </c:catAx>
      <c:valAx>
        <c:axId val="453328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290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0.08</c:v>
                </c:pt>
                <c:pt idx="1">
                  <c:v>0.11</c:v>
                </c:pt>
                <c:pt idx="2">
                  <c:v>0.13</c:v>
                </c:pt>
                <c:pt idx="3">
                  <c:v>0.16</c:v>
                </c:pt>
                <c:pt idx="4">
                  <c:v>0.19</c:v>
                </c:pt>
                <c:pt idx="5">
                  <c:v>0.19</c:v>
                </c:pt>
                <c:pt idx="6">
                  <c:v>0.18</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3329872"/>
        <c:axId val="453326344"/>
      </c:barChart>
      <c:catAx>
        <c:axId val="453329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26344"/>
        <c:crosses val="autoZero"/>
        <c:auto val="1"/>
        <c:lblAlgn val="ctr"/>
        <c:lblOffset val="100"/>
        <c:noMultiLvlLbl val="0"/>
      </c:catAx>
      <c:valAx>
        <c:axId val="453326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29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236259076599545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5A2-4C10-A992-2F7A8F5B1AA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404</c:v>
                </c:pt>
                <c:pt idx="1">
                  <c:v>419</c:v>
                </c:pt>
                <c:pt idx="2">
                  <c:v>488</c:v>
                </c:pt>
                <c:pt idx="3">
                  <c:v>501</c:v>
                </c:pt>
                <c:pt idx="4">
                  <c:v>301</c:v>
                </c:pt>
                <c:pt idx="5">
                  <c:v>374</c:v>
                </c:pt>
                <c:pt idx="6">
                  <c:v>453</c:v>
                </c:pt>
                <c:pt idx="7">
                  <c:v>434</c:v>
                </c:pt>
                <c:pt idx="8">
                  <c:v>513</c:v>
                </c:pt>
                <c:pt idx="9">
                  <c:v>563</c:v>
                </c:pt>
                <c:pt idx="10">
                  <c:v>683</c:v>
                </c:pt>
                <c:pt idx="11">
                  <c:v>736</c:v>
                </c:pt>
                <c:pt idx="12">
                  <c:v>557</c:v>
                </c:pt>
                <c:pt idx="13">
                  <c:v>487</c:v>
                </c:pt>
                <c:pt idx="14">
                  <c:v>469</c:v>
                </c:pt>
                <c:pt idx="15">
                  <c:v>538</c:v>
                </c:pt>
                <c:pt idx="16">
                  <c:v>526</c:v>
                </c:pt>
                <c:pt idx="17">
                  <c:v>253</c:v>
                </c:pt>
                <c:pt idx="18">
                  <c:v>101</c:v>
                </c:pt>
                <c:pt idx="19">
                  <c:v>30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7542552"/>
        <c:axId val="3875429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400</c:v>
                </c:pt>
                <c:pt idx="1">
                  <c:v>395</c:v>
                </c:pt>
                <c:pt idx="2">
                  <c:v>453</c:v>
                </c:pt>
                <c:pt idx="3">
                  <c:v>493</c:v>
                </c:pt>
                <c:pt idx="4">
                  <c:v>370</c:v>
                </c:pt>
                <c:pt idx="5">
                  <c:v>417</c:v>
                </c:pt>
                <c:pt idx="6">
                  <c:v>435</c:v>
                </c:pt>
                <c:pt idx="7">
                  <c:v>473</c:v>
                </c:pt>
                <c:pt idx="8">
                  <c:v>533</c:v>
                </c:pt>
                <c:pt idx="9">
                  <c:v>679</c:v>
                </c:pt>
                <c:pt idx="10">
                  <c:v>720</c:v>
                </c:pt>
                <c:pt idx="11">
                  <c:v>796</c:v>
                </c:pt>
                <c:pt idx="12">
                  <c:v>664</c:v>
                </c:pt>
                <c:pt idx="13">
                  <c:v>538</c:v>
                </c:pt>
                <c:pt idx="14">
                  <c:v>603</c:v>
                </c:pt>
                <c:pt idx="15">
                  <c:v>669</c:v>
                </c:pt>
                <c:pt idx="16">
                  <c:v>671</c:v>
                </c:pt>
                <c:pt idx="17">
                  <c:v>390</c:v>
                </c:pt>
                <c:pt idx="18">
                  <c:v>232</c:v>
                </c:pt>
                <c:pt idx="19">
                  <c:v>71</c:v>
                </c:pt>
                <c:pt idx="20">
                  <c:v>14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87541768"/>
        <c:axId val="387544120"/>
      </c:barChart>
      <c:catAx>
        <c:axId val="387542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2944"/>
        <c:crosses val="autoZero"/>
        <c:auto val="1"/>
        <c:lblAlgn val="ctr"/>
        <c:lblOffset val="100"/>
        <c:noMultiLvlLbl val="0"/>
      </c:catAx>
      <c:valAx>
        <c:axId val="38754294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2552"/>
        <c:crosses val="autoZero"/>
        <c:crossBetween val="between"/>
        <c:majorUnit val="500"/>
      </c:valAx>
      <c:valAx>
        <c:axId val="3875441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1768"/>
        <c:crosses val="max"/>
        <c:crossBetween val="between"/>
        <c:majorUnit val="500"/>
      </c:valAx>
      <c:catAx>
        <c:axId val="387541768"/>
        <c:scaling>
          <c:orientation val="minMax"/>
        </c:scaling>
        <c:delete val="1"/>
        <c:axPos val="l"/>
        <c:numFmt formatCode="General" sourceLinked="1"/>
        <c:majorTickMark val="out"/>
        <c:minorTickMark val="none"/>
        <c:tickLblPos val="nextTo"/>
        <c:crossAx val="387544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5664124074170897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AF3-4592-BA26-5AE0007469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389</c:v>
                </c:pt>
                <c:pt idx="1">
                  <c:v>386</c:v>
                </c:pt>
                <c:pt idx="2">
                  <c:v>399</c:v>
                </c:pt>
                <c:pt idx="3">
                  <c:v>377</c:v>
                </c:pt>
                <c:pt idx="4">
                  <c:v>263</c:v>
                </c:pt>
                <c:pt idx="5">
                  <c:v>398</c:v>
                </c:pt>
                <c:pt idx="6">
                  <c:v>430</c:v>
                </c:pt>
                <c:pt idx="7">
                  <c:v>406</c:v>
                </c:pt>
                <c:pt idx="8">
                  <c:v>450</c:v>
                </c:pt>
                <c:pt idx="9">
                  <c:v>427</c:v>
                </c:pt>
                <c:pt idx="10">
                  <c:v>487</c:v>
                </c:pt>
                <c:pt idx="11">
                  <c:v>531</c:v>
                </c:pt>
                <c:pt idx="12">
                  <c:v>645</c:v>
                </c:pt>
                <c:pt idx="13">
                  <c:v>670</c:v>
                </c:pt>
                <c:pt idx="14">
                  <c:v>490</c:v>
                </c:pt>
                <c:pt idx="15">
                  <c:v>404</c:v>
                </c:pt>
                <c:pt idx="16">
                  <c:v>346</c:v>
                </c:pt>
                <c:pt idx="17">
                  <c:v>289</c:v>
                </c:pt>
                <c:pt idx="18">
                  <c:v>157</c:v>
                </c:pt>
                <c:pt idx="19">
                  <c:v>41</c:v>
                </c:pt>
                <c:pt idx="20">
                  <c:v>1</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7543336"/>
        <c:axId val="38754451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386</c:v>
                </c:pt>
                <c:pt idx="1">
                  <c:v>365</c:v>
                </c:pt>
                <c:pt idx="2">
                  <c:v>370</c:v>
                </c:pt>
                <c:pt idx="3">
                  <c:v>372</c:v>
                </c:pt>
                <c:pt idx="4">
                  <c:v>324</c:v>
                </c:pt>
                <c:pt idx="5">
                  <c:v>451</c:v>
                </c:pt>
                <c:pt idx="6">
                  <c:v>447</c:v>
                </c:pt>
                <c:pt idx="7">
                  <c:v>413</c:v>
                </c:pt>
                <c:pt idx="8">
                  <c:v>418</c:v>
                </c:pt>
                <c:pt idx="9">
                  <c:v>470</c:v>
                </c:pt>
                <c:pt idx="10">
                  <c:v>516</c:v>
                </c:pt>
                <c:pt idx="11">
                  <c:v>632</c:v>
                </c:pt>
                <c:pt idx="12">
                  <c:v>686</c:v>
                </c:pt>
                <c:pt idx="13">
                  <c:v>740</c:v>
                </c:pt>
                <c:pt idx="14">
                  <c:v>611</c:v>
                </c:pt>
                <c:pt idx="15">
                  <c:v>482</c:v>
                </c:pt>
                <c:pt idx="16">
                  <c:v>497</c:v>
                </c:pt>
                <c:pt idx="17">
                  <c:v>468</c:v>
                </c:pt>
                <c:pt idx="18">
                  <c:v>344</c:v>
                </c:pt>
                <c:pt idx="19">
                  <c:v>93</c:v>
                </c:pt>
                <c:pt idx="20">
                  <c:v>22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87544904"/>
        <c:axId val="387543728"/>
      </c:barChart>
      <c:catAx>
        <c:axId val="387543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4512"/>
        <c:crosses val="autoZero"/>
        <c:auto val="1"/>
        <c:lblAlgn val="ctr"/>
        <c:lblOffset val="100"/>
        <c:noMultiLvlLbl val="0"/>
      </c:catAx>
      <c:valAx>
        <c:axId val="3875445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3336"/>
        <c:crosses val="autoZero"/>
        <c:crossBetween val="between"/>
        <c:majorUnit val="500"/>
      </c:valAx>
      <c:valAx>
        <c:axId val="38754372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4904"/>
        <c:crosses val="max"/>
        <c:crossBetween val="between"/>
        <c:majorUnit val="500"/>
      </c:valAx>
      <c:catAx>
        <c:axId val="387544904"/>
        <c:scaling>
          <c:orientation val="minMax"/>
        </c:scaling>
        <c:delete val="1"/>
        <c:axPos val="l"/>
        <c:numFmt formatCode="General" sourceLinked="1"/>
        <c:majorTickMark val="out"/>
        <c:minorTickMark val="none"/>
        <c:tickLblPos val="nextTo"/>
        <c:crossAx val="387543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20355</c:v>
                </c:pt>
                <c:pt idx="1">
                  <c:v>20448</c:v>
                </c:pt>
                <c:pt idx="2">
                  <c:v>20130</c:v>
                </c:pt>
                <c:pt idx="3">
                  <c:v>19596</c:v>
                </c:pt>
                <c:pt idx="4">
                  <c:v>18846</c:v>
                </c:pt>
                <c:pt idx="5">
                  <c:v>17973</c:v>
                </c:pt>
                <c:pt idx="6">
                  <c:v>17093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11D-46E0-92CF-9D5978A2004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11D-46E0-92CF-9D5978A2004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11D-46E0-92CF-9D5978A2004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11D-46E0-92CF-9D5978A2004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19605</c:v>
                </c:pt>
                <c:pt idx="4" formatCode="#,##0_);[Red]\(#,##0\)">
                  <c:v>18866</c:v>
                </c:pt>
                <c:pt idx="5" formatCode="#,##0_);[Red]\(#,##0\)">
                  <c:v>18005</c:v>
                </c:pt>
                <c:pt idx="6" formatCode="#,##0_);[Red]\(#,##0\)">
                  <c:v>17136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603744"/>
        <c:axId val="453599432"/>
      </c:barChart>
      <c:catAx>
        <c:axId val="453603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99432"/>
        <c:crosses val="autoZero"/>
        <c:auto val="1"/>
        <c:lblAlgn val="ctr"/>
        <c:lblOffset val="100"/>
        <c:noMultiLvlLbl val="0"/>
      </c:catAx>
      <c:valAx>
        <c:axId val="453599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374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1289</c:v>
                </c:pt>
                <c:pt idx="1">
                  <c:v>1287</c:v>
                </c:pt>
                <c:pt idx="2">
                  <c:v>1293</c:v>
                </c:pt>
                <c:pt idx="3">
                  <c:v>1213</c:v>
                </c:pt>
                <c:pt idx="4">
                  <c:v>1053</c:v>
                </c:pt>
                <c:pt idx="5">
                  <c:v>950</c:v>
                </c:pt>
                <c:pt idx="6">
                  <c:v>912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1215</c:v>
                </c:pt>
                <c:pt idx="4">
                  <c:v>1055</c:v>
                </c:pt>
                <c:pt idx="5">
                  <c:v>954</c:v>
                </c:pt>
                <c:pt idx="6">
                  <c:v>918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604528"/>
        <c:axId val="453601000"/>
      </c:barChart>
      <c:catAx>
        <c:axId val="45360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1000"/>
        <c:crosses val="autoZero"/>
        <c:auto val="1"/>
        <c:lblAlgn val="ctr"/>
        <c:lblOffset val="100"/>
        <c:noMultiLvlLbl val="0"/>
      </c:catAx>
      <c:valAx>
        <c:axId val="453601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4528"/>
        <c:crosses val="autoZero"/>
        <c:crossBetween val="between"/>
      </c:valAx>
      <c:spPr>
        <a:noFill/>
        <a:ln>
          <a:noFill/>
        </a:ln>
        <a:effectLst/>
      </c:spPr>
    </c:plotArea>
    <c:legend>
      <c:legendPos val="t"/>
      <c:layout>
        <c:manualLayout>
          <c:xMode val="edge"/>
          <c:yMode val="edge"/>
          <c:x val="6.8276454296194264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0.19</c:v>
                </c:pt>
                <c:pt idx="1">
                  <c:v>0.24</c:v>
                </c:pt>
                <c:pt idx="2">
                  <c:v>0.27</c:v>
                </c:pt>
                <c:pt idx="3">
                  <c:v>0.28999999999999998</c:v>
                </c:pt>
                <c:pt idx="4">
                  <c:v>0.3</c:v>
                </c:pt>
                <c:pt idx="5">
                  <c:v>0.31</c:v>
                </c:pt>
                <c:pt idx="6">
                  <c:v>0.33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01E-42C6-AA5C-FDB5A5B1A530}"/>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01E-42C6-AA5C-FDB5A5B1A530}"/>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01E-42C6-AA5C-FDB5A5B1A530}"/>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01E-42C6-AA5C-FDB5A5B1A53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0.28999999999999998</c:v>
                </c:pt>
                <c:pt idx="4" formatCode="0%">
                  <c:v>0.3</c:v>
                </c:pt>
                <c:pt idx="5" formatCode="0%">
                  <c:v>0.31</c:v>
                </c:pt>
                <c:pt idx="6" formatCode="0%">
                  <c:v>0.33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601392"/>
        <c:axId val="453604920"/>
      </c:barChart>
      <c:catAx>
        <c:axId val="453601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4920"/>
        <c:crosses val="autoZero"/>
        <c:auto val="1"/>
        <c:lblAlgn val="ctr"/>
        <c:lblOffset val="100"/>
        <c:noMultiLvlLbl val="0"/>
      </c:catAx>
      <c:valAx>
        <c:axId val="453604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13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0.08</c:v>
                </c:pt>
                <c:pt idx="1">
                  <c:v>0.11</c:v>
                </c:pt>
                <c:pt idx="2">
                  <c:v>0.13</c:v>
                </c:pt>
                <c:pt idx="3">
                  <c:v>0.16</c:v>
                </c:pt>
                <c:pt idx="4">
                  <c:v>0.19</c:v>
                </c:pt>
                <c:pt idx="5">
                  <c:v>0.19</c:v>
                </c:pt>
                <c:pt idx="6">
                  <c:v>0.18</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D2D-4AD9-9A7B-0F61378D3F7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D2D-4AD9-9A7B-0F61378D3F7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D2D-4AD9-9A7B-0F61378D3F7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D2D-4AD9-9A7B-0F61378D3F7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0.16</c:v>
                </c:pt>
                <c:pt idx="4" formatCode="0%">
                  <c:v>0.19</c:v>
                </c:pt>
                <c:pt idx="5" formatCode="0%">
                  <c:v>0.19</c:v>
                </c:pt>
                <c:pt idx="6" formatCode="0%">
                  <c:v>0.18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599824"/>
        <c:axId val="453599040"/>
      </c:barChart>
      <c:catAx>
        <c:axId val="45359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99040"/>
        <c:crosses val="autoZero"/>
        <c:auto val="1"/>
        <c:lblAlgn val="ctr"/>
        <c:lblOffset val="100"/>
        <c:noMultiLvlLbl val="0"/>
      </c:catAx>
      <c:valAx>
        <c:axId val="453599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998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633</c:v>
                </c:pt>
                <c:pt idx="1">
                  <c:v>638</c:v>
                </c:pt>
                <c:pt idx="2">
                  <c:v>615</c:v>
                </c:pt>
                <c:pt idx="3">
                  <c:v>631</c:v>
                </c:pt>
                <c:pt idx="4">
                  <c:v>575</c:v>
                </c:pt>
                <c:pt idx="5">
                  <c:v>500</c:v>
                </c:pt>
                <c:pt idx="6">
                  <c:v>457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632</c:v>
                </c:pt>
                <c:pt idx="4">
                  <c:v>577</c:v>
                </c:pt>
                <c:pt idx="5">
                  <c:v>502</c:v>
                </c:pt>
                <c:pt idx="6">
                  <c:v>460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605312"/>
        <c:axId val="453601784"/>
      </c:barChart>
      <c:catAx>
        <c:axId val="453605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1784"/>
        <c:crosses val="autoZero"/>
        <c:auto val="1"/>
        <c:lblAlgn val="ctr"/>
        <c:lblOffset val="100"/>
        <c:noMultiLvlLbl val="0"/>
      </c:catAx>
      <c:valAx>
        <c:axId val="4536017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5312"/>
        <c:crosses val="autoZero"/>
        <c:crossBetween val="between"/>
      </c:valAx>
      <c:spPr>
        <a:noFill/>
        <a:ln>
          <a:noFill/>
        </a:ln>
        <a:effectLst/>
      </c:spPr>
    </c:plotArea>
    <c:legend>
      <c:legendPos val="t"/>
      <c:layout>
        <c:manualLayout>
          <c:xMode val="edge"/>
          <c:yMode val="edge"/>
          <c:x val="0.11106251780444464"/>
          <c:y val="0.10855752803091595"/>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633</c:v>
                </c:pt>
                <c:pt idx="1">
                  <c:v>638</c:v>
                </c:pt>
                <c:pt idx="2">
                  <c:v>615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6227376"/>
        <c:axId val="386226200"/>
      </c:barChart>
      <c:catAx>
        <c:axId val="38622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226200"/>
        <c:crosses val="autoZero"/>
        <c:auto val="1"/>
        <c:lblAlgn val="ctr"/>
        <c:lblOffset val="100"/>
        <c:noMultiLvlLbl val="0"/>
      </c:catAx>
      <c:valAx>
        <c:axId val="386226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227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6288552117754669E-2"/>
                  <c:y val="-1.614187463580379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871-43F1-87C9-7F1719AE9D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406</c:v>
                </c:pt>
                <c:pt idx="1">
                  <c:v>420</c:v>
                </c:pt>
                <c:pt idx="2">
                  <c:v>489</c:v>
                </c:pt>
                <c:pt idx="3">
                  <c:v>502</c:v>
                </c:pt>
                <c:pt idx="4">
                  <c:v>301</c:v>
                </c:pt>
                <c:pt idx="5">
                  <c:v>376</c:v>
                </c:pt>
                <c:pt idx="6">
                  <c:v>455</c:v>
                </c:pt>
                <c:pt idx="7">
                  <c:v>434</c:v>
                </c:pt>
                <c:pt idx="8">
                  <c:v>513</c:v>
                </c:pt>
                <c:pt idx="9">
                  <c:v>563</c:v>
                </c:pt>
                <c:pt idx="10">
                  <c:v>683</c:v>
                </c:pt>
                <c:pt idx="11">
                  <c:v>736</c:v>
                </c:pt>
                <c:pt idx="12">
                  <c:v>557</c:v>
                </c:pt>
                <c:pt idx="13">
                  <c:v>487</c:v>
                </c:pt>
                <c:pt idx="14">
                  <c:v>469</c:v>
                </c:pt>
                <c:pt idx="15">
                  <c:v>538</c:v>
                </c:pt>
                <c:pt idx="16">
                  <c:v>526</c:v>
                </c:pt>
                <c:pt idx="17">
                  <c:v>253</c:v>
                </c:pt>
                <c:pt idx="18">
                  <c:v>101</c:v>
                </c:pt>
                <c:pt idx="19">
                  <c:v>30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603352"/>
        <c:axId val="45360296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402</c:v>
                </c:pt>
                <c:pt idx="1">
                  <c:v>396</c:v>
                </c:pt>
                <c:pt idx="2">
                  <c:v>454</c:v>
                </c:pt>
                <c:pt idx="3">
                  <c:v>494</c:v>
                </c:pt>
                <c:pt idx="4">
                  <c:v>370</c:v>
                </c:pt>
                <c:pt idx="5">
                  <c:v>419</c:v>
                </c:pt>
                <c:pt idx="6">
                  <c:v>437</c:v>
                </c:pt>
                <c:pt idx="7">
                  <c:v>473</c:v>
                </c:pt>
                <c:pt idx="8">
                  <c:v>534</c:v>
                </c:pt>
                <c:pt idx="9">
                  <c:v>680</c:v>
                </c:pt>
                <c:pt idx="10">
                  <c:v>720</c:v>
                </c:pt>
                <c:pt idx="11">
                  <c:v>796</c:v>
                </c:pt>
                <c:pt idx="12">
                  <c:v>664</c:v>
                </c:pt>
                <c:pt idx="13">
                  <c:v>538</c:v>
                </c:pt>
                <c:pt idx="14">
                  <c:v>603</c:v>
                </c:pt>
                <c:pt idx="15">
                  <c:v>669</c:v>
                </c:pt>
                <c:pt idx="16">
                  <c:v>671</c:v>
                </c:pt>
                <c:pt idx="17">
                  <c:v>390</c:v>
                </c:pt>
                <c:pt idx="18">
                  <c:v>232</c:v>
                </c:pt>
                <c:pt idx="19">
                  <c:v>71</c:v>
                </c:pt>
                <c:pt idx="20">
                  <c:v>14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602568"/>
        <c:axId val="453606096"/>
      </c:barChart>
      <c:catAx>
        <c:axId val="453603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2960"/>
        <c:crosses val="autoZero"/>
        <c:auto val="1"/>
        <c:lblAlgn val="ctr"/>
        <c:lblOffset val="100"/>
        <c:noMultiLvlLbl val="0"/>
      </c:catAx>
      <c:valAx>
        <c:axId val="45360296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3352"/>
        <c:crosses val="autoZero"/>
        <c:crossBetween val="between"/>
        <c:majorUnit val="500"/>
      </c:valAx>
      <c:valAx>
        <c:axId val="4536060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2568"/>
        <c:crosses val="max"/>
        <c:crossBetween val="between"/>
        <c:majorUnit val="500"/>
      </c:valAx>
      <c:catAx>
        <c:axId val="453602568"/>
        <c:scaling>
          <c:orientation val="minMax"/>
        </c:scaling>
        <c:delete val="1"/>
        <c:axPos val="l"/>
        <c:numFmt formatCode="General" sourceLinked="1"/>
        <c:majorTickMark val="out"/>
        <c:minorTickMark val="none"/>
        <c:tickLblPos val="nextTo"/>
        <c:crossAx val="453606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3.85307113135292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500-472F-A12A-C8BCEEA0956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392</c:v>
                </c:pt>
                <c:pt idx="1">
                  <c:v>389</c:v>
                </c:pt>
                <c:pt idx="2">
                  <c:v>402</c:v>
                </c:pt>
                <c:pt idx="3">
                  <c:v>379</c:v>
                </c:pt>
                <c:pt idx="4">
                  <c:v>264</c:v>
                </c:pt>
                <c:pt idx="5">
                  <c:v>400</c:v>
                </c:pt>
                <c:pt idx="6">
                  <c:v>432</c:v>
                </c:pt>
                <c:pt idx="7">
                  <c:v>409</c:v>
                </c:pt>
                <c:pt idx="8">
                  <c:v>452</c:v>
                </c:pt>
                <c:pt idx="9">
                  <c:v>427</c:v>
                </c:pt>
                <c:pt idx="10">
                  <c:v>487</c:v>
                </c:pt>
                <c:pt idx="11">
                  <c:v>531</c:v>
                </c:pt>
                <c:pt idx="12">
                  <c:v>645</c:v>
                </c:pt>
                <c:pt idx="13">
                  <c:v>670</c:v>
                </c:pt>
                <c:pt idx="14">
                  <c:v>490</c:v>
                </c:pt>
                <c:pt idx="15">
                  <c:v>404</c:v>
                </c:pt>
                <c:pt idx="16">
                  <c:v>346</c:v>
                </c:pt>
                <c:pt idx="17">
                  <c:v>289</c:v>
                </c:pt>
                <c:pt idx="18">
                  <c:v>157</c:v>
                </c:pt>
                <c:pt idx="19">
                  <c:v>41</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994504"/>
        <c:axId val="45399176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388</c:v>
                </c:pt>
                <c:pt idx="1">
                  <c:v>367</c:v>
                </c:pt>
                <c:pt idx="2">
                  <c:v>373</c:v>
                </c:pt>
                <c:pt idx="3">
                  <c:v>374</c:v>
                </c:pt>
                <c:pt idx="4">
                  <c:v>325</c:v>
                </c:pt>
                <c:pt idx="5">
                  <c:v>453</c:v>
                </c:pt>
                <c:pt idx="6">
                  <c:v>449</c:v>
                </c:pt>
                <c:pt idx="7">
                  <c:v>415</c:v>
                </c:pt>
                <c:pt idx="8">
                  <c:v>421</c:v>
                </c:pt>
                <c:pt idx="9">
                  <c:v>471</c:v>
                </c:pt>
                <c:pt idx="10">
                  <c:v>517</c:v>
                </c:pt>
                <c:pt idx="11">
                  <c:v>633</c:v>
                </c:pt>
                <c:pt idx="12">
                  <c:v>686</c:v>
                </c:pt>
                <c:pt idx="13">
                  <c:v>740</c:v>
                </c:pt>
                <c:pt idx="14">
                  <c:v>611</c:v>
                </c:pt>
                <c:pt idx="15">
                  <c:v>482</c:v>
                </c:pt>
                <c:pt idx="16">
                  <c:v>497</c:v>
                </c:pt>
                <c:pt idx="17">
                  <c:v>468</c:v>
                </c:pt>
                <c:pt idx="18">
                  <c:v>344</c:v>
                </c:pt>
                <c:pt idx="19">
                  <c:v>93</c:v>
                </c:pt>
                <c:pt idx="20">
                  <c:v>22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991368"/>
        <c:axId val="453990976"/>
      </c:barChart>
      <c:catAx>
        <c:axId val="453994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1760"/>
        <c:crosses val="autoZero"/>
        <c:auto val="1"/>
        <c:lblAlgn val="ctr"/>
        <c:lblOffset val="100"/>
        <c:noMultiLvlLbl val="0"/>
      </c:catAx>
      <c:valAx>
        <c:axId val="45399176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4504"/>
        <c:crosses val="autoZero"/>
        <c:crossBetween val="between"/>
        <c:majorUnit val="500"/>
      </c:valAx>
      <c:valAx>
        <c:axId val="45399097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1368"/>
        <c:crosses val="max"/>
        <c:crossBetween val="between"/>
        <c:majorUnit val="500"/>
      </c:valAx>
      <c:catAx>
        <c:axId val="453991368"/>
        <c:scaling>
          <c:orientation val="minMax"/>
        </c:scaling>
        <c:delete val="1"/>
        <c:axPos val="l"/>
        <c:numFmt formatCode="General" sourceLinked="1"/>
        <c:majorTickMark val="out"/>
        <c:minorTickMark val="none"/>
        <c:tickLblPos val="nextTo"/>
        <c:crossAx val="453990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804</c:v>
                </c:pt>
                <c:pt idx="1">
                  <c:v>814</c:v>
                </c:pt>
                <c:pt idx="2">
                  <c:v>941</c:v>
                </c:pt>
                <c:pt idx="3">
                  <c:v>994</c:v>
                </c:pt>
                <c:pt idx="4">
                  <c:v>671</c:v>
                </c:pt>
                <c:pt idx="5">
                  <c:v>791</c:v>
                </c:pt>
                <c:pt idx="6">
                  <c:v>888</c:v>
                </c:pt>
                <c:pt idx="7">
                  <c:v>907</c:v>
                </c:pt>
                <c:pt idx="8">
                  <c:v>1046</c:v>
                </c:pt>
                <c:pt idx="9">
                  <c:v>1242</c:v>
                </c:pt>
                <c:pt idx="10">
                  <c:v>1403</c:v>
                </c:pt>
                <c:pt idx="11">
                  <c:v>1532</c:v>
                </c:pt>
                <c:pt idx="12">
                  <c:v>1221</c:v>
                </c:pt>
                <c:pt idx="13">
                  <c:v>1025</c:v>
                </c:pt>
                <c:pt idx="14">
                  <c:v>1072</c:v>
                </c:pt>
                <c:pt idx="15">
                  <c:v>1207</c:v>
                </c:pt>
                <c:pt idx="16">
                  <c:v>1197</c:v>
                </c:pt>
                <c:pt idx="17">
                  <c:v>643</c:v>
                </c:pt>
                <c:pt idx="18">
                  <c:v>333</c:v>
                </c:pt>
                <c:pt idx="19">
                  <c:v>101</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994896"/>
        <c:axId val="45398940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808</c:v>
                </c:pt>
                <c:pt idx="1">
                  <c:v>816</c:v>
                </c:pt>
                <c:pt idx="2">
                  <c:v>943</c:v>
                </c:pt>
                <c:pt idx="3">
                  <c:v>996</c:v>
                </c:pt>
                <c:pt idx="4">
                  <c:v>671</c:v>
                </c:pt>
                <c:pt idx="5">
                  <c:v>795</c:v>
                </c:pt>
                <c:pt idx="6">
                  <c:v>892</c:v>
                </c:pt>
                <c:pt idx="7">
                  <c:v>907</c:v>
                </c:pt>
                <c:pt idx="8">
                  <c:v>1047</c:v>
                </c:pt>
                <c:pt idx="9">
                  <c:v>1243</c:v>
                </c:pt>
                <c:pt idx="10">
                  <c:v>1403</c:v>
                </c:pt>
                <c:pt idx="11">
                  <c:v>1532</c:v>
                </c:pt>
                <c:pt idx="12">
                  <c:v>1221</c:v>
                </c:pt>
                <c:pt idx="13">
                  <c:v>1025</c:v>
                </c:pt>
                <c:pt idx="14">
                  <c:v>1072</c:v>
                </c:pt>
                <c:pt idx="15">
                  <c:v>1207</c:v>
                </c:pt>
                <c:pt idx="16">
                  <c:v>1197</c:v>
                </c:pt>
                <c:pt idx="17">
                  <c:v>643</c:v>
                </c:pt>
                <c:pt idx="18">
                  <c:v>333</c:v>
                </c:pt>
                <c:pt idx="19">
                  <c:v>101</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994112"/>
        <c:axId val="453992152"/>
      </c:barChart>
      <c:catAx>
        <c:axId val="453994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9408"/>
        <c:crosses val="autoZero"/>
        <c:auto val="1"/>
        <c:lblAlgn val="ctr"/>
        <c:lblOffset val="100"/>
        <c:noMultiLvlLbl val="0"/>
      </c:catAx>
      <c:valAx>
        <c:axId val="45398940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4896"/>
        <c:crosses val="autoZero"/>
        <c:crossBetween val="between"/>
        <c:majorUnit val="1000"/>
      </c:valAx>
      <c:valAx>
        <c:axId val="45399215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4112"/>
        <c:crosses val="max"/>
        <c:crossBetween val="between"/>
        <c:majorUnit val="1000"/>
      </c:valAx>
      <c:catAx>
        <c:axId val="453994112"/>
        <c:scaling>
          <c:orientation val="minMax"/>
        </c:scaling>
        <c:delete val="1"/>
        <c:axPos val="l"/>
        <c:numFmt formatCode="General" sourceLinked="1"/>
        <c:majorTickMark val="out"/>
        <c:minorTickMark val="none"/>
        <c:tickLblPos val="nextTo"/>
        <c:crossAx val="4539921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775</c:v>
                </c:pt>
                <c:pt idx="1">
                  <c:v>751</c:v>
                </c:pt>
                <c:pt idx="2">
                  <c:v>769</c:v>
                </c:pt>
                <c:pt idx="3">
                  <c:v>749</c:v>
                </c:pt>
                <c:pt idx="4">
                  <c:v>587</c:v>
                </c:pt>
                <c:pt idx="5">
                  <c:v>849</c:v>
                </c:pt>
                <c:pt idx="6">
                  <c:v>877</c:v>
                </c:pt>
                <c:pt idx="7">
                  <c:v>819</c:v>
                </c:pt>
                <c:pt idx="8">
                  <c:v>868</c:v>
                </c:pt>
                <c:pt idx="9">
                  <c:v>897</c:v>
                </c:pt>
                <c:pt idx="10">
                  <c:v>1003</c:v>
                </c:pt>
                <c:pt idx="11">
                  <c:v>1163</c:v>
                </c:pt>
                <c:pt idx="12">
                  <c:v>1331</c:v>
                </c:pt>
                <c:pt idx="13">
                  <c:v>1410</c:v>
                </c:pt>
                <c:pt idx="14">
                  <c:v>1101</c:v>
                </c:pt>
                <c:pt idx="15">
                  <c:v>886</c:v>
                </c:pt>
                <c:pt idx="16">
                  <c:v>843</c:v>
                </c:pt>
                <c:pt idx="17">
                  <c:v>757</c:v>
                </c:pt>
                <c:pt idx="18">
                  <c:v>501</c:v>
                </c:pt>
                <c:pt idx="19">
                  <c:v>134</c:v>
                </c:pt>
                <c:pt idx="20">
                  <c:v>23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988232"/>
        <c:axId val="4539937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780</c:v>
                </c:pt>
                <c:pt idx="1">
                  <c:v>756</c:v>
                </c:pt>
                <c:pt idx="2">
                  <c:v>775</c:v>
                </c:pt>
                <c:pt idx="3">
                  <c:v>753</c:v>
                </c:pt>
                <c:pt idx="4">
                  <c:v>589</c:v>
                </c:pt>
                <c:pt idx="5">
                  <c:v>853</c:v>
                </c:pt>
                <c:pt idx="6">
                  <c:v>881</c:v>
                </c:pt>
                <c:pt idx="7">
                  <c:v>824</c:v>
                </c:pt>
                <c:pt idx="8">
                  <c:v>873</c:v>
                </c:pt>
                <c:pt idx="9">
                  <c:v>898</c:v>
                </c:pt>
                <c:pt idx="10">
                  <c:v>1004</c:v>
                </c:pt>
                <c:pt idx="11">
                  <c:v>1164</c:v>
                </c:pt>
                <c:pt idx="12">
                  <c:v>1331</c:v>
                </c:pt>
                <c:pt idx="13">
                  <c:v>1410</c:v>
                </c:pt>
                <c:pt idx="14">
                  <c:v>1101</c:v>
                </c:pt>
                <c:pt idx="15">
                  <c:v>886</c:v>
                </c:pt>
                <c:pt idx="16">
                  <c:v>843</c:v>
                </c:pt>
                <c:pt idx="17">
                  <c:v>757</c:v>
                </c:pt>
                <c:pt idx="18">
                  <c:v>501</c:v>
                </c:pt>
                <c:pt idx="19">
                  <c:v>134</c:v>
                </c:pt>
                <c:pt idx="20">
                  <c:v>23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987840"/>
        <c:axId val="453989800"/>
      </c:barChart>
      <c:catAx>
        <c:axId val="453988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3720"/>
        <c:crosses val="autoZero"/>
        <c:auto val="1"/>
        <c:lblAlgn val="ctr"/>
        <c:lblOffset val="100"/>
        <c:noMultiLvlLbl val="0"/>
      </c:catAx>
      <c:valAx>
        <c:axId val="45399372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8232"/>
        <c:crosses val="autoZero"/>
        <c:crossBetween val="between"/>
        <c:majorUnit val="1000"/>
      </c:valAx>
      <c:valAx>
        <c:axId val="45398980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7840"/>
        <c:crosses val="max"/>
        <c:crossBetween val="between"/>
        <c:majorUnit val="1000"/>
      </c:valAx>
      <c:catAx>
        <c:axId val="453987840"/>
        <c:scaling>
          <c:orientation val="minMax"/>
        </c:scaling>
        <c:delete val="1"/>
        <c:axPos val="l"/>
        <c:numFmt formatCode="General" sourceLinked="1"/>
        <c:majorTickMark val="out"/>
        <c:minorTickMark val="none"/>
        <c:tickLblPos val="nextTo"/>
        <c:crossAx val="45398980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大塚地域自治区</c:v>
                </c:pt>
              </c:strCache>
            </c:strRef>
          </c:cat>
          <c:val>
            <c:numRef>
              <c:f>管理者用地域特徴シート!$H$3:$H$5</c:f>
              <c:numCache>
                <c:formatCode>0.0%</c:formatCode>
                <c:ptCount val="3"/>
                <c:pt idx="0">
                  <c:v>0.46108733927332846</c:v>
                </c:pt>
                <c:pt idx="1">
                  <c:v>0.38017324874035541</c:v>
                </c:pt>
                <c:pt idx="2">
                  <c:v>0.39140245966377074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3989016"/>
        <c:axId val="453990192"/>
      </c:barChart>
      <c:catAx>
        <c:axId val="453989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0192"/>
        <c:crosses val="autoZero"/>
        <c:auto val="1"/>
        <c:lblAlgn val="ctr"/>
        <c:lblOffset val="100"/>
        <c:noMultiLvlLbl val="0"/>
      </c:catAx>
      <c:valAx>
        <c:axId val="4539901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9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大塚地域自治区</c:v>
                </c:pt>
              </c:strCache>
            </c:strRef>
          </c:cat>
          <c:val>
            <c:numRef>
              <c:f>管理者用地域特徴シート!$J$3:$J$5</c:f>
              <c:numCache>
                <c:formatCode>0.0%</c:formatCode>
                <c:ptCount val="3"/>
                <c:pt idx="0">
                  <c:v>0.15075281438403673</c:v>
                </c:pt>
                <c:pt idx="1">
                  <c:v>0.12415252853924759</c:v>
                </c:pt>
                <c:pt idx="2">
                  <c:v>0.11339275640302381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3992936"/>
        <c:axId val="453993328"/>
      </c:barChart>
      <c:catAx>
        <c:axId val="4539929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3328"/>
        <c:crosses val="autoZero"/>
        <c:auto val="1"/>
        <c:lblAlgn val="ctr"/>
        <c:lblOffset val="100"/>
        <c:noMultiLvlLbl val="0"/>
      </c:catAx>
      <c:valAx>
        <c:axId val="4539933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2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大塚地域自治区</c:v>
                </c:pt>
              </c:strCache>
            </c:strRef>
          </c:cat>
          <c:val>
            <c:numRef>
              <c:f>管理者用地域特徴シート!$P$3:$P$5</c:f>
              <c:numCache>
                <c:formatCode>0.0%</c:formatCode>
                <c:ptCount val="3"/>
                <c:pt idx="0">
                  <c:v>0.34758352842621743</c:v>
                </c:pt>
                <c:pt idx="1">
                  <c:v>0.36739016143459768</c:v>
                </c:pt>
                <c:pt idx="2">
                  <c:v>0.36691505216095383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1862080"/>
        <c:axId val="451859728"/>
      </c:barChart>
      <c:catAx>
        <c:axId val="451862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59728"/>
        <c:crosses val="autoZero"/>
        <c:auto val="1"/>
        <c:lblAlgn val="ctr"/>
        <c:lblOffset val="100"/>
        <c:noMultiLvlLbl val="0"/>
      </c:catAx>
      <c:valAx>
        <c:axId val="451859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62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大塚地域自治区</c:v>
                </c:pt>
              </c:strCache>
            </c:strRef>
          </c:cat>
          <c:val>
            <c:numRef>
              <c:f>管理者用地域特徴シート!$AO$3:$AO$5</c:f>
              <c:numCache>
                <c:formatCode>0.0%</c:formatCode>
                <c:ptCount val="3"/>
                <c:pt idx="0">
                  <c:v>0.5259093009439566</c:v>
                </c:pt>
                <c:pt idx="1">
                  <c:v>0.52382956571820971</c:v>
                </c:pt>
                <c:pt idx="2">
                  <c:v>0.52311212814645314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1857768"/>
        <c:axId val="451856984"/>
      </c:barChart>
      <c:catAx>
        <c:axId val="451857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56984"/>
        <c:crosses val="autoZero"/>
        <c:auto val="1"/>
        <c:lblAlgn val="ctr"/>
        <c:lblOffset val="100"/>
        <c:noMultiLvlLbl val="0"/>
      </c:catAx>
      <c:valAx>
        <c:axId val="451856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57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大塚地域自治区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1.8102029621503018E-2</c:v>
                </c:pt>
                <c:pt idx="1">
                  <c:v>4.3883708173340647E-4</c:v>
                </c:pt>
                <c:pt idx="2">
                  <c:v>2.1941854086670324E-4</c:v>
                </c:pt>
                <c:pt idx="3">
                  <c:v>8.4147010422380694E-2</c:v>
                </c:pt>
                <c:pt idx="4">
                  <c:v>6.8019747668678007E-2</c:v>
                </c:pt>
                <c:pt idx="5">
                  <c:v>6.2534284147010418E-3</c:v>
                </c:pt>
                <c:pt idx="6">
                  <c:v>2.161272627537027E-2</c:v>
                </c:pt>
                <c:pt idx="7">
                  <c:v>3.9495337356006584E-2</c:v>
                </c:pt>
                <c:pt idx="8">
                  <c:v>0.16807460230389468</c:v>
                </c:pt>
                <c:pt idx="9">
                  <c:v>2.9511793746571584E-2</c:v>
                </c:pt>
                <c:pt idx="10">
                  <c:v>1.8760285244103128E-2</c:v>
                </c:pt>
                <c:pt idx="11">
                  <c:v>3.9495337356006584E-2</c:v>
                </c:pt>
                <c:pt idx="12">
                  <c:v>5.6280855732309377E-2</c:v>
                </c:pt>
                <c:pt idx="13">
                  <c:v>3.7301151947339552E-2</c:v>
                </c:pt>
                <c:pt idx="14">
                  <c:v>6.9226549643444865E-2</c:v>
                </c:pt>
                <c:pt idx="15">
                  <c:v>0.1931980252331322</c:v>
                </c:pt>
                <c:pt idx="16">
                  <c:v>6.2534284147010418E-3</c:v>
                </c:pt>
                <c:pt idx="17">
                  <c:v>5.9572133845309926E-2</c:v>
                </c:pt>
                <c:pt idx="18">
                  <c:v>5.6939111354909491E-2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1857376"/>
        <c:axId val="451862864"/>
      </c:barChart>
      <c:catAx>
        <c:axId val="45185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62864"/>
        <c:crosses val="autoZero"/>
        <c:auto val="1"/>
        <c:lblAlgn val="ctr"/>
        <c:lblOffset val="100"/>
        <c:noMultiLvlLbl val="0"/>
      </c:catAx>
      <c:valAx>
        <c:axId val="4518628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57376"/>
        <c:crosses val="autoZero"/>
        <c:crossBetween val="between"/>
      </c:valAx>
      <c:spPr>
        <a:noFill/>
        <a:ln>
          <a:noFill/>
        </a:ln>
        <a:effectLst/>
      </c:spPr>
    </c:plotArea>
    <c:legend>
      <c:legendPos val="b"/>
      <c:layout>
        <c:manualLayout>
          <c:xMode val="edge"/>
          <c:yMode val="edge"/>
          <c:x val="0.5420556726183875"/>
          <c:y val="8.051700067403189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大塚地域自治区</c:v>
                </c:pt>
              </c:strCache>
            </c:strRef>
          </c:cat>
          <c:val>
            <c:numRef>
              <c:f>管理者用地域特徴シート!$CK$3:$CK$5</c:f>
              <c:numCache>
                <c:formatCode>0.0%</c:formatCode>
                <c:ptCount val="3"/>
                <c:pt idx="0">
                  <c:v>0.82747216160708559</c:v>
                </c:pt>
                <c:pt idx="1">
                  <c:v>0.90316971603242813</c:v>
                </c:pt>
                <c:pt idx="2">
                  <c:v>0.91223258365331872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1856592"/>
        <c:axId val="451861296"/>
      </c:barChart>
      <c:catAx>
        <c:axId val="451856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61296"/>
        <c:crosses val="autoZero"/>
        <c:auto val="1"/>
        <c:lblAlgn val="ctr"/>
        <c:lblOffset val="100"/>
        <c:noMultiLvlLbl val="0"/>
      </c:catAx>
      <c:valAx>
        <c:axId val="4518612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56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0.19</c:v>
                </c:pt>
                <c:pt idx="1">
                  <c:v>0.24</c:v>
                </c:pt>
                <c:pt idx="2">
                  <c:v>0.27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6220320"/>
        <c:axId val="386222280"/>
      </c:barChart>
      <c:catAx>
        <c:axId val="386220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222280"/>
        <c:crosses val="autoZero"/>
        <c:auto val="1"/>
        <c:lblAlgn val="ctr"/>
        <c:lblOffset val="100"/>
        <c:noMultiLvlLbl val="0"/>
      </c:catAx>
      <c:valAx>
        <c:axId val="386222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220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0.08</c:v>
                </c:pt>
                <c:pt idx="1">
                  <c:v>0.11</c:v>
                </c:pt>
                <c:pt idx="2">
                  <c:v>0.13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6226592"/>
        <c:axId val="386226984"/>
      </c:barChart>
      <c:catAx>
        <c:axId val="386226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226984"/>
        <c:crosses val="autoZero"/>
        <c:auto val="1"/>
        <c:lblAlgn val="ctr"/>
        <c:lblOffset val="100"/>
        <c:noMultiLvlLbl val="0"/>
      </c:catAx>
      <c:valAx>
        <c:axId val="386226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226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323488395298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F11-49EC-8D0C-F50E60B3A07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591</c:v>
                </c:pt>
                <c:pt idx="1">
                  <c:v>526</c:v>
                </c:pt>
                <c:pt idx="2">
                  <c:v>578</c:v>
                </c:pt>
                <c:pt idx="3">
                  <c:v>494</c:v>
                </c:pt>
                <c:pt idx="4">
                  <c:v>338</c:v>
                </c:pt>
                <c:pt idx="5">
                  <c:v>552</c:v>
                </c:pt>
                <c:pt idx="6">
                  <c:v>734</c:v>
                </c:pt>
                <c:pt idx="7">
                  <c:v>772</c:v>
                </c:pt>
                <c:pt idx="8">
                  <c:v>653</c:v>
                </c:pt>
                <c:pt idx="9">
                  <c:v>554</c:v>
                </c:pt>
                <c:pt idx="10">
                  <c:v>580</c:v>
                </c:pt>
                <c:pt idx="11">
                  <c:v>692</c:v>
                </c:pt>
                <c:pt idx="12">
                  <c:v>821</c:v>
                </c:pt>
                <c:pt idx="13">
                  <c:v>566</c:v>
                </c:pt>
                <c:pt idx="14">
                  <c:v>456</c:v>
                </c:pt>
                <c:pt idx="15">
                  <c:v>359</c:v>
                </c:pt>
                <c:pt idx="16">
                  <c:v>202</c:v>
                </c:pt>
                <c:pt idx="17">
                  <c:v>87</c:v>
                </c:pt>
                <c:pt idx="18">
                  <c:v>19</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2558416"/>
        <c:axId val="45255763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579</c:v>
                </c:pt>
                <c:pt idx="1">
                  <c:v>529</c:v>
                </c:pt>
                <c:pt idx="2">
                  <c:v>515</c:v>
                </c:pt>
                <c:pt idx="3">
                  <c:v>485</c:v>
                </c:pt>
                <c:pt idx="4">
                  <c:v>447</c:v>
                </c:pt>
                <c:pt idx="5">
                  <c:v>663</c:v>
                </c:pt>
                <c:pt idx="6">
                  <c:v>837</c:v>
                </c:pt>
                <c:pt idx="7">
                  <c:v>832</c:v>
                </c:pt>
                <c:pt idx="8">
                  <c:v>720</c:v>
                </c:pt>
                <c:pt idx="9">
                  <c:v>619</c:v>
                </c:pt>
                <c:pt idx="10">
                  <c:v>685</c:v>
                </c:pt>
                <c:pt idx="11">
                  <c:v>804</c:v>
                </c:pt>
                <c:pt idx="12">
                  <c:v>886</c:v>
                </c:pt>
                <c:pt idx="13">
                  <c:v>643</c:v>
                </c:pt>
                <c:pt idx="14">
                  <c:v>540</c:v>
                </c:pt>
                <c:pt idx="15">
                  <c:v>430</c:v>
                </c:pt>
                <c:pt idx="16">
                  <c:v>280</c:v>
                </c:pt>
                <c:pt idx="17">
                  <c:v>193</c:v>
                </c:pt>
                <c:pt idx="18">
                  <c:v>66</c:v>
                </c:pt>
                <c:pt idx="19">
                  <c:v>21</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2559200"/>
        <c:axId val="452558024"/>
      </c:barChart>
      <c:catAx>
        <c:axId val="452558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57632"/>
        <c:crosses val="autoZero"/>
        <c:auto val="1"/>
        <c:lblAlgn val="ctr"/>
        <c:lblOffset val="100"/>
        <c:noMultiLvlLbl val="0"/>
      </c:catAx>
      <c:valAx>
        <c:axId val="4525576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58416"/>
        <c:crosses val="autoZero"/>
        <c:crossBetween val="between"/>
        <c:majorUnit val="500"/>
      </c:valAx>
      <c:valAx>
        <c:axId val="45255802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59200"/>
        <c:crosses val="max"/>
        <c:crossBetween val="between"/>
        <c:majorUnit val="500"/>
      </c:valAx>
      <c:catAx>
        <c:axId val="452559200"/>
        <c:scaling>
          <c:orientation val="minMax"/>
        </c:scaling>
        <c:delete val="1"/>
        <c:axPos val="l"/>
        <c:numFmt formatCode="General" sourceLinked="1"/>
        <c:majorTickMark val="out"/>
        <c:minorTickMark val="none"/>
        <c:tickLblPos val="nextTo"/>
        <c:crossAx val="4525580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9578</c:v>
                </c:pt>
                <c:pt idx="1">
                  <c:v>9615</c:v>
                </c:pt>
                <c:pt idx="2">
                  <c:v>9464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10777</c:v>
                </c:pt>
                <c:pt idx="1">
                  <c:v>10833</c:v>
                </c:pt>
                <c:pt idx="2">
                  <c:v>10666</c:v>
                </c:pt>
              </c:numCache>
            </c:numRef>
          </c:val>
          <c:extLst xmlns:c16r2="http://schemas.microsoft.com/office/drawing/2015/06/chart">
            <c:ext xmlns:c16="http://schemas.microsoft.com/office/drawing/2014/chart" uri="{C3380CC4-5D6E-409C-BE32-E72D297353CC}">
              <c16:uniqueId val="{00000000-9210-4E36-8D6B-2DD072FE4920}"/>
            </c:ext>
          </c:extLst>
        </c:ser>
        <c:dLbls>
          <c:showLegendKey val="0"/>
          <c:showVal val="0"/>
          <c:showCatName val="0"/>
          <c:showSerName val="0"/>
          <c:showPercent val="0"/>
          <c:showBubbleSize val="0"/>
        </c:dLbls>
        <c:gapWidth val="219"/>
        <c:overlap val="100"/>
        <c:axId val="452559592"/>
        <c:axId val="4525611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20355</c:v>
                </c:pt>
                <c:pt idx="1">
                  <c:v>20448</c:v>
                </c:pt>
                <c:pt idx="2">
                  <c:v>20130</c:v>
                </c:pt>
              </c:numCache>
            </c:numRef>
          </c:val>
          <c:smooth val="0"/>
          <c:extLst xmlns:c16r2="http://schemas.microsoft.com/office/drawing/2015/06/chart">
            <c:ext xmlns:c16="http://schemas.microsoft.com/office/drawing/2014/chart" uri="{C3380CC4-5D6E-409C-BE32-E72D297353CC}">
              <c16:uniqueId val="{00000001-9210-4E36-8D6B-2DD072FE4920}"/>
            </c:ext>
          </c:extLst>
        </c:ser>
        <c:dLbls>
          <c:showLegendKey val="0"/>
          <c:showVal val="0"/>
          <c:showCatName val="0"/>
          <c:showSerName val="0"/>
          <c:showPercent val="0"/>
          <c:showBubbleSize val="0"/>
        </c:dLbls>
        <c:marker val="1"/>
        <c:smooth val="0"/>
        <c:axId val="452559592"/>
        <c:axId val="452561160"/>
      </c:lineChart>
      <c:catAx>
        <c:axId val="452559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61160"/>
        <c:crosses val="autoZero"/>
        <c:auto val="1"/>
        <c:lblAlgn val="ctr"/>
        <c:lblOffset val="100"/>
        <c:noMultiLvlLbl val="0"/>
      </c:catAx>
      <c:valAx>
        <c:axId val="452561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5959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084608747202163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A19-47EF-B117-A739BC861F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494</c:v>
                </c:pt>
                <c:pt idx="1">
                  <c:v>557</c:v>
                </c:pt>
                <c:pt idx="2">
                  <c:v>558</c:v>
                </c:pt>
                <c:pt idx="3">
                  <c:v>471</c:v>
                </c:pt>
                <c:pt idx="4">
                  <c:v>317</c:v>
                </c:pt>
                <c:pt idx="5">
                  <c:v>399</c:v>
                </c:pt>
                <c:pt idx="6">
                  <c:v>516</c:v>
                </c:pt>
                <c:pt idx="7">
                  <c:v>571</c:v>
                </c:pt>
                <c:pt idx="8">
                  <c:v>719</c:v>
                </c:pt>
                <c:pt idx="9">
                  <c:v>779</c:v>
                </c:pt>
                <c:pt idx="10">
                  <c:v>589</c:v>
                </c:pt>
                <c:pt idx="11">
                  <c:v>535</c:v>
                </c:pt>
                <c:pt idx="12">
                  <c:v>533</c:v>
                </c:pt>
                <c:pt idx="13">
                  <c:v>649</c:v>
                </c:pt>
                <c:pt idx="14">
                  <c:v>714</c:v>
                </c:pt>
                <c:pt idx="15">
                  <c:v>471</c:v>
                </c:pt>
                <c:pt idx="16">
                  <c:v>338</c:v>
                </c:pt>
                <c:pt idx="17">
                  <c:v>184</c:v>
                </c:pt>
                <c:pt idx="18">
                  <c:v>55</c:v>
                </c:pt>
                <c:pt idx="19">
                  <c:v>15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2559984"/>
        <c:axId val="4525627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490</c:v>
                </c:pt>
                <c:pt idx="1">
                  <c:v>524</c:v>
                </c:pt>
                <c:pt idx="2">
                  <c:v>517</c:v>
                </c:pt>
                <c:pt idx="3">
                  <c:v>457</c:v>
                </c:pt>
                <c:pt idx="4">
                  <c:v>360</c:v>
                </c:pt>
                <c:pt idx="5">
                  <c:v>478</c:v>
                </c:pt>
                <c:pt idx="6">
                  <c:v>554</c:v>
                </c:pt>
                <c:pt idx="7">
                  <c:v>684</c:v>
                </c:pt>
                <c:pt idx="8">
                  <c:v>744</c:v>
                </c:pt>
                <c:pt idx="9">
                  <c:v>855</c:v>
                </c:pt>
                <c:pt idx="10">
                  <c:v>698</c:v>
                </c:pt>
                <c:pt idx="11">
                  <c:v>578</c:v>
                </c:pt>
                <c:pt idx="12">
                  <c:v>655</c:v>
                </c:pt>
                <c:pt idx="13">
                  <c:v>746</c:v>
                </c:pt>
                <c:pt idx="14">
                  <c:v>813</c:v>
                </c:pt>
                <c:pt idx="15">
                  <c:v>558</c:v>
                </c:pt>
                <c:pt idx="16">
                  <c:v>452</c:v>
                </c:pt>
                <c:pt idx="17">
                  <c:v>298</c:v>
                </c:pt>
                <c:pt idx="18">
                  <c:v>152</c:v>
                </c:pt>
                <c:pt idx="19">
                  <c:v>41</c:v>
                </c:pt>
                <c:pt idx="20">
                  <c:v>12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2561552"/>
        <c:axId val="452563120"/>
      </c:barChart>
      <c:catAx>
        <c:axId val="452559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62728"/>
        <c:crosses val="autoZero"/>
        <c:auto val="1"/>
        <c:lblAlgn val="ctr"/>
        <c:lblOffset val="100"/>
        <c:noMultiLvlLbl val="0"/>
      </c:catAx>
      <c:valAx>
        <c:axId val="45256272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59984"/>
        <c:crosses val="autoZero"/>
        <c:crossBetween val="between"/>
        <c:majorUnit val="500"/>
      </c:valAx>
      <c:valAx>
        <c:axId val="4525631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61552"/>
        <c:crosses val="max"/>
        <c:crossBetween val="between"/>
        <c:majorUnit val="500"/>
      </c:valAx>
      <c:catAx>
        <c:axId val="452561552"/>
        <c:scaling>
          <c:orientation val="minMax"/>
        </c:scaling>
        <c:delete val="1"/>
        <c:axPos val="l"/>
        <c:numFmt formatCode="General" sourceLinked="1"/>
        <c:majorTickMark val="out"/>
        <c:minorTickMark val="none"/>
        <c:tickLblPos val="nextTo"/>
        <c:crossAx val="452563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6F6-4A13-A9A9-44E9561DBD0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6F6-4A13-A9A9-44E9561DBD0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6F6-4A13-A9A9-44E9561DBD0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6F6-4A13-A9A9-44E9561DBD0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6F6-4A13-A9A9-44E9561DBD0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9578</c:v>
                </c:pt>
                <c:pt idx="1">
                  <c:v>9615</c:v>
                </c:pt>
                <c:pt idx="2">
                  <c:v>9464</c:v>
                </c:pt>
                <c:pt idx="3">
                  <c:v>9204</c:v>
                </c:pt>
                <c:pt idx="4">
                  <c:v>8830</c:v>
                </c:pt>
                <c:pt idx="5">
                  <c:v>8399</c:v>
                </c:pt>
                <c:pt idx="6">
                  <c:v>7986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6F6-4A13-A9A9-44E9561DBD0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6F6-4A13-A9A9-44E9561DBD0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6F6-4A13-A9A9-44E9561DBD0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10777</c:v>
                </c:pt>
                <c:pt idx="1">
                  <c:v>10833</c:v>
                </c:pt>
                <c:pt idx="2">
                  <c:v>10666</c:v>
                </c:pt>
                <c:pt idx="3">
                  <c:v>10392</c:v>
                </c:pt>
                <c:pt idx="4">
                  <c:v>10016</c:v>
                </c:pt>
                <c:pt idx="5">
                  <c:v>9574</c:v>
                </c:pt>
                <c:pt idx="6">
                  <c:v>9107</c:v>
                </c:pt>
              </c:numCache>
            </c:numRef>
          </c:val>
          <c:extLst xmlns:c16r2="http://schemas.microsoft.com/office/drawing/2015/06/chart">
            <c:ext xmlns:c16="http://schemas.microsoft.com/office/drawing/2014/chart" uri="{C3380CC4-5D6E-409C-BE32-E72D297353CC}">
              <c16:uniqueId val="{00000010-B6F6-4A13-A9A9-44E9561DBD06}"/>
            </c:ext>
          </c:extLst>
        </c:ser>
        <c:dLbls>
          <c:showLegendKey val="0"/>
          <c:showVal val="0"/>
          <c:showCatName val="0"/>
          <c:showSerName val="0"/>
          <c:showPercent val="0"/>
          <c:showBubbleSize val="0"/>
        </c:dLbls>
        <c:gapWidth val="219"/>
        <c:overlap val="100"/>
        <c:axId val="452555672"/>
        <c:axId val="45256194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20355</c:v>
                </c:pt>
                <c:pt idx="1">
                  <c:v>20448</c:v>
                </c:pt>
                <c:pt idx="2">
                  <c:v>20130</c:v>
                </c:pt>
                <c:pt idx="3">
                  <c:v>19596</c:v>
                </c:pt>
                <c:pt idx="4">
                  <c:v>18846</c:v>
                </c:pt>
                <c:pt idx="5">
                  <c:v>17973</c:v>
                </c:pt>
                <c:pt idx="6">
                  <c:v>17093</c:v>
                </c:pt>
              </c:numCache>
            </c:numRef>
          </c:val>
          <c:smooth val="0"/>
          <c:extLst xmlns:c16r2="http://schemas.microsoft.com/office/drawing/2015/06/chart">
            <c:ext xmlns:c16="http://schemas.microsoft.com/office/drawing/2014/chart" uri="{C3380CC4-5D6E-409C-BE32-E72D297353CC}">
              <c16:uniqueId val="{00000011-B6F6-4A13-A9A9-44E9561DBD06}"/>
            </c:ext>
          </c:extLst>
        </c:ser>
        <c:dLbls>
          <c:showLegendKey val="0"/>
          <c:showVal val="0"/>
          <c:showCatName val="0"/>
          <c:showSerName val="0"/>
          <c:showPercent val="0"/>
          <c:showBubbleSize val="0"/>
        </c:dLbls>
        <c:marker val="1"/>
        <c:smooth val="0"/>
        <c:axId val="452555672"/>
        <c:axId val="452561944"/>
      </c:lineChart>
      <c:catAx>
        <c:axId val="452555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61944"/>
        <c:crosses val="autoZero"/>
        <c:auto val="1"/>
        <c:lblAlgn val="ctr"/>
        <c:lblOffset val="100"/>
        <c:noMultiLvlLbl val="0"/>
      </c:catAx>
      <c:valAx>
        <c:axId val="452561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5567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1289</c:v>
                </c:pt>
                <c:pt idx="1">
                  <c:v>1287</c:v>
                </c:pt>
                <c:pt idx="2">
                  <c:v>1293</c:v>
                </c:pt>
                <c:pt idx="3">
                  <c:v>1213</c:v>
                </c:pt>
                <c:pt idx="4">
                  <c:v>1053</c:v>
                </c:pt>
                <c:pt idx="5">
                  <c:v>950</c:v>
                </c:pt>
                <c:pt idx="6">
                  <c:v>912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2558808"/>
        <c:axId val="452556064"/>
      </c:barChart>
      <c:catAx>
        <c:axId val="452558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56064"/>
        <c:crosses val="autoZero"/>
        <c:auto val="1"/>
        <c:lblAlgn val="ctr"/>
        <c:lblOffset val="100"/>
        <c:noMultiLvlLbl val="0"/>
      </c:catAx>
      <c:valAx>
        <c:axId val="452556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58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大塚地域自治区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45201_7</v>
      </c>
      <c r="B5" s="201" t="str">
        <f>VLOOKUP($A$5,$A$7:$CP$50,2,FALSE)</f>
        <v>宮崎市</v>
      </c>
      <c r="C5" s="201" t="str">
        <f>VLOOKUP($A$5,$A$7:$CP$50,3,FALSE)</f>
        <v>大塚地域自治区</v>
      </c>
      <c r="D5" s="188">
        <f>VLOOKUP($A$5,$A$7:$CP$70,4,FALSE)</f>
        <v>8863</v>
      </c>
      <c r="E5" s="189">
        <f>VLOOKUP($A$5,$A$7:$CP$70,5,FALSE)</f>
        <v>3469</v>
      </c>
      <c r="F5" s="189">
        <f>VLOOKUP($A$5,$A$7:$CP$70,6,FALSE)</f>
        <v>1348</v>
      </c>
      <c r="G5" s="190">
        <f>VLOOKUP($A$5,$A$7:$CP$70,7,FALSE)</f>
        <v>1005</v>
      </c>
      <c r="H5" s="178">
        <f>VLOOKUP($A$5,$A$7:$CP$70,8,FALSE)</f>
        <v>0.39140245966377074</v>
      </c>
      <c r="I5" s="179">
        <f>VLOOKUP($A$5,$A$7:$CP$70,9,FALSE)</f>
        <v>0.15209297077738915</v>
      </c>
      <c r="J5" s="180">
        <f>VLOOKUP($A$5,$A$7:$CP$70,10,FALSE)</f>
        <v>0.11339275640302381</v>
      </c>
      <c r="K5" s="188">
        <f>VLOOKUP($A$5,$A$7:$CP$70,11,FALSE)</f>
        <v>20130</v>
      </c>
      <c r="L5" s="189">
        <f>VLOOKUP($A$5,$A$7:$CP$70,12,FALSE)</f>
        <v>1345</v>
      </c>
      <c r="M5" s="189">
        <f>VLOOKUP($A$5,$A$7:$CP$70,13,FALSE)</f>
        <v>7386</v>
      </c>
      <c r="N5" s="190">
        <f>VLOOKUP($A$5,$A$7:$CP$70,14,FALSE)</f>
        <v>9217</v>
      </c>
      <c r="O5" s="178">
        <f>VLOOKUP($A$5,$A$7:$CP$70,15,FALSE)</f>
        <v>6.681569796323894E-2</v>
      </c>
      <c r="P5" s="179">
        <f>VLOOKUP($A$5,$A$7:$CP$70,16,FALSE)</f>
        <v>0.36691505216095383</v>
      </c>
      <c r="Q5" s="180">
        <f>VLOOKUP($A$5,$A$7:$CP$70,17,FALSE)</f>
        <v>0.45787382016890216</v>
      </c>
      <c r="R5" s="188">
        <f>VLOOKUP($A$5,$A$7:$CP$70,18,FALSE)</f>
        <v>20130</v>
      </c>
      <c r="S5" s="189">
        <f>VLOOKUP($A$5,$A$7:$CP$70,19,FALSE)</f>
        <v>3021</v>
      </c>
      <c r="T5" s="189">
        <f>VLOOKUP($A$5,$A$7:$CP$70,20,FALSE)</f>
        <v>516</v>
      </c>
      <c r="U5" s="189">
        <f>VLOOKUP($A$5,$A$7:$CP$70,21,FALSE)</f>
        <v>809</v>
      </c>
      <c r="V5" s="189">
        <f>VLOOKUP($A$5,$A$7:$CP$70,22,FALSE)</f>
        <v>24</v>
      </c>
      <c r="W5" s="190">
        <f>VLOOKUP($A$5,$A$7:$CP$70,23,FALSE)</f>
        <v>4370</v>
      </c>
      <c r="X5" s="188">
        <f>VLOOKUP($A$5,$A$7:$CP$70,24,FALSE)</f>
        <v>9466</v>
      </c>
      <c r="Y5" s="189">
        <f>VLOOKUP($A$5,$A$7:$CP$70,25,FALSE)</f>
        <v>1369</v>
      </c>
      <c r="Z5" s="189">
        <f>VLOOKUP($A$5,$A$7:$CP$70,26,FALSE)</f>
        <v>233</v>
      </c>
      <c r="AA5" s="189">
        <f>VLOOKUP($A$5,$A$7:$CP$70,27,FALSE)</f>
        <v>463</v>
      </c>
      <c r="AB5" s="189">
        <f>VLOOKUP($A$5,$A$7:$CP$70,28,FALSE)</f>
        <v>19</v>
      </c>
      <c r="AC5" s="191">
        <f>VLOOKUP($A$5,$A$7:$CP$70,29,FALSE)</f>
        <v>2084</v>
      </c>
      <c r="AD5" s="188">
        <f>VLOOKUP($A$5,$A$7:$CP$70,30,FALSE)</f>
        <v>10664</v>
      </c>
      <c r="AE5" s="189">
        <f>VLOOKUP($A$5,$A$7:$CP$70,31,FALSE)</f>
        <v>1652</v>
      </c>
      <c r="AF5" s="189">
        <f>VLOOKUP($A$5,$A$7:$CP$70,32,FALSE)</f>
        <v>283</v>
      </c>
      <c r="AG5" s="189">
        <f>VLOOKUP($A$5,$A$7:$CP$70,33,FALSE)</f>
        <v>346</v>
      </c>
      <c r="AH5" s="189">
        <f>VLOOKUP($A$5,$A$7:$CP$70,34,FALSE)</f>
        <v>5</v>
      </c>
      <c r="AI5" s="191">
        <f>VLOOKUP($A$5,$A$7:$CP$70,35,FALSE)</f>
        <v>2286</v>
      </c>
      <c r="AJ5" s="178">
        <f>VLOOKUP($A$5,$A$7:$CP$70,36,FALSE)</f>
        <v>0.21708892200695479</v>
      </c>
      <c r="AK5" s="179">
        <f>VLOOKUP($A$5,$A$7:$CP$70,37,FALSE)</f>
        <v>0.11807780320366133</v>
      </c>
      <c r="AL5" s="179">
        <f>VLOOKUP($A$5,$A$7:$CP$70,38,FALSE)</f>
        <v>0.1851258581235698</v>
      </c>
      <c r="AM5" s="179">
        <f>VLOOKUP($A$5,$A$7:$CP$70,39,FALSE)</f>
        <v>5.491990846681922E-3</v>
      </c>
      <c r="AN5" s="182">
        <f>VLOOKUP($A$5,$A$7:$CP$70,40,FALSE)</f>
        <v>0.47688787185354692</v>
      </c>
      <c r="AO5" s="180">
        <f>VLOOKUP($A$5,$A$7:$CP$70,41,FALSE)</f>
        <v>0.52311212814645314</v>
      </c>
      <c r="AP5" s="192">
        <f>VLOOKUP($A$5,$A$7:$CP$70,42,FALSE)</f>
        <v>9115</v>
      </c>
      <c r="AQ5" s="189">
        <f>VLOOKUP($A$5,$A$7:$CP$70,43,FALSE)</f>
        <v>165</v>
      </c>
      <c r="AR5" s="189">
        <f>VLOOKUP($A$5,$A$7:$CP$70,44,FALSE)</f>
        <v>4</v>
      </c>
      <c r="AS5" s="189">
        <f>VLOOKUP($A$5,$A$7:$CP$70,45,FALSE)</f>
        <v>2</v>
      </c>
      <c r="AT5" s="189">
        <f>VLOOKUP($A$5,$A$7:$CP$70,46,FALSE)</f>
        <v>767</v>
      </c>
      <c r="AU5" s="189">
        <f>VLOOKUP($A$5,$A$7:$CP$70,47,FALSE)</f>
        <v>620</v>
      </c>
      <c r="AV5" s="189">
        <f>VLOOKUP($A$5,$A$7:$CP$70,48,FALSE)</f>
        <v>57</v>
      </c>
      <c r="AW5" s="189">
        <f>VLOOKUP($A$5,$A$7:$CP$70,49,FALSE)</f>
        <v>197</v>
      </c>
      <c r="AX5" s="189">
        <f>VLOOKUP($A$5,$A$7:$CP$70,50,FALSE)</f>
        <v>360</v>
      </c>
      <c r="AY5" s="189">
        <f>VLOOKUP($A$5,$A$7:$CP$70,51,FALSE)</f>
        <v>1532</v>
      </c>
      <c r="AZ5" s="189">
        <f>VLOOKUP($A$5,$A$7:$CP$70,52,FALSE)</f>
        <v>269</v>
      </c>
      <c r="BA5" s="189">
        <f>VLOOKUP($A$5,$A$7:$CP$70,53,FALSE)</f>
        <v>171</v>
      </c>
      <c r="BB5" s="189">
        <f>VLOOKUP($A$5,$A$7:$CP$70,54,FALSE)</f>
        <v>360</v>
      </c>
      <c r="BC5" s="189">
        <f>VLOOKUP($A$5,$A$7:$CP$70,55,FALSE)</f>
        <v>513</v>
      </c>
      <c r="BD5" s="189">
        <f>VLOOKUP($A$5,$A$7:$CP$70,56,FALSE)</f>
        <v>340</v>
      </c>
      <c r="BE5" s="189">
        <f>VLOOKUP($A$5,$A$7:$CP$70,57,FALSE)</f>
        <v>631</v>
      </c>
      <c r="BF5" s="189">
        <f>VLOOKUP($A$5,$A$7:$CP$70,58,FALSE)</f>
        <v>1761</v>
      </c>
      <c r="BG5" s="189">
        <f>VLOOKUP($A$5,$A$7:$CP$70,59,FALSE)</f>
        <v>57</v>
      </c>
      <c r="BH5" s="189">
        <f>VLOOKUP($A$5,$A$7:$CP$70,60,FALSE)</f>
        <v>543</v>
      </c>
      <c r="BI5" s="189">
        <f>VLOOKUP($A$5,$A$7:$CP$70,61,FALSE)</f>
        <v>519</v>
      </c>
      <c r="BJ5" s="178">
        <f>VLOOKUP($A$5,$A$7:$CP$70,62,FALSE)</f>
        <v>1.8102029621503018E-2</v>
      </c>
      <c r="BK5" s="179">
        <f>VLOOKUP($A$5,$A$7:$CP$70,63,FALSE)</f>
        <v>4.3883708173340647E-4</v>
      </c>
      <c r="BL5" s="179">
        <f>VLOOKUP($A$5,$A$7:$CP$70,64,FALSE)</f>
        <v>2.1941854086670324E-4</v>
      </c>
      <c r="BM5" s="179">
        <f>VLOOKUP($A$5,$A$7:$CP$70,65,FALSE)</f>
        <v>8.4147010422380694E-2</v>
      </c>
      <c r="BN5" s="179">
        <f>VLOOKUP($A$5,$A$7:$CP$70,66,FALSE)</f>
        <v>6.8019747668678007E-2</v>
      </c>
      <c r="BO5" s="179">
        <f>VLOOKUP($A$5,$A$7:$CP$70,67,FALSE)</f>
        <v>6.2534284147010418E-3</v>
      </c>
      <c r="BP5" s="179">
        <f>VLOOKUP($A$5,$A$7:$CP$70,68,FALSE)</f>
        <v>2.161272627537027E-2</v>
      </c>
      <c r="BQ5" s="179">
        <f>VLOOKUP($A$5,$A$7:$CP$70,69,FALSE)</f>
        <v>3.9495337356006584E-2</v>
      </c>
      <c r="BR5" s="179">
        <f>VLOOKUP($A$5,$A$7:$CP$70,70,FALSE)</f>
        <v>0.16807460230389468</v>
      </c>
      <c r="BS5" s="179">
        <f>VLOOKUP($A$5,$A$7:$CP$70,71,FALSE)</f>
        <v>2.9511793746571584E-2</v>
      </c>
      <c r="BT5" s="179">
        <f>VLOOKUP($A$5,$A$7:$CP$70,72,FALSE)</f>
        <v>1.8760285244103128E-2</v>
      </c>
      <c r="BU5" s="179">
        <f>VLOOKUP($A$5,$A$7:$CP$70,73,FALSE)</f>
        <v>3.9495337356006584E-2</v>
      </c>
      <c r="BV5" s="179">
        <f>VLOOKUP($A$5,$A$7:$CP$70,74,FALSE)</f>
        <v>5.6280855732309377E-2</v>
      </c>
      <c r="BW5" s="179">
        <f>VLOOKUP($A$5,$A$7:$CP$70,75,FALSE)</f>
        <v>3.7301151947339552E-2</v>
      </c>
      <c r="BX5" s="179">
        <f>VLOOKUP($A$5,$A$7:$CP$70,76,FALSE)</f>
        <v>6.9226549643444865E-2</v>
      </c>
      <c r="BY5" s="179">
        <f>VLOOKUP($A$5,$A$7:$CP$70,77,FALSE)</f>
        <v>0.1931980252331322</v>
      </c>
      <c r="BZ5" s="179">
        <f>VLOOKUP($A$5,$A$7:$CP$70,78,FALSE)</f>
        <v>6.2534284147010418E-3</v>
      </c>
      <c r="CA5" s="179">
        <f>VLOOKUP($A$5,$A$7:$CP$70,79,FALSE)</f>
        <v>5.9572133845309926E-2</v>
      </c>
      <c r="CB5" s="180">
        <f>VLOOKUP($A$5,$A$7:$CP$70,80,FALSE)</f>
        <v>5.6939111354909491E-2</v>
      </c>
      <c r="CC5" s="188">
        <f>VLOOKUP($A$5,$A$7:$CP$70,81,FALSE)</f>
        <v>9115</v>
      </c>
      <c r="CD5" s="190">
        <f>VLOOKUP($A$5,$A$7:$CP$70,82,FALSE)</f>
        <v>8315</v>
      </c>
      <c r="CE5" s="189">
        <f>VLOOKUP($A$5,$A$7:$CP$70,83,FALSE)</f>
        <v>575</v>
      </c>
      <c r="CF5" s="191">
        <f>VLOOKUP($A$5,$A$7:$CP$70,84,FALSE)</f>
        <v>44</v>
      </c>
      <c r="CG5" s="188">
        <f>VLOOKUP($A$5,$A$7:$CP$70,85,FALSE)</f>
        <v>809</v>
      </c>
      <c r="CH5" s="189">
        <f>VLOOKUP($A$5,$A$7:$CP$70,86,FALSE)</f>
        <v>747</v>
      </c>
      <c r="CI5" s="189">
        <f>VLOOKUP($A$5,$A$7:$CP$70,87,FALSE)</f>
        <v>16</v>
      </c>
      <c r="CJ5" s="191">
        <f>VLOOKUP($A$5,$A$7:$CP$70,88,FALSE)</f>
        <v>20</v>
      </c>
      <c r="CK5" s="178">
        <f>VLOOKUP($A$5,$A$7:$CP$70,89,FALSE)</f>
        <v>0.91223258365331872</v>
      </c>
      <c r="CL5" s="179">
        <f>VLOOKUP($A$5,$A$7:$CP$70,90,FALSE)</f>
        <v>6.3082830499177178E-2</v>
      </c>
      <c r="CM5" s="180">
        <f>VLOOKUP($A$5,$A$7:$CP$70,91,FALSE)</f>
        <v>4.8272078990674715E-3</v>
      </c>
      <c r="CN5" s="178">
        <f>VLOOKUP($A$5,$A$7:$CP$70,92,FALSE)</f>
        <v>0.92336217552533995</v>
      </c>
      <c r="CO5" s="179">
        <f>VLOOKUP($A$5,$A$7:$CP$70,93,FALSE)</f>
        <v>1.9777503090234856E-2</v>
      </c>
      <c r="CP5" s="180">
        <f>VLOOKUP($A$5,$A$7:$CP$70,94,FALSE)</f>
        <v>2.4721878862793572E-2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大塚地域自治区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20130</v>
      </c>
      <c r="F6" s="257"/>
      <c r="G6" s="20" t="s">
        <v>54</v>
      </c>
    </row>
    <row r="7" spans="1:10" ht="22.5" customHeight="1" x14ac:dyDescent="0.15">
      <c r="A7" s="250">
        <f>管理者用グラフシート!B4</f>
        <v>2010</v>
      </c>
      <c r="B7" s="250"/>
      <c r="C7" s="82" t="s">
        <v>226</v>
      </c>
      <c r="D7" s="249">
        <f>E6-管理者用グラフシート!E4</f>
        <v>-225</v>
      </c>
      <c r="E7" s="249"/>
      <c r="F7" s="20" t="s">
        <v>356</v>
      </c>
    </row>
    <row r="8" spans="1:10" ht="22.5" customHeight="1" x14ac:dyDescent="0.15">
      <c r="A8" s="258" t="s">
        <v>380</v>
      </c>
      <c r="B8" s="258"/>
      <c r="C8" s="204">
        <f>管理者用グラフシート!C6-管理者用グラフシート!C4</f>
        <v>-114</v>
      </c>
      <c r="D8" s="207" t="s">
        <v>381</v>
      </c>
      <c r="F8" s="204">
        <f>管理者用グラフシート!D6-管理者用グラフシート!D4</f>
        <v>-111</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1293</v>
      </c>
      <c r="G36" s="254"/>
      <c r="H36" s="20" t="s">
        <v>54</v>
      </c>
    </row>
    <row r="37" spans="1:9" ht="22.5" customHeight="1" x14ac:dyDescent="0.15">
      <c r="A37" s="20" t="s">
        <v>66</v>
      </c>
      <c r="F37" s="254">
        <f>管理者用グラフシート!C16</f>
        <v>615</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4</v>
      </c>
      <c r="E40" s="249"/>
      <c r="F40" s="20" t="s">
        <v>60</v>
      </c>
    </row>
    <row r="41" spans="1:9" ht="22.5" customHeight="1" x14ac:dyDescent="0.15">
      <c r="B41" s="20" t="s">
        <v>69</v>
      </c>
      <c r="D41" s="249">
        <f>F37-管理者用グラフシート!C14</f>
        <v>-18</v>
      </c>
      <c r="E41" s="249"/>
      <c r="F41" s="20" t="s">
        <v>70</v>
      </c>
    </row>
    <row r="53" spans="1:13" ht="22.5" customHeight="1" x14ac:dyDescent="0.15">
      <c r="M53" s="72"/>
    </row>
    <row r="62" spans="1:13" ht="22.5" customHeight="1" thickBot="1" x14ac:dyDescent="0.2"/>
    <row r="63" spans="1:13" ht="22.5" customHeight="1" x14ac:dyDescent="0.15">
      <c r="A63" s="244" t="s">
        <v>473</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5498</v>
      </c>
      <c r="D70" s="254"/>
      <c r="E70" s="20" t="s">
        <v>76</v>
      </c>
      <c r="F70" s="37"/>
      <c r="G70" s="253">
        <f>管理者用グラフシート!C32</f>
        <v>0.27</v>
      </c>
      <c r="H70" s="253"/>
      <c r="I70" s="20" t="s">
        <v>77</v>
      </c>
    </row>
    <row r="71" spans="1:9" ht="22.5" customHeight="1" x14ac:dyDescent="0.15">
      <c r="A71" s="20" t="s">
        <v>78</v>
      </c>
      <c r="C71" s="254">
        <f>管理者用グラフシート!C26</f>
        <v>2576</v>
      </c>
      <c r="D71" s="254"/>
      <c r="E71" s="20" t="s">
        <v>76</v>
      </c>
      <c r="F71" s="37"/>
      <c r="G71" s="253">
        <f>管理者用グラフシート!C36</f>
        <v>0.13</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5"/>
      <c r="G75" s="255"/>
      <c r="H75" s="20" t="s">
        <v>77</v>
      </c>
    </row>
    <row r="95" spans="1:9" ht="22.5" customHeight="1" thickBot="1" x14ac:dyDescent="0.2"/>
    <row r="96" spans="1:9" ht="22.5" customHeight="1" x14ac:dyDescent="0.15">
      <c r="A96" s="97" t="s">
        <v>472</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-446</v>
      </c>
      <c r="G135" s="208" t="s">
        <v>386</v>
      </c>
      <c r="H135" s="111"/>
    </row>
    <row r="136" spans="1:8" ht="22.5" customHeight="1" x14ac:dyDescent="0.15">
      <c r="A136" s="35" t="s">
        <v>387</v>
      </c>
      <c r="C136" s="206">
        <f>SUM(管理者用グラフシート!B95:C96)-SUM(管理者用グラフシート!B47:C48)</f>
        <v>-850</v>
      </c>
      <c r="D136" s="20" t="s">
        <v>388</v>
      </c>
      <c r="E136" s="34"/>
      <c r="F136" s="206">
        <f>SUM(管理者用グラフシート!B97:C98)-SUM(管理者用グラフシート!B49:C50)</f>
        <v>551</v>
      </c>
      <c r="G136" s="20" t="s">
        <v>386</v>
      </c>
    </row>
    <row r="137" spans="1:8" ht="18.75" x14ac:dyDescent="0.15">
      <c r="A137" s="20" t="s">
        <v>389</v>
      </c>
      <c r="C137" s="206">
        <f>SUM(管理者用グラフシート!B99:C100)-SUM(管理者用グラフシート!B51:C52)</f>
        <v>-361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大塚地域自治区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18846</v>
      </c>
      <c r="E6" s="254"/>
      <c r="F6" s="20" t="s">
        <v>231</v>
      </c>
      <c r="H6" s="34"/>
      <c r="I6" s="34"/>
    </row>
    <row r="7" spans="1:9" ht="22.5" customHeight="1" x14ac:dyDescent="0.15">
      <c r="A7" s="250">
        <f>管理者入力シート!B5</f>
        <v>2020</v>
      </c>
      <c r="B7" s="250"/>
      <c r="C7" s="195" t="s">
        <v>362</v>
      </c>
      <c r="D7" s="249">
        <f>D6-現況シート!E6</f>
        <v>-1284</v>
      </c>
      <c r="E7" s="249"/>
      <c r="F7" s="20" t="s">
        <v>232</v>
      </c>
      <c r="I7" s="34"/>
    </row>
    <row r="8" spans="1:9" ht="22.5" customHeight="1" x14ac:dyDescent="0.15">
      <c r="A8" s="258" t="s">
        <v>397</v>
      </c>
      <c r="B8" s="258"/>
      <c r="C8" s="206">
        <f>管理者用グラフシート!I8-管理者用グラフシート!C6</f>
        <v>-634</v>
      </c>
      <c r="D8" s="207" t="s">
        <v>398</v>
      </c>
      <c r="F8" s="259">
        <f>管理者用グラフシート!J8-管理者用グラフシート!D6</f>
        <v>-650</v>
      </c>
      <c r="G8" s="259"/>
      <c r="H8" s="20" t="s">
        <v>399</v>
      </c>
    </row>
    <row r="10" spans="1:9" ht="22.5" customHeight="1" x14ac:dyDescent="0.15">
      <c r="A10" s="250">
        <f>管理者入力シート!B11</f>
        <v>2040</v>
      </c>
      <c r="B10" s="250"/>
      <c r="C10" s="20" t="s">
        <v>361</v>
      </c>
      <c r="D10" s="254">
        <f>管理者用グラフシート!K10</f>
        <v>17093</v>
      </c>
      <c r="E10" s="254"/>
      <c r="F10" s="20" t="s">
        <v>231</v>
      </c>
      <c r="H10" s="34"/>
    </row>
    <row r="11" spans="1:9" ht="22.5" customHeight="1" x14ac:dyDescent="0.15">
      <c r="A11" s="250">
        <f>管理者入力シート!B5</f>
        <v>2020</v>
      </c>
      <c r="B11" s="250"/>
      <c r="C11" s="195" t="s">
        <v>362</v>
      </c>
      <c r="D11" s="249">
        <f>D10-現況シート!E6</f>
        <v>-3037</v>
      </c>
      <c r="E11" s="249"/>
      <c r="F11" s="20" t="s">
        <v>232</v>
      </c>
      <c r="H11" s="34"/>
    </row>
    <row r="12" spans="1:9" ht="22.5" customHeight="1" x14ac:dyDescent="0.15">
      <c r="A12" s="258" t="s">
        <v>397</v>
      </c>
      <c r="B12" s="258"/>
      <c r="C12" s="206">
        <f>管理者用グラフシート!I10-管理者用グラフシート!C6</f>
        <v>-1478</v>
      </c>
      <c r="D12" s="207" t="s">
        <v>398</v>
      </c>
      <c r="F12" s="259">
        <f>管理者用グラフシート!J10-管理者用グラフシート!D6</f>
        <v>-1559</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912</v>
      </c>
      <c r="G36" s="254"/>
      <c r="H36" s="82" t="s">
        <v>233</v>
      </c>
      <c r="I36" s="34"/>
    </row>
    <row r="37" spans="1:9" ht="22.5" customHeight="1" x14ac:dyDescent="0.15">
      <c r="A37" s="20" t="s">
        <v>234</v>
      </c>
      <c r="F37" s="254">
        <f>管理者用グラフシート!I28</f>
        <v>457</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-381</v>
      </c>
      <c r="G40" s="249"/>
      <c r="H40" s="35" t="s">
        <v>60</v>
      </c>
    </row>
    <row r="41" spans="1:9" ht="22.5" customHeight="1" x14ac:dyDescent="0.15">
      <c r="A41" s="20" t="s">
        <v>69</v>
      </c>
      <c r="C41" s="199">
        <f>管理者入力シート!B5</f>
        <v>2020</v>
      </c>
      <c r="D41" s="20" t="s">
        <v>374</v>
      </c>
      <c r="F41" s="249">
        <f>F37-現況シート!F37</f>
        <v>-158</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5655</v>
      </c>
      <c r="D70" s="254"/>
      <c r="E70" s="82" t="s">
        <v>239</v>
      </c>
      <c r="F70" s="34"/>
      <c r="G70" s="253">
        <f>管理者用グラフシート!I56</f>
        <v>0.33</v>
      </c>
      <c r="H70" s="253"/>
      <c r="I70" s="110" t="s">
        <v>240</v>
      </c>
    </row>
    <row r="71" spans="1:9" ht="22.5" customHeight="1" x14ac:dyDescent="0.15">
      <c r="A71" s="20" t="s">
        <v>241</v>
      </c>
      <c r="C71" s="254">
        <f>管理者用グラフシート!I46</f>
        <v>3144</v>
      </c>
      <c r="D71" s="254"/>
      <c r="E71" s="20" t="s">
        <v>239</v>
      </c>
      <c r="G71" s="261">
        <f>管理者用グラフシート!I64</f>
        <v>0.18</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-92</v>
      </c>
      <c r="H103" s="208" t="s">
        <v>60</v>
      </c>
    </row>
    <row r="104" spans="1:8" ht="22.5" customHeight="1" x14ac:dyDescent="0.15">
      <c r="A104" s="35" t="s">
        <v>387</v>
      </c>
      <c r="C104" s="206">
        <f>SUM(管理者用グラフシート!H99:I100)-SUM(管理者用グラフシート!B95:C96)</f>
        <v>-530</v>
      </c>
      <c r="D104" s="20" t="s">
        <v>423</v>
      </c>
      <c r="E104" s="34"/>
      <c r="G104" s="206">
        <f>SUM(管理者用グラフシート!H101:I102)-SUM(管理者用グラフシート!B97:C98)</f>
        <v>-809</v>
      </c>
      <c r="H104" s="20" t="s">
        <v>60</v>
      </c>
    </row>
    <row r="105" spans="1:8" ht="22.5" customHeight="1" x14ac:dyDescent="0.15">
      <c r="A105" s="20" t="s">
        <v>389</v>
      </c>
      <c r="C105" s="206">
        <f>SUM(管理者用グラフシート!H103:I104)-SUM(管理者用グラフシート!B99:C100)</f>
        <v>535</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-118</v>
      </c>
      <c r="H137" s="208" t="s">
        <v>60</v>
      </c>
    </row>
    <row r="138" spans="1:8" ht="22.5" customHeight="1" x14ac:dyDescent="0.15">
      <c r="A138" s="35" t="s">
        <v>387</v>
      </c>
      <c r="C138" s="206">
        <f>SUM(管理者用グラフシート!H147:I148)-SUM(管理者用グラフシート!B95:C96)</f>
        <v>-629</v>
      </c>
      <c r="D138" s="20" t="s">
        <v>423</v>
      </c>
      <c r="E138" s="34"/>
      <c r="G138" s="243">
        <f>SUM(管理者用グラフシート!H149:I150)-SUM(管理者用グラフシート!B97:C98)</f>
        <v>-1332</v>
      </c>
      <c r="H138" s="20" t="s">
        <v>60</v>
      </c>
    </row>
    <row r="139" spans="1:8" ht="22.5" customHeight="1" x14ac:dyDescent="0.15">
      <c r="A139" s="20" t="s">
        <v>389</v>
      </c>
      <c r="C139" s="206">
        <f>SUM(管理者用グラフシート!H151:I152)-SUM(管理者用グラフシート!B99:C100)</f>
        <v>-234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大塚地域自治区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8">
        <f>管理者入力シート!B5</f>
        <v>2020</v>
      </c>
      <c r="C31" s="278"/>
      <c r="D31" s="83" t="s">
        <v>412</v>
      </c>
      <c r="E31" s="131"/>
      <c r="F31" s="131"/>
      <c r="G31" s="131"/>
      <c r="H31" s="131"/>
      <c r="I31" s="237"/>
    </row>
    <row r="32" spans="1:9" s="131" customFormat="1" ht="17.25" customHeight="1" x14ac:dyDescent="0.15">
      <c r="A32" s="159" t="s">
        <v>409</v>
      </c>
      <c r="B32" s="277">
        <f>管理者入力シート!B5</f>
        <v>2020</v>
      </c>
      <c r="C32" s="277"/>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4" t="s">
        <v>257</v>
      </c>
      <c r="C35" s="275"/>
      <c r="D35" s="276"/>
      <c r="F35" s="162"/>
      <c r="G35" s="240"/>
      <c r="H35" s="279" t="s">
        <v>410</v>
      </c>
      <c r="I35" s="280"/>
    </row>
    <row r="36" spans="1:9" s="132" customFormat="1" ht="17.25" customHeight="1" x14ac:dyDescent="0.15">
      <c r="A36" s="160"/>
      <c r="B36" s="215"/>
      <c r="C36" s="127" t="s">
        <v>21</v>
      </c>
      <c r="D36" s="216" t="s">
        <v>22</v>
      </c>
      <c r="F36" s="162"/>
      <c r="G36" s="238">
        <f>管理者入力シート!B8</f>
        <v>2025</v>
      </c>
      <c r="H36" s="270">
        <f>管理者用人口入力シート!EU22</f>
        <v>20358</v>
      </c>
      <c r="I36" s="271"/>
    </row>
    <row r="37" spans="1:9" s="130" customFormat="1" ht="17.25" customHeight="1" x14ac:dyDescent="0.15">
      <c r="A37" s="165"/>
      <c r="B37" s="226" t="s">
        <v>5</v>
      </c>
      <c r="C37" s="227">
        <f>管理者用人口入力シート!DX1</f>
        <v>127</v>
      </c>
      <c r="D37" s="228">
        <f>C37</f>
        <v>127</v>
      </c>
      <c r="F37" s="162"/>
      <c r="G37" s="238">
        <f>管理者入力シート!B9</f>
        <v>2030</v>
      </c>
      <c r="H37" s="270">
        <f>管理者用人口入力シート!EU25</f>
        <v>20674</v>
      </c>
      <c r="I37" s="271"/>
    </row>
    <row r="38" spans="1:9" s="132" customFormat="1" ht="17.25" customHeight="1" x14ac:dyDescent="0.15">
      <c r="A38" s="160"/>
      <c r="B38" s="226" t="s">
        <v>6</v>
      </c>
      <c r="C38" s="227">
        <f>C37</f>
        <v>127</v>
      </c>
      <c r="D38" s="228">
        <f>C37</f>
        <v>127</v>
      </c>
      <c r="F38" s="162"/>
      <c r="G38" s="238">
        <f>管理者入力シート!B10</f>
        <v>2035</v>
      </c>
      <c r="H38" s="270">
        <f>管理者用人口入力シート!EU28</f>
        <v>20914</v>
      </c>
      <c r="I38" s="271"/>
    </row>
    <row r="39" spans="1:9" ht="17.25" customHeight="1" thickBot="1" x14ac:dyDescent="0.2">
      <c r="A39" s="166"/>
      <c r="B39" s="229" t="s">
        <v>7</v>
      </c>
      <c r="C39" s="230">
        <f>C37</f>
        <v>127</v>
      </c>
      <c r="D39" s="231">
        <f>C37</f>
        <v>127</v>
      </c>
      <c r="F39" s="162"/>
      <c r="G39" s="239">
        <f>管理者入力シート!B11</f>
        <v>2040</v>
      </c>
      <c r="H39" s="272">
        <f>管理者用人口入力シート!EU31</f>
        <v>21127</v>
      </c>
      <c r="I39" s="273"/>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18866</v>
      </c>
      <c r="E43" s="254"/>
      <c r="F43" s="20" t="s">
        <v>231</v>
      </c>
      <c r="H43" s="34"/>
      <c r="I43" s="34"/>
    </row>
    <row r="44" spans="1:9" ht="22.5" customHeight="1" x14ac:dyDescent="0.15">
      <c r="A44" s="250">
        <f>管理者入力シート!B11</f>
        <v>2040</v>
      </c>
      <c r="B44" s="250"/>
      <c r="C44" s="20" t="s">
        <v>417</v>
      </c>
      <c r="D44" s="254">
        <f>管理者用グラフシート!U10</f>
        <v>17136</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43</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918</v>
      </c>
      <c r="G78" s="254"/>
      <c r="H78" s="82" t="s">
        <v>264</v>
      </c>
      <c r="I78" s="34"/>
    </row>
    <row r="79" spans="1:9" ht="22.5" customHeight="1" x14ac:dyDescent="0.15">
      <c r="A79" s="20" t="s">
        <v>234</v>
      </c>
      <c r="F79" s="254">
        <f>管理者用グラフシート!Q28</f>
        <v>460</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6</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5655</v>
      </c>
      <c r="D112" s="254"/>
      <c r="E112" s="20" t="s">
        <v>270</v>
      </c>
      <c r="F112" s="36"/>
      <c r="G112" s="111">
        <f>管理者用グラフシート!Q56</f>
        <v>0.33</v>
      </c>
      <c r="H112" s="82" t="s">
        <v>271</v>
      </c>
      <c r="I112" s="34"/>
    </row>
    <row r="113" spans="1:9" ht="22.5" customHeight="1" x14ac:dyDescent="0.15">
      <c r="A113" s="20" t="s">
        <v>268</v>
      </c>
      <c r="C113" s="254">
        <f>管理者用グラフシート!Q46</f>
        <v>3144</v>
      </c>
      <c r="D113" s="254"/>
      <c r="E113" s="82" t="s">
        <v>270</v>
      </c>
      <c r="F113" s="34"/>
      <c r="G113" s="111">
        <f>管理者用グラフシート!Q64</f>
        <v>0.18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大塚地域自治区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0.39140245966377074</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6" t="str">
        <f>地域特徴シート!A1</f>
        <v>大塚地域自治区</v>
      </c>
      <c r="B11" s="256"/>
      <c r="C11" s="257">
        <f>管理者用地域特徴シート!D5</f>
        <v>8863</v>
      </c>
      <c r="D11" s="256"/>
      <c r="E11" s="20" t="s">
        <v>413</v>
      </c>
    </row>
    <row r="12" spans="1:8" ht="22.5" customHeight="1" x14ac:dyDescent="0.15">
      <c r="A12" s="256" t="str">
        <f>A8</f>
        <v>宮崎市</v>
      </c>
      <c r="B12" s="256"/>
      <c r="C12" s="257">
        <f>管理者用地域特徴シート!D4</f>
        <v>183782</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1">
        <f>管理者用地域特徴シート!J5</f>
        <v>0.11339275640302381</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0.36691505216095383</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4370</v>
      </c>
      <c r="F70" s="282"/>
      <c r="G70" s="20" t="s">
        <v>290</v>
      </c>
    </row>
    <row r="71" spans="1:8" ht="22.5" customHeight="1" x14ac:dyDescent="0.15">
      <c r="A71" s="20" t="s">
        <v>295</v>
      </c>
      <c r="F71" s="281">
        <f>管理者用地域特徴シート!AK5</f>
        <v>0.11807780320366133</v>
      </c>
      <c r="G71" s="281"/>
      <c r="H71" s="20" t="s">
        <v>271</v>
      </c>
    </row>
    <row r="72" spans="1:8" ht="22.5" customHeight="1" x14ac:dyDescent="0.15">
      <c r="A72" s="20" t="s">
        <v>296</v>
      </c>
      <c r="F72" s="281">
        <f>管理者用地域特徴シート!AL5</f>
        <v>0.1851258581235698</v>
      </c>
      <c r="G72" s="281"/>
      <c r="H72" s="20" t="s">
        <v>297</v>
      </c>
    </row>
    <row r="73" spans="1:8" ht="22.5" customHeight="1" x14ac:dyDescent="0.15">
      <c r="A73" s="20" t="s">
        <v>298</v>
      </c>
      <c r="E73" s="281"/>
      <c r="F73" s="281"/>
    </row>
    <row r="74" spans="1:8" ht="22.5" customHeight="1" x14ac:dyDescent="0.15">
      <c r="A74" s="20" t="s">
        <v>339</v>
      </c>
      <c r="C74" s="177">
        <f>管理者用地域特徴シート!AN5</f>
        <v>0.47688787185354692</v>
      </c>
      <c r="D74" s="156" t="s">
        <v>299</v>
      </c>
      <c r="E74" s="177">
        <f>管理者用地域特徴シート!AO5</f>
        <v>0.52311212814645314</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0.91223258365331872</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0.92336217552533995</v>
      </c>
      <c r="D141" s="281"/>
      <c r="E141" s="20" t="s">
        <v>316</v>
      </c>
      <c r="F141" s="157" t="str">
        <f>管理者入力シート!B3</f>
        <v>宮崎市</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大塚地域自治区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45201_7</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475</v>
      </c>
      <c r="DW1" s="313"/>
      <c r="DX1" s="308">
        <f>DW17</f>
        <v>127</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621.79717831588607</v>
      </c>
      <c r="E3" s="9">
        <v>577.66565844534443</v>
      </c>
      <c r="F3" s="9">
        <v>530.66311025660332</v>
      </c>
      <c r="G3" s="9">
        <v>508.59834225552424</v>
      </c>
      <c r="H3" s="9">
        <v>376.43604504662682</v>
      </c>
      <c r="I3" s="9">
        <v>674.86946925766767</v>
      </c>
      <c r="J3" s="9">
        <v>867.08960595832434</v>
      </c>
      <c r="K3" s="9">
        <v>700.84406191253765</v>
      </c>
      <c r="L3" s="9">
        <v>581.69067051409502</v>
      </c>
      <c r="M3" s="9">
        <v>557.70197300140342</v>
      </c>
      <c r="N3" s="9">
        <v>702.75364775607773</v>
      </c>
      <c r="O3" s="9">
        <v>842.92579884669067</v>
      </c>
      <c r="P3" s="9">
        <v>588.58284791070787</v>
      </c>
      <c r="Q3" s="9">
        <v>500.53043622509517</v>
      </c>
      <c r="R3" s="9">
        <v>400.39829090327635</v>
      </c>
      <c r="S3" s="9">
        <v>278.23912045006387</v>
      </c>
      <c r="T3" s="9">
        <v>130.14344061541505</v>
      </c>
      <c r="U3" s="9">
        <v>42.054614715367798</v>
      </c>
      <c r="V3" s="9">
        <v>17.014056291922312</v>
      </c>
      <c r="W3" s="9">
        <v>3.0016313213703096</v>
      </c>
      <c r="X3" s="9">
        <v>0</v>
      </c>
      <c r="Y3" s="9">
        <f>SUM(D3:X3)</f>
        <v>9503</v>
      </c>
      <c r="Z3" s="9">
        <f>E3*3/5+F3*3/5</f>
        <v>664.99726122116863</v>
      </c>
      <c r="AA3" s="9">
        <f>F3*2/5+G3*1/5</f>
        <v>313.9849125537462</v>
      </c>
      <c r="AB3" s="9">
        <f t="shared" ref="AB3:AB20" si="0">SUM(Q3:X3)</f>
        <v>1371.3815905225108</v>
      </c>
      <c r="AC3" s="9">
        <f>SUM(S3:X3)</f>
        <v>470.45286339413934</v>
      </c>
      <c r="AD3" s="13">
        <f>AB3/Y3</f>
        <v>0.14431038519651804</v>
      </c>
      <c r="AE3" s="13">
        <f>AC3/Y3</f>
        <v>4.9505720656018028E-2</v>
      </c>
      <c r="AF3" s="9">
        <f>SUM(H3:K3)</f>
        <v>2619.2391821751567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0.99090732543691951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0.98769839717615127</v>
      </c>
      <c r="AO3" s="6">
        <f t="shared" si="1"/>
        <v>0.8584458662291935</v>
      </c>
      <c r="AP3" s="6">
        <f t="shared" si="1"/>
        <v>0.5969310904550037</v>
      </c>
      <c r="AQ3" s="6">
        <f t="shared" si="1"/>
        <v>1.3090248441067083</v>
      </c>
      <c r="AR3" s="6">
        <f t="shared" si="1"/>
        <v>1.1717377614694848</v>
      </c>
      <c r="AS3" s="6">
        <f t="shared" si="1"/>
        <v>1.01348971161682</v>
      </c>
      <c r="AT3" s="6">
        <f t="shared" si="1"/>
        <v>1.0045489431378689</v>
      </c>
      <c r="AU3" s="6">
        <f t="shared" si="1"/>
        <v>1.017245591613994</v>
      </c>
      <c r="AV3" s="6">
        <f t="shared" si="1"/>
        <v>0.94419370995107588</v>
      </c>
      <c r="AW3" s="6">
        <f t="shared" si="1"/>
        <v>0.98260832039238866</v>
      </c>
      <c r="AX3" s="6">
        <f t="shared" si="1"/>
        <v>0.94047854898784966</v>
      </c>
      <c r="AY3" s="6">
        <f t="shared" si="1"/>
        <v>0.94954057936007863</v>
      </c>
      <c r="AZ3" s="6">
        <f t="shared" si="1"/>
        <v>0.92554314855327213</v>
      </c>
      <c r="BA3" s="6">
        <f t="shared" si="1"/>
        <v>0.88719885995161074</v>
      </c>
      <c r="BB3" s="6">
        <f t="shared" si="1"/>
        <v>0.8309082831234047</v>
      </c>
      <c r="BC3" s="6">
        <f t="shared" si="1"/>
        <v>0.61988618438156096</v>
      </c>
      <c r="BD3" s="6">
        <f t="shared" si="1"/>
        <v>0.40636745285425613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0.33899789187958068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430.01404084872183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481.2157503395855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564.74734432836556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495.55779772415343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285.79060022603039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413.99087914375747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436.48943130053988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513.21073859265721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570.7741828201423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708.78753079699004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750.60609402603302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577.72974751648735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515.80818159649334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503.67276290691922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604.72224241445815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634.93219742437577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389.97627963180923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218.97097662812283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84.722328262892091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19.72534639891883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0.24398593658932452</v>
      </c>
      <c r="CF3" s="9">
        <f t="shared" ref="CF3:CF14" si="2">SUM(BK3:CE3)</f>
        <v>9201.6884388640428</v>
      </c>
      <c r="CG3" s="9">
        <f>BL3*3/5+BM3*3/5</f>
        <v>627.57785680077063</v>
      </c>
      <c r="CH3" s="9">
        <f>BM3*2/5+BN3*1/5</f>
        <v>325.01049727617692</v>
      </c>
      <c r="CI3" s="9">
        <f t="shared" ref="CI3:CI14" si="3">SUM(BX3:CE3)</f>
        <v>2456.9661196040856</v>
      </c>
      <c r="CJ3" s="9">
        <f>SUM(BZ3:CE3)</f>
        <v>1348.5711142827079</v>
      </c>
      <c r="CK3" s="13">
        <f>CI3/CF3</f>
        <v>0.26701253100755934</v>
      </c>
      <c r="CL3" s="13">
        <f>CJ3/CF3</f>
        <v>0.14655691976995369</v>
      </c>
      <c r="CM3" s="9">
        <f>SUM(BO3:BR3)</f>
        <v>1649.481649262985</v>
      </c>
      <c r="CO3" s="7" t="str">
        <f>CP3&amp;"_"&amp;IF(CQ3="男性",1,IF(CQ3="女性",2,IF(CQ3="合計",3)))</f>
        <v>2025_1</v>
      </c>
      <c r="CP3" s="28">
        <f>管理者入力シート!B8</f>
        <v>2025</v>
      </c>
      <c r="CQ3" s="3" t="s">
        <v>21</v>
      </c>
      <c r="CR3" s="9">
        <f>BK3+将来予測シート②!$G17</f>
        <v>431.01404084872183</v>
      </c>
      <c r="CS3" s="9">
        <f>BL3+将来予測シート②!$G18</f>
        <v>481.2157503395855</v>
      </c>
      <c r="CT3" s="9">
        <f>BM3+将来予測シート②!$G19</f>
        <v>565.74734432836556</v>
      </c>
      <c r="CU3" s="9">
        <f>BN3+将来予測シート②!$G20</f>
        <v>495.55779772415343</v>
      </c>
      <c r="CV3" s="9">
        <f>BO3+将来予測シート②!$G21</f>
        <v>285.79060022603039</v>
      </c>
      <c r="CW3" s="9">
        <f>BP3+将来予測シート②!$G22</f>
        <v>415.99087914375747</v>
      </c>
      <c r="CX3" s="9">
        <f>BQ3+将来予測シート②!$G23</f>
        <v>436.48943130053988</v>
      </c>
      <c r="CY3" s="9">
        <f>BR3+将来予測シート②!$G24</f>
        <v>513.21073859265721</v>
      </c>
      <c r="CZ3" s="9">
        <f>BS3+将来予測シート②!$G25</f>
        <v>570.7741828201423</v>
      </c>
      <c r="DA3" s="9">
        <f>BT3+将来予測シート②!$G26</f>
        <v>708.78753079699004</v>
      </c>
      <c r="DB3" s="9">
        <f>BU3+将来予測シート②!$G27</f>
        <v>750.60609402603302</v>
      </c>
      <c r="DC3" s="9">
        <f>BV3+将来予測シート②!$G28</f>
        <v>577.72974751648735</v>
      </c>
      <c r="DD3" s="9">
        <f>BW3+将来予測シート②!$G29</f>
        <v>515.80818159649334</v>
      </c>
      <c r="DE3" s="9">
        <f>BX3</f>
        <v>503.67276290691922</v>
      </c>
      <c r="DF3" s="9">
        <f t="shared" ref="DF3:DL3" si="4">BY3</f>
        <v>604.72224241445815</v>
      </c>
      <c r="DG3" s="9">
        <f t="shared" si="4"/>
        <v>634.93219742437577</v>
      </c>
      <c r="DH3" s="9">
        <f t="shared" si="4"/>
        <v>389.97627963180923</v>
      </c>
      <c r="DI3" s="9">
        <f t="shared" si="4"/>
        <v>218.97097662812283</v>
      </c>
      <c r="DJ3" s="9">
        <f t="shared" si="4"/>
        <v>84.722328262892091</v>
      </c>
      <c r="DK3" s="9">
        <f t="shared" si="4"/>
        <v>19.72534639891883</v>
      </c>
      <c r="DL3" s="9">
        <f t="shared" si="4"/>
        <v>0.24398593658932452</v>
      </c>
      <c r="DM3" s="9">
        <f t="shared" ref="DM3:DM4" si="5">SUM(CR3:DL3)</f>
        <v>9205.6884388640428</v>
      </c>
      <c r="DN3" s="9">
        <f>CS3*3/5+CT3*3/5</f>
        <v>628.17785680077054</v>
      </c>
      <c r="DO3" s="9">
        <f>CT3*2/5+CU3*1/5</f>
        <v>325.4104972761769</v>
      </c>
      <c r="DP3" s="9">
        <f t="shared" ref="DP3:DP14" si="6">SUM(DE3:DL3)</f>
        <v>2456.9661196040856</v>
      </c>
      <c r="DQ3" s="9">
        <f>SUM(DG3:DL3)</f>
        <v>1348.5711142827079</v>
      </c>
      <c r="DR3" s="13">
        <f>DP3/DM3</f>
        <v>0.26689651033934714</v>
      </c>
      <c r="DS3" s="13">
        <f>DQ3/DM3</f>
        <v>0.14649323874457756</v>
      </c>
      <c r="DT3" s="9">
        <f>SUM(CV3:CY3)</f>
        <v>1651.481649262985</v>
      </c>
      <c r="DV3" s="312"/>
      <c r="DW3" s="313"/>
      <c r="DX3" s="28">
        <f>管理者入力シート!B8</f>
        <v>2025</v>
      </c>
      <c r="DY3" s="3" t="s">
        <v>21</v>
      </c>
      <c r="DZ3" s="9">
        <f>BK$3</f>
        <v>430.01404084872183</v>
      </c>
      <c r="EA3" s="9">
        <f>BL$3</f>
        <v>481.2157503395855</v>
      </c>
      <c r="EB3" s="9">
        <f t="shared" ref="EB3:ED3" si="7">BM$3</f>
        <v>564.74734432836556</v>
      </c>
      <c r="EC3" s="9">
        <f t="shared" si="7"/>
        <v>495.55779772415343</v>
      </c>
      <c r="ED3" s="9">
        <f t="shared" si="7"/>
        <v>285.79060022603039</v>
      </c>
      <c r="EE3" s="9">
        <f>BP$3+DX1</f>
        <v>540.99087914375741</v>
      </c>
      <c r="EF3" s="9">
        <f>BQ$3+DX1</f>
        <v>563.48943130053988</v>
      </c>
      <c r="EG3" s="9">
        <f>BR$3+DX1</f>
        <v>640.21073859265721</v>
      </c>
      <c r="EH3" s="9">
        <f t="shared" ref="EH3:ET3" si="8">BS$3</f>
        <v>570.7741828201423</v>
      </c>
      <c r="EI3" s="9">
        <f t="shared" si="8"/>
        <v>708.78753079699004</v>
      </c>
      <c r="EJ3" s="9">
        <f t="shared" si="8"/>
        <v>750.60609402603302</v>
      </c>
      <c r="EK3" s="9">
        <f t="shared" si="8"/>
        <v>577.72974751648735</v>
      </c>
      <c r="EL3" s="9">
        <f t="shared" si="8"/>
        <v>515.80818159649334</v>
      </c>
      <c r="EM3" s="9">
        <f t="shared" si="8"/>
        <v>503.67276290691922</v>
      </c>
      <c r="EN3" s="9">
        <f t="shared" si="8"/>
        <v>604.72224241445815</v>
      </c>
      <c r="EO3" s="9">
        <f t="shared" si="8"/>
        <v>634.93219742437577</v>
      </c>
      <c r="EP3" s="9">
        <f t="shared" si="8"/>
        <v>389.97627963180923</v>
      </c>
      <c r="EQ3" s="9">
        <f t="shared" si="8"/>
        <v>218.97097662812283</v>
      </c>
      <c r="ER3" s="9">
        <f t="shared" si="8"/>
        <v>84.722328262892091</v>
      </c>
      <c r="ES3" s="9">
        <f t="shared" si="8"/>
        <v>19.72534639891883</v>
      </c>
      <c r="ET3" s="9">
        <f t="shared" si="8"/>
        <v>0.24398593658932452</v>
      </c>
      <c r="EU3" s="9">
        <f t="shared" ref="EU3:EU4" si="9">SUM(DZ3:ET3)</f>
        <v>9582.6884388640428</v>
      </c>
      <c r="EV3" s="9">
        <f>EA3*3/5+EB3*3/5</f>
        <v>627.57785680077063</v>
      </c>
      <c r="EW3" s="9">
        <f>EB3*2/5+EC3*1/5</f>
        <v>325.01049727617692</v>
      </c>
      <c r="EX3" s="9">
        <f t="shared" ref="EX3:EX14" si="10">SUM(EM3:ET3)</f>
        <v>2456.9661196040856</v>
      </c>
      <c r="EY3" s="9">
        <f>SUM(EO3:ET3)</f>
        <v>1348.5711142827079</v>
      </c>
      <c r="EZ3" s="13">
        <f>EX3/EU3</f>
        <v>0.25639632711416221</v>
      </c>
      <c r="FA3" s="13">
        <f>EY3/EU3</f>
        <v>0.14072993428580791</v>
      </c>
      <c r="FB3" s="9">
        <f>SUM(ED3:EG3)</f>
        <v>2030.481649262985</v>
      </c>
    </row>
    <row r="4" spans="1:158" x14ac:dyDescent="0.15">
      <c r="A4" s="7" t="str">
        <f t="shared" ref="A4:A14" si="11">B4&amp;"_"&amp;IF(C4="男性",1,IF(C4="女性",2,IF(C4="合計",3)))</f>
        <v>2005_2</v>
      </c>
      <c r="B4" s="29">
        <v>2005</v>
      </c>
      <c r="C4" s="4" t="s">
        <v>22</v>
      </c>
      <c r="D4" s="10">
        <v>620.63055330636621</v>
      </c>
      <c r="E4" s="10">
        <v>554.4803729646294</v>
      </c>
      <c r="F4" s="10">
        <v>520.45337311469416</v>
      </c>
      <c r="G4" s="10">
        <v>499.49392714966456</v>
      </c>
      <c r="H4" s="10">
        <v>488.44745183460958</v>
      </c>
      <c r="I4" s="10">
        <v>848.86555843523172</v>
      </c>
      <c r="J4" s="10">
        <v>908.88787488357013</v>
      </c>
      <c r="K4" s="10">
        <v>773.79712005799104</v>
      </c>
      <c r="L4" s="10">
        <v>634.6349816579492</v>
      </c>
      <c r="M4" s="10">
        <v>707.65114149303008</v>
      </c>
      <c r="N4" s="10">
        <v>832.72602408526336</v>
      </c>
      <c r="O4" s="10">
        <v>908.7310673690024</v>
      </c>
      <c r="P4" s="10">
        <v>664.58995794127134</v>
      </c>
      <c r="Q4" s="10">
        <v>574.50369321825542</v>
      </c>
      <c r="R4" s="10">
        <v>460.38620319135106</v>
      </c>
      <c r="S4" s="10">
        <v>330.29066559608941</v>
      </c>
      <c r="T4" s="10">
        <v>245.23096647954753</v>
      </c>
      <c r="U4" s="10">
        <v>109.10237697656211</v>
      </c>
      <c r="V4" s="10">
        <v>59.081116347142178</v>
      </c>
      <c r="W4" s="10">
        <v>13.009244783855209</v>
      </c>
      <c r="X4" s="10">
        <v>4.0063291139240507</v>
      </c>
      <c r="Y4" s="10">
        <f>SUM(D4:X4)</f>
        <v>10759</v>
      </c>
      <c r="Z4" s="10">
        <f t="shared" ref="Z4:Z11" si="12">E4*3/5+F4*3/5</f>
        <v>644.96024764759409</v>
      </c>
      <c r="AA4" s="10">
        <f t="shared" ref="AA4:AA11" si="13">F4*2/5+G4*1/5</f>
        <v>308.0801346758106</v>
      </c>
      <c r="AB4" s="10">
        <f t="shared" si="0"/>
        <v>1795.6105957067268</v>
      </c>
      <c r="AC4" s="10">
        <f t="shared" ref="AC4:AC11" si="14">SUM(S4:X4)</f>
        <v>760.72069929712052</v>
      </c>
      <c r="AD4" s="14">
        <f t="shared" ref="AD4:AD11" si="15">AB4/Y4</f>
        <v>0.16689381872913159</v>
      </c>
      <c r="AE4" s="14">
        <f t="shared" ref="AE4:AE11" si="16">AC4/Y4</f>
        <v>7.0705520893867502E-2</v>
      </c>
      <c r="AF4" s="10">
        <f t="shared" ref="AF4:AF20" si="17">SUM(H4:K4)</f>
        <v>3019.9980052114024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0.97615744602083265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1.0113713949152343</v>
      </c>
      <c r="AO4" s="193">
        <f t="shared" si="18"/>
        <v>0.87879841437145312</v>
      </c>
      <c r="AP4" s="193">
        <f t="shared" si="18"/>
        <v>0.68746615180368298</v>
      </c>
      <c r="AQ4" s="193">
        <f t="shared" si="18"/>
        <v>1.1798257146491253</v>
      </c>
      <c r="AR4" s="193">
        <f t="shared" si="18"/>
        <v>1.0075823582830663</v>
      </c>
      <c r="AS4" s="193">
        <f t="shared" si="18"/>
        <v>1.0347541741010504</v>
      </c>
      <c r="AT4" s="193">
        <f t="shared" si="18"/>
        <v>0.9424142461127647</v>
      </c>
      <c r="AU4" s="193">
        <f t="shared" si="18"/>
        <v>1.0194863543226476</v>
      </c>
      <c r="AV4" s="193">
        <f t="shared" si="18"/>
        <v>0.95132586241782335</v>
      </c>
      <c r="AW4" s="193">
        <f t="shared" si="18"/>
        <v>0.98382714852997555</v>
      </c>
      <c r="AX4" s="193">
        <f t="shared" si="18"/>
        <v>0.98041798420981874</v>
      </c>
      <c r="AY4" s="193">
        <f t="shared" si="18"/>
        <v>0.96296224780107809</v>
      </c>
      <c r="AZ4" s="193">
        <f t="shared" si="18"/>
        <v>0.9661832725872278</v>
      </c>
      <c r="BA4" s="193">
        <f t="shared" si="18"/>
        <v>0.9060682226099015</v>
      </c>
      <c r="BB4" s="193">
        <f t="shared" si="18"/>
        <v>0.87446285540981528</v>
      </c>
      <c r="BC4" s="193">
        <f t="shared" si="18"/>
        <v>0.77196589778818625</v>
      </c>
      <c r="BD4" s="193">
        <f t="shared" si="18"/>
        <v>0.67231442211031422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0.33864675653551102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0.46614408726310019</v>
      </c>
      <c r="BH4" s="7" t="str">
        <f t="shared" ref="BH4:BH20" si="19">BI4&amp;"_"&amp;IF(BJ4="男性",1,IF(BJ4="女性",2,IF(BJ4="合計",3)))</f>
        <v>2025_2</v>
      </c>
      <c r="BI4" s="29">
        <f>BI3</f>
        <v>2025</v>
      </c>
      <c r="BJ4" s="4" t="s">
        <v>22</v>
      </c>
      <c r="BK4" s="10">
        <f>CM4*AK$14</f>
        <v>425.87157333098878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454.31072548646046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521.90424838923229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488.38767834952529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346.10902873951892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433.5916133058625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478.76455729022427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547.33331578467232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666.87341805171638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757.64769295742735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812.52872266153065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683.40899982684198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561.99856619936236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626.73339045195701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717.308745311498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757.84887087259779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493.73588725746669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357.44106612402663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192.99614004492256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55.778401857286852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10.559767060001127</v>
      </c>
      <c r="CF4" s="10">
        <f t="shared" si="2"/>
        <v>10391.132409353124</v>
      </c>
      <c r="CG4" s="10">
        <f t="shared" ref="CG4:CG14" si="20">BL4*3/5+BM4*3/5</f>
        <v>585.72898432541569</v>
      </c>
      <c r="CH4" s="10">
        <f t="shared" ref="CH4:CH14" si="21">BM4*2/5+BN4*1/5</f>
        <v>306.43923502559795</v>
      </c>
      <c r="CI4" s="10">
        <f t="shared" si="3"/>
        <v>3212.4022689797566</v>
      </c>
      <c r="CJ4" s="10">
        <f t="shared" ref="CJ4:CJ14" si="22">SUM(BZ4:CE4)</f>
        <v>1868.3601332163018</v>
      </c>
      <c r="CK4" s="14">
        <f t="shared" ref="CK4:CK14" si="23">CI4/CF4</f>
        <v>0.30914842987548241</v>
      </c>
      <c r="CL4" s="14">
        <f t="shared" ref="CL4:CL14" si="24">CJ4/CF4</f>
        <v>0.17980332264215776</v>
      </c>
      <c r="CM4" s="10">
        <f t="shared" ref="CM4:CM14" si="25">SUM(BO4:BR4)</f>
        <v>1805.7985151202779</v>
      </c>
      <c r="CO4" s="7" t="str">
        <f t="shared" ref="CO4:CO20" si="26">CP4&amp;"_"&amp;IF(CQ4="男性",1,IF(CQ4="女性",2,IF(CQ4="合計",3)))</f>
        <v>2025_2</v>
      </c>
      <c r="CP4" s="29">
        <f>CP3</f>
        <v>2025</v>
      </c>
      <c r="CQ4" s="4" t="s">
        <v>22</v>
      </c>
      <c r="CR4" s="10">
        <f>BK4+将来予測シート②!$H17</f>
        <v>426.87157333098878</v>
      </c>
      <c r="CS4" s="10">
        <f>BL4+将来予測シート②!$H18</f>
        <v>454.31072548646046</v>
      </c>
      <c r="CT4" s="10">
        <f>BM4+将来予測シート②!$H19</f>
        <v>522.90424838923229</v>
      </c>
      <c r="CU4" s="10">
        <f>BN4+将来予測シート②!$H20</f>
        <v>488.38767834952529</v>
      </c>
      <c r="CV4" s="10">
        <f>BO4+将来予測シート②!$H21</f>
        <v>346.10902873951892</v>
      </c>
      <c r="CW4" s="10">
        <f>BP4+将来予測シート②!$H22</f>
        <v>435.5916133058625</v>
      </c>
      <c r="CX4" s="10">
        <f>BQ4+将来予測シート②!$H23</f>
        <v>478.76455729022427</v>
      </c>
      <c r="CY4" s="10">
        <f>BR4+将来予測シート②!$H24</f>
        <v>547.33331578467232</v>
      </c>
      <c r="CZ4" s="10">
        <f>BS4+将来予測シート②!$H25</f>
        <v>667.87341805171638</v>
      </c>
      <c r="DA4" s="10">
        <f>BT4+将来予測シート②!$H26</f>
        <v>757.64769295742735</v>
      </c>
      <c r="DB4" s="10">
        <f>BU4+将来予測シート②!$H27</f>
        <v>812.52872266153065</v>
      </c>
      <c r="DC4" s="10">
        <f>BV4+将来予測シート②!$H28</f>
        <v>683.40899982684198</v>
      </c>
      <c r="DD4" s="10">
        <f>BW4+将来予測シート②!$H29</f>
        <v>561.99856619936236</v>
      </c>
      <c r="DE4" s="10">
        <f>BX4</f>
        <v>626.73339045195701</v>
      </c>
      <c r="DF4" s="10">
        <f t="shared" ref="DF4" si="27">BY4</f>
        <v>717.308745311498</v>
      </c>
      <c r="DG4" s="10">
        <f t="shared" ref="DG4" si="28">BZ4</f>
        <v>757.84887087259779</v>
      </c>
      <c r="DH4" s="10">
        <f t="shared" ref="DH4" si="29">CA4</f>
        <v>493.73588725746669</v>
      </c>
      <c r="DI4" s="10">
        <f t="shared" ref="DI4" si="30">CB4</f>
        <v>357.44106612402663</v>
      </c>
      <c r="DJ4" s="10">
        <f t="shared" ref="DJ4" si="31">CC4</f>
        <v>192.99614004492256</v>
      </c>
      <c r="DK4" s="10">
        <f t="shared" ref="DK4" si="32">CD4</f>
        <v>55.778401857286852</v>
      </c>
      <c r="DL4" s="10">
        <f t="shared" ref="DL4" si="33">CE4</f>
        <v>10.559767060001127</v>
      </c>
      <c r="DM4" s="10">
        <f t="shared" si="5"/>
        <v>10396.132409353124</v>
      </c>
      <c r="DN4" s="10">
        <f t="shared" ref="DN4:DN14" si="34">CS4*3/5+CT4*3/5</f>
        <v>586.3289843254156</v>
      </c>
      <c r="DO4" s="10">
        <f t="shared" ref="DO4:DO14" si="35">CT4*2/5+CU4*1/5</f>
        <v>306.83923502559799</v>
      </c>
      <c r="DP4" s="10">
        <f t="shared" si="6"/>
        <v>3212.4022689797566</v>
      </c>
      <c r="DQ4" s="10">
        <f t="shared" ref="DQ4:DQ14" si="36">SUM(DG4:DL4)</f>
        <v>1868.3601332163018</v>
      </c>
      <c r="DR4" s="14">
        <f t="shared" ref="DR4:DR14" si="37">DP4/DM4</f>
        <v>0.30899974552937048</v>
      </c>
      <c r="DS4" s="14">
        <f t="shared" ref="DS4:DS14" si="38">DQ4/DM4</f>
        <v>0.17971684657800124</v>
      </c>
      <c r="DT4" s="10">
        <f>SUM(CV4:CY4)</f>
        <v>1807.7985151202779</v>
      </c>
      <c r="DV4" s="312"/>
      <c r="DW4" s="313"/>
      <c r="DX4" s="29">
        <f>DX3</f>
        <v>2025</v>
      </c>
      <c r="DY4" s="4" t="s">
        <v>22</v>
      </c>
      <c r="DZ4" s="10">
        <f>BK$4</f>
        <v>425.87157333098878</v>
      </c>
      <c r="EA4" s="10">
        <f>BL$4</f>
        <v>454.31072548646046</v>
      </c>
      <c r="EB4" s="10">
        <f t="shared" ref="EB4:ED4" si="39">BM$4</f>
        <v>521.90424838923229</v>
      </c>
      <c r="EC4" s="10">
        <f t="shared" si="39"/>
        <v>488.38767834952529</v>
      </c>
      <c r="ED4" s="10">
        <f t="shared" si="39"/>
        <v>346.10902873951892</v>
      </c>
      <c r="EE4" s="10">
        <f>BP$4+DX1</f>
        <v>560.59161330586244</v>
      </c>
      <c r="EF4" s="10">
        <f>BQ$4+DX1</f>
        <v>605.76455729022427</v>
      </c>
      <c r="EG4" s="10">
        <f>BR$4+DX1</f>
        <v>674.33331578467232</v>
      </c>
      <c r="EH4" s="10">
        <f t="shared" ref="EH4:ET4" si="40">BS$4</f>
        <v>666.87341805171638</v>
      </c>
      <c r="EI4" s="10">
        <f t="shared" si="40"/>
        <v>757.64769295742735</v>
      </c>
      <c r="EJ4" s="10">
        <f t="shared" si="40"/>
        <v>812.52872266153065</v>
      </c>
      <c r="EK4" s="10">
        <f t="shared" si="40"/>
        <v>683.40899982684198</v>
      </c>
      <c r="EL4" s="10">
        <f t="shared" si="40"/>
        <v>561.99856619936236</v>
      </c>
      <c r="EM4" s="10">
        <f t="shared" si="40"/>
        <v>626.73339045195701</v>
      </c>
      <c r="EN4" s="10">
        <f t="shared" si="40"/>
        <v>717.308745311498</v>
      </c>
      <c r="EO4" s="10">
        <f t="shared" si="40"/>
        <v>757.84887087259779</v>
      </c>
      <c r="EP4" s="10">
        <f t="shared" si="40"/>
        <v>493.73588725746669</v>
      </c>
      <c r="EQ4" s="10">
        <f t="shared" si="40"/>
        <v>357.44106612402663</v>
      </c>
      <c r="ER4" s="10">
        <f t="shared" si="40"/>
        <v>192.99614004492256</v>
      </c>
      <c r="ES4" s="10">
        <f t="shared" si="40"/>
        <v>55.778401857286852</v>
      </c>
      <c r="ET4" s="10">
        <f t="shared" si="40"/>
        <v>10.559767060001127</v>
      </c>
      <c r="EU4" s="10">
        <f t="shared" si="9"/>
        <v>10772.132409353124</v>
      </c>
      <c r="EV4" s="10">
        <f t="shared" ref="EV4:EV14" si="41">EA4*3/5+EB4*3/5</f>
        <v>585.72898432541569</v>
      </c>
      <c r="EW4" s="10">
        <f t="shared" ref="EW4:EW14" si="42">EB4*2/5+EC4*1/5</f>
        <v>306.43923502559795</v>
      </c>
      <c r="EX4" s="10">
        <f t="shared" si="10"/>
        <v>3212.4022689797566</v>
      </c>
      <c r="EY4" s="10">
        <f t="shared" ref="EY4:EY14" si="43">SUM(EO4:ET4)</f>
        <v>1868.3601332163018</v>
      </c>
      <c r="EZ4" s="14">
        <f t="shared" ref="EZ4:EZ14" si="44">EX4/EU4</f>
        <v>0.29821414617875686</v>
      </c>
      <c r="FA4" s="14">
        <f t="shared" ref="FA4:FA14" si="45">EY4/EU4</f>
        <v>0.17344385143224381</v>
      </c>
      <c r="FB4" s="10">
        <f>SUM(ED4:EG4)</f>
        <v>2186.7985151202779</v>
      </c>
    </row>
    <row r="5" spans="1:158" x14ac:dyDescent="0.15">
      <c r="A5" s="7" t="str">
        <f t="shared" si="11"/>
        <v>2005_3</v>
      </c>
      <c r="B5" s="30">
        <v>2005</v>
      </c>
      <c r="C5" s="5" t="s">
        <v>23</v>
      </c>
      <c r="D5" s="11">
        <v>1242.4277316222524</v>
      </c>
      <c r="E5" s="11">
        <v>1132.1460314099738</v>
      </c>
      <c r="F5" s="11">
        <v>1051.1164833712974</v>
      </c>
      <c r="G5" s="11">
        <v>1008.0922694051887</v>
      </c>
      <c r="H5" s="11">
        <v>864.8834968812364</v>
      </c>
      <c r="I5" s="11">
        <v>1523.7350276928994</v>
      </c>
      <c r="J5" s="11">
        <v>1775.9774808418945</v>
      </c>
      <c r="K5" s="11">
        <v>1474.6411819705286</v>
      </c>
      <c r="L5" s="11">
        <v>1216.3256521720441</v>
      </c>
      <c r="M5" s="11">
        <v>1265.3531144944336</v>
      </c>
      <c r="N5" s="11">
        <v>1535.4796718413411</v>
      </c>
      <c r="O5" s="11">
        <v>1751.6568662156931</v>
      </c>
      <c r="P5" s="11">
        <v>1253.1728058519793</v>
      </c>
      <c r="Q5" s="11">
        <v>1075.0341294433506</v>
      </c>
      <c r="R5" s="11">
        <v>860.78449409462746</v>
      </c>
      <c r="S5" s="11">
        <v>608.52978604615328</v>
      </c>
      <c r="T5" s="11">
        <v>375.37440709496258</v>
      </c>
      <c r="U5" s="11">
        <v>151.1569916919299</v>
      </c>
      <c r="V5" s="11">
        <v>76.095172639064486</v>
      </c>
      <c r="W5" s="11">
        <v>16.01087610522552</v>
      </c>
      <c r="X5" s="11">
        <v>4.0063291139240507</v>
      </c>
      <c r="Y5" s="11">
        <f>SUM(D5:X5)</f>
        <v>20261.999999999993</v>
      </c>
      <c r="Z5" s="11">
        <f t="shared" si="12"/>
        <v>1309.9575088687627</v>
      </c>
      <c r="AA5" s="11">
        <f t="shared" si="13"/>
        <v>622.06504722955674</v>
      </c>
      <c r="AB5" s="11">
        <f t="shared" si="0"/>
        <v>3166.9921862292376</v>
      </c>
      <c r="AC5" s="11">
        <f t="shared" si="14"/>
        <v>1231.17356269126</v>
      </c>
      <c r="AD5" s="15">
        <f t="shared" si="15"/>
        <v>0.15630205242469838</v>
      </c>
      <c r="AE5" s="15">
        <f t="shared" si="16"/>
        <v>6.0762686935705287E-2</v>
      </c>
      <c r="AF5" s="11">
        <f t="shared" si="17"/>
        <v>5639.2371873865595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0.95641593408347492</v>
      </c>
      <c r="AN5" s="6">
        <f t="shared" si="1"/>
        <v>1.0425757915557916</v>
      </c>
      <c r="AO5" s="6">
        <f t="shared" si="1"/>
        <v>0.91847261176220341</v>
      </c>
      <c r="AP5" s="6">
        <f t="shared" si="1"/>
        <v>0.61646894352010317</v>
      </c>
      <c r="AQ5" s="6">
        <f t="shared" si="1"/>
        <v>1.305703260033106</v>
      </c>
      <c r="AR5" s="6">
        <f t="shared" si="1"/>
        <v>1.0221482026469979</v>
      </c>
      <c r="AS5" s="6">
        <f t="shared" si="1"/>
        <v>0.97437379362191179</v>
      </c>
      <c r="AT5" s="6">
        <f t="shared" si="1"/>
        <v>0.9930712879914867</v>
      </c>
      <c r="AU5" s="6">
        <f t="shared" si="1"/>
        <v>0.95568812511355072</v>
      </c>
      <c r="AV5" s="6">
        <f t="shared" si="1"/>
        <v>0.98225560855039662</v>
      </c>
      <c r="AW5" s="6">
        <f t="shared" si="1"/>
        <v>0.97860611623906935</v>
      </c>
      <c r="AX5" s="6">
        <f t="shared" si="1"/>
        <v>0.98790044225646156</v>
      </c>
      <c r="AY5" s="6">
        <f t="shared" si="1"/>
        <v>0.93870124968581192</v>
      </c>
      <c r="AZ5" s="6">
        <f t="shared" si="1"/>
        <v>0.9374246727640686</v>
      </c>
      <c r="BA5" s="6">
        <f t="shared" si="1"/>
        <v>0.89222161003816092</v>
      </c>
      <c r="BB5" s="6">
        <f t="shared" si="1"/>
        <v>0.82532215301034562</v>
      </c>
      <c r="BC5" s="6">
        <f t="shared" si="1"/>
        <v>0.67744757815951739</v>
      </c>
      <c r="BD5" s="6">
        <f t="shared" si="1"/>
        <v>0.52265529133646504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0.37266791855520054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0.24877796780078956</v>
      </c>
      <c r="BH5" s="7" t="str">
        <f t="shared" si="19"/>
        <v>2025_3</v>
      </c>
      <c r="BI5" s="30">
        <f>BI4</f>
        <v>2025</v>
      </c>
      <c r="BJ5" s="5" t="s">
        <v>23</v>
      </c>
      <c r="BK5" s="16">
        <f>BK3+BK4</f>
        <v>855.88561417971061</v>
      </c>
      <c r="BL5" s="16">
        <f t="shared" ref="BL5:CE5" si="46">BL3+BL4</f>
        <v>935.52647582604595</v>
      </c>
      <c r="BM5" s="16">
        <f t="shared" si="46"/>
        <v>1086.6515927175979</v>
      </c>
      <c r="BN5" s="16">
        <f t="shared" si="46"/>
        <v>983.94547607367872</v>
      </c>
      <c r="BO5" s="16">
        <f t="shared" si="46"/>
        <v>631.89962896554925</v>
      </c>
      <c r="BP5" s="16">
        <f t="shared" si="46"/>
        <v>847.58249244961996</v>
      </c>
      <c r="BQ5" s="16">
        <f t="shared" si="46"/>
        <v>915.25398859076415</v>
      </c>
      <c r="BR5" s="16">
        <f t="shared" si="46"/>
        <v>1060.5440543773295</v>
      </c>
      <c r="BS5" s="16">
        <f t="shared" si="46"/>
        <v>1237.6476008718587</v>
      </c>
      <c r="BT5" s="16">
        <f t="shared" si="46"/>
        <v>1466.4352237544174</v>
      </c>
      <c r="BU5" s="16">
        <f t="shared" si="46"/>
        <v>1563.1348166875637</v>
      </c>
      <c r="BV5" s="16">
        <f t="shared" si="46"/>
        <v>1261.1387473433292</v>
      </c>
      <c r="BW5" s="16">
        <f t="shared" si="46"/>
        <v>1077.8067477958557</v>
      </c>
      <c r="BX5" s="16">
        <f t="shared" si="46"/>
        <v>1130.4061533588763</v>
      </c>
      <c r="BY5" s="16">
        <f t="shared" si="46"/>
        <v>1322.030987725956</v>
      </c>
      <c r="BZ5" s="16">
        <f t="shared" si="46"/>
        <v>1392.7810682969734</v>
      </c>
      <c r="CA5" s="16">
        <f t="shared" si="46"/>
        <v>883.71216688927598</v>
      </c>
      <c r="CB5" s="16">
        <f t="shared" si="46"/>
        <v>576.41204275214943</v>
      </c>
      <c r="CC5" s="16">
        <f t="shared" si="46"/>
        <v>277.71846830781465</v>
      </c>
      <c r="CD5" s="16">
        <f t="shared" si="46"/>
        <v>75.503748256205682</v>
      </c>
      <c r="CE5" s="16">
        <f t="shared" si="46"/>
        <v>10.80375299659045</v>
      </c>
      <c r="CF5" s="11">
        <f>SUM(BK5:CE5)</f>
        <v>19592.820848217165</v>
      </c>
      <c r="CG5" s="11">
        <f t="shared" si="20"/>
        <v>1213.3068411261861</v>
      </c>
      <c r="CH5" s="11">
        <f t="shared" si="21"/>
        <v>631.44973230177493</v>
      </c>
      <c r="CI5" s="11">
        <f t="shared" si="3"/>
        <v>5669.3683885838427</v>
      </c>
      <c r="CJ5" s="11">
        <f t="shared" si="22"/>
        <v>3216.9312474990093</v>
      </c>
      <c r="CK5" s="15">
        <f t="shared" si="23"/>
        <v>0.28935947674424445</v>
      </c>
      <c r="CL5" s="15">
        <f t="shared" si="24"/>
        <v>0.16418928506620484</v>
      </c>
      <c r="CM5" s="11">
        <f t="shared" si="25"/>
        <v>3455.2801643832627</v>
      </c>
      <c r="CO5" s="7" t="str">
        <f t="shared" si="26"/>
        <v>2025_3</v>
      </c>
      <c r="CP5" s="30">
        <f>CP4</f>
        <v>2025</v>
      </c>
      <c r="CQ5" s="5" t="s">
        <v>23</v>
      </c>
      <c r="CR5" s="16">
        <f>CR3+CR4</f>
        <v>857.88561417971061</v>
      </c>
      <c r="CS5" s="16">
        <f t="shared" ref="CS5" si="47">CS3+CS4</f>
        <v>935.52647582604595</v>
      </c>
      <c r="CT5" s="16">
        <f t="shared" ref="CT5" si="48">CT3+CT4</f>
        <v>1088.6515927175979</v>
      </c>
      <c r="CU5" s="16">
        <f t="shared" ref="CU5" si="49">CU3+CU4</f>
        <v>983.94547607367872</v>
      </c>
      <c r="CV5" s="16">
        <f t="shared" ref="CV5" si="50">CV3+CV4</f>
        <v>631.89962896554925</v>
      </c>
      <c r="CW5" s="16">
        <f t="shared" ref="CW5" si="51">CW3+CW4</f>
        <v>851.58249244961996</v>
      </c>
      <c r="CX5" s="16">
        <f t="shared" ref="CX5" si="52">CX3+CX4</f>
        <v>915.25398859076415</v>
      </c>
      <c r="CY5" s="16">
        <f t="shared" ref="CY5" si="53">CY3+CY4</f>
        <v>1060.5440543773295</v>
      </c>
      <c r="CZ5" s="16">
        <f t="shared" ref="CZ5" si="54">CZ3+CZ4</f>
        <v>1238.6476008718587</v>
      </c>
      <c r="DA5" s="16">
        <f t="shared" ref="DA5" si="55">DA3+DA4</f>
        <v>1466.4352237544174</v>
      </c>
      <c r="DB5" s="16">
        <f t="shared" ref="DB5" si="56">DB3+DB4</f>
        <v>1563.1348166875637</v>
      </c>
      <c r="DC5" s="16">
        <f t="shared" ref="DC5" si="57">DC3+DC4</f>
        <v>1261.1387473433292</v>
      </c>
      <c r="DD5" s="16">
        <f t="shared" ref="DD5" si="58">DD3+DD4</f>
        <v>1077.8067477958557</v>
      </c>
      <c r="DE5" s="16">
        <f t="shared" ref="DE5" si="59">DE3+DE4</f>
        <v>1130.4061533588763</v>
      </c>
      <c r="DF5" s="16">
        <f t="shared" ref="DF5" si="60">DF3+DF4</f>
        <v>1322.030987725956</v>
      </c>
      <c r="DG5" s="16">
        <f t="shared" ref="DG5" si="61">DG3+DG4</f>
        <v>1392.7810682969734</v>
      </c>
      <c r="DH5" s="16">
        <f t="shared" ref="DH5" si="62">DH3+DH4</f>
        <v>883.71216688927598</v>
      </c>
      <c r="DI5" s="16">
        <f t="shared" ref="DI5" si="63">DI3+DI4</f>
        <v>576.41204275214943</v>
      </c>
      <c r="DJ5" s="16">
        <f t="shared" ref="DJ5" si="64">DJ3+DJ4</f>
        <v>277.71846830781465</v>
      </c>
      <c r="DK5" s="16">
        <f t="shared" ref="DK5" si="65">DK3+DK4</f>
        <v>75.503748256205682</v>
      </c>
      <c r="DL5" s="16">
        <f t="shared" ref="DL5" si="66">DL3+DL4</f>
        <v>10.80375299659045</v>
      </c>
      <c r="DM5" s="11">
        <f>SUM(CR5:DL5)</f>
        <v>19601.820848217165</v>
      </c>
      <c r="DN5" s="11">
        <f t="shared" si="34"/>
        <v>1214.5068411261864</v>
      </c>
      <c r="DO5" s="11">
        <f t="shared" si="35"/>
        <v>632.24973230177488</v>
      </c>
      <c r="DP5" s="11">
        <f t="shared" si="6"/>
        <v>5669.3683885838427</v>
      </c>
      <c r="DQ5" s="11">
        <f t="shared" si="36"/>
        <v>3216.9312474990093</v>
      </c>
      <c r="DR5" s="15">
        <f t="shared" si="37"/>
        <v>0.28922661993921273</v>
      </c>
      <c r="DS5" s="15">
        <f t="shared" si="38"/>
        <v>0.16411389903053814</v>
      </c>
      <c r="DT5" s="11">
        <f>SUM(CV5:CY5)</f>
        <v>3459.2801643832627</v>
      </c>
      <c r="DV5" s="312"/>
      <c r="DW5" s="313"/>
      <c r="DX5" s="30">
        <f>DX4</f>
        <v>2025</v>
      </c>
      <c r="DY5" s="5" t="s">
        <v>23</v>
      </c>
      <c r="DZ5" s="16">
        <f>DZ3+DZ4</f>
        <v>855.88561417971061</v>
      </c>
      <c r="EA5" s="16">
        <f t="shared" ref="EA5:ET5" si="67">EA3+EA4</f>
        <v>935.52647582604595</v>
      </c>
      <c r="EB5" s="16">
        <f t="shared" si="67"/>
        <v>1086.6515927175979</v>
      </c>
      <c r="EC5" s="16">
        <f t="shared" si="67"/>
        <v>983.94547607367872</v>
      </c>
      <c r="ED5" s="16">
        <f t="shared" si="67"/>
        <v>631.89962896554925</v>
      </c>
      <c r="EE5" s="16">
        <f t="shared" si="67"/>
        <v>1101.5824924496198</v>
      </c>
      <c r="EF5" s="16">
        <f t="shared" si="67"/>
        <v>1169.253988590764</v>
      </c>
      <c r="EG5" s="16">
        <f t="shared" si="67"/>
        <v>1314.5440543773295</v>
      </c>
      <c r="EH5" s="16">
        <f t="shared" si="67"/>
        <v>1237.6476008718587</v>
      </c>
      <c r="EI5" s="16">
        <f t="shared" si="67"/>
        <v>1466.4352237544174</v>
      </c>
      <c r="EJ5" s="16">
        <f t="shared" si="67"/>
        <v>1563.1348166875637</v>
      </c>
      <c r="EK5" s="16">
        <f t="shared" si="67"/>
        <v>1261.1387473433292</v>
      </c>
      <c r="EL5" s="16">
        <f t="shared" si="67"/>
        <v>1077.8067477958557</v>
      </c>
      <c r="EM5" s="16">
        <f t="shared" si="67"/>
        <v>1130.4061533588763</v>
      </c>
      <c r="EN5" s="16">
        <f t="shared" si="67"/>
        <v>1322.030987725956</v>
      </c>
      <c r="EO5" s="16">
        <f t="shared" si="67"/>
        <v>1392.7810682969734</v>
      </c>
      <c r="EP5" s="16">
        <f t="shared" si="67"/>
        <v>883.71216688927598</v>
      </c>
      <c r="EQ5" s="16">
        <f t="shared" si="67"/>
        <v>576.41204275214943</v>
      </c>
      <c r="ER5" s="16">
        <f t="shared" si="67"/>
        <v>277.71846830781465</v>
      </c>
      <c r="ES5" s="16">
        <f t="shared" si="67"/>
        <v>75.503748256205682</v>
      </c>
      <c r="ET5" s="16">
        <f t="shared" si="67"/>
        <v>10.80375299659045</v>
      </c>
      <c r="EU5" s="11">
        <f>SUM(DZ5:ET5)</f>
        <v>20354.820848217161</v>
      </c>
      <c r="EV5" s="11">
        <f t="shared" si="41"/>
        <v>1213.3068411261861</v>
      </c>
      <c r="EW5" s="11">
        <f t="shared" si="42"/>
        <v>631.44973230177493</v>
      </c>
      <c r="EX5" s="11">
        <f t="shared" si="10"/>
        <v>5669.3683885838427</v>
      </c>
      <c r="EY5" s="11">
        <f t="shared" si="43"/>
        <v>3216.9312474990093</v>
      </c>
      <c r="EZ5" s="15">
        <f t="shared" si="44"/>
        <v>0.27852705906180508</v>
      </c>
      <c r="FA5" s="15">
        <f t="shared" si="45"/>
        <v>0.15804271978059556</v>
      </c>
      <c r="FB5" s="11">
        <f>SUM(ED5:EG5)</f>
        <v>4217.2801643832627</v>
      </c>
    </row>
    <row r="6" spans="1:158" x14ac:dyDescent="0.15">
      <c r="A6" s="7" t="str">
        <f t="shared" si="11"/>
        <v>2010_1</v>
      </c>
      <c r="B6" s="28">
        <v>2010</v>
      </c>
      <c r="C6" s="3" t="s">
        <v>21</v>
      </c>
      <c r="D6" s="9">
        <v>590.79063206094941</v>
      </c>
      <c r="E6" s="9">
        <v>526.39249598674155</v>
      </c>
      <c r="F6" s="9">
        <v>577.56939816881993</v>
      </c>
      <c r="G6" s="9">
        <v>494.2452374841082</v>
      </c>
      <c r="H6" s="9">
        <v>337.55795796313538</v>
      </c>
      <c r="I6" s="9">
        <v>551.63948449595296</v>
      </c>
      <c r="J6" s="9">
        <v>734.42655203367815</v>
      </c>
      <c r="K6" s="9">
        <v>771.54814937501283</v>
      </c>
      <c r="L6" s="9">
        <v>652.90990321394747</v>
      </c>
      <c r="M6" s="9">
        <v>554.4370382279368</v>
      </c>
      <c r="N6" s="9">
        <v>579.65713152266585</v>
      </c>
      <c r="O6" s="9">
        <v>692.09021405364024</v>
      </c>
      <c r="P6" s="9">
        <v>821.4032709894002</v>
      </c>
      <c r="Q6" s="9">
        <v>566.22956458591261</v>
      </c>
      <c r="R6" s="9">
        <v>455.7922151977225</v>
      </c>
      <c r="S6" s="9">
        <v>359.33149837305854</v>
      </c>
      <c r="T6" s="9">
        <v>201.59071478013217</v>
      </c>
      <c r="U6" s="9">
        <v>87.30648170514182</v>
      </c>
      <c r="V6" s="9">
        <v>19.062411222164698</v>
      </c>
      <c r="W6" s="9">
        <v>4.0196485598787266</v>
      </c>
      <c r="X6" s="9">
        <v>0</v>
      </c>
      <c r="Y6" s="9">
        <f t="shared" ref="Y6:Y11" si="68">SUM(D6:X6)</f>
        <v>9577.9999999999982</v>
      </c>
      <c r="Z6" s="9">
        <f t="shared" si="12"/>
        <v>662.37713649333682</v>
      </c>
      <c r="AA6" s="9">
        <f t="shared" si="13"/>
        <v>329.87680676434962</v>
      </c>
      <c r="AB6" s="9">
        <f t="shared" si="0"/>
        <v>1693.3325344240111</v>
      </c>
      <c r="AC6" s="9">
        <f t="shared" si="14"/>
        <v>671.31075464037588</v>
      </c>
      <c r="AD6" s="13">
        <f t="shared" si="15"/>
        <v>0.17679395849070906</v>
      </c>
      <c r="AE6" s="13">
        <f t="shared" si="16"/>
        <v>7.0088823829648775E-2</v>
      </c>
      <c r="AF6" s="9">
        <f t="shared" si="17"/>
        <v>2395.1721438677796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0.88225525103481894</v>
      </c>
      <c r="AN6" s="193">
        <f t="shared" si="18"/>
        <v>0.98260210849220175</v>
      </c>
      <c r="AO6" s="193">
        <f t="shared" si="18"/>
        <v>1.0164332480956146</v>
      </c>
      <c r="AP6" s="193">
        <f t="shared" si="18"/>
        <v>0.83546243197897641</v>
      </c>
      <c r="AQ6" s="193">
        <f t="shared" si="18"/>
        <v>1.2314315853169819</v>
      </c>
      <c r="AR6" s="193">
        <f t="shared" si="18"/>
        <v>0.99664628862597349</v>
      </c>
      <c r="AS6" s="193">
        <f t="shared" si="18"/>
        <v>0.94281858236871319</v>
      </c>
      <c r="AT6" s="193">
        <f t="shared" si="18"/>
        <v>1.0080953891260205</v>
      </c>
      <c r="AU6" s="193">
        <f t="shared" si="18"/>
        <v>1.0179622414043996</v>
      </c>
      <c r="AV6" s="193">
        <f t="shared" si="18"/>
        <v>0.94926983563527512</v>
      </c>
      <c r="AW6" s="193">
        <f t="shared" si="18"/>
        <v>0.975341675296588</v>
      </c>
      <c r="AX6" s="193">
        <f t="shared" si="18"/>
        <v>0.96391453704288754</v>
      </c>
      <c r="AY6" s="193">
        <f t="shared" si="18"/>
        <v>0.95005756997700908</v>
      </c>
      <c r="AZ6" s="193">
        <f t="shared" si="18"/>
        <v>0.95708618545811441</v>
      </c>
      <c r="BA6" s="193">
        <f t="shared" si="18"/>
        <v>0.9588148734146511</v>
      </c>
      <c r="BB6" s="193">
        <f t="shared" si="18"/>
        <v>0.89677374967059442</v>
      </c>
      <c r="BC6" s="193">
        <f t="shared" si="18"/>
        <v>0.80864583569743587</v>
      </c>
      <c r="BD6" s="193">
        <f t="shared" si="18"/>
        <v>0.62454253536628668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0.39704306597810574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0.14422230873377237</v>
      </c>
      <c r="BH6" s="7" t="str">
        <f t="shared" si="19"/>
        <v>2030_1</v>
      </c>
      <c r="BI6" s="28">
        <f>管理者入力シート!B9</f>
        <v>2030</v>
      </c>
      <c r="BJ6" s="3" t="s">
        <v>21</v>
      </c>
      <c r="BK6" s="9">
        <f>CM7*$AK$13</f>
        <v>403.55794089650107</v>
      </c>
      <c r="BL6" s="9">
        <f>IF(管理者入力シート!$B$14=1,BK3*管理者用人口入力シート!AM$3,IF(管理者入力シート!$B$14=2,BK3*管理者用人口入力シート!AM$7))</f>
        <v>418.62249078246634</v>
      </c>
      <c r="BM6" s="9">
        <f>IF(管理者入力シート!$B$14=1,BL3*管理者用人口入力シート!AN$3,IF(管理者入力シート!$B$14=2,BL3*管理者用人口入力シート!AN$7))</f>
        <v>488.32147778126676</v>
      </c>
      <c r="BN6" s="9">
        <f>IF(管理者入力シート!$B$14=1,BM3*管理者用人口入力シート!AO$3,IF(管理者入力シート!$B$14=2,BM3*管理者用人口入力シート!AO$7))</f>
        <v>501.46861737005543</v>
      </c>
      <c r="BO6" s="9">
        <f>IF(管理者入力シート!$B$14=1,BN3*管理者用人口入力シート!AP$3,IF(管理者入力シート!$B$14=2,BN3*管理者用人口入力シート!AP$7))</f>
        <v>300.61594696175808</v>
      </c>
      <c r="BP6" s="9">
        <f>IF(管理者入力シート!$B$14=1,BO3*管理者用人口入力シート!AQ$3,IF(管理者入力シート!$B$14=2,BO3*管理者用人口入力シート!AQ$7))</f>
        <v>373.63205567944931</v>
      </c>
      <c r="BQ6" s="9">
        <f>IF(管理者入力シート!$B$14=1,BP3*管理者用人口入力シート!AR$3,IF(管理者入力シート!$B$14=2,BP3*管理者用人口入力シート!AR$7))</f>
        <v>453.06751128057749</v>
      </c>
      <c r="BR6" s="9">
        <f>IF(管理者入力シート!$B$14=1,BQ3*管理者用人口入力シート!AS$3,IF(管理者入力シート!$B$14=2,BQ3*管理者用人口入力シート!AS$7))</f>
        <v>433.75670603375045</v>
      </c>
      <c r="BS6" s="9">
        <f>IF(管理者入力シート!$B$14=1,BR3*管理者用人口入力シート!AT$3,IF(管理者入力シート!$B$14=2,BR3*管理者用人口入力シート!AT$7))</f>
        <v>512.59161590749943</v>
      </c>
      <c r="BT6" s="9">
        <f>IF(管理者入力シート!$B$14=1,BS3*管理者用人口入力シート!AU$3,IF(管理者入力シート!$B$14=2,BS3*管理者用人口入力シート!AU$7))</f>
        <v>562.77568339714969</v>
      </c>
      <c r="BU6" s="9">
        <f>IF(管理者入力シート!$B$14=1,BT3*管理者用人口入力シート!AV$3,IF(管理者入力シート!$B$14=2,BT3*管理者用人口入力シート!AV$7))</f>
        <v>682.58836109302638</v>
      </c>
      <c r="BV6" s="9">
        <f>IF(管理者入力シート!$B$14=1,BU3*管理者用人口入力シート!AW$3,IF(管理者入力シート!$B$14=2,BU3*管理者用人口入力シート!AW$7))</f>
        <v>736.04822132386323</v>
      </c>
      <c r="BW6" s="9">
        <f>IF(管理者入力シート!$B$14=1,BV3*管理者用人口入力シート!AX$3,IF(管理者入力シート!$B$14=2,BV3*管理者用人口入力シート!AX$7))</f>
        <v>556.87249425063249</v>
      </c>
      <c r="BX6" s="9">
        <f>IF(管理者入力シート!$B$14=1,BW3*管理者用人口入力シート!AY$3,IF(管理者入力シート!$B$14=2,BW3*管理者用人口入力シート!AY$7))</f>
        <v>486.97726834661023</v>
      </c>
      <c r="BY6" s="9">
        <f>IF(管理者入力シート!$B$14=1,BX3*管理者用人口入力シート!AZ$3,IF(管理者入力シート!$B$14=2,BX3*管理者用人口入力シート!AZ$7))</f>
        <v>469.15353305089349</v>
      </c>
      <c r="BZ6" s="9">
        <f>IF(管理者入力シート!$B$14=1,BY3*管理者用人口入力シート!BA$3,IF(管理者入力シート!$B$14=2,BY3*管理者用人口入力シート!BA$7))</f>
        <v>538.02542501434471</v>
      </c>
      <c r="CA6" s="9">
        <f>IF(管理者入力シート!$B$14=1,BZ3*管理者用人口入力シート!BB$3,IF(管理者入力シート!$B$14=2,BZ3*管理者用人口入力シート!BB$7))</f>
        <v>525.79402444789753</v>
      </c>
      <c r="CB6" s="9">
        <f>IF(管理者入力シート!$B$14=1,CA3*管理者用人口入力シート!BC$3,IF(管理者入力シート!$B$14=2,CA3*管理者用人口入力シート!BC$7))</f>
        <v>252.71558029962594</v>
      </c>
      <c r="CC6" s="9">
        <f>IF(管理者入力シート!$B$14=1,CB3*管理者用人口入力シート!BD$3,IF(管理者入力シート!$B$14=2,CB3*管理者用人口入力シート!BD$7))</f>
        <v>100.91452713019495</v>
      </c>
      <c r="CD6" s="9">
        <f>IF(管理者入力シート!$B$14=1,CC3*管理者用人口入力シート!BE$3,IF(管理者入力シート!$B$14=2,CC3*管理者用人口入力シート!BE$7))</f>
        <v>30.113233018352975</v>
      </c>
      <c r="CE6" s="9">
        <f>IF(管理者入力シート!$B$14=1,CD3*管理者用人口入力シート!BF$3,IF(管理者入力シート!$B$14=2,CD3*管理者用人口入力シート!BF$7))</f>
        <v>0.31112191018619378</v>
      </c>
      <c r="CF6" s="9">
        <f t="shared" si="2"/>
        <v>8827.9238359761021</v>
      </c>
      <c r="CG6" s="9">
        <f t="shared" si="20"/>
        <v>544.1663811382399</v>
      </c>
      <c r="CH6" s="9">
        <f t="shared" si="21"/>
        <v>295.6223145865178</v>
      </c>
      <c r="CI6" s="9">
        <f t="shared" si="3"/>
        <v>2404.0047132181062</v>
      </c>
      <c r="CJ6" s="9">
        <f t="shared" si="22"/>
        <v>1447.8739118206022</v>
      </c>
      <c r="CK6" s="13">
        <f t="shared" si="23"/>
        <v>0.27231824355134976</v>
      </c>
      <c r="CL6" s="13">
        <f t="shared" si="24"/>
        <v>0.16401069364918361</v>
      </c>
      <c r="CM6" s="9">
        <f t="shared" si="25"/>
        <v>1561.0722199555353</v>
      </c>
      <c r="CO6" s="7" t="str">
        <f t="shared" si="26"/>
        <v>2030_1</v>
      </c>
      <c r="CP6" s="28">
        <f>管理者入力シート!B9</f>
        <v>2030</v>
      </c>
      <c r="CQ6" s="3" t="s">
        <v>21</v>
      </c>
      <c r="CR6" s="9">
        <f>DT7*$AK$13+将来予測シート②!$G17</f>
        <v>405.51145907496317</v>
      </c>
      <c r="CS6" s="9">
        <f>IF(管理者入力シート!$B$14=1,CR3*管理者用人口入力シート!AM$3,IF(管理者入力シート!$B$14=2,CR3*管理者用人口入力シート!AM$7))+将来予測シート②!$G18</f>
        <v>419.59599967058597</v>
      </c>
      <c r="CT6" s="9">
        <f>IF(管理者入力シート!$B$14=1,CS3*管理者用人口入力シート!AN$3,IF(管理者入力シート!$B$14=2,CS3*管理者用人口入力シート!AN$7))+将来予測シート②!$G19</f>
        <v>489.32147778126676</v>
      </c>
      <c r="CU6" s="9">
        <f>IF(管理者入力シート!$B$14=1,CT3*管理者用人口入力シート!AO$3,IF(管理者入力シート!$B$14=2,CT3*管理者用人口入力シート!AO$7))+将来予測シート②!$G20</f>
        <v>502.35656951787195</v>
      </c>
      <c r="CV6" s="9">
        <f>IF(管理者入力シート!$B$14=1,CU3*管理者用人口入力シート!AP$3,IF(管理者入力シート!$B$14=2,CU3*管理者用人口入力シート!AP$7))+将来予測シート②!$G21</f>
        <v>300.61594696175808</v>
      </c>
      <c r="CW6" s="9">
        <f>IF(管理者入力シート!$B$14=1,CV3*管理者用人口入力シート!AQ$3,IF(管理者入力シート!$B$14=2,CV3*管理者用人口入力シート!AQ$7))+将来予測シート②!$G22</f>
        <v>375.63205567944931</v>
      </c>
      <c r="CX6" s="9">
        <f>IF(管理者入力シート!$B$14=1,CW3*管理者用人口入力シート!AR$3,IF(管理者入力シート!$B$14=2,CW3*管理者用人口入力シート!AR$7))+将来予測シート②!$G23</f>
        <v>455.25629144026431</v>
      </c>
      <c r="CY6" s="9">
        <f>IF(管理者入力シート!$B$14=1,CX3*管理者用人口入力シート!AS$3,IF(管理者入力シート!$B$14=2,CX3*管理者用人口入力シート!AS$7))+将来予測シート②!$G24</f>
        <v>433.75670603375045</v>
      </c>
      <c r="CZ6" s="9">
        <f>IF(管理者入力シート!$B$14=1,CY3*管理者用人口入力シート!AT$3,IF(管理者入力シート!$B$14=2,CY3*管理者用人口入力シート!AT$7))+将来予測シート②!$G25</f>
        <v>512.59161590749943</v>
      </c>
      <c r="DA6" s="9">
        <f>IF(管理者入力シート!$B$14=1,CZ3*管理者用人口入力シート!AU$3,IF(管理者入力シート!$B$14=2,CZ3*管理者用人口入力シート!AU$7))+将来予測シート②!$G26</f>
        <v>562.77568339714969</v>
      </c>
      <c r="DB6" s="9">
        <f>IF(管理者入力シート!$B$14=1,DA3*管理者用人口入力シート!AV$3,IF(管理者入力シート!$B$14=2,DA3*管理者用人口入力シート!AV$7))+将来予測シート②!$G27</f>
        <v>682.58836109302638</v>
      </c>
      <c r="DC6" s="9">
        <f>IF(管理者入力シート!$B$14=1,DB3*管理者用人口入力シート!AW$3,IF(管理者入力シート!$B$14=2,DB3*管理者用人口入力シート!AW$7))+将来予測シート②!$G28</f>
        <v>736.04822132386323</v>
      </c>
      <c r="DD6" s="9">
        <f>IF(管理者入力シート!$B$14=1,DC3*管理者用人口入力シート!AX$3,IF(管理者入力シート!$B$14=2,DC3*管理者用人口入力シート!AX$7))+将来予測シート②!$G29</f>
        <v>556.87249425063249</v>
      </c>
      <c r="DE6" s="9">
        <f>IF(管理者入力シート!$B$14=1,DD3*管理者用人口入力シート!AY$3,IF(管理者入力シート!$B$14=2,DD3*管理者用人口入力シート!AY$7))</f>
        <v>486.97726834661023</v>
      </c>
      <c r="DF6" s="9">
        <f>IF(管理者入力シート!$B$14=1,DE3*管理者用人口入力シート!AZ$3,IF(管理者入力シート!$B$14=2,DE3*管理者用人口入力シート!AZ$7))</f>
        <v>469.15353305089349</v>
      </c>
      <c r="DG6" s="9">
        <f>IF(管理者入力シート!$B$14=1,DF3*管理者用人口入力シート!BA$3,IF(管理者入力シート!$B$14=2,DF3*管理者用人口入力シート!BA$7))</f>
        <v>538.02542501434471</v>
      </c>
      <c r="DH6" s="9">
        <f>IF(管理者入力シート!$B$14=1,DG3*管理者用人口入力シート!BB$3,IF(管理者入力シート!$B$14=2,DG3*管理者用人口入力シート!BB$7))</f>
        <v>525.79402444789753</v>
      </c>
      <c r="DI6" s="9">
        <f>IF(管理者入力シート!$B$14=1,DH3*管理者用人口入力シート!BC$3,IF(管理者入力シート!$B$14=2,DH3*管理者用人口入力シート!BC$7))</f>
        <v>252.71558029962594</v>
      </c>
      <c r="DJ6" s="9">
        <f>IF(管理者入力シート!$B$14=1,DI3*管理者用人口入力シート!BD$3,IF(管理者入力シート!$B$14=2,DI3*管理者用人口入力シート!BD$7))</f>
        <v>100.91452713019495</v>
      </c>
      <c r="DK6" s="9">
        <f>IF(管理者入力シート!$B$14=1,DJ3*管理者用人口入力シート!BE$3,IF(管理者入力シート!$B$14=2,DJ3*管理者用人口入力シート!BE$7))</f>
        <v>30.113233018352975</v>
      </c>
      <c r="DL6" s="9">
        <f>IF(管理者入力シート!$B$14=1,DK3*管理者用人口入力シート!BF$3,IF(管理者入力シート!$B$14=2,DK3*管理者用人口入力シート!BF$7))</f>
        <v>0.31112191018619378</v>
      </c>
      <c r="DM6" s="9">
        <f t="shared" ref="DM6:DM14" si="69">SUM(CR6:DL6)</f>
        <v>8836.9275953501874</v>
      </c>
      <c r="DN6" s="9">
        <f t="shared" si="34"/>
        <v>545.35048647111159</v>
      </c>
      <c r="DO6" s="9">
        <f t="shared" si="35"/>
        <v>296.19990501608106</v>
      </c>
      <c r="DP6" s="9">
        <f t="shared" si="6"/>
        <v>2404.0047132181062</v>
      </c>
      <c r="DQ6" s="9">
        <f t="shared" si="36"/>
        <v>1447.8739118206022</v>
      </c>
      <c r="DR6" s="13">
        <f t="shared" si="37"/>
        <v>0.27204078422946965</v>
      </c>
      <c r="DS6" s="13">
        <f t="shared" si="38"/>
        <v>0.16384358660836421</v>
      </c>
      <c r="DT6" s="9">
        <f t="shared" ref="DT6:DT14" si="70">SUM(CV6:CY6)</f>
        <v>1565.261000115222</v>
      </c>
      <c r="DV6" s="7" t="s">
        <v>400</v>
      </c>
      <c r="DX6" s="28">
        <f>管理者入力シート!B9</f>
        <v>2030</v>
      </c>
      <c r="DY6" s="3" t="s">
        <v>21</v>
      </c>
      <c r="DZ6" s="9">
        <f>FB7*$AK$13</f>
        <v>554.46225593250563</v>
      </c>
      <c r="EA6" s="129">
        <f>IF(管理者入力シート!$B$14=1,DZ3*管理者用人口入力シート!AM$3,IF(管理者入力シート!$B$14=2,DZ3*管理者用人口入力シート!AM$7))</f>
        <v>418.62249078246634</v>
      </c>
      <c r="EB6" s="9">
        <f>IF(管理者入力シート!$B$14=1,EA3*管理者用人口入力シート!AN$3,IF(管理者入力シート!$B$14=2,EA3*管理者用人口入力シート!AN$7))</f>
        <v>488.32147778126676</v>
      </c>
      <c r="EC6" s="9">
        <f>IF(管理者入力シート!$B$14=1,EB3*管理者用人口入力シート!AO$3,IF(管理者入力シート!$B$14=2,EB3*管理者用人口入力シート!AO$7))</f>
        <v>501.46861737005543</v>
      </c>
      <c r="ED6" s="9">
        <f>IF(管理者入力シート!$B$14=1,EC3*管理者用人口入力シート!AP$3,IF(管理者入力シート!$B$14=2,EC3*管理者用人口入力シート!AP$7))</f>
        <v>300.61594696175808</v>
      </c>
      <c r="EE6" s="9">
        <f>IF(管理者入力シート!$B$14=1,ED3*管理者用人口入力シート!AQ$3,IF(管理者入力シート!$B$14=2,ED3*管理者用人口入力シート!AQ$7))+DX1</f>
        <v>500.63205567944931</v>
      </c>
      <c r="EF6" s="9">
        <f>IF(管理者入力シート!$B$14=1,EE3*管理者用人口入力シート!AR$3,IF(管理者入力シート!$B$14=2,EE3*管理者用人口入力シート!AR$7))+DX1</f>
        <v>719.05505142068967</v>
      </c>
      <c r="EG6" s="9">
        <f>IF(管理者入力シート!$B$14=1,EF3*管理者用人口入力シート!AS$3,IF(管理者入力シート!$B$14=2,EF3*管理者用人口入力シート!AS$7))+DX1</f>
        <v>686.96159833126103</v>
      </c>
      <c r="EH6" s="9">
        <f>IF(管理者入力シート!$B$14=1,EG3*管理者用人口入力シート!AT$3,IF(管理者入力シート!$B$14=2,EG3*管理者用人口入力シート!AT$7))</f>
        <v>639.43840675752995</v>
      </c>
      <c r="EI6" s="9">
        <f>IF(管理者入力シート!$B$14=1,EH3*管理者用人口入力シート!AU$3,IF(管理者入力シート!$B$14=2,EH3*管理者用人口入力シート!AU$7))</f>
        <v>562.77568339714969</v>
      </c>
      <c r="EJ6" s="9">
        <f>IF(管理者入力シート!$B$14=1,EI3*管理者用人口入力シート!AV$3,IF(管理者入力シート!$B$14=2,EI3*管理者用人口入力シート!AV$7))</f>
        <v>682.58836109302638</v>
      </c>
      <c r="EK6" s="9">
        <f>IF(管理者入力シート!$B$14=1,EJ3*管理者用人口入力シート!AW$3,IF(管理者入力シート!$B$14=2,EJ3*管理者用人口入力シート!AW$7))</f>
        <v>736.04822132386323</v>
      </c>
      <c r="EL6" s="9">
        <f>IF(管理者入力シート!$B$14=1,EK3*管理者用人口入力シート!AX$3,IF(管理者入力シート!$B$14=2,EK3*管理者用人口入力シート!AX$7))</f>
        <v>556.87249425063249</v>
      </c>
      <c r="EM6" s="9">
        <f>IF(管理者入力シート!$B$14=1,EL3*管理者用人口入力シート!AY$3,IF(管理者入力シート!$B$14=2,EL3*管理者用人口入力シート!AY$7))</f>
        <v>486.97726834661023</v>
      </c>
      <c r="EN6" s="9">
        <f>IF(管理者入力シート!$B$14=1,EM3*管理者用人口入力シート!AZ$3,IF(管理者入力シート!$B$14=2,EM3*管理者用人口入力シート!AZ$7))</f>
        <v>469.15353305089349</v>
      </c>
      <c r="EO6" s="9">
        <f>IF(管理者入力シート!$B$14=1,EN3*管理者用人口入力シート!BA$3,IF(管理者入力シート!$B$14=2,EN3*管理者用人口入力シート!BA$7))</f>
        <v>538.02542501434471</v>
      </c>
      <c r="EP6" s="9">
        <f>IF(管理者入力シート!$B$14=1,EO3*管理者用人口入力シート!BB$3,IF(管理者入力シート!$B$14=2,EO3*管理者用人口入力シート!BB$7))</f>
        <v>525.79402444789753</v>
      </c>
      <c r="EQ6" s="9">
        <f>IF(管理者入力シート!$B$14=1,EP3*管理者用人口入力シート!BC$3,IF(管理者入力シート!$B$14=2,EP3*管理者用人口入力シート!BC$7))</f>
        <v>252.71558029962594</v>
      </c>
      <c r="ER6" s="9">
        <f>IF(管理者入力シート!$B$14=1,EQ3*管理者用人口入力シート!BD$3,IF(管理者入力シート!$B$14=2,EQ3*管理者用人口入力シート!BD$7))</f>
        <v>100.91452713019495</v>
      </c>
      <c r="ES6" s="9">
        <f>IF(管理者入力シート!$B$14=1,ER3*管理者用人口入力シート!BE$3,IF(管理者入力シート!$B$14=2,ER3*管理者用人口入力シート!BE$7))</f>
        <v>30.113233018352975</v>
      </c>
      <c r="ET6" s="9">
        <f>IF(管理者入力シート!$B$14=1,ES3*管理者用人口入力シート!BF$3,IF(管理者入力シート!$B$14=2,ES3*管理者用人口入力シート!BF$7))</f>
        <v>0.31112191018619378</v>
      </c>
      <c r="EU6" s="9">
        <f t="shared" ref="EU6:EU14" si="71">SUM(DZ6:ET6)</f>
        <v>9751.8673742997598</v>
      </c>
      <c r="EV6" s="9">
        <f t="shared" si="41"/>
        <v>544.1663811382399</v>
      </c>
      <c r="EW6" s="9">
        <f t="shared" si="42"/>
        <v>295.6223145865178</v>
      </c>
      <c r="EX6" s="9">
        <f t="shared" si="10"/>
        <v>2404.0047132181062</v>
      </c>
      <c r="EY6" s="9">
        <f t="shared" si="43"/>
        <v>1447.8739118206022</v>
      </c>
      <c r="EZ6" s="13">
        <f t="shared" si="44"/>
        <v>0.24651737159117462</v>
      </c>
      <c r="FA6" s="13">
        <f t="shared" si="45"/>
        <v>0.14847145231244163</v>
      </c>
      <c r="FB6" s="9">
        <f t="shared" ref="FB6:FB14" si="72">SUM(ED6:EG6)</f>
        <v>2207.264652393158</v>
      </c>
    </row>
    <row r="7" spans="1:158" x14ac:dyDescent="0.15">
      <c r="A7" s="7" t="str">
        <f t="shared" si="11"/>
        <v>2010_2</v>
      </c>
      <c r="B7" s="29">
        <v>2010</v>
      </c>
      <c r="C7" s="4" t="s">
        <v>22</v>
      </c>
      <c r="D7" s="10">
        <v>579.12953871776244</v>
      </c>
      <c r="E7" s="10">
        <v>528.87964094224867</v>
      </c>
      <c r="F7" s="10">
        <v>514.79772327350167</v>
      </c>
      <c r="G7" s="10">
        <v>484.69261715333391</v>
      </c>
      <c r="H7" s="10">
        <v>446.60993539153804</v>
      </c>
      <c r="I7" s="10">
        <v>663.42743980312548</v>
      </c>
      <c r="J7" s="10">
        <v>837.0295411130495</v>
      </c>
      <c r="K7" s="10">
        <v>831.94800460144052</v>
      </c>
      <c r="L7" s="10">
        <v>720.41364309700589</v>
      </c>
      <c r="M7" s="10">
        <v>619.01592871114838</v>
      </c>
      <c r="N7" s="10">
        <v>685.22814142202606</v>
      </c>
      <c r="O7" s="10">
        <v>803.62428691711398</v>
      </c>
      <c r="P7" s="10">
        <v>885.77891888569559</v>
      </c>
      <c r="Q7" s="10">
        <v>642.94025973099656</v>
      </c>
      <c r="R7" s="10">
        <v>539.57284252464842</v>
      </c>
      <c r="S7" s="10">
        <v>430.22970801244287</v>
      </c>
      <c r="T7" s="10">
        <v>279.79697622493012</v>
      </c>
      <c r="U7" s="10">
        <v>192.56133316796206</v>
      </c>
      <c r="V7" s="10">
        <v>66.220519207674926</v>
      </c>
      <c r="W7" s="10">
        <v>21.087508865155854</v>
      </c>
      <c r="X7" s="10">
        <v>3.0154922371991635</v>
      </c>
      <c r="Y7" s="10">
        <f t="shared" si="68"/>
        <v>10775.999999999998</v>
      </c>
      <c r="Z7" s="10">
        <f t="shared" si="12"/>
        <v>626.20641852945027</v>
      </c>
      <c r="AA7" s="10">
        <f t="shared" si="13"/>
        <v>302.85761274006745</v>
      </c>
      <c r="AB7" s="10">
        <f t="shared" si="0"/>
        <v>2175.42463997101</v>
      </c>
      <c r="AC7" s="10">
        <f t="shared" si="14"/>
        <v>992.91153771536506</v>
      </c>
      <c r="AD7" s="14">
        <f t="shared" si="15"/>
        <v>0.20187682256598091</v>
      </c>
      <c r="AE7" s="14">
        <f t="shared" si="16"/>
        <v>9.214101129504132E-2</v>
      </c>
      <c r="AF7" s="10">
        <f t="shared" si="17"/>
        <v>2779.0149209091537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0.97350888811962533</v>
      </c>
      <c r="AN7" s="48">
        <f t="shared" si="73"/>
        <v>1.0147661988134571</v>
      </c>
      <c r="AO7" s="48">
        <f t="shared" si="73"/>
        <v>0.8879521478165332</v>
      </c>
      <c r="AP7" s="48">
        <f t="shared" si="73"/>
        <v>0.60662136352678786</v>
      </c>
      <c r="AQ7" s="48">
        <f t="shared" si="73"/>
        <v>1.3073629971872607</v>
      </c>
      <c r="AR7" s="48">
        <f t="shared" si="73"/>
        <v>1.0943900798434034</v>
      </c>
      <c r="AS7" s="48">
        <f t="shared" si="73"/>
        <v>0.99373930942921762</v>
      </c>
      <c r="AT7" s="48">
        <f t="shared" si="73"/>
        <v>0.99879362874039712</v>
      </c>
      <c r="AU7" s="48">
        <f t="shared" si="73"/>
        <v>0.98598657811838519</v>
      </c>
      <c r="AV7" s="48">
        <f t="shared" si="73"/>
        <v>0.96303663853326504</v>
      </c>
      <c r="AW7" s="48">
        <f t="shared" si="73"/>
        <v>0.98060517651264245</v>
      </c>
      <c r="AX7" s="48">
        <f t="shared" si="73"/>
        <v>0.96389790666740838</v>
      </c>
      <c r="AY7" s="48">
        <f t="shared" si="73"/>
        <v>0.94410535877766089</v>
      </c>
      <c r="AZ7" s="48">
        <f t="shared" si="73"/>
        <v>0.9314649661482588</v>
      </c>
      <c r="BA7" s="48">
        <f t="shared" si="73"/>
        <v>0.88970669057282414</v>
      </c>
      <c r="BB7" s="48">
        <f t="shared" si="73"/>
        <v>0.82811050783185824</v>
      </c>
      <c r="BC7" s="48">
        <f t="shared" si="73"/>
        <v>0.64802808144696367</v>
      </c>
      <c r="BD7" s="48">
        <f t="shared" si="73"/>
        <v>0.46085800357723905</v>
      </c>
      <c r="BE7" s="48">
        <f t="shared" si="73"/>
        <v>0.35543443665655733</v>
      </c>
      <c r="BF7" s="48">
        <f t="shared" si="73"/>
        <v>1.5772696909558289E-2</v>
      </c>
      <c r="BH7" s="7" t="str">
        <f t="shared" si="19"/>
        <v>2030_2</v>
      </c>
      <c r="BI7" s="29">
        <f>BI6</f>
        <v>2030</v>
      </c>
      <c r="BJ7" s="4" t="s">
        <v>22</v>
      </c>
      <c r="BK7" s="10">
        <f>CM7*$AK$14</f>
        <v>399.6703337421219</v>
      </c>
      <c r="BL7" s="10">
        <f>IF(管理者入力シート!$B$14=1,BK4*管理者用人口入力シート!AM$4,IF(管理者入力シート!$B$14=2,BK4*管理者用人口入力シート!AM$8))</f>
        <v>395.21708788235088</v>
      </c>
      <c r="BM7" s="10">
        <f>IF(管理者入力シート!$B$14=1,BL4*管理者用人口入力シート!AN$4,IF(管理者入力シート!$B$14=2,BL4*管理者用人口入力シート!AN$8))</f>
        <v>452.89462743045266</v>
      </c>
      <c r="BN7" s="10">
        <f>IF(管理者入力シート!$B$14=1,BM4*管理者用人口入力シート!AO$4,IF(管理者入力シート!$B$14=2,BM4*管理者用人口入力シート!AO$8))</f>
        <v>493.25886098751755</v>
      </c>
      <c r="BO7" s="10">
        <f>IF(管理者入力シート!$B$14=1,BN4*管理者用人口入力シート!AP$4,IF(管理者入力シート!$B$14=2,BN4*管理者用人口入力シート!AP$8))</f>
        <v>370.12960303559379</v>
      </c>
      <c r="BP7" s="10">
        <f>IF(管理者入力シート!$B$14=1,BO4*管理者用人口入力シート!AQ$4,IF(管理者入力シート!$B$14=2,BO4*管理者用人口入力シート!AQ$8))</f>
        <v>417.18338319754025</v>
      </c>
      <c r="BQ7" s="10">
        <f>IF(管理者入力シート!$B$14=1,BP4*管理者用人口入力シート!AR$4,IF(管理者入力シート!$B$14=2,BP4*管理者用人口入力シート!AR$8))</f>
        <v>434.50189778607762</v>
      </c>
      <c r="BR7" s="10">
        <f>IF(管理者入力シート!$B$14=1,BQ4*管理者用人口入力シート!AS$4,IF(管理者入力シート!$B$14=2,BQ4*管理者用人口入力シート!AS$8))</f>
        <v>472.88403557320572</v>
      </c>
      <c r="BS7" s="10">
        <f>IF(管理者入力シート!$B$14=1,BR4*管理者用人口入力シート!AT$4,IF(管理者入力シート!$B$14=2,BR4*管理者用人口入力シート!AT$8))</f>
        <v>533.48672800972713</v>
      </c>
      <c r="BT7" s="10">
        <f>IF(管理者入力シート!$B$14=1,BS4*管理者用人口入力シート!AU$4,IF(管理者入力シート!$B$14=2,BS4*管理者用人口入力シート!AU$8))</f>
        <v>679.3599644909109</v>
      </c>
      <c r="BU7" s="10">
        <f>IF(管理者入力シート!$B$14=1,BT4*管理者用人口入力シート!AV$4,IF(管理者入力シート!$B$14=2,BT4*管理者用人口入力シート!AV$8))</f>
        <v>719.99055165310983</v>
      </c>
      <c r="BV7" s="10">
        <f>IF(管理者入力シート!$B$14=1,BU4*管理者用人口入力シート!AW$4,IF(管理者入力シート!$B$14=2,BU4*管理者用人口入力シート!AW$8))</f>
        <v>795.9330054142215</v>
      </c>
      <c r="BW7" s="10">
        <f>IF(管理者入力シート!$B$14=1,BV4*管理者用人口入力シート!AX$4,IF(管理者入力シート!$B$14=2,BV4*管理者用人口入力シート!AX$8))</f>
        <v>664.36323827915555</v>
      </c>
      <c r="BX7" s="10">
        <f>IF(管理者入力シート!$B$14=1,BW4*管理者用人口入力シート!AY$4,IF(管理者入力シート!$B$14=2,BW4*管理者用人口入力シート!AY$8))</f>
        <v>537.54496654672471</v>
      </c>
      <c r="BY7" s="10">
        <f>IF(管理者入力シート!$B$14=1,BX4*管理者用人口入力シート!AZ$4,IF(管理者入力シート!$B$14=2,BX4*管理者用人口入力シート!AZ$8))</f>
        <v>602.68185207970691</v>
      </c>
      <c r="BZ7" s="10">
        <f>IF(管理者入力シート!$B$14=1,BY4*管理者用人口入力シート!BA$4,IF(管理者入力シート!$B$14=2,BY4*管理者用人口入力シート!BA$8))</f>
        <v>668.58088607716093</v>
      </c>
      <c r="CA7" s="10">
        <f>IF(管理者入力シート!$B$14=1,BZ4*管理者用人口入力シート!BB$4,IF(管理者入力シート!$B$14=2,BZ4*管理者用人口入力シート!BB$8))</f>
        <v>671.11158334952097</v>
      </c>
      <c r="CB7" s="10">
        <f>IF(管理者入力シート!$B$14=1,CA4*管理者用人口入力シート!BC$4,IF(管理者入力シート!$B$14=2,CA4*管理者用人口入力シート!BC$8))</f>
        <v>390.09728708625283</v>
      </c>
      <c r="CC7" s="10">
        <f>IF(管理者入力シート!$B$14=1,CB4*管理者用人口入力シート!BD$4,IF(管理者入力シート!$B$14=2,CB4*管理者用人口入力シート!BD$8))</f>
        <v>231.61766100539009</v>
      </c>
      <c r="CD7" s="10">
        <f>IF(管理者入力シート!$B$14=1,CC4*管理者用人口入力シート!BE$4,IF(管理者入力シート!$B$14=2,CC4*管理者用人口入力シート!BE$8))</f>
        <v>70.768646786453019</v>
      </c>
      <c r="CE7" s="10">
        <f>IF(管理者入力シート!$B$14=1,CD4*管理者用人口入力シート!BF$4,IF(管理者入力シート!$B$14=2,CD4*管理者用人口入力シート!BF$8))</f>
        <v>14.462466918370895</v>
      </c>
      <c r="CF7" s="10">
        <f t="shared" si="2"/>
        <v>10015.738667331565</v>
      </c>
      <c r="CG7" s="10">
        <f t="shared" si="20"/>
        <v>508.86702918768214</v>
      </c>
      <c r="CH7" s="10">
        <f t="shared" si="21"/>
        <v>279.80962316968453</v>
      </c>
      <c r="CI7" s="10">
        <f t="shared" si="3"/>
        <v>3186.8653498495801</v>
      </c>
      <c r="CJ7" s="10">
        <f t="shared" si="22"/>
        <v>2046.6385312231487</v>
      </c>
      <c r="CK7" s="14">
        <f t="shared" si="23"/>
        <v>0.31818575301332597</v>
      </c>
      <c r="CL7" s="14">
        <f t="shared" si="24"/>
        <v>0.20434224565969258</v>
      </c>
      <c r="CM7" s="10">
        <f t="shared" si="25"/>
        <v>1694.6989195924173</v>
      </c>
      <c r="CO7" s="7" t="str">
        <f t="shared" si="26"/>
        <v>2030_2</v>
      </c>
      <c r="CP7" s="29">
        <f>CP6</f>
        <v>2030</v>
      </c>
      <c r="CQ7" s="4" t="s">
        <v>22</v>
      </c>
      <c r="CR7" s="10">
        <f>DT7*$AK$14+将来予測シート②!$H17</f>
        <v>401.61466636451689</v>
      </c>
      <c r="CS7" s="10">
        <f>IF(管理者入力シート!$B$14=1,CR4*管理者用人口入力シート!AM$4,IF(管理者入力シート!$B$14=2,CR4*管理者用人口入力シート!AM$8))+将来予測シート②!$H18</f>
        <v>396.14510729625806</v>
      </c>
      <c r="CT7" s="10">
        <f>IF(管理者入力シート!$B$14=1,CS4*管理者用人口入力シート!AN$4,IF(管理者入力シート!$B$14=2,CS4*管理者用人口入力シート!AN$8))+将来予測シート②!$H19</f>
        <v>453.89462743045266</v>
      </c>
      <c r="CU7" s="10">
        <f>IF(管理者入力シート!$B$14=1,CT4*管理者用人口入力シート!AO$4,IF(管理者入力シート!$B$14=2,CT4*管理者用人口入力シート!AO$8))+将来予測シート②!$H20</f>
        <v>494.2039746985285</v>
      </c>
      <c r="CV7" s="10">
        <f>IF(管理者入力シート!$B$14=1,CU4*管理者用人口入力シート!AP$4,IF(管理者入力シート!$B$14=2,CU4*管理者用人口入力シート!AP$8))+将来予測シート②!$H21</f>
        <v>370.12960303559379</v>
      </c>
      <c r="CW7" s="10">
        <f>IF(管理者入力シート!$B$14=1,CV4*管理者用人口入力シート!AQ$4,IF(管理者入力シート!$B$14=2,CV4*管理者用人口入力シート!AQ$8))+将来予測シート②!$H22</f>
        <v>419.18338319754025</v>
      </c>
      <c r="CX7" s="10">
        <f>IF(管理者入力シート!$B$14=1,CW4*管理者用人口入力シート!AR$4,IF(管理者入力シート!$B$14=2,CW4*管理者用人口入力シート!AR$8))+将来予測シート②!$H23</f>
        <v>436.50609659644329</v>
      </c>
      <c r="CY7" s="10">
        <f>IF(管理者入力シート!$B$14=1,CX4*管理者用人口入力シート!AS$4,IF(管理者入力シート!$B$14=2,CX4*管理者用人口入力シート!AS$8))+将来予測シート②!$H24</f>
        <v>472.88403557320572</v>
      </c>
      <c r="CZ7" s="10">
        <f>IF(管理者入力シート!$B$14=1,CY4*管理者用人口入力シート!AT$4,IF(管理者入力シート!$B$14=2,CY4*管理者用人口入力シート!AT$8))+将来予測シート②!$H25</f>
        <v>534.48672800972713</v>
      </c>
      <c r="DA7" s="10">
        <f>IF(管理者入力シート!$B$14=1,CZ4*管理者用人口入力シート!AU$4,IF(管理者入力シート!$B$14=2,CZ4*管理者用人口入力シート!AU$8))+将来予測シート②!$H26</f>
        <v>680.37868850374639</v>
      </c>
      <c r="DB7" s="10">
        <f>IF(管理者入力シート!$B$14=1,DA4*管理者用人口入力シート!AV$4,IF(管理者入力シート!$B$14=2,DA4*管理者用人口入力シート!AV$8))+将来予測シート②!$H27</f>
        <v>719.99055165310983</v>
      </c>
      <c r="DC7" s="10">
        <f>IF(管理者入力シート!$B$14=1,DB4*管理者用人口入力シート!AW$4,IF(管理者入力シート!$B$14=2,DB4*管理者用人口入力シート!AW$8))+将来予測シート②!$H28</f>
        <v>795.9330054142215</v>
      </c>
      <c r="DD7" s="10">
        <f>IF(管理者入力シート!$B$14=1,DC4*管理者用人口入力シート!AX$4,IF(管理者入力シート!$B$14=2,DC4*管理者用人口入力シート!AX$8))+将来予測シート②!$H29</f>
        <v>664.36323827915555</v>
      </c>
      <c r="DE7" s="10">
        <f>IF(管理者入力シート!$B$14=1,DD4*管理者用人口入力シート!AY$4,IF(管理者入力シート!$B$14=2,DD4*管理者用人口入力シート!AY$8))</f>
        <v>537.54496654672471</v>
      </c>
      <c r="DF7" s="10">
        <f>IF(管理者入力シート!$B$14=1,DE4*管理者用人口入力シート!AZ$4,IF(管理者入力シート!$B$14=2,DE4*管理者用人口入力シート!AZ$8))</f>
        <v>602.68185207970691</v>
      </c>
      <c r="DG7" s="10">
        <f>IF(管理者入力シート!$B$14=1,DF4*管理者用人口入力シート!BA$4,IF(管理者入力シート!$B$14=2,DF4*管理者用人口入力シート!BA$8))</f>
        <v>668.58088607716093</v>
      </c>
      <c r="DH7" s="10">
        <f>IF(管理者入力シート!$B$14=1,DG4*管理者用人口入力シート!BB$4,IF(管理者入力シート!$B$14=2,DG4*管理者用人口入力シート!BB$8))</f>
        <v>671.11158334952097</v>
      </c>
      <c r="DI7" s="10">
        <f>IF(管理者入力シート!$B$14=1,DH4*管理者用人口入力シート!BC$4,IF(管理者入力シート!$B$14=2,DH4*管理者用人口入力シート!BC$8))</f>
        <v>390.09728708625283</v>
      </c>
      <c r="DJ7" s="10">
        <f>IF(管理者入力シート!$B$14=1,DI4*管理者用人口入力シート!BD$4,IF(管理者入力シート!$B$14=2,DI4*管理者用人口入力シート!BD$8))</f>
        <v>231.61766100539009</v>
      </c>
      <c r="DK7" s="10">
        <f>IF(管理者入力シート!$B$14=1,DJ4*管理者用人口入力シート!BE$4,IF(管理者入力シート!$B$14=2,DJ4*管理者用人口入力シート!BE$8))</f>
        <v>70.768646786453019</v>
      </c>
      <c r="DL7" s="10">
        <f>IF(管理者入力シート!$B$14=1,DK4*管理者用人口入力シート!BF$4,IF(管理者入力シート!$B$14=2,DK4*管理者用人口入力シート!BF$8))</f>
        <v>14.462466918370895</v>
      </c>
      <c r="DM7" s="10">
        <f t="shared" si="69"/>
        <v>10026.579055902079</v>
      </c>
      <c r="DN7" s="10">
        <f t="shared" si="34"/>
        <v>510.02384083602647</v>
      </c>
      <c r="DO7" s="10">
        <f t="shared" si="35"/>
        <v>280.39864591188677</v>
      </c>
      <c r="DP7" s="10">
        <f t="shared" si="6"/>
        <v>3186.8653498495801</v>
      </c>
      <c r="DQ7" s="10">
        <f t="shared" si="36"/>
        <v>2046.6385312231487</v>
      </c>
      <c r="DR7" s="14">
        <f t="shared" si="37"/>
        <v>0.31784174164304357</v>
      </c>
      <c r="DS7" s="14">
        <f t="shared" si="38"/>
        <v>0.2041213179303073</v>
      </c>
      <c r="DT7" s="10">
        <f t="shared" si="70"/>
        <v>1698.703118402783</v>
      </c>
      <c r="DV7" s="7" t="s">
        <v>401</v>
      </c>
      <c r="DW7" s="210">
        <f>(CF12-Y12)/4</f>
        <v>-370.1021304402534</v>
      </c>
      <c r="DX7" s="29">
        <f>DX6</f>
        <v>2030</v>
      </c>
      <c r="DY7" s="4" t="s">
        <v>22</v>
      </c>
      <c r="DZ7" s="10">
        <f>FB7*$AK$14</f>
        <v>549.12093758746721</v>
      </c>
      <c r="EA7" s="10">
        <f>IF(管理者入力シート!$B$14=1,DZ4*管理者用人口入力シート!AM$4,IF(管理者入力シート!$B$14=2,DZ4*管理者用人口入力シート!AM$8))</f>
        <v>395.21708788235088</v>
      </c>
      <c r="EB7" s="10">
        <f>IF(管理者入力シート!$B$14=1,EA4*管理者用人口入力シート!AN$4,IF(管理者入力シート!$B$14=2,EA4*管理者用人口入力シート!AN$8))</f>
        <v>452.89462743045266</v>
      </c>
      <c r="EC7" s="10">
        <f>IF(管理者入力シート!$B$14=1,EB4*管理者用人口入力シート!AO$4,IF(管理者入力シート!$B$14=2,EB4*管理者用人口入力シート!AO$8))</f>
        <v>493.25886098751755</v>
      </c>
      <c r="ED7" s="10">
        <f>IF(管理者入力シート!$B$14=1,EC4*管理者用人口入力シート!AP$4,IF(管理者入力シート!$B$14=2,EC4*管理者用人口入力シート!AP$8))</f>
        <v>370.12960303559379</v>
      </c>
      <c r="EE7" s="10">
        <f>IF(管理者入力シート!$B$14=1,ED4*管理者用人口入力シート!AQ$4,IF(管理者入力シート!$B$14=2,ED4*管理者用人口入力シート!AQ$8))+DX1</f>
        <v>544.18338319754025</v>
      </c>
      <c r="EF7" s="10">
        <f>IF(管理者入力シート!$B$14=1,EE4*管理者用人口入力シート!AR$4,IF(管理者入力シート!$B$14=2,EE4*管理者用人口入力シート!AR$8))+DX1</f>
        <v>688.76852224429967</v>
      </c>
      <c r="EG7" s="10">
        <f>IF(管理者入力シート!$B$14=1,EF4*管理者用人口入力シート!AS$4,IF(管理者入力シート!$B$14=2,EF4*管理者用人口入力シート!AS$8))+DX1</f>
        <v>725.32413259649343</v>
      </c>
      <c r="EH7" s="10">
        <f>IF(管理者入力シート!$B$14=1,EG4*管理者用人口入力シート!AT$4,IF(管理者入力シート!$B$14=2,EG4*管理者用人口入力シート!AT$8))</f>
        <v>657.27384730850952</v>
      </c>
      <c r="EI7" s="10">
        <f>IF(管理者入力シート!$B$14=1,EH4*管理者用人口入力シート!AU$4,IF(管理者入力シート!$B$14=2,EH4*管理者用人口入力シート!AU$8))</f>
        <v>679.3599644909109</v>
      </c>
      <c r="EJ7" s="10">
        <f>IF(管理者入力シート!$B$14=1,EI4*管理者用人口入力シート!AV$4,IF(管理者入力シート!$B$14=2,EI4*管理者用人口入力シート!AV$8))</f>
        <v>719.99055165310983</v>
      </c>
      <c r="EK7" s="10">
        <f>IF(管理者入力シート!$B$14=1,EJ4*管理者用人口入力シート!AW$4,IF(管理者入力シート!$B$14=2,EJ4*管理者用人口入力シート!AW$8))</f>
        <v>795.9330054142215</v>
      </c>
      <c r="EL7" s="10">
        <f>IF(管理者入力シート!$B$14=1,EK4*管理者用人口入力シート!AX$4,IF(管理者入力シート!$B$14=2,EK4*管理者用人口入力シート!AX$8))</f>
        <v>664.36323827915555</v>
      </c>
      <c r="EM7" s="10">
        <f>IF(管理者入力シート!$B$14=1,EL4*管理者用人口入力シート!AY$4,IF(管理者入力シート!$B$14=2,EL4*管理者用人口入力シート!AY$8))</f>
        <v>537.54496654672471</v>
      </c>
      <c r="EN7" s="10">
        <f>IF(管理者入力シート!$B$14=1,EM4*管理者用人口入力シート!AZ$4,IF(管理者入力シート!$B$14=2,EM4*管理者用人口入力シート!AZ$8))</f>
        <v>602.68185207970691</v>
      </c>
      <c r="EO7" s="10">
        <f>IF(管理者入力シート!$B$14=1,EN4*管理者用人口入力シート!BA$4,IF(管理者入力シート!$B$14=2,EN4*管理者用人口入力シート!BA$8))</f>
        <v>668.58088607716093</v>
      </c>
      <c r="EP7" s="10">
        <f>IF(管理者入力シート!$B$14=1,EO4*管理者用人口入力シート!BB$4,IF(管理者入力シート!$B$14=2,EO4*管理者用人口入力シート!BB$8))</f>
        <v>671.11158334952097</v>
      </c>
      <c r="EQ7" s="10">
        <f>IF(管理者入力シート!$B$14=1,EP4*管理者用人口入力シート!BC$4,IF(管理者入力シート!$B$14=2,EP4*管理者用人口入力シート!BC$8))</f>
        <v>390.09728708625283</v>
      </c>
      <c r="ER7" s="10">
        <f>IF(管理者入力シート!$B$14=1,EQ4*管理者用人口入力シート!BD$4,IF(管理者入力シート!$B$14=2,EQ4*管理者用人口入力シート!BD$8))</f>
        <v>231.61766100539009</v>
      </c>
      <c r="ES7" s="10">
        <f>IF(管理者入力シート!$B$14=1,ER4*管理者用人口入力シート!BE$4,IF(管理者入力シート!$B$14=2,ER4*管理者用人口入力シート!BE$8))</f>
        <v>70.768646786453019</v>
      </c>
      <c r="ET7" s="10">
        <f>IF(管理者入力シート!$B$14=1,ES4*管理者用人口入力シート!BF$4,IF(管理者入力シート!$B$14=2,ES4*管理者用人口入力シート!BF$8))</f>
        <v>14.462466918370895</v>
      </c>
      <c r="EU7" s="10">
        <f t="shared" si="71"/>
        <v>10922.683111957203</v>
      </c>
      <c r="EV7" s="10">
        <f t="shared" si="41"/>
        <v>508.86702918768214</v>
      </c>
      <c r="EW7" s="10">
        <f t="shared" si="42"/>
        <v>279.80962316968453</v>
      </c>
      <c r="EX7" s="10">
        <f t="shared" si="10"/>
        <v>3186.8653498495801</v>
      </c>
      <c r="EY7" s="10">
        <f t="shared" si="43"/>
        <v>2046.6385312231487</v>
      </c>
      <c r="EZ7" s="14">
        <f t="shared" si="44"/>
        <v>0.29176579757778354</v>
      </c>
      <c r="FA7" s="14">
        <f t="shared" si="45"/>
        <v>0.18737507169668474</v>
      </c>
      <c r="FB7" s="10">
        <f t="shared" si="72"/>
        <v>2328.4056410739272</v>
      </c>
    </row>
    <row r="8" spans="1:158" x14ac:dyDescent="0.15">
      <c r="A8" s="7" t="str">
        <f t="shared" si="11"/>
        <v>2010_3</v>
      </c>
      <c r="B8" s="30">
        <v>2010</v>
      </c>
      <c r="C8" s="5" t="s">
        <v>23</v>
      </c>
      <c r="D8" s="11">
        <v>1169.920170778712</v>
      </c>
      <c r="E8" s="11">
        <v>1055.2721369289902</v>
      </c>
      <c r="F8" s="11">
        <v>1092.3671214423216</v>
      </c>
      <c r="G8" s="11">
        <v>978.93785463744211</v>
      </c>
      <c r="H8" s="11">
        <v>784.16789335467342</v>
      </c>
      <c r="I8" s="11">
        <v>1215.0669242990784</v>
      </c>
      <c r="J8" s="11">
        <v>1571.4560931467277</v>
      </c>
      <c r="K8" s="11">
        <v>1603.4961539764533</v>
      </c>
      <c r="L8" s="11">
        <v>1373.3235463109534</v>
      </c>
      <c r="M8" s="11">
        <v>1173.4529669390852</v>
      </c>
      <c r="N8" s="11">
        <v>1264.8852729446919</v>
      </c>
      <c r="O8" s="11">
        <v>1495.7145009707542</v>
      </c>
      <c r="P8" s="11">
        <v>1707.1821898750959</v>
      </c>
      <c r="Q8" s="11">
        <v>1209.1698243169092</v>
      </c>
      <c r="R8" s="11">
        <v>995.36505772237092</v>
      </c>
      <c r="S8" s="11">
        <v>789.56120638550146</v>
      </c>
      <c r="T8" s="11">
        <v>481.38769100506227</v>
      </c>
      <c r="U8" s="11">
        <v>279.8678148731039</v>
      </c>
      <c r="V8" s="11">
        <v>85.282930429839624</v>
      </c>
      <c r="W8" s="11">
        <v>25.107157425034579</v>
      </c>
      <c r="X8" s="11">
        <v>3.0154922371991635</v>
      </c>
      <c r="Y8" s="11">
        <f t="shared" si="68"/>
        <v>20354</v>
      </c>
      <c r="Z8" s="11">
        <f t="shared" si="12"/>
        <v>1288.5835550227871</v>
      </c>
      <c r="AA8" s="11">
        <f t="shared" si="13"/>
        <v>632.73441950441702</v>
      </c>
      <c r="AB8" s="11">
        <f t="shared" si="0"/>
        <v>3868.7571743950207</v>
      </c>
      <c r="AC8" s="11">
        <f t="shared" si="14"/>
        <v>1664.2222923557408</v>
      </c>
      <c r="AD8" s="15">
        <f t="shared" si="15"/>
        <v>0.19007355676501034</v>
      </c>
      <c r="AE8" s="15">
        <f t="shared" si="16"/>
        <v>8.1763893699309267E-2</v>
      </c>
      <c r="AF8" s="11">
        <f t="shared" si="17"/>
        <v>5174.1870647769329</v>
      </c>
      <c r="AH8" s="7"/>
      <c r="AI8" s="30" t="s">
        <v>88</v>
      </c>
      <c r="AJ8" s="5">
        <f>AJ7</f>
        <v>2010</v>
      </c>
      <c r="AK8" s="5">
        <f>AK7</f>
        <v>2020</v>
      </c>
      <c r="AL8" s="33" t="s">
        <v>22</v>
      </c>
      <c r="AM8" s="47">
        <f t="shared" si="73"/>
        <v>0.92801941390717546</v>
      </c>
      <c r="AN8" s="47">
        <f t="shared" si="73"/>
        <v>0.99688297463263387</v>
      </c>
      <c r="AO8" s="47">
        <f t="shared" si="73"/>
        <v>0.94511371101093011</v>
      </c>
      <c r="AP8" s="47">
        <f t="shared" si="73"/>
        <v>0.75786023981281214</v>
      </c>
      <c r="AQ8" s="47">
        <f t="shared" si="73"/>
        <v>1.2053525003865524</v>
      </c>
      <c r="AR8" s="47">
        <f t="shared" si="73"/>
        <v>1.0020994051828511</v>
      </c>
      <c r="AS8" s="47">
        <f t="shared" si="73"/>
        <v>0.98771729939596631</v>
      </c>
      <c r="AT8" s="47">
        <f t="shared" si="73"/>
        <v>0.97470172676206579</v>
      </c>
      <c r="AU8" s="47">
        <f t="shared" si="73"/>
        <v>1.0187240128354107</v>
      </c>
      <c r="AV8" s="47">
        <f t="shared" si="73"/>
        <v>0.9502972929841238</v>
      </c>
      <c r="AW8" s="47">
        <f t="shared" si="73"/>
        <v>0.97957522388507323</v>
      </c>
      <c r="AX8" s="47">
        <f t="shared" si="73"/>
        <v>0.97213123978099192</v>
      </c>
      <c r="AY8" s="47">
        <f t="shared" si="73"/>
        <v>0.95648814583636665</v>
      </c>
      <c r="AZ8" s="47">
        <f t="shared" si="73"/>
        <v>0.96162397163025604</v>
      </c>
      <c r="BA8" s="47">
        <f t="shared" si="73"/>
        <v>0.93206849971810046</v>
      </c>
      <c r="BB8" s="47">
        <f t="shared" si="73"/>
        <v>0.88554804149380562</v>
      </c>
      <c r="BC8" s="47">
        <f t="shared" si="73"/>
        <v>0.79009303790556795</v>
      </c>
      <c r="BD8" s="47">
        <f t="shared" si="73"/>
        <v>0.64798839013372422</v>
      </c>
      <c r="BE8" s="47">
        <f t="shared" si="73"/>
        <v>0.36668425995452875</v>
      </c>
      <c r="BF8" s="47">
        <f t="shared" si="73"/>
        <v>0.25928435445988901</v>
      </c>
      <c r="BH8" s="7" t="str">
        <f t="shared" si="19"/>
        <v>2030_3</v>
      </c>
      <c r="BI8" s="30">
        <f>BI7</f>
        <v>2030</v>
      </c>
      <c r="BJ8" s="5" t="s">
        <v>23</v>
      </c>
      <c r="BK8" s="16">
        <f>BK6+BK7</f>
        <v>803.22827463862291</v>
      </c>
      <c r="BL8" s="16">
        <f t="shared" ref="BL8" si="74">BL6+BL7</f>
        <v>813.83957866481728</v>
      </c>
      <c r="BM8" s="16">
        <f t="shared" ref="BM8" si="75">BM6+BM7</f>
        <v>941.21610521171942</v>
      </c>
      <c r="BN8" s="16">
        <f t="shared" ref="BN8" si="76">BN6+BN7</f>
        <v>994.72747835757298</v>
      </c>
      <c r="BO8" s="16">
        <f t="shared" ref="BO8" si="77">BO6+BO7</f>
        <v>670.74554999735187</v>
      </c>
      <c r="BP8" s="16">
        <f t="shared" ref="BP8" si="78">BP6+BP7</f>
        <v>790.81543887698956</v>
      </c>
      <c r="BQ8" s="16">
        <f t="shared" ref="BQ8" si="79">BQ6+BQ7</f>
        <v>887.56940906665511</v>
      </c>
      <c r="BR8" s="16">
        <f t="shared" ref="BR8" si="80">BR6+BR7</f>
        <v>906.64074160695623</v>
      </c>
      <c r="BS8" s="16">
        <f t="shared" ref="BS8" si="81">BS6+BS7</f>
        <v>1046.0783439172264</v>
      </c>
      <c r="BT8" s="16">
        <f t="shared" ref="BT8" si="82">BT6+BT7</f>
        <v>1242.1356478880607</v>
      </c>
      <c r="BU8" s="16">
        <f t="shared" ref="BU8" si="83">BU6+BU7</f>
        <v>1402.5789127461362</v>
      </c>
      <c r="BV8" s="16">
        <f t="shared" ref="BV8" si="84">BV6+BV7</f>
        <v>1531.9812267380848</v>
      </c>
      <c r="BW8" s="16">
        <f t="shared" ref="BW8" si="85">BW6+BW7</f>
        <v>1221.235732529788</v>
      </c>
      <c r="BX8" s="16">
        <f t="shared" ref="BX8" si="86">BX6+BX7</f>
        <v>1024.5222348933348</v>
      </c>
      <c r="BY8" s="16">
        <f t="shared" ref="BY8" si="87">BY6+BY7</f>
        <v>1071.8353851306003</v>
      </c>
      <c r="BZ8" s="16">
        <f t="shared" ref="BZ8" si="88">BZ6+BZ7</f>
        <v>1206.6063110915056</v>
      </c>
      <c r="CA8" s="16">
        <f t="shared" ref="CA8" si="89">CA6+CA7</f>
        <v>1196.9056077974185</v>
      </c>
      <c r="CB8" s="16">
        <f t="shared" ref="CB8" si="90">CB6+CB7</f>
        <v>642.8128673858788</v>
      </c>
      <c r="CC8" s="16">
        <f t="shared" ref="CC8" si="91">CC6+CC7</f>
        <v>332.53218813558505</v>
      </c>
      <c r="CD8" s="16">
        <f t="shared" ref="CD8" si="92">CD6+CD7</f>
        <v>100.88187980480599</v>
      </c>
      <c r="CE8" s="16">
        <f t="shared" ref="CE8" si="93">CE6+CE7</f>
        <v>14.773588828557088</v>
      </c>
      <c r="CF8" s="11">
        <f t="shared" si="2"/>
        <v>18843.662503307663</v>
      </c>
      <c r="CG8" s="11">
        <f t="shared" si="20"/>
        <v>1053.033410325922</v>
      </c>
      <c r="CH8" s="11">
        <f t="shared" si="21"/>
        <v>575.43193775620239</v>
      </c>
      <c r="CI8" s="11">
        <f t="shared" si="3"/>
        <v>5590.8700630676858</v>
      </c>
      <c r="CJ8" s="11">
        <f t="shared" si="22"/>
        <v>3494.5124430437504</v>
      </c>
      <c r="CK8" s="15">
        <f t="shared" si="23"/>
        <v>0.29669763306821645</v>
      </c>
      <c r="CL8" s="15">
        <f t="shared" si="24"/>
        <v>0.18544762423071162</v>
      </c>
      <c r="CM8" s="11">
        <f t="shared" si="25"/>
        <v>3255.7711395479528</v>
      </c>
      <c r="CO8" s="7" t="str">
        <f t="shared" si="26"/>
        <v>2030_3</v>
      </c>
      <c r="CP8" s="30">
        <f>CP7</f>
        <v>2030</v>
      </c>
      <c r="CQ8" s="5" t="s">
        <v>23</v>
      </c>
      <c r="CR8" s="16">
        <f>CR6+CR7</f>
        <v>807.12612543948012</v>
      </c>
      <c r="CS8" s="16">
        <f t="shared" ref="CS8" si="94">CS6+CS7</f>
        <v>815.74110696684397</v>
      </c>
      <c r="CT8" s="16">
        <f t="shared" ref="CT8" si="95">CT6+CT7</f>
        <v>943.21610521171942</v>
      </c>
      <c r="CU8" s="16">
        <f t="shared" ref="CU8" si="96">CU6+CU7</f>
        <v>996.56054421640044</v>
      </c>
      <c r="CV8" s="16">
        <f t="shared" ref="CV8" si="97">CV6+CV7</f>
        <v>670.74554999735187</v>
      </c>
      <c r="CW8" s="16">
        <f t="shared" ref="CW8" si="98">CW6+CW7</f>
        <v>794.81543887698956</v>
      </c>
      <c r="CX8" s="16">
        <f t="shared" ref="CX8" si="99">CX6+CX7</f>
        <v>891.76238803670753</v>
      </c>
      <c r="CY8" s="16">
        <f t="shared" ref="CY8" si="100">CY6+CY7</f>
        <v>906.64074160695623</v>
      </c>
      <c r="CZ8" s="16">
        <f t="shared" ref="CZ8" si="101">CZ6+CZ7</f>
        <v>1047.0783439172264</v>
      </c>
      <c r="DA8" s="16">
        <f t="shared" ref="DA8" si="102">DA6+DA7</f>
        <v>1243.154371900896</v>
      </c>
      <c r="DB8" s="16">
        <f t="shared" ref="DB8" si="103">DB6+DB7</f>
        <v>1402.5789127461362</v>
      </c>
      <c r="DC8" s="16">
        <f t="shared" ref="DC8" si="104">DC6+DC7</f>
        <v>1531.9812267380848</v>
      </c>
      <c r="DD8" s="16">
        <f t="shared" ref="DD8" si="105">DD6+DD7</f>
        <v>1221.235732529788</v>
      </c>
      <c r="DE8" s="16">
        <f t="shared" ref="DE8" si="106">DE6+DE7</f>
        <v>1024.5222348933348</v>
      </c>
      <c r="DF8" s="16">
        <f t="shared" ref="DF8" si="107">DF6+DF7</f>
        <v>1071.8353851306003</v>
      </c>
      <c r="DG8" s="16">
        <f t="shared" ref="DG8" si="108">DG6+DG7</f>
        <v>1206.6063110915056</v>
      </c>
      <c r="DH8" s="16">
        <f t="shared" ref="DH8" si="109">DH6+DH7</f>
        <v>1196.9056077974185</v>
      </c>
      <c r="DI8" s="16">
        <f t="shared" ref="DI8" si="110">DI6+DI7</f>
        <v>642.8128673858788</v>
      </c>
      <c r="DJ8" s="16">
        <f t="shared" ref="DJ8" si="111">DJ6+DJ7</f>
        <v>332.53218813558505</v>
      </c>
      <c r="DK8" s="16">
        <f t="shared" ref="DK8" si="112">DK6+DK7</f>
        <v>100.88187980480599</v>
      </c>
      <c r="DL8" s="16">
        <f t="shared" ref="DL8" si="113">DL6+DL7</f>
        <v>14.773588828557088</v>
      </c>
      <c r="DM8" s="11">
        <f t="shared" si="69"/>
        <v>18863.506651252268</v>
      </c>
      <c r="DN8" s="11">
        <f t="shared" si="34"/>
        <v>1055.3743273071379</v>
      </c>
      <c r="DO8" s="11">
        <f t="shared" si="35"/>
        <v>576.59855092796784</v>
      </c>
      <c r="DP8" s="11">
        <f t="shared" si="6"/>
        <v>5590.8700630676858</v>
      </c>
      <c r="DQ8" s="11">
        <f t="shared" si="36"/>
        <v>3494.5124430437504</v>
      </c>
      <c r="DR8" s="15">
        <f t="shared" si="37"/>
        <v>0.29638551126423418</v>
      </c>
      <c r="DS8" s="15">
        <f t="shared" si="38"/>
        <v>0.18525253589643495</v>
      </c>
      <c r="DT8" s="11">
        <f t="shared" si="70"/>
        <v>3263.9641185180053</v>
      </c>
      <c r="DV8" s="7" t="s">
        <v>402</v>
      </c>
      <c r="DW8" s="210">
        <f>(CF13-Y13)/4</f>
        <v>-389.40141266979845</v>
      </c>
      <c r="DX8" s="30">
        <f>DX7</f>
        <v>2030</v>
      </c>
      <c r="DY8" s="5" t="s">
        <v>23</v>
      </c>
      <c r="DZ8" s="16">
        <f>DZ6+DZ7</f>
        <v>1103.5831935199728</v>
      </c>
      <c r="EA8" s="16">
        <f t="shared" ref="EA8:ET8" si="114">EA6+EA7</f>
        <v>813.83957866481728</v>
      </c>
      <c r="EB8" s="16">
        <f t="shared" si="114"/>
        <v>941.21610521171942</v>
      </c>
      <c r="EC8" s="16">
        <f t="shared" si="114"/>
        <v>994.72747835757298</v>
      </c>
      <c r="ED8" s="16">
        <f t="shared" si="114"/>
        <v>670.74554999735187</v>
      </c>
      <c r="EE8" s="16">
        <f t="shared" si="114"/>
        <v>1044.8154388769894</v>
      </c>
      <c r="EF8" s="16">
        <f t="shared" si="114"/>
        <v>1407.8235736649895</v>
      </c>
      <c r="EG8" s="16">
        <f t="shared" si="114"/>
        <v>1412.2857309277545</v>
      </c>
      <c r="EH8" s="16">
        <f t="shared" si="114"/>
        <v>1296.7122540660393</v>
      </c>
      <c r="EI8" s="16">
        <f t="shared" si="114"/>
        <v>1242.1356478880607</v>
      </c>
      <c r="EJ8" s="16">
        <f t="shared" si="114"/>
        <v>1402.5789127461362</v>
      </c>
      <c r="EK8" s="16">
        <f t="shared" si="114"/>
        <v>1531.9812267380848</v>
      </c>
      <c r="EL8" s="16">
        <f t="shared" si="114"/>
        <v>1221.235732529788</v>
      </c>
      <c r="EM8" s="16">
        <f t="shared" si="114"/>
        <v>1024.5222348933348</v>
      </c>
      <c r="EN8" s="16">
        <f t="shared" si="114"/>
        <v>1071.8353851306003</v>
      </c>
      <c r="EO8" s="16">
        <f t="shared" si="114"/>
        <v>1206.6063110915056</v>
      </c>
      <c r="EP8" s="16">
        <f t="shared" si="114"/>
        <v>1196.9056077974185</v>
      </c>
      <c r="EQ8" s="16">
        <f t="shared" si="114"/>
        <v>642.8128673858788</v>
      </c>
      <c r="ER8" s="16">
        <f t="shared" si="114"/>
        <v>332.53218813558505</v>
      </c>
      <c r="ES8" s="16">
        <f t="shared" si="114"/>
        <v>100.88187980480599</v>
      </c>
      <c r="ET8" s="16">
        <f t="shared" si="114"/>
        <v>14.773588828557088</v>
      </c>
      <c r="EU8" s="11">
        <f t="shared" si="71"/>
        <v>20674.550486256965</v>
      </c>
      <c r="EV8" s="11">
        <f t="shared" si="41"/>
        <v>1053.033410325922</v>
      </c>
      <c r="EW8" s="11">
        <f t="shared" si="42"/>
        <v>575.43193775620239</v>
      </c>
      <c r="EX8" s="11">
        <f t="shared" si="10"/>
        <v>5590.8700630676858</v>
      </c>
      <c r="EY8" s="11">
        <f t="shared" si="43"/>
        <v>3494.5124430437504</v>
      </c>
      <c r="EZ8" s="15">
        <f t="shared" si="44"/>
        <v>0.27042281121343442</v>
      </c>
      <c r="FA8" s="15">
        <f t="shared" si="45"/>
        <v>0.16902483298810606</v>
      </c>
      <c r="FB8" s="11">
        <f t="shared" si="72"/>
        <v>4535.6702934670848</v>
      </c>
    </row>
    <row r="9" spans="1:158" x14ac:dyDescent="0.15">
      <c r="A9" s="7" t="str">
        <f t="shared" si="11"/>
        <v>2015_1</v>
      </c>
      <c r="B9" s="28">
        <v>2015</v>
      </c>
      <c r="C9" s="3" t="s">
        <v>21</v>
      </c>
      <c r="D9" s="9">
        <v>561.6362948600646</v>
      </c>
      <c r="E9" s="9">
        <v>565.04157421033949</v>
      </c>
      <c r="F9" s="9">
        <v>548.80407317240588</v>
      </c>
      <c r="G9" s="9">
        <v>530.48167361004005</v>
      </c>
      <c r="H9" s="9">
        <v>304.68683939167067</v>
      </c>
      <c r="I9" s="9">
        <v>440.75052616258404</v>
      </c>
      <c r="J9" s="9">
        <v>563.85730758665477</v>
      </c>
      <c r="K9" s="9">
        <v>715.60598564171539</v>
      </c>
      <c r="L9" s="9">
        <v>766.202314447292</v>
      </c>
      <c r="M9" s="9">
        <v>623.97824127060733</v>
      </c>
      <c r="N9" s="9">
        <v>544.59889038746155</v>
      </c>
      <c r="O9" s="9">
        <v>567.25601422967543</v>
      </c>
      <c r="P9" s="9">
        <v>683.71622854496036</v>
      </c>
      <c r="Q9" s="9">
        <v>771.05227697376358</v>
      </c>
      <c r="R9" s="9">
        <v>530.7975642912902</v>
      </c>
      <c r="S9" s="9">
        <v>406.6676640865719</v>
      </c>
      <c r="T9" s="9">
        <v>296.56424588168619</v>
      </c>
      <c r="U9" s="9">
        <v>136.56714150724656</v>
      </c>
      <c r="V9" s="9">
        <v>45.631194631162657</v>
      </c>
      <c r="W9" s="9">
        <v>7.103949112807415</v>
      </c>
      <c r="X9" s="9">
        <v>1</v>
      </c>
      <c r="Y9" s="9">
        <f t="shared" si="68"/>
        <v>9612</v>
      </c>
      <c r="Z9" s="9">
        <f t="shared" si="12"/>
        <v>668.30738842964729</v>
      </c>
      <c r="AA9" s="9">
        <f t="shared" si="13"/>
        <v>325.61796399097034</v>
      </c>
      <c r="AB9" s="9">
        <f t="shared" si="0"/>
        <v>2195.3840364845287</v>
      </c>
      <c r="AC9" s="9">
        <f t="shared" si="14"/>
        <v>893.53419521947478</v>
      </c>
      <c r="AD9" s="13">
        <f t="shared" si="15"/>
        <v>0.22840033671291393</v>
      </c>
      <c r="AE9" s="13">
        <f t="shared" si="16"/>
        <v>9.2960278320794301E-2</v>
      </c>
      <c r="AF9" s="9">
        <f t="shared" si="17"/>
        <v>2024.9006587826248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397.00539183868926</v>
      </c>
      <c r="BL9" s="9">
        <f>IF(管理者入力シート!$B$14=1,BK6*管理者用人口入力シート!AM$3,IF(管理者入力シート!$B$14=2,BK6*管理者用人口入力シート!AM$7))</f>
        <v>392.86724233399821</v>
      </c>
      <c r="BM9" s="9">
        <f>IF(管理者入力シート!$B$14=1,BL6*管理者用人口入力シート!AN$3,IF(管理者入力シート!$B$14=2,BL6*管理者用人口入力シート!AN$7))</f>
        <v>424.80395370914482</v>
      </c>
      <c r="BN9" s="9">
        <f>IF(管理者入力シート!$B$14=1,BM6*管理者用人口入力シート!AO$3,IF(管理者入力シート!$B$14=2,BM6*管理者用人口入力シート!AO$7))</f>
        <v>433.60610502081931</v>
      </c>
      <c r="BO9" s="9">
        <f>IF(管理者入力シート!$B$14=1,BN6*管理者用人口入力シート!AP$3,IF(管理者入力シート!$B$14=2,BN6*管理者用人口入力シート!AP$7))</f>
        <v>304.20157643491609</v>
      </c>
      <c r="BP9" s="9">
        <f>IF(管理者入力シート!$B$14=1,BO6*管理者用人口入力シート!AQ$3,IF(管理者入力シート!$B$14=2,BO6*管理者用人口入力シート!AQ$7))</f>
        <v>393.01416542221062</v>
      </c>
      <c r="BQ9" s="9">
        <f>IF(管理者入力シート!$B$14=1,BP6*管理者用人口入力シート!AR$3,IF(管理者入力シート!$B$14=2,BP6*管理者用人口入力シート!AR$7))</f>
        <v>408.89921524708745</v>
      </c>
      <c r="BR9" s="9">
        <f>IF(管理者入力シート!$B$14=1,BQ6*管理者用人口入力シート!AS$3,IF(管理者入力シート!$B$14=2,BQ6*管理者用人口入力シート!AS$7))</f>
        <v>450.23099578477536</v>
      </c>
      <c r="BS9" s="9">
        <f>IF(管理者入力シート!$B$14=1,BR6*管理者用人口入力シート!AT$3,IF(管理者入力シート!$B$14=2,BR6*管理者用人口入力シート!AT$7))</f>
        <v>433.23343440993131</v>
      </c>
      <c r="BT9" s="9">
        <f>IF(管理者入力シート!$B$14=1,BS6*管理者用人口入力シート!AU$3,IF(管理者入力シート!$B$14=2,BS6*管理者用人口入力シート!AU$7))</f>
        <v>505.40845334080899</v>
      </c>
      <c r="BU9" s="9">
        <f>IF(管理者入力シート!$B$14=1,BT6*管理者用人口入力シート!AV$3,IF(管理者入力シート!$B$14=2,BT6*管理者用人口入力シート!AV$7))</f>
        <v>541.9736023870521</v>
      </c>
      <c r="BV9" s="9">
        <f>IF(管理者入力シート!$B$14=1,BU6*管理者用人口入力シート!AW$3,IF(管理者入力シート!$B$14=2,BU6*管理者用人口入力シート!AW$7))</f>
        <v>669.34968031510243</v>
      </c>
      <c r="BW9" s="9">
        <f>IF(管理者入力シート!$B$14=1,BV6*管理者用人口入力シート!AX$3,IF(管理者入力シート!$B$14=2,BV6*管理者用人口入力シート!AX$7))</f>
        <v>709.47533974034104</v>
      </c>
      <c r="BX9" s="9">
        <f>IF(管理者入力シート!$B$14=1,BW6*管理者用人口入力シート!AY$3,IF(管理者入力シート!$B$14=2,BW6*管理者用人口入力シート!AY$7))</f>
        <v>525.74630597790429</v>
      </c>
      <c r="BY9" s="9">
        <f>IF(管理者入力シート!$B$14=1,BX6*管理者用人口入力シート!AZ$3,IF(管理者入力シート!$B$14=2,BX6*管理者用人口入力シート!AZ$7))</f>
        <v>453.60226477544683</v>
      </c>
      <c r="BZ9" s="9">
        <f>IF(管理者入力シート!$B$14=1,BY6*管理者用人口入力シート!BA$3,IF(管理者入力シート!$B$14=2,BY6*管理者用人口入力シート!BA$7))</f>
        <v>417.4090372612585</v>
      </c>
      <c r="CA9" s="9">
        <f>IF(管理者入力シート!$B$14=1,BZ6*管理者用人口入力シート!BB$3,IF(管理者入力シート!$B$14=2,BZ6*管理者用人口入力シート!BB$7))</f>
        <v>445.54450793508039</v>
      </c>
      <c r="CB9" s="9">
        <f>IF(管理者入力シート!$B$14=1,CA6*管理者用人口入力シート!BC$3,IF(管理者入力シート!$B$14=2,CA6*管理者用人口入力シート!BC$7))</f>
        <v>340.72929289924895</v>
      </c>
      <c r="CC9" s="9">
        <f>IF(管理者入力シート!$B$14=1,CB6*管理者用人口入力シート!BD$3,IF(管理者入力シート!$B$14=2,CB6*管理者用人口入力シート!BD$7))</f>
        <v>116.46599780974906</v>
      </c>
      <c r="CD9" s="9">
        <f>IF(管理者入力シート!$B$14=1,CC6*管理者用人口入力シート!BE$3,IF(管理者入力シート!$B$14=2,CC6*管理者用人口入力シート!BE$7))</f>
        <v>35.868498100983714</v>
      </c>
      <c r="CE9" s="9">
        <f>IF(管理者入力シート!$B$14=1,CD6*管理者用人口入力シート!BF$3,IF(管理者入力シート!$B$14=2,CD6*管理者用人口入力シート!BF$7))</f>
        <v>0.47496689736538461</v>
      </c>
      <c r="CF9" s="9">
        <f t="shared" si="2"/>
        <v>8399.910027641914</v>
      </c>
      <c r="CG9" s="9">
        <f t="shared" si="20"/>
        <v>490.60271762588582</v>
      </c>
      <c r="CH9" s="9">
        <f t="shared" si="21"/>
        <v>256.64280248782177</v>
      </c>
      <c r="CI9" s="9">
        <f t="shared" si="3"/>
        <v>2335.840871657037</v>
      </c>
      <c r="CJ9" s="9">
        <f t="shared" si="22"/>
        <v>1356.4923009036861</v>
      </c>
      <c r="CK9" s="13">
        <f t="shared" si="23"/>
        <v>0.27807927275058825</v>
      </c>
      <c r="CL9" s="13">
        <f t="shared" si="24"/>
        <v>0.16148890838590219</v>
      </c>
      <c r="CM9" s="9">
        <f t="shared" si="25"/>
        <v>1556.3459528889896</v>
      </c>
      <c r="CO9" s="7" t="str">
        <f t="shared" si="26"/>
        <v>2035_1</v>
      </c>
      <c r="CP9" s="28">
        <f>管理者入力シート!B10</f>
        <v>2035</v>
      </c>
      <c r="CQ9" s="3" t="s">
        <v>21</v>
      </c>
      <c r="CR9" s="9">
        <f>DT10*$AK$13+将来予測シート②!$G17</f>
        <v>399.60087067693883</v>
      </c>
      <c r="CS9" s="9">
        <f>IF(管理者入力シート!$B$14=1,CR6*管理者用人口入力シート!AM$3,IF(管理者入力シート!$B$14=2,CR6*管理者用人口入力シート!AM$7))+将来予測シート②!$G18</f>
        <v>394.76900964383435</v>
      </c>
      <c r="CT9" s="9">
        <f>IF(管理者入力シート!$B$14=1,CS6*管理者用人口入力シート!AN$3,IF(管理者入力シート!$B$14=2,CS6*管理者用人口入力シート!AN$7))+将来予測シート②!$G19</f>
        <v>426.79183762305314</v>
      </c>
      <c r="CU9" s="9">
        <f>IF(管理者入力シート!$B$14=1,CT6*管理者用人口入力シート!AO$3,IF(管理者入力シート!$B$14=2,CT6*管理者用人口入力シート!AO$7))+将来予測シート②!$G20</f>
        <v>434.49405716863583</v>
      </c>
      <c r="CV9" s="9">
        <f>IF(管理者入力シート!$B$14=1,CU6*管理者用人口入力シート!AP$3,IF(管理者入力シート!$B$14=2,CU6*管理者用人口入力シート!AP$7))+将来予測シート②!$G21</f>
        <v>304.74022717757106</v>
      </c>
      <c r="CW9" s="9">
        <f>IF(管理者入力シート!$B$14=1,CV6*管理者用人口入力シート!AQ$3,IF(管理者入力シート!$B$14=2,CV6*管理者用人口入力シート!AQ$7))+将来予測シート②!$G22</f>
        <v>395.01416542221062</v>
      </c>
      <c r="CX9" s="9">
        <f>IF(管理者入力シート!$B$14=1,CW6*管理者用人口入力シート!AR$3,IF(管理者入力シート!$B$14=2,CW6*管理者用人口入力シート!AR$7))+将来予測シート②!$G23</f>
        <v>411.08799540677427</v>
      </c>
      <c r="CY9" s="9">
        <f>IF(管理者入力シート!$B$14=1,CX6*管理者用人口入力シート!AS$3,IF(管理者入力シート!$B$14=2,CX6*管理者用人口入力シート!AS$7))+将来予測シート②!$G24</f>
        <v>452.40607266915487</v>
      </c>
      <c r="CZ9" s="9">
        <f>IF(管理者入力シート!$B$14=1,CY6*管理者用人口入力シート!AT$3,IF(管理者入力シート!$B$14=2,CY6*管理者用人口入力シート!AT$7))+将来予測シート②!$G25</f>
        <v>433.23343440993131</v>
      </c>
      <c r="DA9" s="9">
        <f>IF(管理者入力シート!$B$14=1,CZ6*管理者用人口入力シート!AU$3,IF(管理者入力シート!$B$14=2,CZ6*管理者用人口入力シート!AU$7))+将来予測シート②!$G26</f>
        <v>505.40845334080899</v>
      </c>
      <c r="DB9" s="9">
        <f>IF(管理者入力シート!$B$14=1,DA6*管理者用人口入力シート!AV$3,IF(管理者入力シート!$B$14=2,DA6*管理者用人口入力シート!AV$7))+将来予測シート②!$G27</f>
        <v>541.9736023870521</v>
      </c>
      <c r="DC9" s="9">
        <f>IF(管理者入力シート!$B$14=1,DB6*管理者用人口入力シート!AW$3,IF(管理者入力シート!$B$14=2,DB6*管理者用人口入力シート!AW$7))+将来予測シート②!$G28</f>
        <v>669.34968031510243</v>
      </c>
      <c r="DD9" s="9">
        <f>IF(管理者入力シート!$B$14=1,DC6*管理者用人口入力シート!AX$3,IF(管理者入力シート!$B$14=2,DC6*管理者用人口入力シート!AX$7))+将来予測シート②!$G29</f>
        <v>709.47533974034104</v>
      </c>
      <c r="DE9" s="9">
        <f>IF(管理者入力シート!$B$14=1,DD6*管理者用人口入力シート!AY$3,IF(管理者入力シート!$B$14=2,DD6*管理者用人口入力シート!AY$7))</f>
        <v>525.74630597790429</v>
      </c>
      <c r="DF9" s="9">
        <f>IF(管理者入力シート!$B$14=1,DE6*管理者用人口入力シート!AZ$3,IF(管理者入力シート!$B$14=2,DE6*管理者用人口入力シート!AZ$7))</f>
        <v>453.60226477544683</v>
      </c>
      <c r="DG9" s="9">
        <f>IF(管理者入力シート!$B$14=1,DF6*管理者用人口入力シート!BA$3,IF(管理者入力シート!$B$14=2,DF6*管理者用人口入力シート!BA$7))</f>
        <v>417.4090372612585</v>
      </c>
      <c r="DH9" s="9">
        <f>IF(管理者入力シート!$B$14=1,DG6*管理者用人口入力シート!BB$3,IF(管理者入力シート!$B$14=2,DG6*管理者用人口入力シート!BB$7))</f>
        <v>445.54450793508039</v>
      </c>
      <c r="DI9" s="9">
        <f>IF(管理者入力シート!$B$14=1,DH6*管理者用人口入力シート!BC$3,IF(管理者入力シート!$B$14=2,DH6*管理者用人口入力シート!BC$7))</f>
        <v>340.72929289924895</v>
      </c>
      <c r="DJ9" s="9">
        <f>IF(管理者入力シート!$B$14=1,DI6*管理者用人口入力シート!BD$3,IF(管理者入力シート!$B$14=2,DI6*管理者用人口入力シート!BD$7))</f>
        <v>116.46599780974906</v>
      </c>
      <c r="DK9" s="9">
        <f>IF(管理者入力シート!$B$14=1,DJ6*管理者用人口入力シート!BE$3,IF(管理者入力シート!$B$14=2,DJ6*管理者用人口入力シート!BE$7))</f>
        <v>35.868498100983714</v>
      </c>
      <c r="DL9" s="9">
        <f>IF(管理者入力シート!$B$14=1,DK6*管理者用人口入力シート!BF$3,IF(管理者入力シート!$B$14=2,DK6*管理者用人口入力シート!BF$7))</f>
        <v>0.47496689736538461</v>
      </c>
      <c r="DM9" s="9">
        <f t="shared" si="69"/>
        <v>8414.1856176384445</v>
      </c>
      <c r="DN9" s="9">
        <f t="shared" si="34"/>
        <v>492.93650836013251</v>
      </c>
      <c r="DO9" s="9">
        <f t="shared" si="35"/>
        <v>257.61554648294839</v>
      </c>
      <c r="DP9" s="9">
        <f t="shared" si="6"/>
        <v>2335.840871657037</v>
      </c>
      <c r="DQ9" s="9">
        <f t="shared" si="36"/>
        <v>1356.4923009036861</v>
      </c>
      <c r="DR9" s="13">
        <f t="shared" si="37"/>
        <v>0.2776074807240374</v>
      </c>
      <c r="DS9" s="13">
        <f t="shared" si="38"/>
        <v>0.16121492471714738</v>
      </c>
      <c r="DT9" s="9">
        <f t="shared" si="70"/>
        <v>1563.2484606757107</v>
      </c>
      <c r="DV9" s="7" t="s">
        <v>403</v>
      </c>
      <c r="DW9" s="210">
        <f>DW7+DW8</f>
        <v>-759.50354311005185</v>
      </c>
      <c r="DX9" s="28">
        <f>管理者入力シート!B10</f>
        <v>2035</v>
      </c>
      <c r="DY9" s="3" t="s">
        <v>21</v>
      </c>
      <c r="DZ9" s="9">
        <f>FB10*$AK$13</f>
        <v>577.84341574315908</v>
      </c>
      <c r="EA9" s="129">
        <f>IF(管理者入力シート!$B$14=1,DZ6*管理者用人口入力シート!AM$3,IF(管理者入力シート!$B$14=2,DZ6*管理者用人口入力シート!AM$7))</f>
        <v>539.77393427715265</v>
      </c>
      <c r="EB9" s="9">
        <f>IF(管理者入力シート!$B$14=1,EA6*管理者用人口入力シート!AN$3,IF(管理者入力シート!$B$14=2,EA6*管理者用人口入力シート!AN$7))</f>
        <v>424.80395370914482</v>
      </c>
      <c r="EC9" s="9">
        <f>IF(管理者入力シート!$B$14=1,EB6*管理者用人口入力シート!AO$3,IF(管理者入力シート!$B$14=2,EB6*管理者用人口入力シート!AO$7))</f>
        <v>433.60610502081931</v>
      </c>
      <c r="ED9" s="9">
        <f>IF(管理者入力シート!$B$14=1,EC6*管理者用人口入力シート!AP$3,IF(管理者入力シート!$B$14=2,EC6*管理者用人口入力シート!AP$7))</f>
        <v>304.20157643491609</v>
      </c>
      <c r="EE9" s="9">
        <f>IF(管理者入力シート!$B$14=1,ED6*管理者用人口入力シート!AQ$3,IF(管理者入力シート!$B$14=2,ED6*管理者用人口入力シート!AQ$7))+DX1</f>
        <v>520.01416542221068</v>
      </c>
      <c r="EF9" s="9">
        <f>IF(管理者入力シート!$B$14=1,EE6*管理者用人口入力シート!AR$3,IF(管理者入力シート!$B$14=2,EE6*管理者用人口入力シート!AR$7))+DX1</f>
        <v>674.88675538719974</v>
      </c>
      <c r="EG9" s="9">
        <f>IF(管理者入力シート!$B$14=1,EF6*管理者用人口入力シート!AS$3,IF(管理者入力シート!$B$14=2,EF6*管理者用人口入力シート!AS$7))+DX1</f>
        <v>841.55327024038672</v>
      </c>
      <c r="EH9" s="9">
        <f>IF(管理者入力シート!$B$14=1,EG6*管理者用人口入力シート!AT$3,IF(管理者入力シート!$B$14=2,EG6*管理者用人口入力シート!AT$7))</f>
        <v>686.13286760258336</v>
      </c>
      <c r="EI9" s="9">
        <f>IF(管理者入力シート!$B$14=1,EH6*管理者用人口入力シート!AU$3,IF(管理者入力シート!$B$14=2,EH6*管理者用人口入力シート!AU$7))</f>
        <v>630.47768659632902</v>
      </c>
      <c r="EJ9" s="9">
        <f>IF(管理者入力シート!$B$14=1,EI6*管理者用人口入力シート!AV$3,IF(管理者入力シート!$B$14=2,EI6*管理者用人口入力シート!AV$7))</f>
        <v>541.9736023870521</v>
      </c>
      <c r="EK9" s="9">
        <f>IF(管理者入力シート!$B$14=1,EJ6*管理者用人口入力シート!AW$3,IF(管理者入力シート!$B$14=2,EJ6*管理者用人口入力シート!AW$7))</f>
        <v>669.34968031510243</v>
      </c>
      <c r="EL9" s="9">
        <f>IF(管理者入力シート!$B$14=1,EK6*管理者用人口入力シート!AX$3,IF(管理者入力シート!$B$14=2,EK6*管理者用人口入力シート!AX$7))</f>
        <v>709.47533974034104</v>
      </c>
      <c r="EM9" s="9">
        <f>IF(管理者入力シート!$B$14=1,EL6*管理者用人口入力シート!AY$3,IF(管理者入力シート!$B$14=2,EL6*管理者用人口入力シート!AY$7))</f>
        <v>525.74630597790429</v>
      </c>
      <c r="EN9" s="9">
        <f>IF(管理者入力シート!$B$14=1,EM6*管理者用人口入力シート!AZ$3,IF(管理者入力シート!$B$14=2,EM6*管理者用人口入力シート!AZ$7))</f>
        <v>453.60226477544683</v>
      </c>
      <c r="EO9" s="9">
        <f>IF(管理者入力シート!$B$14=1,EN6*管理者用人口入力シート!BA$3,IF(管理者入力シート!$B$14=2,EN6*管理者用人口入力シート!BA$7))</f>
        <v>417.4090372612585</v>
      </c>
      <c r="EP9" s="9">
        <f>IF(管理者入力シート!$B$14=1,EO6*管理者用人口入力シート!BB$3,IF(管理者入力シート!$B$14=2,EO6*管理者用人口入力シート!BB$7))</f>
        <v>445.54450793508039</v>
      </c>
      <c r="EQ9" s="9">
        <f>IF(管理者入力シート!$B$14=1,EP6*管理者用人口入力シート!BC$3,IF(管理者入力シート!$B$14=2,EP6*管理者用人口入力シート!BC$7))</f>
        <v>340.72929289924895</v>
      </c>
      <c r="ER9" s="9">
        <f>IF(管理者入力シート!$B$14=1,EQ6*管理者用人口入力シート!BD$3,IF(管理者入力シート!$B$14=2,EQ6*管理者用人口入力シート!BD$7))</f>
        <v>116.46599780974906</v>
      </c>
      <c r="ES9" s="9">
        <f>IF(管理者入力シート!$B$14=1,ER6*管理者用人口入力シート!BE$3,IF(管理者入力シート!$B$14=2,ER6*管理者用人口入力シート!BE$7))</f>
        <v>35.868498100983714</v>
      </c>
      <c r="ET9" s="9">
        <f>IF(管理者入力シート!$B$14=1,ES6*管理者用人口入力シート!BF$3,IF(管理者入力シート!$B$14=2,ES6*管理者用人口入力シート!BF$7))</f>
        <v>0.47496689736538461</v>
      </c>
      <c r="EU9" s="9">
        <f t="shared" si="71"/>
        <v>9889.9332245334354</v>
      </c>
      <c r="EV9" s="9">
        <f t="shared" si="41"/>
        <v>578.74673279177841</v>
      </c>
      <c r="EW9" s="9">
        <f t="shared" si="42"/>
        <v>256.64280248782177</v>
      </c>
      <c r="EX9" s="9">
        <f t="shared" si="10"/>
        <v>2335.840871657037</v>
      </c>
      <c r="EY9" s="9">
        <f t="shared" si="43"/>
        <v>1356.4923009036861</v>
      </c>
      <c r="EZ9" s="13">
        <f t="shared" si="44"/>
        <v>0.23618368482636867</v>
      </c>
      <c r="FA9" s="13">
        <f t="shared" si="45"/>
        <v>0.13715889380716012</v>
      </c>
      <c r="FB9" s="9">
        <f t="shared" si="72"/>
        <v>2340.6557674847131</v>
      </c>
    </row>
    <row r="10" spans="1:158" x14ac:dyDescent="0.15">
      <c r="A10" s="7" t="str">
        <f t="shared" si="11"/>
        <v>2015_2</v>
      </c>
      <c r="B10" s="29">
        <v>2015</v>
      </c>
      <c r="C10" s="4" t="s">
        <v>22</v>
      </c>
      <c r="D10" s="10">
        <v>536.32344444215391</v>
      </c>
      <c r="E10" s="10">
        <v>510.9400765631184</v>
      </c>
      <c r="F10" s="10">
        <v>519.67825032845212</v>
      </c>
      <c r="G10" s="10">
        <v>523.25752197911265</v>
      </c>
      <c r="H10" s="10">
        <v>404.94247268917928</v>
      </c>
      <c r="I10" s="10">
        <v>549.96958075751661</v>
      </c>
      <c r="J10" s="10">
        <v>661.20249565241647</v>
      </c>
      <c r="K10" s="10">
        <v>789.1670053529399</v>
      </c>
      <c r="L10" s="10">
        <v>838.68294743130548</v>
      </c>
      <c r="M10" s="10">
        <v>733.35388686533724</v>
      </c>
      <c r="N10" s="10">
        <v>587.613148903249</v>
      </c>
      <c r="O10" s="10">
        <v>668.33156341492622</v>
      </c>
      <c r="P10" s="10">
        <v>774.62513248013056</v>
      </c>
      <c r="Q10" s="10">
        <v>841.54096721340613</v>
      </c>
      <c r="R10" s="10">
        <v>615.34924066338885</v>
      </c>
      <c r="S10" s="10">
        <v>517.35046670325426</v>
      </c>
      <c r="T10" s="10">
        <v>385.81870847400336</v>
      </c>
      <c r="U10" s="10">
        <v>226.25665966502422</v>
      </c>
      <c r="V10" s="10">
        <v>120.26274323023127</v>
      </c>
      <c r="W10" s="10">
        <v>26.292397976877293</v>
      </c>
      <c r="X10" s="10">
        <v>3.0412892139766692</v>
      </c>
      <c r="Y10" s="10">
        <f t="shared" si="68"/>
        <v>10834</v>
      </c>
      <c r="Z10" s="10">
        <f t="shared" si="12"/>
        <v>618.37099613494229</v>
      </c>
      <c r="AA10" s="10">
        <f t="shared" si="13"/>
        <v>312.52280452720339</v>
      </c>
      <c r="AB10" s="10">
        <f t="shared" si="0"/>
        <v>2735.9124731401621</v>
      </c>
      <c r="AC10" s="10">
        <f t="shared" si="14"/>
        <v>1279.022265263367</v>
      </c>
      <c r="AD10" s="14">
        <f t="shared" si="15"/>
        <v>0.25253022642977313</v>
      </c>
      <c r="AE10" s="14">
        <f t="shared" si="16"/>
        <v>0.11805632871177468</v>
      </c>
      <c r="AF10" s="10">
        <f t="shared" si="17"/>
        <v>2405.2815544520522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393.18090755717435</v>
      </c>
      <c r="BL10" s="10">
        <f>IF(管理者入力シート!$B$14=1,BK7*管理者用人口入力シート!AM$4,IF(管理者入力シート!$B$14=2,BK7*管理者用人口入力シート!AM$8))</f>
        <v>370.90182887544916</v>
      </c>
      <c r="BM10" s="10">
        <f>IF(管理者入力シート!$B$14=1,BL7*管理者用人口入力シート!AN$4,IF(管理者入力シート!$B$14=2,BL7*管理者用人口入力シート!AN$8))</f>
        <v>393.98518619380502</v>
      </c>
      <c r="BN10" s="10">
        <f>IF(管理者入力シート!$B$14=1,BM7*管理者用人口入力シート!AO$4,IF(管理者入力シート!$B$14=2,BM7*管理者用人口入力シート!AO$8))</f>
        <v>428.0369220277077</v>
      </c>
      <c r="BO10" s="10">
        <f>IF(管理者入力シート!$B$14=1,BN7*管理者用人口入力シート!AP$4,IF(管理者入力シート!$B$14=2,BN7*管理者用人口入力シート!AP$8))</f>
        <v>373.82127867779462</v>
      </c>
      <c r="BP10" s="10">
        <f>IF(管理者入力シート!$B$14=1,BO7*管理者用人口入力シート!AQ$4,IF(管理者入力シート!$B$14=2,BO7*管理者用人口入力シート!AQ$8))</f>
        <v>446.13664248603504</v>
      </c>
      <c r="BQ10" s="10">
        <f>IF(管理者入力シート!$B$14=1,BP7*管理者用人口入力シート!AR$4,IF(管理者入力シート!$B$14=2,BP7*管理者用人口入力シート!AR$8))</f>
        <v>418.05922015442451</v>
      </c>
      <c r="BR10" s="10">
        <f>IF(管理者入力シート!$B$14=1,BQ7*管理者用人口入力シート!AS$4,IF(管理者入力シート!$B$14=2,BQ7*管理者用人口入力シート!AS$8))</f>
        <v>429.16504106368677</v>
      </c>
      <c r="BS10" s="10">
        <f>IF(管理者入力シート!$B$14=1,BR7*管理者用人口入力シート!AT$4,IF(管理者入力シート!$B$14=2,BR7*管理者用人口入力シート!AT$8))</f>
        <v>460.92088603141775</v>
      </c>
      <c r="BT10" s="10">
        <f>IF(管理者入力シート!$B$14=1,BS7*管理者用人口入力シート!AU$4,IF(管理者入力シート!$B$14=2,BS7*管理者用人口入力シート!AU$8))</f>
        <v>543.4757403525025</v>
      </c>
      <c r="BU10" s="10">
        <f>IF(管理者入力シート!$B$14=1,BT7*管理者用人口入力シート!AV$4,IF(管理者入力シート!$B$14=2,BT7*管理者用人口入力シート!AV$8))</f>
        <v>645.59393521750314</v>
      </c>
      <c r="BV10" s="10">
        <f>IF(管理者入力シート!$B$14=1,BU7*管理者用人口入力シート!AW$4,IF(管理者入力シート!$B$14=2,BU7*管理者用人口入力シート!AW$8))</f>
        <v>705.28490583073244</v>
      </c>
      <c r="BW10" s="10">
        <f>IF(管理者入力シート!$B$14=1,BV7*管理者用人口入力シート!AX$4,IF(管理者入力シート!$B$14=2,BV7*管理者用人口入力シート!AX$8))</f>
        <v>773.75133933593804</v>
      </c>
      <c r="BX10" s="10">
        <f>IF(管理者入力シート!$B$14=1,BW7*管理者用人口入力シート!AY$4,IF(管理者入力シート!$B$14=2,BW7*管理者用人口入力シート!AY$8))</f>
        <v>635.45556194347375</v>
      </c>
      <c r="BY10" s="10">
        <f>IF(管理者入力シート!$B$14=1,BX7*管理者用人口入力シート!AZ$4,IF(管理者入力シート!$B$14=2,BX7*管理者用人口入力シート!AZ$8))</f>
        <v>516.91612566051458</v>
      </c>
      <c r="BZ10" s="10">
        <f>IF(管理者入力シート!$B$14=1,BY7*管理者用人口入力シート!BA$4,IF(管理者入力シート!$B$14=2,BY7*管理者用人口入力シート!BA$8))</f>
        <v>561.74076967525855</v>
      </c>
      <c r="CA10" s="10">
        <f>IF(管理者入力シート!$B$14=1,BZ7*管理者用人口入力シート!BB$4,IF(管理者入力シート!$B$14=2,BZ7*管理者用人口入力シート!BB$8))</f>
        <v>592.06049424582307</v>
      </c>
      <c r="CB10" s="10">
        <f>IF(管理者入力シート!$B$14=1,CA7*管理者用人口入力シート!BC$4,IF(管理者入力シート!$B$14=2,CA7*管理者用人口入力シート!BC$8))</f>
        <v>530.24058966223879</v>
      </c>
      <c r="CC10" s="10">
        <f>IF(管理者入力シート!$B$14=1,CB7*管理者用人口入力シート!BD$4,IF(管理者入力シート!$B$14=2,CB7*管理者用人口入力シート!BD$8))</f>
        <v>252.77851305455422</v>
      </c>
      <c r="CD10" s="10">
        <f>IF(管理者入力シート!$B$14=1,CC7*管理者用人口入力シート!BE$4,IF(管理者入力シート!$B$14=2,CC7*管理者用人口入力シート!BE$8))</f>
        <v>84.930550618160382</v>
      </c>
      <c r="CE10" s="10">
        <f>IF(管理者入力シート!$B$14=1,CD7*管理者用人口入力シート!BF$4,IF(管理者入力シート!$B$14=2,CD7*管理者用人口入力シート!BF$8))</f>
        <v>18.349202898025371</v>
      </c>
      <c r="CF10" s="10">
        <f t="shared" si="2"/>
        <v>9574.7856415622209</v>
      </c>
      <c r="CG10" s="10">
        <f t="shared" si="20"/>
        <v>458.93220904155248</v>
      </c>
      <c r="CH10" s="10">
        <f t="shared" si="21"/>
        <v>243.20145888306354</v>
      </c>
      <c r="CI10" s="10">
        <f t="shared" si="3"/>
        <v>3192.4718077580487</v>
      </c>
      <c r="CJ10" s="10">
        <f t="shared" si="22"/>
        <v>2040.1001201540603</v>
      </c>
      <c r="CK10" s="14">
        <f t="shared" si="23"/>
        <v>0.33342488566012068</v>
      </c>
      <c r="CL10" s="14">
        <f t="shared" si="24"/>
        <v>0.21307005676434107</v>
      </c>
      <c r="CM10" s="10">
        <f t="shared" si="25"/>
        <v>1667.1821823819409</v>
      </c>
      <c r="CO10" s="7" t="str">
        <f t="shared" si="26"/>
        <v>2035_2</v>
      </c>
      <c r="CP10" s="29">
        <f>CP9</f>
        <v>2035</v>
      </c>
      <c r="CQ10" s="4" t="s">
        <v>22</v>
      </c>
      <c r="CR10" s="10">
        <f>DT10*$AK$14+将来予測シート②!$H17</f>
        <v>395.76101661994022</v>
      </c>
      <c r="CS10" s="10">
        <f>IF(管理者入力シート!$B$14=1,CR7*管理者用人口入力シート!AM$4,IF(管理者入力シート!$B$14=2,CR7*管理者用人口入力シート!AM$8))+将来予測シート②!$H18</f>
        <v>372.70620729612477</v>
      </c>
      <c r="CT10" s="10">
        <f>IF(管理者入力シート!$B$14=1,CS7*管理者用人口入力シート!AN$4,IF(管理者入力シート!$B$14=2,CS7*管理者用人口入力シート!AN$8))+将来予測シート②!$H19</f>
        <v>395.91031294765764</v>
      </c>
      <c r="CU10" s="10">
        <f>IF(管理者入力シート!$B$14=1,CT7*管理者用人口入力シート!AO$4,IF(管理者入力シート!$B$14=2,CT7*管理者用人口入力シート!AO$8))+将来予測シート②!$H20</f>
        <v>428.98203573871865</v>
      </c>
      <c r="CV10" s="10">
        <f>IF(管理者入力シート!$B$14=1,CU7*管理者用人口入力シート!AP$4,IF(管理者入力シート!$B$14=2,CU7*管理者用人口入力シート!AP$8))+将来予測シート②!$H21</f>
        <v>374.53754278147176</v>
      </c>
      <c r="CW10" s="10">
        <f>IF(管理者入力シート!$B$14=1,CV7*管理者用人口入力シート!AQ$4,IF(管理者入力シート!$B$14=2,CV7*管理者用人口入力シート!AQ$8))+将来予測シート②!$H22</f>
        <v>448.13664248603504</v>
      </c>
      <c r="CX10" s="10">
        <f>IF(管理者入力シート!$B$14=1,CW7*管理者用人口入力シート!AR$4,IF(管理者入力シート!$B$14=2,CW7*管理者用人口入力シート!AR$8))+将来予測シート②!$H23</f>
        <v>420.06341896479023</v>
      </c>
      <c r="CY10" s="10">
        <f>IF(管理者入力シート!$B$14=1,CX7*管理者用人口入力シート!AS$4,IF(管理者入力シート!$B$14=2,CX7*管理者用人口入力シート!AS$8))+将来予測シート②!$H24</f>
        <v>431.14462290011375</v>
      </c>
      <c r="CZ10" s="10">
        <f>IF(管理者入力シート!$B$14=1,CY7*管理者用人口入力シート!AT$4,IF(管理者入力シート!$B$14=2,CY7*管理者用人口入力シート!AT$8))+将来予測シート②!$H25</f>
        <v>461.92088603141775</v>
      </c>
      <c r="DA10" s="10">
        <f>IF(管理者入力シート!$B$14=1,CZ7*管理者用人口入力シート!AU$4,IF(管理者入力シート!$B$14=2,CZ7*管理者用人口入力シート!AU$8))+将来予測シート②!$H26</f>
        <v>544.49446436533788</v>
      </c>
      <c r="DB10" s="10">
        <f>IF(管理者入力シート!$B$14=1,DA7*管理者用人口入力シート!AV$4,IF(管理者入力シート!$B$14=2,DA7*管理者用人口入力シート!AV$8))+将来予測シート②!$H27</f>
        <v>646.56202588919859</v>
      </c>
      <c r="DC10" s="10">
        <f>IF(管理者入力シート!$B$14=1,DB7*管理者用人口入力シート!AW$4,IF(管理者入力シート!$B$14=2,DB7*管理者用人口入力シート!AW$8))+将来予測シート②!$H28</f>
        <v>705.28490583073244</v>
      </c>
      <c r="DD10" s="10">
        <f>IF(管理者入力シート!$B$14=1,DC7*管理者用人口入力シート!AX$4,IF(管理者入力シート!$B$14=2,DC7*管理者用人口入力シート!AX$8))+将来予測シート②!$H29</f>
        <v>773.75133933593804</v>
      </c>
      <c r="DE10" s="10">
        <f>IF(管理者入力シート!$B$14=1,DD7*管理者用人口入力シート!AY$4,IF(管理者入力シート!$B$14=2,DD7*管理者用人口入力シート!AY$8))</f>
        <v>635.45556194347375</v>
      </c>
      <c r="DF10" s="10">
        <f>IF(管理者入力シート!$B$14=1,DE7*管理者用人口入力シート!AZ$4,IF(管理者入力シート!$B$14=2,DE7*管理者用人口入力シート!AZ$8))</f>
        <v>516.91612566051458</v>
      </c>
      <c r="DG10" s="10">
        <f>IF(管理者入力シート!$B$14=1,DF7*管理者用人口入力シート!BA$4,IF(管理者入力シート!$B$14=2,DF7*管理者用人口入力シート!BA$8))</f>
        <v>561.74076967525855</v>
      </c>
      <c r="DH10" s="10">
        <f>IF(管理者入力シート!$B$14=1,DG7*管理者用人口入力シート!BB$4,IF(管理者入力シート!$B$14=2,DG7*管理者用人口入力シート!BB$8))</f>
        <v>592.06049424582307</v>
      </c>
      <c r="DI10" s="10">
        <f>IF(管理者入力シート!$B$14=1,DH7*管理者用人口入力シート!BC$4,IF(管理者入力シート!$B$14=2,DH7*管理者用人口入力シート!BC$8))</f>
        <v>530.24058966223879</v>
      </c>
      <c r="DJ10" s="10">
        <f>IF(管理者入力シート!$B$14=1,DI7*管理者用人口入力シート!BD$4,IF(管理者入力シート!$B$14=2,DI7*管理者用人口入力シート!BD$8))</f>
        <v>252.77851305455422</v>
      </c>
      <c r="DK10" s="10">
        <f>IF(管理者入力シート!$B$14=1,DJ7*管理者用人口入力シート!BE$4,IF(管理者入力シート!$B$14=2,DJ7*管理者用人口入力シート!BE$8))</f>
        <v>84.930550618160382</v>
      </c>
      <c r="DL10" s="10">
        <f>IF(管理者入力シート!$B$14=1,DK7*管理者用人口入力シート!BF$4,IF(管理者入力シート!$B$14=2,DK7*管理者用人口入力シート!BF$8))</f>
        <v>18.349202898025371</v>
      </c>
      <c r="DM10" s="10">
        <f t="shared" si="69"/>
        <v>9591.7272289455268</v>
      </c>
      <c r="DN10" s="10">
        <f t="shared" si="34"/>
        <v>461.16991214626944</v>
      </c>
      <c r="DO10" s="10">
        <f t="shared" si="35"/>
        <v>244.16053232680679</v>
      </c>
      <c r="DP10" s="10">
        <f t="shared" si="6"/>
        <v>3192.4718077580487</v>
      </c>
      <c r="DQ10" s="10">
        <f t="shared" si="36"/>
        <v>2040.1001201540603</v>
      </c>
      <c r="DR10" s="14">
        <f t="shared" si="37"/>
        <v>0.33283596703250029</v>
      </c>
      <c r="DS10" s="14">
        <f t="shared" si="38"/>
        <v>0.21269371735233761</v>
      </c>
      <c r="DT10" s="10">
        <f t="shared" si="70"/>
        <v>1673.8822271324109</v>
      </c>
      <c r="DV10" s="62" t="s">
        <v>405</v>
      </c>
      <c r="DW10" s="210">
        <f>((SUM(BL12:BL13)*3/5+SUM(BM12:BM13)+SUM(BN12:BN13)*1/5)-(SUM(E12:E13)*3/5+SUM(F12:F13)+SUM(G12:G13)*1/5))/4</f>
        <v>-134.82358836482985</v>
      </c>
      <c r="DX10" s="29">
        <f>DX9</f>
        <v>2035</v>
      </c>
      <c r="DY10" s="4" t="s">
        <v>22</v>
      </c>
      <c r="DZ10" s="10">
        <f>FB10*$AK$14</f>
        <v>572.27685895043794</v>
      </c>
      <c r="EA10" s="10">
        <f>IF(管理者入力シート!$B$14=1,DZ7*管理者用人口入力シート!AM$4,IF(管理者入力シート!$B$14=2,DZ7*管理者用人口入力シート!AM$8))</f>
        <v>509.59489066407997</v>
      </c>
      <c r="EB10" s="10">
        <f>IF(管理者入力シート!$B$14=1,EA7*管理者用人口入力シート!AN$4,IF(管理者入力シート!$B$14=2,EA7*管理者用人口入力シート!AN$8))</f>
        <v>393.98518619380502</v>
      </c>
      <c r="EC10" s="10">
        <f>IF(管理者入力シート!$B$14=1,EB7*管理者用人口入力シート!AO$4,IF(管理者入力シート!$B$14=2,EB7*管理者用人口入力シート!AO$8))</f>
        <v>428.0369220277077</v>
      </c>
      <c r="ED10" s="10">
        <f>IF(管理者入力シート!$B$14=1,EC7*管理者用人口入力シート!AP$4,IF(管理者入力シート!$B$14=2,EC7*管理者用人口入力シート!AP$8))</f>
        <v>373.82127867779462</v>
      </c>
      <c r="EE10" s="10">
        <f>IF(管理者入力シート!$B$14=1,ED7*管理者用人口入力シート!AQ$4,IF(管理者入力シート!$B$14=2,ED7*管理者用人口入力シート!AQ$8))+DX1</f>
        <v>573.13664248603504</v>
      </c>
      <c r="EF10" s="10">
        <f>IF(管理者入力シート!$B$14=1,EE7*管理者用人口入力シート!AR$4,IF(管理者入力シート!$B$14=2,EE7*管理者用人口入力シート!AR$8))+DX1</f>
        <v>672.32584461264662</v>
      </c>
      <c r="EG10" s="10">
        <f>IF(管理者入力シート!$B$14=1,EF7*管理者用人口入力シート!AS$4,IF(管理者入力シート!$B$14=2,EF7*管理者用人口入力シート!AS$8))+DX1</f>
        <v>807.30858470009025</v>
      </c>
      <c r="EH10" s="10">
        <f>IF(管理者入力シート!$B$14=1,EG7*管理者用人口入力シート!AT$4,IF(管理者入力シート!$B$14=2,EG7*管理者用人口入力シート!AT$8))</f>
        <v>706.9746845039997</v>
      </c>
      <c r="EI10" s="10">
        <f>IF(管理者入力シート!$B$14=1,EH7*管理者用人口入力シート!AU$4,IF(管理者入力シート!$B$14=2,EH7*管理者用人口入力シート!AU$8))</f>
        <v>669.58065126189376</v>
      </c>
      <c r="EJ10" s="10">
        <f>IF(管理者入力シート!$B$14=1,EI7*管理者用人口入力シート!AV$4,IF(管理者入力シート!$B$14=2,EI7*管理者用人口入力シート!AV$8))</f>
        <v>645.59393521750314</v>
      </c>
      <c r="EK10" s="10">
        <f>IF(管理者入力シート!$B$14=1,EJ7*管理者用人口入力シート!AW$4,IF(管理者入力シート!$B$14=2,EJ7*管理者用人口入力シート!AW$8))</f>
        <v>705.28490583073244</v>
      </c>
      <c r="EL10" s="10">
        <f>IF(管理者入力シート!$B$14=1,EK7*管理者用人口入力シート!AX$4,IF(管理者入力シート!$B$14=2,EK7*管理者用人口入力シート!AX$8))</f>
        <v>773.75133933593804</v>
      </c>
      <c r="EM10" s="10">
        <f>IF(管理者入力シート!$B$14=1,EL7*管理者用人口入力シート!AY$4,IF(管理者入力シート!$B$14=2,EL7*管理者用人口入力シート!AY$8))</f>
        <v>635.45556194347375</v>
      </c>
      <c r="EN10" s="10">
        <f>IF(管理者入力シート!$B$14=1,EM7*管理者用人口入力シート!AZ$4,IF(管理者入力シート!$B$14=2,EM7*管理者用人口入力シート!AZ$8))</f>
        <v>516.91612566051458</v>
      </c>
      <c r="EO10" s="10">
        <f>IF(管理者入力シート!$B$14=1,EN7*管理者用人口入力シート!BA$4,IF(管理者入力シート!$B$14=2,EN7*管理者用人口入力シート!BA$8))</f>
        <v>561.74076967525855</v>
      </c>
      <c r="EP10" s="10">
        <f>IF(管理者入力シート!$B$14=1,EO7*管理者用人口入力シート!BB$4,IF(管理者入力シート!$B$14=2,EO7*管理者用人口入力シート!BB$8))</f>
        <v>592.06049424582307</v>
      </c>
      <c r="EQ10" s="10">
        <f>IF(管理者入力シート!$B$14=1,EP7*管理者用人口入力シート!BC$4,IF(管理者入力シート!$B$14=2,EP7*管理者用人口入力シート!BC$8))</f>
        <v>530.24058966223879</v>
      </c>
      <c r="ER10" s="10">
        <f>IF(管理者入力シート!$B$14=1,EQ7*管理者用人口入力シート!BD$4,IF(管理者入力シート!$B$14=2,EQ7*管理者用人口入力シート!BD$8))</f>
        <v>252.77851305455422</v>
      </c>
      <c r="ES10" s="10">
        <f>IF(管理者入力シート!$B$14=1,ER7*管理者用人口入力シート!BE$4,IF(管理者入力シート!$B$14=2,ER7*管理者用人口入力シート!BE$8))</f>
        <v>84.930550618160382</v>
      </c>
      <c r="ET10" s="10">
        <f>IF(管理者入力シート!$B$14=1,ES7*管理者用人口入力シート!BF$4,IF(管理者入力シート!$B$14=2,ES7*管理者用人口入力シート!BF$8))</f>
        <v>18.349202898025371</v>
      </c>
      <c r="EU10" s="10">
        <f t="shared" si="71"/>
        <v>11024.143532220713</v>
      </c>
      <c r="EV10" s="10">
        <f t="shared" si="41"/>
        <v>542.14804611473096</v>
      </c>
      <c r="EW10" s="10">
        <f t="shared" si="42"/>
        <v>243.20145888306354</v>
      </c>
      <c r="EX10" s="10">
        <f t="shared" si="10"/>
        <v>3192.4718077580487</v>
      </c>
      <c r="EY10" s="10">
        <f t="shared" si="43"/>
        <v>2040.1001201540603</v>
      </c>
      <c r="EZ10" s="14">
        <f t="shared" si="44"/>
        <v>0.28958910036206276</v>
      </c>
      <c r="FA10" s="14">
        <f t="shared" si="45"/>
        <v>0.18505747083130555</v>
      </c>
      <c r="FB10" s="10">
        <f t="shared" si="72"/>
        <v>2426.5923504765665</v>
      </c>
    </row>
    <row r="11" spans="1:158" x14ac:dyDescent="0.15">
      <c r="A11" s="7" t="str">
        <f t="shared" si="11"/>
        <v>2015_3</v>
      </c>
      <c r="B11" s="30">
        <v>2015</v>
      </c>
      <c r="C11" s="5" t="s">
        <v>23</v>
      </c>
      <c r="D11" s="11">
        <v>1097.9597393022186</v>
      </c>
      <c r="E11" s="11">
        <v>1075.9816507734579</v>
      </c>
      <c r="F11" s="11">
        <v>1068.482323500858</v>
      </c>
      <c r="G11" s="11">
        <v>1053.7391955891526</v>
      </c>
      <c r="H11" s="11">
        <v>709.62931208085001</v>
      </c>
      <c r="I11" s="11">
        <v>990.72010692010065</v>
      </c>
      <c r="J11" s="11">
        <v>1225.0598032390712</v>
      </c>
      <c r="K11" s="11">
        <v>1504.7729909946552</v>
      </c>
      <c r="L11" s="11">
        <v>1604.8852618785975</v>
      </c>
      <c r="M11" s="11">
        <v>1357.3321281359445</v>
      </c>
      <c r="N11" s="11">
        <v>1132.2120392907104</v>
      </c>
      <c r="O11" s="11">
        <v>1235.5875776446017</v>
      </c>
      <c r="P11" s="11">
        <v>1458.3413610250909</v>
      </c>
      <c r="Q11" s="11">
        <v>1612.5932441871696</v>
      </c>
      <c r="R11" s="11">
        <v>1146.1468049546791</v>
      </c>
      <c r="S11" s="11">
        <v>924.01813078982616</v>
      </c>
      <c r="T11" s="11">
        <v>682.38295435568955</v>
      </c>
      <c r="U11" s="11">
        <v>362.82380117227081</v>
      </c>
      <c r="V11" s="11">
        <v>165.89393786139391</v>
      </c>
      <c r="W11" s="11">
        <v>33.39634708968471</v>
      </c>
      <c r="X11" s="11">
        <v>4.0412892139766692</v>
      </c>
      <c r="Y11" s="11">
        <f t="shared" si="68"/>
        <v>20446</v>
      </c>
      <c r="Z11" s="11">
        <f t="shared" si="12"/>
        <v>1286.6783845645896</v>
      </c>
      <c r="AA11" s="11">
        <f t="shared" si="13"/>
        <v>638.14076851817367</v>
      </c>
      <c r="AB11" s="11">
        <f t="shared" si="0"/>
        <v>4931.2965096246908</v>
      </c>
      <c r="AC11" s="11">
        <f t="shared" si="14"/>
        <v>2172.5564604828419</v>
      </c>
      <c r="AD11" s="15">
        <f t="shared" si="15"/>
        <v>0.24118636944266314</v>
      </c>
      <c r="AE11" s="15">
        <f t="shared" si="16"/>
        <v>0.10625826374268033</v>
      </c>
      <c r="AF11" s="11">
        <f t="shared" si="17"/>
        <v>4430.182213234677</v>
      </c>
      <c r="BH11" s="7" t="str">
        <f t="shared" si="19"/>
        <v>2035_3</v>
      </c>
      <c r="BI11" s="30">
        <f>BI10</f>
        <v>2035</v>
      </c>
      <c r="BJ11" s="5" t="s">
        <v>23</v>
      </c>
      <c r="BK11" s="16">
        <f>BK9+BK10</f>
        <v>790.18629939586367</v>
      </c>
      <c r="BL11" s="16">
        <f t="shared" ref="BL11" si="117">BL9+BL10</f>
        <v>763.76907120944736</v>
      </c>
      <c r="BM11" s="16">
        <f t="shared" ref="BM11" si="118">BM9+BM10</f>
        <v>818.78913990294984</v>
      </c>
      <c r="BN11" s="16">
        <f t="shared" ref="BN11" si="119">BN9+BN10</f>
        <v>861.64302704852707</v>
      </c>
      <c r="BO11" s="16">
        <f t="shared" ref="BO11" si="120">BO9+BO10</f>
        <v>678.02285511271066</v>
      </c>
      <c r="BP11" s="16">
        <f t="shared" ref="BP11" si="121">BP9+BP10</f>
        <v>839.15080790824572</v>
      </c>
      <c r="BQ11" s="16">
        <f t="shared" ref="BQ11" si="122">BQ9+BQ10</f>
        <v>826.95843540151191</v>
      </c>
      <c r="BR11" s="16">
        <f t="shared" ref="BR11" si="123">BR9+BR10</f>
        <v>879.39603684846213</v>
      </c>
      <c r="BS11" s="16">
        <f t="shared" ref="BS11" si="124">BS9+BS10</f>
        <v>894.154320441349</v>
      </c>
      <c r="BT11" s="16">
        <f t="shared" ref="BT11" si="125">BT9+BT10</f>
        <v>1048.8841936933115</v>
      </c>
      <c r="BU11" s="16">
        <f t="shared" ref="BU11" si="126">BU9+BU10</f>
        <v>1187.5675376045551</v>
      </c>
      <c r="BV11" s="16">
        <f t="shared" ref="BV11" si="127">BV9+BV10</f>
        <v>1374.6345861458349</v>
      </c>
      <c r="BW11" s="16">
        <f t="shared" ref="BW11" si="128">BW9+BW10</f>
        <v>1483.2266790762792</v>
      </c>
      <c r="BX11" s="16">
        <f t="shared" ref="BX11" si="129">BX9+BX10</f>
        <v>1161.2018679213779</v>
      </c>
      <c r="BY11" s="16">
        <f t="shared" ref="BY11" si="130">BY9+BY10</f>
        <v>970.51839043596146</v>
      </c>
      <c r="BZ11" s="16">
        <f t="shared" ref="BZ11" si="131">BZ9+BZ10</f>
        <v>979.14980693651705</v>
      </c>
      <c r="CA11" s="16">
        <f t="shared" ref="CA11" si="132">CA9+CA10</f>
        <v>1037.6050021809035</v>
      </c>
      <c r="CB11" s="16">
        <f t="shared" ref="CB11" si="133">CB9+CB10</f>
        <v>870.96988256148779</v>
      </c>
      <c r="CC11" s="16">
        <f t="shared" ref="CC11" si="134">CC9+CC10</f>
        <v>369.24451086430327</v>
      </c>
      <c r="CD11" s="16">
        <f t="shared" ref="CD11" si="135">CD9+CD10</f>
        <v>120.7990487191441</v>
      </c>
      <c r="CE11" s="16">
        <f t="shared" ref="CE11" si="136">CE9+CE10</f>
        <v>18.824169795390755</v>
      </c>
      <c r="CF11" s="11">
        <f t="shared" si="2"/>
        <v>17974.695669204135</v>
      </c>
      <c r="CG11" s="11">
        <f t="shared" si="20"/>
        <v>949.5349266674383</v>
      </c>
      <c r="CH11" s="11">
        <f t="shared" si="21"/>
        <v>499.84426137088536</v>
      </c>
      <c r="CI11" s="11">
        <f t="shared" si="3"/>
        <v>5528.3126794150858</v>
      </c>
      <c r="CJ11" s="11">
        <f t="shared" si="22"/>
        <v>3396.5924210577464</v>
      </c>
      <c r="CK11" s="15">
        <f t="shared" si="23"/>
        <v>0.30756085005025641</v>
      </c>
      <c r="CL11" s="15">
        <f t="shared" si="24"/>
        <v>0.18896522553520023</v>
      </c>
      <c r="CM11" s="11">
        <f t="shared" si="25"/>
        <v>3223.5281352709308</v>
      </c>
      <c r="CO11" s="7" t="str">
        <f t="shared" si="26"/>
        <v>2035_3</v>
      </c>
      <c r="CP11" s="30">
        <f>CP10</f>
        <v>2035</v>
      </c>
      <c r="CQ11" s="5" t="s">
        <v>23</v>
      </c>
      <c r="CR11" s="16">
        <f>CR9+CR10</f>
        <v>795.3618872968791</v>
      </c>
      <c r="CS11" s="16">
        <f t="shared" ref="CS11" si="137">CS9+CS10</f>
        <v>767.47521693995918</v>
      </c>
      <c r="CT11" s="16">
        <f t="shared" ref="CT11" si="138">CT9+CT10</f>
        <v>822.70215057071073</v>
      </c>
      <c r="CU11" s="16">
        <f t="shared" ref="CU11" si="139">CU9+CU10</f>
        <v>863.47609290735454</v>
      </c>
      <c r="CV11" s="16">
        <f t="shared" ref="CV11" si="140">CV9+CV10</f>
        <v>679.27776995904287</v>
      </c>
      <c r="CW11" s="16">
        <f t="shared" ref="CW11" si="141">CW9+CW10</f>
        <v>843.15080790824572</v>
      </c>
      <c r="CX11" s="16">
        <f t="shared" ref="CX11" si="142">CX9+CX10</f>
        <v>831.15141437156444</v>
      </c>
      <c r="CY11" s="16">
        <f t="shared" ref="CY11" si="143">CY9+CY10</f>
        <v>883.55069556926856</v>
      </c>
      <c r="CZ11" s="16">
        <f t="shared" ref="CZ11" si="144">CZ9+CZ10</f>
        <v>895.154320441349</v>
      </c>
      <c r="DA11" s="16">
        <f t="shared" ref="DA11" si="145">DA9+DA10</f>
        <v>1049.9029177061468</v>
      </c>
      <c r="DB11" s="16">
        <f t="shared" ref="DB11" si="146">DB9+DB10</f>
        <v>1188.5356282762507</v>
      </c>
      <c r="DC11" s="16">
        <f t="shared" ref="DC11" si="147">DC9+DC10</f>
        <v>1374.6345861458349</v>
      </c>
      <c r="DD11" s="16">
        <f t="shared" ref="DD11" si="148">DD9+DD10</f>
        <v>1483.2266790762792</v>
      </c>
      <c r="DE11" s="16">
        <f t="shared" ref="DE11" si="149">DE9+DE10</f>
        <v>1161.2018679213779</v>
      </c>
      <c r="DF11" s="16">
        <f t="shared" ref="DF11" si="150">DF9+DF10</f>
        <v>970.51839043596146</v>
      </c>
      <c r="DG11" s="16">
        <f t="shared" ref="DG11" si="151">DG9+DG10</f>
        <v>979.14980693651705</v>
      </c>
      <c r="DH11" s="16">
        <f t="shared" ref="DH11" si="152">DH9+DH10</f>
        <v>1037.6050021809035</v>
      </c>
      <c r="DI11" s="16">
        <f t="shared" ref="DI11" si="153">DI9+DI10</f>
        <v>870.96988256148779</v>
      </c>
      <c r="DJ11" s="16">
        <f t="shared" ref="DJ11" si="154">DJ9+DJ10</f>
        <v>369.24451086430327</v>
      </c>
      <c r="DK11" s="16">
        <f t="shared" ref="DK11" si="155">DK9+DK10</f>
        <v>120.7990487191441</v>
      </c>
      <c r="DL11" s="16">
        <f t="shared" ref="DL11" si="156">DL9+DL10</f>
        <v>18.824169795390755</v>
      </c>
      <c r="DM11" s="11">
        <f t="shared" si="69"/>
        <v>18005.912846583971</v>
      </c>
      <c r="DN11" s="11">
        <f t="shared" si="34"/>
        <v>954.10642050640195</v>
      </c>
      <c r="DO11" s="11">
        <f t="shared" si="35"/>
        <v>501.77607880975518</v>
      </c>
      <c r="DP11" s="11">
        <f t="shared" si="6"/>
        <v>5528.3126794150858</v>
      </c>
      <c r="DQ11" s="11">
        <f t="shared" si="36"/>
        <v>3396.5924210577464</v>
      </c>
      <c r="DR11" s="15">
        <f t="shared" si="37"/>
        <v>0.30702762623134106</v>
      </c>
      <c r="DS11" s="15">
        <f t="shared" si="38"/>
        <v>0.18863761309952901</v>
      </c>
      <c r="DT11" s="11">
        <f t="shared" si="70"/>
        <v>3237.1306878081218</v>
      </c>
      <c r="DW11" s="211"/>
      <c r="DX11" s="30">
        <f>DX10</f>
        <v>2035</v>
      </c>
      <c r="DY11" s="5" t="s">
        <v>23</v>
      </c>
      <c r="DZ11" s="16">
        <f>DZ9+DZ10</f>
        <v>1150.1202746935969</v>
      </c>
      <c r="EA11" s="16">
        <f t="shared" ref="EA11" si="157">EA9+EA10</f>
        <v>1049.3688249412326</v>
      </c>
      <c r="EB11" s="16">
        <f t="shared" ref="EB11" si="158">EB9+EB10</f>
        <v>818.78913990294984</v>
      </c>
      <c r="EC11" s="16">
        <f t="shared" ref="EC11" si="159">EC9+EC10</f>
        <v>861.64302704852707</v>
      </c>
      <c r="ED11" s="16">
        <f t="shared" ref="ED11" si="160">ED9+ED10</f>
        <v>678.02285511271066</v>
      </c>
      <c r="EE11" s="16">
        <f t="shared" ref="EE11" si="161">EE9+EE10</f>
        <v>1093.1508079082457</v>
      </c>
      <c r="EF11" s="16">
        <f t="shared" ref="EF11" si="162">EF9+EF10</f>
        <v>1347.2125999998464</v>
      </c>
      <c r="EG11" s="16">
        <f t="shared" ref="EG11" si="163">EG9+EG10</f>
        <v>1648.8618549404769</v>
      </c>
      <c r="EH11" s="16">
        <f t="shared" ref="EH11" si="164">EH9+EH10</f>
        <v>1393.1075521065832</v>
      </c>
      <c r="EI11" s="16">
        <f t="shared" ref="EI11" si="165">EI9+EI10</f>
        <v>1300.0583378582228</v>
      </c>
      <c r="EJ11" s="16">
        <f t="shared" ref="EJ11" si="166">EJ9+EJ10</f>
        <v>1187.5675376045551</v>
      </c>
      <c r="EK11" s="16">
        <f t="shared" ref="EK11" si="167">EK9+EK10</f>
        <v>1374.6345861458349</v>
      </c>
      <c r="EL11" s="16">
        <f t="shared" ref="EL11" si="168">EL9+EL10</f>
        <v>1483.2266790762792</v>
      </c>
      <c r="EM11" s="16">
        <f t="shared" ref="EM11" si="169">EM9+EM10</f>
        <v>1161.2018679213779</v>
      </c>
      <c r="EN11" s="16">
        <f t="shared" ref="EN11" si="170">EN9+EN10</f>
        <v>970.51839043596146</v>
      </c>
      <c r="EO11" s="16">
        <f t="shared" ref="EO11" si="171">EO9+EO10</f>
        <v>979.14980693651705</v>
      </c>
      <c r="EP11" s="16">
        <f t="shared" ref="EP11" si="172">EP9+EP10</f>
        <v>1037.6050021809035</v>
      </c>
      <c r="EQ11" s="16">
        <f t="shared" ref="EQ11" si="173">EQ9+EQ10</f>
        <v>870.96988256148779</v>
      </c>
      <c r="ER11" s="16">
        <f t="shared" ref="ER11" si="174">ER9+ER10</f>
        <v>369.24451086430327</v>
      </c>
      <c r="ES11" s="16">
        <f t="shared" ref="ES11" si="175">ES9+ES10</f>
        <v>120.7990487191441</v>
      </c>
      <c r="ET11" s="16">
        <f t="shared" ref="ET11" si="176">ET9+ET10</f>
        <v>18.824169795390755</v>
      </c>
      <c r="EU11" s="11">
        <f t="shared" si="71"/>
        <v>20914.076756754144</v>
      </c>
      <c r="EV11" s="11">
        <f t="shared" si="41"/>
        <v>1120.8947789065094</v>
      </c>
      <c r="EW11" s="11">
        <f t="shared" si="42"/>
        <v>499.84426137088536</v>
      </c>
      <c r="EX11" s="11">
        <f t="shared" si="10"/>
        <v>5528.3126794150858</v>
      </c>
      <c r="EY11" s="11">
        <f t="shared" si="43"/>
        <v>3396.5924210577464</v>
      </c>
      <c r="EZ11" s="15">
        <f t="shared" si="44"/>
        <v>0.26433453141218544</v>
      </c>
      <c r="FA11" s="15">
        <f t="shared" si="45"/>
        <v>0.16240699795465874</v>
      </c>
      <c r="FB11" s="11">
        <f t="shared" si="72"/>
        <v>4767.2481179612796</v>
      </c>
    </row>
    <row r="12" spans="1:158" x14ac:dyDescent="0.15">
      <c r="A12" s="7" t="str">
        <f t="shared" si="11"/>
        <v>2020_1</v>
      </c>
      <c r="B12" s="28">
        <v>2020</v>
      </c>
      <c r="C12" s="3" t="s">
        <v>21</v>
      </c>
      <c r="D12" s="9">
        <v>494.31058741443502</v>
      </c>
      <c r="E12" s="9">
        <v>556.52951880808769</v>
      </c>
      <c r="F12" s="9">
        <v>558.09065718544161</v>
      </c>
      <c r="G12" s="9">
        <v>471.11858798459565</v>
      </c>
      <c r="H12" s="9">
        <v>316.66100389443659</v>
      </c>
      <c r="I12" s="9">
        <v>398.84264243604736</v>
      </c>
      <c r="J12" s="9">
        <v>516.44403489224385</v>
      </c>
      <c r="K12" s="9">
        <v>571.46358005903528</v>
      </c>
      <c r="L12" s="9">
        <v>718.86123657951816</v>
      </c>
      <c r="M12" s="9">
        <v>779.41592665594692</v>
      </c>
      <c r="N12" s="9">
        <v>589.15633055404226</v>
      </c>
      <c r="O12" s="9">
        <v>535.12740097118217</v>
      </c>
      <c r="P12" s="9">
        <v>533.49211316735614</v>
      </c>
      <c r="Q12" s="9">
        <v>649.21630377046961</v>
      </c>
      <c r="R12" s="9">
        <v>713.64215212946681</v>
      </c>
      <c r="S12" s="9">
        <v>470.92299390432447</v>
      </c>
      <c r="T12" s="9">
        <v>337.90353056797892</v>
      </c>
      <c r="U12" s="9">
        <v>183.83607880359349</v>
      </c>
      <c r="V12" s="9">
        <v>55.496441437886546</v>
      </c>
      <c r="W12" s="9">
        <v>15.468878783910981</v>
      </c>
      <c r="X12" s="9">
        <v>0</v>
      </c>
      <c r="Y12" s="9">
        <f t="shared" ref="Y12:Y14" si="177">SUM(D12:X12)</f>
        <v>9466.0000000000018</v>
      </c>
      <c r="Z12" s="9">
        <f>E12*3/5+F12*3/5</f>
        <v>668.77210559611763</v>
      </c>
      <c r="AA12" s="9">
        <f>F12*2/5+G12*1/5</f>
        <v>317.45998047109578</v>
      </c>
      <c r="AB12" s="9">
        <f t="shared" ref="AB12:AB14" si="178">SUM(Q12:X12)</f>
        <v>2426.4863793976306</v>
      </c>
      <c r="AC12" s="9">
        <f>SUM(S12:X12)</f>
        <v>1063.6279234976944</v>
      </c>
      <c r="AD12" s="13">
        <f>AB12/Y12</f>
        <v>0.25633703564310478</v>
      </c>
      <c r="AE12" s="13">
        <f>AC12/Y12</f>
        <v>0.11236297522688508</v>
      </c>
      <c r="AF12" s="9">
        <f>SUM(H12:K12)</f>
        <v>1803.411261281763</v>
      </c>
      <c r="AK12" s="61">
        <f>管理者入力シート!B5</f>
        <v>2020</v>
      </c>
      <c r="AL12" s="62"/>
      <c r="BH12" s="7" t="str">
        <f t="shared" si="19"/>
        <v>2040_1</v>
      </c>
      <c r="BI12" s="28">
        <f>管理者入力シート!B11</f>
        <v>2040</v>
      </c>
      <c r="BJ12" s="3" t="s">
        <v>21</v>
      </c>
      <c r="BK12" s="9">
        <f>CM13*$AK$13</f>
        <v>389.33618654051406</v>
      </c>
      <c r="BL12" s="9">
        <f>IF(管理者入力シート!$B$14=1,BK9*管理者用人口入力シート!AM$3,IF(管理者入力シート!$B$14=2,BK9*管理者用人口入力シート!AM$7))</f>
        <v>386.48827758637856</v>
      </c>
      <c r="BM12" s="9">
        <f>IF(管理者入力シート!$B$14=1,BL9*管理者用人口入力シート!AN$3,IF(管理者入力シート!$B$14=2,BL9*管理者用人口入力シート!AN$7))</f>
        <v>398.66839814159664</v>
      </c>
      <c r="BN12" s="9">
        <f>IF(管理者入力シート!$B$14=1,BM9*管理者用人口入力シート!AO$3,IF(管理者入力シート!$B$14=2,BM9*管理者用人口入力シート!AO$7))</f>
        <v>377.20558309699027</v>
      </c>
      <c r="BO12" s="9">
        <f>IF(管理者入力シート!$B$14=1,BN9*管理者用人口入力シート!AP$3,IF(管理者入力シート!$B$14=2,BN9*管理者用人口入力シート!AP$7))</f>
        <v>263.03472666126896</v>
      </c>
      <c r="BP12" s="9">
        <f>IF(管理者入力シート!$B$14=1,BO9*管理者用人口入力シート!AQ$3,IF(管理者入力シート!$B$14=2,BO9*管理者用人口入力シート!AQ$7))</f>
        <v>397.70188471704148</v>
      </c>
      <c r="BQ12" s="9">
        <f>IF(管理者入力シート!$B$14=1,BP9*管理者用人口入力シート!AR$3,IF(管理者入力シート!$B$14=2,BP9*管理者用人口入力シート!AR$7))</f>
        <v>430.11080387600163</v>
      </c>
      <c r="BR12" s="9">
        <f>IF(管理者入力シート!$B$14=1,BQ9*管理者用人口入力シート!AS$3,IF(管理者入力シート!$B$14=2,BQ9*管理者用人口入力シート!AS$7))</f>
        <v>406.33922378578973</v>
      </c>
      <c r="BS12" s="9">
        <f>IF(管理者入力シート!$B$14=1,BR9*管理者用人口入力シート!AT$3,IF(管理者入力シート!$B$14=2,BR9*管理者用人口入力シート!AT$7))</f>
        <v>449.68785005127825</v>
      </c>
      <c r="BT12" s="9">
        <f>IF(管理者入力シート!$B$14=1,BS9*管理者用人口入力シート!AU$3,IF(管理者入力シート!$B$14=2,BS9*管理者用人口入力シート!AU$7))</f>
        <v>427.16235152032402</v>
      </c>
      <c r="BU12" s="9">
        <f>IF(管理者入力シート!$B$14=1,BT9*管理者用人口入力シート!AV$3,IF(管理者入力シート!$B$14=2,BT9*管理者用人口入力シート!AV$7))</f>
        <v>486.72685799162923</v>
      </c>
      <c r="BV12" s="9">
        <f>IF(管理者入力シート!$B$14=1,BU9*管理者用人口入力シート!AW$3,IF(管理者入力シート!$B$14=2,BU9*管理者用人口入力シート!AW$7))</f>
        <v>531.46212003394794</v>
      </c>
      <c r="BW12" s="9">
        <f>IF(管理者入力シート!$B$14=1,BV9*管理者用人口入力シート!AX$3,IF(管理者入力シート!$B$14=2,BV9*管理者用人口入力シート!AX$7))</f>
        <v>645.18475568422627</v>
      </c>
      <c r="BX12" s="9">
        <f>IF(管理者入力シート!$B$14=1,BW9*管理者用人口入力シート!AY$3,IF(管理者入力シート!$B$14=2,BW9*管理者用人口入力シート!AY$7))</f>
        <v>669.81947016945753</v>
      </c>
      <c r="BY12" s="9">
        <f>IF(管理者入力シート!$B$14=1,BX9*管理者用人口入力シート!AZ$3,IF(管理者入力シート!$B$14=2,BX9*管理者用人口入力シート!AZ$7))</f>
        <v>489.71426510028073</v>
      </c>
      <c r="BZ12" s="9">
        <f>IF(管理者入力シート!$B$14=1,BY9*管理者用人口入力シート!BA$3,IF(管理者入力シート!$B$14=2,BY9*管理者用人口入力シート!BA$7))</f>
        <v>403.5729698297007</v>
      </c>
      <c r="CA12" s="9">
        <f>IF(管理者入力シート!$B$14=1,BZ9*管理者用人口入力シート!BB$3,IF(管理者入力シート!$B$14=2,BZ9*管理者用人口入力シート!BB$7))</f>
        <v>345.66080982002779</v>
      </c>
      <c r="CB12" s="9">
        <f>IF(管理者入力シート!$B$14=1,CA9*管理者用人口入力シート!BC$3,IF(管理者入力シート!$B$14=2,CA9*管理者用人口入力シート!BC$7))</f>
        <v>288.7253526764016</v>
      </c>
      <c r="CC12" s="9">
        <f>IF(管理者入力シート!$B$14=1,CB9*管理者用人口入力シート!BD$3,IF(管理者入力シート!$B$14=2,CB9*管理者用人口入力シート!BD$7))</f>
        <v>157.02782168583221</v>
      </c>
      <c r="CD12" s="9">
        <f>IF(管理者入力シート!$B$14=1,CC9*管理者用人口入力シート!BE$3,IF(管理者入力シート!$B$14=2,CC9*管理者用人口入力シート!BE$7))</f>
        <v>41.396026321151993</v>
      </c>
      <c r="CE12" s="9">
        <f>IF(管理者入力シート!$B$14=1,CD9*管理者用人口入力シート!BF$3,IF(管理者入力シート!$B$14=2,CD9*管理者用人口入力シート!BF$7))</f>
        <v>0.56574294914788315</v>
      </c>
      <c r="CF12" s="9">
        <f t="shared" si="2"/>
        <v>7985.5914782389882</v>
      </c>
      <c r="CG12" s="9">
        <f t="shared" si="20"/>
        <v>471.0940054367851</v>
      </c>
      <c r="CH12" s="9">
        <f t="shared" si="21"/>
        <v>234.9084758760367</v>
      </c>
      <c r="CI12" s="9">
        <f t="shared" si="3"/>
        <v>2396.4824585520009</v>
      </c>
      <c r="CJ12" s="9">
        <f t="shared" si="22"/>
        <v>1236.9487232822623</v>
      </c>
      <c r="CK12" s="13">
        <f t="shared" si="23"/>
        <v>0.30010080844762699</v>
      </c>
      <c r="CL12" s="13">
        <f t="shared" si="24"/>
        <v>0.15489757103816171</v>
      </c>
      <c r="CM12" s="9">
        <f t="shared" si="25"/>
        <v>1497.1866390401019</v>
      </c>
      <c r="CO12" s="7" t="str">
        <f t="shared" si="26"/>
        <v>2040_1</v>
      </c>
      <c r="CP12" s="28">
        <f>管理者入力シート!B11</f>
        <v>2040</v>
      </c>
      <c r="CQ12" s="3" t="s">
        <v>21</v>
      </c>
      <c r="CR12" s="9">
        <f>DT13*$AK$13+将来予測シート②!$G17</f>
        <v>392.13725472455121</v>
      </c>
      <c r="CS12" s="9">
        <f>IF(管理者入力シート!$B$14=1,CR9*管理者用人口入力シート!AM$3,IF(管理者入力シート!$B$14=2,CR9*管理者用人口入力シート!AM$7))+将来予測シート②!$G18</f>
        <v>389.0149993043409</v>
      </c>
      <c r="CT12" s="9">
        <f>IF(管理者入力シート!$B$14=1,CS9*管理者用人口入力シート!AN$3,IF(管理者入力シート!$B$14=2,CS9*管理者用人口入力シート!AN$7))+将来予測シート②!$G19</f>
        <v>401.59824732562674</v>
      </c>
      <c r="CU12" s="9">
        <f>IF(管理者入力シート!$B$14=1,CT9*管理者用人口入力シート!AO$3,IF(管理者入力シート!$B$14=2,CT9*管理者用人口入力シート!AO$7))+将来予測シート②!$G20</f>
        <v>378.97072888795509</v>
      </c>
      <c r="CV12" s="9">
        <f>IF(管理者入力シート!$B$14=1,CU9*管理者用人口入力シート!AP$3,IF(管理者入力シート!$B$14=2,CU9*管理者用人口入力シート!AP$7))+将来予測シート②!$G21</f>
        <v>263.57337740392398</v>
      </c>
      <c r="CW12" s="9">
        <f>IF(管理者入力シート!$B$14=1,CV9*管理者用人口入力シート!AQ$3,IF(管理者入力シート!$B$14=2,CV9*管理者用人口入力シート!AQ$7))+将来予測シート②!$G22</f>
        <v>400.40609676639599</v>
      </c>
      <c r="CX12" s="9">
        <f>IF(管理者入力シート!$B$14=1,CW9*管理者用人口入力シート!AR$3,IF(管理者入力シート!$B$14=2,CW9*管理者用人口入力シート!AR$7))+将来予測シート②!$G23</f>
        <v>432.29958403568844</v>
      </c>
      <c r="CY12" s="9">
        <f>IF(管理者入力シート!$B$14=1,CX9*管理者用人口入力シート!AS$3,IF(管理者入力シート!$B$14=2,CX9*管理者用人口入力シート!AS$7))+将来予測シート②!$G24</f>
        <v>408.51430067016923</v>
      </c>
      <c r="CZ12" s="9">
        <f>IF(管理者入力シート!$B$14=1,CY9*管理者用人口入力シート!AT$3,IF(管理者入力シート!$B$14=2,CY9*管理者用人口入力シート!AT$7))+将来予測シート②!$G25</f>
        <v>451.86030298541698</v>
      </c>
      <c r="DA12" s="9">
        <f>IF(管理者入力シート!$B$14=1,CZ9*管理者用人口入力シート!AU$3,IF(管理者入力シート!$B$14=2,CZ9*管理者用人口入力シート!AU$7))+将来予測シート②!$G26</f>
        <v>427.16235152032402</v>
      </c>
      <c r="DB12" s="9">
        <f>IF(管理者入力シート!$B$14=1,DA9*管理者用人口入力シート!AV$3,IF(管理者入力シート!$B$14=2,DA9*管理者用人口入力シート!AV$7))+将来予測シート②!$G27</f>
        <v>486.72685799162923</v>
      </c>
      <c r="DC12" s="9">
        <f>IF(管理者入力シート!$B$14=1,DB9*管理者用人口入力シート!AW$3,IF(管理者入力シート!$B$14=2,DB9*管理者用人口入力シート!AW$7))+将来予測シート②!$G28</f>
        <v>531.46212003394794</v>
      </c>
      <c r="DD12" s="9">
        <f>IF(管理者入力シート!$B$14=1,DC9*管理者用人口入力シート!AX$3,IF(管理者入力シート!$B$14=2,DC9*管理者用人口入力シート!AX$7))+将来予測シート②!$G29</f>
        <v>645.18475568422627</v>
      </c>
      <c r="DE12" s="9">
        <f>IF(管理者入力シート!$B$14=1,DD9*管理者用人口入力シート!AY$3,IF(管理者入力シート!$B$14=2,DD9*管理者用人口入力シート!AY$7))</f>
        <v>669.81947016945753</v>
      </c>
      <c r="DF12" s="9">
        <f>IF(管理者入力シート!$B$14=1,DE9*管理者用人口入力シート!AZ$3,IF(管理者入力シート!$B$14=2,DE9*管理者用人口入力シート!AZ$7))</f>
        <v>489.71426510028073</v>
      </c>
      <c r="DG12" s="9">
        <f>IF(管理者入力シート!$B$14=1,DF9*管理者用人口入力シート!BA$3,IF(管理者入力シート!$B$14=2,DF9*管理者用人口入力シート!BA$7))</f>
        <v>403.5729698297007</v>
      </c>
      <c r="DH12" s="9">
        <f>IF(管理者入力シート!$B$14=1,DG9*管理者用人口入力シート!BB$3,IF(管理者入力シート!$B$14=2,DG9*管理者用人口入力シート!BB$7))</f>
        <v>345.66080982002779</v>
      </c>
      <c r="DI12" s="9">
        <f>IF(管理者入力シート!$B$14=1,DH9*管理者用人口入力シート!BC$3,IF(管理者入力シート!$B$14=2,DH9*管理者用人口入力シート!BC$7))</f>
        <v>288.7253526764016</v>
      </c>
      <c r="DJ12" s="9">
        <f>IF(管理者入力シート!$B$14=1,DI9*管理者用人口入力シート!BD$3,IF(管理者入力シート!$B$14=2,DI9*管理者用人口入力シート!BD$7))</f>
        <v>157.02782168583221</v>
      </c>
      <c r="DK12" s="9">
        <f>IF(管理者入力シート!$B$14=1,DJ9*管理者用人口入力シート!BE$3,IF(管理者入力シート!$B$14=2,DJ9*管理者用人口入力シート!BE$7))</f>
        <v>41.396026321151993</v>
      </c>
      <c r="DL12" s="9">
        <f>IF(管理者入力シート!$B$14=1,DK9*管理者用人口入力シート!BF$3,IF(管理者入力シート!$B$14=2,DK9*管理者用人口入力シート!BF$7))</f>
        <v>0.56574294914788315</v>
      </c>
      <c r="DM12" s="9">
        <f t="shared" si="69"/>
        <v>8005.393435886197</v>
      </c>
      <c r="DN12" s="9">
        <f t="shared" si="34"/>
        <v>474.36794797798052</v>
      </c>
      <c r="DO12" s="9">
        <f t="shared" si="35"/>
        <v>236.43344470784172</v>
      </c>
      <c r="DP12" s="9">
        <f t="shared" si="6"/>
        <v>2396.4824585520009</v>
      </c>
      <c r="DQ12" s="9">
        <f t="shared" si="36"/>
        <v>1236.9487232822623</v>
      </c>
      <c r="DR12" s="13">
        <f t="shared" si="37"/>
        <v>0.29935848596886733</v>
      </c>
      <c r="DS12" s="13">
        <f t="shared" si="38"/>
        <v>0.15451441995809068</v>
      </c>
      <c r="DT12" s="9">
        <f t="shared" si="70"/>
        <v>1504.7933588761775</v>
      </c>
      <c r="DV12" s="212"/>
      <c r="DX12" s="28">
        <f>管理者入力シート!B11</f>
        <v>2040</v>
      </c>
      <c r="DY12" s="3" t="s">
        <v>21</v>
      </c>
      <c r="DZ12" s="9">
        <f>FB13*$AK$13</f>
        <v>570.17421044498394</v>
      </c>
      <c r="EA12" s="129">
        <f>IF(管理者入力シート!$B$14=1,DZ9*管理者用人口入力シート!AM$3,IF(管理者入力シート!$B$14=2,DZ9*管理者用人口入力シート!AM$7))</f>
        <v>562.53570116736921</v>
      </c>
      <c r="EB12" s="9">
        <f>IF(管理者入力シート!$B$14=1,EA9*管理者用人口入力シート!AN$3,IF(管理者入力シート!$B$14=2,EA9*管理者用人口入力シート!AN$7))</f>
        <v>547.74434350501099</v>
      </c>
      <c r="EC12" s="9">
        <f>IF(管理者入力シート!$B$14=1,EB9*管理者用人口入力シート!AO$3,IF(管理者入力シート!$B$14=2,EB9*管理者用人口入力シート!AO$7))</f>
        <v>377.20558309699027</v>
      </c>
      <c r="ED12" s="9">
        <f>IF(管理者入力シート!$B$14=1,EC9*管理者用人口入力シート!AP$3,IF(管理者入力シート!$B$14=2,EC9*管理者用人口入力シート!AP$7))</f>
        <v>263.03472666126896</v>
      </c>
      <c r="EE12" s="9">
        <f>IF(管理者入力シート!$B$14=1,ED9*管理者用人口入力シート!AQ$3,IF(管理者入力シート!$B$14=2,ED9*管理者用人口入力シート!AQ$7))+DX1</f>
        <v>524.70188471704148</v>
      </c>
      <c r="EF12" s="9">
        <f>IF(管理者入力シート!$B$14=1,EE9*管理者用人口入力シート!AR$3,IF(管理者入力シート!$B$14=2,EE9*管理者用人口入力シート!AR$7))+DX1</f>
        <v>696.09834401611397</v>
      </c>
      <c r="EG12" s="9">
        <f>IF(管理者入力シート!$B$14=1,EF9*管理者用人口入力シート!AS$3,IF(管理者入力シート!$B$14=2,EF9*管理者用人口入力シート!AS$7))+DX1</f>
        <v>797.6614982414012</v>
      </c>
      <c r="EH12" s="9">
        <f>IF(管理者入力シート!$B$14=1,EG9*管理者用人口入力シート!AT$3,IF(管理者入力シート!$B$14=2,EG9*管理者用人口入力シート!AT$7))</f>
        <v>840.53804456174396</v>
      </c>
      <c r="EI12" s="9">
        <f>IF(管理者入力シート!$B$14=1,EH9*管理者用人口入力シート!AU$3,IF(管理者入力シート!$B$14=2,EH9*管理者用人口入力シート!AU$7))</f>
        <v>676.51779826202619</v>
      </c>
      <c r="EJ12" s="9">
        <f>IF(管理者入力シート!$B$14=1,EI9*管理者用人口入力シート!AV$3,IF(管理者入力シート!$B$14=2,EI9*管理者用人口入力シート!AV$7))</f>
        <v>607.17311196995809</v>
      </c>
      <c r="EK12" s="9">
        <f>IF(管理者入力シート!$B$14=1,EJ9*管理者用人口入力シート!AW$3,IF(管理者入力シート!$B$14=2,EJ9*管理者用人口入力シート!AW$7))</f>
        <v>531.46212003394794</v>
      </c>
      <c r="EL12" s="9">
        <f>IF(管理者入力シート!$B$14=1,EK9*管理者用人口入力シート!AX$3,IF(管理者入力シート!$B$14=2,EK9*管理者用人口入力シート!AX$7))</f>
        <v>645.18475568422627</v>
      </c>
      <c r="EM12" s="9">
        <f>IF(管理者入力シート!$B$14=1,EL9*管理者用人口入力シート!AY$3,IF(管理者入力シート!$B$14=2,EL9*管理者用人口入力シート!AY$7))</f>
        <v>669.81947016945753</v>
      </c>
      <c r="EN12" s="9">
        <f>IF(管理者入力シート!$B$14=1,EM9*管理者用人口入力シート!AZ$3,IF(管理者入力シート!$B$14=2,EM9*管理者用人口入力シート!AZ$7))</f>
        <v>489.71426510028073</v>
      </c>
      <c r="EO12" s="9">
        <f>IF(管理者入力シート!$B$14=1,EN9*管理者用人口入力シート!BA$3,IF(管理者入力シート!$B$14=2,EN9*管理者用人口入力シート!BA$7))</f>
        <v>403.5729698297007</v>
      </c>
      <c r="EP12" s="9">
        <f>IF(管理者入力シート!$B$14=1,EO9*管理者用人口入力シート!BB$3,IF(管理者入力シート!$B$14=2,EO9*管理者用人口入力シート!BB$7))</f>
        <v>345.66080982002779</v>
      </c>
      <c r="EQ12" s="9">
        <f>IF(管理者入力シート!$B$14=1,EP9*管理者用人口入力シート!BC$3,IF(管理者入力シート!$B$14=2,EP9*管理者用人口入力シート!BC$7))</f>
        <v>288.7253526764016</v>
      </c>
      <c r="ER12" s="9">
        <f>IF(管理者入力シート!$B$14=1,EQ9*管理者用人口入力シート!BD$3,IF(管理者入力シート!$B$14=2,EQ9*管理者用人口入力シート!BD$7))</f>
        <v>157.02782168583221</v>
      </c>
      <c r="ES12" s="9">
        <f>IF(管理者入力シート!$B$14=1,ER9*管理者用人口入力シート!BE$3,IF(管理者入力シート!$B$14=2,ER9*管理者用人口入力シート!BE$7))</f>
        <v>41.396026321151993</v>
      </c>
      <c r="ET12" s="9">
        <f>IF(管理者入力シート!$B$14=1,ES9*管理者用人口入力シート!BF$3,IF(管理者入力シート!$B$14=2,ES9*管理者用人口入力シート!BF$7))</f>
        <v>0.56574294914788315</v>
      </c>
      <c r="EU12" s="9">
        <f t="shared" si="71"/>
        <v>10036.514580914083</v>
      </c>
      <c r="EV12" s="9">
        <f t="shared" si="41"/>
        <v>666.16802680342812</v>
      </c>
      <c r="EW12" s="9">
        <f t="shared" si="42"/>
        <v>294.53885402140247</v>
      </c>
      <c r="EX12" s="9">
        <f t="shared" si="10"/>
        <v>2396.4824585520009</v>
      </c>
      <c r="EY12" s="9">
        <f t="shared" si="43"/>
        <v>1236.9487232822623</v>
      </c>
      <c r="EZ12" s="13">
        <f t="shared" si="44"/>
        <v>0.23877636396894861</v>
      </c>
      <c r="FA12" s="13">
        <f t="shared" si="45"/>
        <v>0.12324484892738594</v>
      </c>
      <c r="FB12" s="9">
        <f t="shared" si="72"/>
        <v>2281.4964536358257</v>
      </c>
    </row>
    <row r="13" spans="1:158" x14ac:dyDescent="0.15">
      <c r="A13" s="7" t="str">
        <f t="shared" si="11"/>
        <v>2020_2</v>
      </c>
      <c r="B13" s="29">
        <v>2020</v>
      </c>
      <c r="C13" s="4" t="s">
        <v>22</v>
      </c>
      <c r="D13" s="10">
        <v>489.54872999230446</v>
      </c>
      <c r="E13" s="10">
        <v>523.5361237677489</v>
      </c>
      <c r="F13" s="10">
        <v>516.75017795173767</v>
      </c>
      <c r="G13" s="10">
        <v>456.69242237197483</v>
      </c>
      <c r="H13" s="10">
        <v>359.72183503731162</v>
      </c>
      <c r="I13" s="10">
        <v>477.76154223229486</v>
      </c>
      <c r="J13" s="10">
        <v>554.13964716360783</v>
      </c>
      <c r="K13" s="10">
        <v>684.18204230236961</v>
      </c>
      <c r="L13" s="10">
        <v>743.72222840675897</v>
      </c>
      <c r="M13" s="10">
        <v>855.02582050931426</v>
      </c>
      <c r="N13" s="10">
        <v>697.65851887962981</v>
      </c>
      <c r="O13" s="10">
        <v>578.10976872420338</v>
      </c>
      <c r="P13" s="10">
        <v>655.24428418705861</v>
      </c>
      <c r="Q13" s="10">
        <v>745.93475877627441</v>
      </c>
      <c r="R13" s="10">
        <v>813.08280571846967</v>
      </c>
      <c r="S13" s="10">
        <v>557.54839277222925</v>
      </c>
      <c r="T13" s="10">
        <v>452.40376636092827</v>
      </c>
      <c r="U13" s="10">
        <v>297.83888567061251</v>
      </c>
      <c r="V13" s="10">
        <v>152.11561539130079</v>
      </c>
      <c r="W13" s="10">
        <v>40.726587926980805</v>
      </c>
      <c r="X13" s="10">
        <v>12.256045856889648</v>
      </c>
      <c r="Y13" s="10">
        <f t="shared" si="177"/>
        <v>10664.000000000004</v>
      </c>
      <c r="Z13" s="10">
        <f t="shared" ref="Z13:Z14" si="179">E13*3/5+F13*3/5</f>
        <v>624.17178103169192</v>
      </c>
      <c r="AA13" s="10">
        <f t="shared" ref="AA13:AA14" si="180">F13*2/5+G13*1/5</f>
        <v>298.03855565509002</v>
      </c>
      <c r="AB13" s="10">
        <f t="shared" si="178"/>
        <v>3071.9068584736851</v>
      </c>
      <c r="AC13" s="10">
        <f t="shared" ref="AC13:AC14" si="181">SUM(S13:X13)</f>
        <v>1512.8892939789412</v>
      </c>
      <c r="AD13" s="14">
        <f t="shared" ref="AD13:AD14" si="182">AB13/Y13</f>
        <v>0.28806328380285862</v>
      </c>
      <c r="AE13" s="14">
        <f t="shared" ref="AE13:AE14" si="183">AC13/Y13</f>
        <v>0.14186883852015572</v>
      </c>
      <c r="AF13" s="10">
        <f t="shared" ref="AF13:AF14" si="184">SUM(H13:K13)</f>
        <v>2075.8050667355838</v>
      </c>
      <c r="AI13" s="60" t="s">
        <v>47</v>
      </c>
      <c r="AJ13" s="1" t="s">
        <v>21</v>
      </c>
      <c r="AK13" s="8">
        <f>VLOOKUP(AK12&amp;"_1",A:D,4,FALSE)/VLOOKUP(AK12&amp;"_2",A:AF,32,FALSE)</f>
        <v>0.23812957937894866</v>
      </c>
      <c r="AL13" s="63"/>
      <c r="BH13" s="7" t="str">
        <f t="shared" si="19"/>
        <v>2040_2</v>
      </c>
      <c r="BI13" s="29">
        <f>BI12</f>
        <v>2040</v>
      </c>
      <c r="BJ13" s="4" t="s">
        <v>22</v>
      </c>
      <c r="BK13" s="10">
        <f>CM13*$AK$14</f>
        <v>385.58558225085199</v>
      </c>
      <c r="BL13" s="10">
        <f>IF(管理者入力シート!$B$14=1,BK10*管理者用人口入力シート!AM$4,IF(管理者入力シート!$B$14=2,BK10*管理者用人口入力シート!AM$8))</f>
        <v>364.87951539070025</v>
      </c>
      <c r="BM13" s="10">
        <f>IF(管理者入力シート!$B$14=1,BL10*管理者用人口入力シート!AN$4,IF(管理者入力シート!$B$14=2,BL10*管理者用人口入力シート!AN$8))</f>
        <v>369.74571846604186</v>
      </c>
      <c r="BN13" s="10">
        <f>IF(管理者入力シート!$B$14=1,BM10*管理者用人口入力シート!AO$4,IF(管理者入力シート!$B$14=2,BM10*管理者用人口入力シート!AO$8))</f>
        <v>372.36080140695935</v>
      </c>
      <c r="BO13" s="10">
        <f>IF(管理者入力シート!$B$14=1,BN10*管理者用人口入力シート!AP$4,IF(管理者入力シート!$B$14=2,BN10*管理者用人口入力シート!AP$8))</f>
        <v>324.39216437665652</v>
      </c>
      <c r="BP13" s="10">
        <f>IF(管理者入力シート!$B$14=1,BO10*管理者用人口入力シート!AQ$4,IF(管理者入力シート!$B$14=2,BO10*管理者用人口入力シート!AQ$8))</f>
        <v>450.58641295197793</v>
      </c>
      <c r="BQ13" s="10">
        <f>IF(管理者入力シート!$B$14=1,BP10*管理者用人口入力シート!AR$4,IF(管理者入力シート!$B$14=2,BP10*管理者用人口入力シート!AR$8))</f>
        <v>447.07326406553</v>
      </c>
      <c r="BR13" s="10">
        <f>IF(管理者入力シート!$B$14=1,BQ10*管理者用人口入力シート!AS$4,IF(管理者入力シート!$B$14=2,BQ10*管理者用人口入力シート!AS$8))</f>
        <v>412.9243239185119</v>
      </c>
      <c r="BS13" s="10">
        <f>IF(管理者入力シート!$B$14=1,BR10*管理者用人口入力シート!AT$4,IF(管理者入力シート!$B$14=2,BR10*管理者用人口入力シート!AT$8))</f>
        <v>418.30790659068839</v>
      </c>
      <c r="BT13" s="10">
        <f>IF(管理者入力シート!$B$14=1,BS10*管理者用人口入力シート!AU$4,IF(管理者入力シート!$B$14=2,BS10*管理者用人口入力シート!AU$8))</f>
        <v>469.55117461757891</v>
      </c>
      <c r="BU13" s="10">
        <f>IF(管理者入力シート!$B$14=1,BT10*管理者用人口入力シート!AV$4,IF(管理者入力シート!$B$14=2,BT10*管理者用人口入力シート!AV$8))</f>
        <v>516.46352485952571</v>
      </c>
      <c r="BV13" s="10">
        <f>IF(管理者入力シート!$B$14=1,BU10*管理者用人口入力シート!AW$4,IF(管理者入力シート!$B$14=2,BU10*管理者用人口入力シート!AW$8))</f>
        <v>632.40782362953109</v>
      </c>
      <c r="BW13" s="10">
        <f>IF(管理者入力シート!$B$14=1,BV10*管理者用人口入力シート!AX$4,IF(管理者入力シート!$B$14=2,BV10*管理者用人口入力シート!AX$8))</f>
        <v>685.62948990405005</v>
      </c>
      <c r="BX13" s="10">
        <f>IF(管理者入力シート!$B$14=1,BW10*管理者用人口入力シート!AY$4,IF(管理者入力シート!$B$14=2,BW10*管理者用人口入力シート!AY$8))</f>
        <v>740.08398389983677</v>
      </c>
      <c r="BY13" s="10">
        <f>IF(管理者入力シート!$B$14=1,BX10*管理者用人口入力シート!AZ$4,IF(管理者入力シート!$B$14=2,BX10*管理者用人口入力シート!AZ$8))</f>
        <v>611.06930127061946</v>
      </c>
      <c r="BZ13" s="10">
        <f>IF(管理者入力シート!$B$14=1,BY10*管理者用人口入力シート!BA$4,IF(管理者入力シート!$B$14=2,BY10*管理者用人口入力シート!BA$8))</f>
        <v>481.80123772448894</v>
      </c>
      <c r="CA13" s="10">
        <f>IF(管理者入力シート!$B$14=1,BZ10*管理者用人口入力シート!BB$4,IF(管理者入力シート!$B$14=2,BZ10*管理者用人口入力シート!BB$8))</f>
        <v>497.44843841314815</v>
      </c>
      <c r="CB13" s="10">
        <f>IF(管理者入力シート!$B$14=1,CA10*管理者用人口入力シート!BC$4,IF(管理者入力シート!$B$14=2,CA10*管理者用人口入力シート!BC$8))</f>
        <v>467.78287452255438</v>
      </c>
      <c r="CC13" s="10">
        <f>IF(管理者入力シート!$B$14=1,CB10*管理者用人口入力シート!BD$4,IF(管理者入力シート!$B$14=2,CB10*管理者用人口入力シート!BD$8))</f>
        <v>343.58974607879077</v>
      </c>
      <c r="CD13" s="10">
        <f>IF(管理者入力シート!$B$14=1,CC10*管理者用人口入力シート!BE$4,IF(管理者入力シート!$B$14=2,CC10*管理者用人口入力シート!BE$8))</f>
        <v>92.689901991815404</v>
      </c>
      <c r="CE13" s="10">
        <f>IF(管理者入力シート!$B$14=1,CD10*管理者用人口入力シート!BF$4,IF(管理者入力シート!$B$14=2,CD10*管理者用人口入力シート!BF$8))</f>
        <v>22.021162990952643</v>
      </c>
      <c r="CF13" s="10">
        <f t="shared" si="2"/>
        <v>9106.3943493208099</v>
      </c>
      <c r="CG13" s="10">
        <f t="shared" si="20"/>
        <v>440.77514031404525</v>
      </c>
      <c r="CH13" s="10">
        <f t="shared" si="21"/>
        <v>222.37044766780861</v>
      </c>
      <c r="CI13" s="10">
        <f t="shared" si="3"/>
        <v>3256.4866468922064</v>
      </c>
      <c r="CJ13" s="10">
        <f t="shared" si="22"/>
        <v>1905.3333617217504</v>
      </c>
      <c r="CK13" s="14">
        <f t="shared" si="23"/>
        <v>0.35760439554598111</v>
      </c>
      <c r="CL13" s="14">
        <f t="shared" si="24"/>
        <v>0.20923027145907178</v>
      </c>
      <c r="CM13" s="10">
        <f t="shared" si="25"/>
        <v>1634.9761653126764</v>
      </c>
      <c r="CO13" s="7" t="str">
        <f t="shared" si="26"/>
        <v>2040_2</v>
      </c>
      <c r="CP13" s="29">
        <f>CP12</f>
        <v>2040</v>
      </c>
      <c r="CQ13" s="4" t="s">
        <v>22</v>
      </c>
      <c r="CR13" s="10">
        <f>DT13*$AK$14+将来予測シート②!$H17</f>
        <v>388.36930014922206</v>
      </c>
      <c r="CS13" s="10">
        <f>IF(管理者入力シート!$B$14=1,CR10*管理者用人口入力シート!AM$4,IF(管理者入力シート!$B$14=2,CR10*管理者用人口入力シート!AM$8))+将来予測シート②!$H18</f>
        <v>367.27390669094484</v>
      </c>
      <c r="CT13" s="10">
        <f>IF(管理者入力シート!$B$14=1,CS10*管理者用人口入力シート!AN$4,IF(管理者入力シート!$B$14=2,CS10*管理者用人口入力シート!AN$8))+将来予測シート②!$H19</f>
        <v>372.54447259340793</v>
      </c>
      <c r="CU13" s="10">
        <f>IF(管理者入力シート!$B$14=1,CT10*管理者用人口入力シート!AO$4,IF(管理者入力シート!$B$14=2,CT10*管理者用人口入力シート!AO$8))+将来予測シート②!$H20</f>
        <v>374.18026509745943</v>
      </c>
      <c r="CV13" s="10">
        <f>IF(管理者入力シート!$B$14=1,CU10*管理者用人口入力シート!AP$4,IF(管理者入力シート!$B$14=2,CU10*管理者用人口入力シート!AP$8))+将来予測シート②!$H21</f>
        <v>325.10842848033366</v>
      </c>
      <c r="CW13" s="10">
        <f>IF(管理者入力シート!$B$14=1,CV10*管理者用人口入力シート!AQ$4,IF(管理者入力シート!$B$14=2,CV10*管理者用人口入力シート!AQ$8))+将来予測シート②!$H22</f>
        <v>453.44976368028233</v>
      </c>
      <c r="CX13" s="10">
        <f>IF(管理者入力シート!$B$14=1,CW10*管理者用人口入力シート!AR$4,IF(管理者入力シート!$B$14=2,CW10*管理者用人口入力シート!AR$8))+将来予測シート②!$H23</f>
        <v>449.07746287589572</v>
      </c>
      <c r="CY13" s="10">
        <f>IF(管理者入力シート!$B$14=1,CX10*管理者用人口入力シート!AS$4,IF(管理者入力シート!$B$14=2,CX10*管理者用人口入力シート!AS$8))+将来予測シート②!$H24</f>
        <v>414.90390575493893</v>
      </c>
      <c r="CZ13" s="10">
        <f>IF(管理者入力シート!$B$14=1,CY10*管理者用人口入力シート!AT$4,IF(管理者入力シート!$B$14=2,CY10*管理者用人口入力シート!AT$8))+将来予測シート②!$H25</f>
        <v>421.23740842492055</v>
      </c>
      <c r="DA13" s="10">
        <f>IF(管理者入力シート!$B$14=1,CZ10*管理者用人口入力シート!AU$4,IF(管理者入力シート!$B$14=2,CZ10*管理者用人口入力シート!AU$8))+将来予測シート②!$H26</f>
        <v>470.56989863041429</v>
      </c>
      <c r="DB13" s="10">
        <f>IF(管理者入力シート!$B$14=1,DA10*管理者用人口入力シート!AV$4,IF(管理者入力シート!$B$14=2,DA10*管理者用人口入力シート!AV$8))+将来予測シート②!$H27</f>
        <v>517.43161553122104</v>
      </c>
      <c r="DC13" s="10">
        <f>IF(管理者入力シート!$B$14=1,DB10*管理者用人口入力シート!AW$4,IF(管理者入力シート!$B$14=2,DB10*管理者用人口入力シート!AW$8))+将来予測シート②!$H28</f>
        <v>633.35614126599819</v>
      </c>
      <c r="DD13" s="10">
        <f>IF(管理者入力シート!$B$14=1,DC10*管理者用人口入力シート!AX$4,IF(管理者入力シート!$B$14=2,DC10*管理者用人口入力シート!AX$8))+将来予測シート②!$H29</f>
        <v>685.62948990405005</v>
      </c>
      <c r="DE13" s="10">
        <f>IF(管理者入力シート!$B$14=1,DD10*管理者用人口入力シート!AY$4,IF(管理者入力シート!$B$14=2,DD10*管理者用人口入力シート!AY$8))</f>
        <v>740.08398389983677</v>
      </c>
      <c r="DF13" s="10">
        <f>IF(管理者入力シート!$B$14=1,DE10*管理者用人口入力シート!AZ$4,IF(管理者入力シート!$B$14=2,DE10*管理者用人口入力シート!AZ$8))</f>
        <v>611.06930127061946</v>
      </c>
      <c r="DG13" s="10">
        <f>IF(管理者入力シート!$B$14=1,DF10*管理者用人口入力シート!BA$4,IF(管理者入力シート!$B$14=2,DF10*管理者用人口入力シート!BA$8))</f>
        <v>481.80123772448894</v>
      </c>
      <c r="DH13" s="10">
        <f>IF(管理者入力シート!$B$14=1,DG10*管理者用人口入力シート!BB$4,IF(管理者入力シート!$B$14=2,DG10*管理者用人口入力シート!BB$8))</f>
        <v>497.44843841314815</v>
      </c>
      <c r="DI13" s="10">
        <f>IF(管理者入力シート!$B$14=1,DH10*管理者用人口入力シート!BC$4,IF(管理者入力シート!$B$14=2,DH10*管理者用人口入力シート!BC$8))</f>
        <v>467.78287452255438</v>
      </c>
      <c r="DJ13" s="10">
        <f>IF(管理者入力シート!$B$14=1,DI10*管理者用人口入力シート!BD$4,IF(管理者入力シート!$B$14=2,DI10*管理者用人口入力シート!BD$8))</f>
        <v>343.58974607879077</v>
      </c>
      <c r="DK13" s="10">
        <f>IF(管理者入力シート!$B$14=1,DJ10*管理者用人口入力シート!BE$4,IF(管理者入力シート!$B$14=2,DJ10*管理者用人口入力シート!BE$8))</f>
        <v>92.689901991815404</v>
      </c>
      <c r="DL13" s="10">
        <f>IF(管理者入力シート!$B$14=1,DK10*管理者用人口入力シート!BF$4,IF(管理者入力シート!$B$14=2,DK10*管理者用人口入力シート!BF$8))</f>
        <v>22.021162990952643</v>
      </c>
      <c r="DM13" s="10">
        <f t="shared" si="69"/>
        <v>9129.6187059712938</v>
      </c>
      <c r="DN13" s="10">
        <f t="shared" si="34"/>
        <v>443.89102757061164</v>
      </c>
      <c r="DO13" s="10">
        <f t="shared" si="35"/>
        <v>223.85384205685506</v>
      </c>
      <c r="DP13" s="10">
        <f t="shared" si="6"/>
        <v>3256.4866468922064</v>
      </c>
      <c r="DQ13" s="10">
        <f t="shared" si="36"/>
        <v>1905.3333617217504</v>
      </c>
      <c r="DR13" s="14">
        <f t="shared" si="37"/>
        <v>0.35669470454031971</v>
      </c>
      <c r="DS13" s="14">
        <f t="shared" si="38"/>
        <v>0.20869802158063328</v>
      </c>
      <c r="DT13" s="10">
        <f t="shared" si="70"/>
        <v>1642.5395607914506</v>
      </c>
      <c r="DV13" s="62"/>
      <c r="DX13" s="29">
        <f>DX12</f>
        <v>2040</v>
      </c>
      <c r="DY13" s="4" t="s">
        <v>22</v>
      </c>
      <c r="DZ13" s="10">
        <f>FB13*$AK$14</f>
        <v>564.68153364411569</v>
      </c>
      <c r="EA13" s="10">
        <f>IF(管理者入力シート!$B$14=1,DZ10*管理者用人口入力シート!AM$4,IF(管理者入力シート!$B$14=2,DZ10*管理者用人口入力シート!AM$8))</f>
        <v>531.08403523582479</v>
      </c>
      <c r="EB13" s="10">
        <f>IF(管理者入力シート!$B$14=1,EA10*管理者用人口入力シート!AN$4,IF(管理者入力シート!$B$14=2,EA10*管理者用人口入力シート!AN$8))</f>
        <v>508.00647046279988</v>
      </c>
      <c r="EC13" s="10">
        <f>IF(管理者入力シート!$B$14=1,EB10*管理者用人口入力シート!AO$4,IF(管理者入力シート!$B$14=2,EB10*管理者用人口入力シート!AO$8))</f>
        <v>372.36080140695935</v>
      </c>
      <c r="ED13" s="10">
        <f>IF(管理者入力シート!$B$14=1,EC10*管理者用人口入力シート!AP$4,IF(管理者入力シート!$B$14=2,EC10*管理者用人口入力シート!AP$8))</f>
        <v>324.39216437665652</v>
      </c>
      <c r="EE13" s="10">
        <f>IF(管理者入力シート!$B$14=1,ED10*管理者用人口入力シート!AQ$4,IF(管理者入力シート!$B$14=2,ED10*管理者用人口入力シート!AQ$8))+DX1</f>
        <v>577.58641295197799</v>
      </c>
      <c r="EF13" s="10">
        <f>IF(管理者入力シート!$B$14=1,EE10*管理者用人口入力シート!AR$4,IF(管理者入力シート!$B$14=2,EE10*管理者用人口入力シート!AR$8))+DX1</f>
        <v>701.33988852375217</v>
      </c>
      <c r="EG13" s="10">
        <f>IF(管理者入力シート!$B$14=1,EF10*管理者用人口入力シート!AS$4,IF(管理者入力シート!$B$14=2,EF10*管理者用人口入力シート!AS$8))+DX1</f>
        <v>791.06786755491544</v>
      </c>
      <c r="EH13" s="10">
        <f>IF(管理者入力シート!$B$14=1,EG10*管理者用人口入力シート!AT$4,IF(管理者入力シート!$B$14=2,EG10*管理者用人口入力シート!AT$8))</f>
        <v>786.88507153701744</v>
      </c>
      <c r="EI13" s="10">
        <f>IF(管理者入力シート!$B$14=1,EH10*管理者用人口入力シート!AU$4,IF(管理者入力シート!$B$14=2,EH10*管理者用人口入力シート!AU$8))</f>
        <v>720.21208757096304</v>
      </c>
      <c r="EJ13" s="10">
        <f>IF(管理者入力シート!$B$14=1,EI10*管理者用人口入力シート!AV$4,IF(管理者入力シート!$B$14=2,EI10*管理者用人口入力シート!AV$8))</f>
        <v>636.3006803287243</v>
      </c>
      <c r="EK13" s="10">
        <f>IF(管理者入力シート!$B$14=1,EJ10*管理者用人口入力シート!AW$4,IF(管理者入力シート!$B$14=2,EJ10*管理者用人口入力シート!AW$8))</f>
        <v>632.40782362953109</v>
      </c>
      <c r="EL13" s="10">
        <f>IF(管理者入力シート!$B$14=1,EK10*管理者用人口入力シート!AX$4,IF(管理者入力シート!$B$14=2,EK10*管理者用人口入力シート!AX$8))</f>
        <v>685.62948990405005</v>
      </c>
      <c r="EM13" s="10">
        <f>IF(管理者入力シート!$B$14=1,EL10*管理者用人口入力シート!AY$4,IF(管理者入力シート!$B$14=2,EL10*管理者用人口入力シート!AY$8))</f>
        <v>740.08398389983677</v>
      </c>
      <c r="EN13" s="10">
        <f>IF(管理者入力シート!$B$14=1,EM10*管理者用人口入力シート!AZ$4,IF(管理者入力シート!$B$14=2,EM10*管理者用人口入力シート!AZ$8))</f>
        <v>611.06930127061946</v>
      </c>
      <c r="EO13" s="10">
        <f>IF(管理者入力シート!$B$14=1,EN10*管理者用人口入力シート!BA$4,IF(管理者入力シート!$B$14=2,EN10*管理者用人口入力シート!BA$8))</f>
        <v>481.80123772448894</v>
      </c>
      <c r="EP13" s="10">
        <f>IF(管理者入力シート!$B$14=1,EO10*管理者用人口入力シート!BB$4,IF(管理者入力シート!$B$14=2,EO10*管理者用人口入力シート!BB$8))</f>
        <v>497.44843841314815</v>
      </c>
      <c r="EQ13" s="10">
        <f>IF(管理者入力シート!$B$14=1,EP10*管理者用人口入力シート!BC$4,IF(管理者入力シート!$B$14=2,EP10*管理者用人口入力シート!BC$8))</f>
        <v>467.78287452255438</v>
      </c>
      <c r="ER13" s="10">
        <f>IF(管理者入力シート!$B$14=1,EQ10*管理者用人口入力シート!BD$4,IF(管理者入力シート!$B$14=2,EQ10*管理者用人口入力シート!BD$8))</f>
        <v>343.58974607879077</v>
      </c>
      <c r="ES13" s="10">
        <f>IF(管理者入力シート!$B$14=1,ER10*管理者用人口入力シート!BE$4,IF(管理者入力シート!$B$14=2,ER10*管理者用人口入力シート!BE$8))</f>
        <v>92.689901991815404</v>
      </c>
      <c r="ET13" s="10">
        <f>IF(管理者入力シート!$B$14=1,ES10*管理者用人口入力シート!BF$4,IF(管理者入力シート!$B$14=2,ES10*管理者用人口入力シート!BF$8))</f>
        <v>22.021162990952643</v>
      </c>
      <c r="EU13" s="10">
        <f t="shared" si="71"/>
        <v>11088.440974019493</v>
      </c>
      <c r="EV13" s="10">
        <f t="shared" si="41"/>
        <v>623.45430341917472</v>
      </c>
      <c r="EW13" s="10">
        <f t="shared" si="42"/>
        <v>277.6747484665118</v>
      </c>
      <c r="EX13" s="10">
        <f t="shared" si="10"/>
        <v>3256.4866468922064</v>
      </c>
      <c r="EY13" s="10">
        <f t="shared" si="43"/>
        <v>1905.3333617217504</v>
      </c>
      <c r="EZ13" s="14">
        <f t="shared" si="44"/>
        <v>0.29368300327541441</v>
      </c>
      <c r="FA13" s="14">
        <f t="shared" si="45"/>
        <v>0.17183059062910613</v>
      </c>
      <c r="FB13" s="10">
        <f t="shared" si="72"/>
        <v>2394.3863334073021</v>
      </c>
    </row>
    <row r="14" spans="1:158" x14ac:dyDescent="0.15">
      <c r="A14" s="7" t="str">
        <f t="shared" si="11"/>
        <v>2020_3</v>
      </c>
      <c r="B14" s="30">
        <v>2020</v>
      </c>
      <c r="C14" s="5" t="s">
        <v>23</v>
      </c>
      <c r="D14" s="11">
        <v>983.85931740673948</v>
      </c>
      <c r="E14" s="11">
        <v>1080.0656425758366</v>
      </c>
      <c r="F14" s="11">
        <v>1074.8408351371793</v>
      </c>
      <c r="G14" s="11">
        <v>927.81101035657048</v>
      </c>
      <c r="H14" s="11">
        <v>676.38283893174821</v>
      </c>
      <c r="I14" s="11">
        <v>876.60418466834221</v>
      </c>
      <c r="J14" s="11">
        <v>1070.5836820558516</v>
      </c>
      <c r="K14" s="11">
        <v>1255.645622361405</v>
      </c>
      <c r="L14" s="11">
        <v>1462.5834649862772</v>
      </c>
      <c r="M14" s="11">
        <v>1634.4417471652612</v>
      </c>
      <c r="N14" s="11">
        <v>1286.814849433672</v>
      </c>
      <c r="O14" s="11">
        <v>1113.2371696953855</v>
      </c>
      <c r="P14" s="11">
        <v>1188.7363973544147</v>
      </c>
      <c r="Q14" s="11">
        <v>1395.151062546744</v>
      </c>
      <c r="R14" s="11">
        <v>1526.7249578479364</v>
      </c>
      <c r="S14" s="11">
        <v>1028.4713866765537</v>
      </c>
      <c r="T14" s="11">
        <v>790.30729692890714</v>
      </c>
      <c r="U14" s="11">
        <v>481.67496447420604</v>
      </c>
      <c r="V14" s="11">
        <v>207.61205682918734</v>
      </c>
      <c r="W14" s="11">
        <v>56.195466710891786</v>
      </c>
      <c r="X14" s="11">
        <v>12.256045856889648</v>
      </c>
      <c r="Y14" s="11">
        <f t="shared" si="177"/>
        <v>20129.999999999996</v>
      </c>
      <c r="Z14" s="11">
        <f t="shared" si="179"/>
        <v>1292.9438866278097</v>
      </c>
      <c r="AA14" s="11">
        <f t="shared" si="180"/>
        <v>615.49853612618585</v>
      </c>
      <c r="AB14" s="11">
        <f t="shared" si="178"/>
        <v>5498.3932378713162</v>
      </c>
      <c r="AC14" s="11">
        <f t="shared" si="181"/>
        <v>2576.5172174766353</v>
      </c>
      <c r="AD14" s="15">
        <f t="shared" si="182"/>
        <v>0.27314422443474007</v>
      </c>
      <c r="AE14" s="15">
        <f t="shared" si="183"/>
        <v>0.12799390052044887</v>
      </c>
      <c r="AF14" s="11">
        <f t="shared" si="184"/>
        <v>3879.2163280173472</v>
      </c>
      <c r="AI14" s="43"/>
      <c r="AJ14" s="1" t="s">
        <v>22</v>
      </c>
      <c r="AK14" s="8">
        <f>VLOOKUP(AK12&amp;"_2",A:D,4,FALSE)/VLOOKUP(AK12&amp;"_2",A:AF,32,FALSE)</f>
        <v>0.2358355983599992</v>
      </c>
      <c r="AL14" s="63"/>
      <c r="BH14" s="7" t="str">
        <f t="shared" si="19"/>
        <v>2040_3</v>
      </c>
      <c r="BI14" s="30">
        <f>BI13</f>
        <v>2040</v>
      </c>
      <c r="BJ14" s="5" t="s">
        <v>23</v>
      </c>
      <c r="BK14" s="16">
        <f>BK12+BK13</f>
        <v>774.92176879136605</v>
      </c>
      <c r="BL14" s="16">
        <f t="shared" ref="BL14" si="185">BL12+BL13</f>
        <v>751.36779297707881</v>
      </c>
      <c r="BM14" s="16">
        <f t="shared" ref="BM14" si="186">BM12+BM13</f>
        <v>768.41411660763856</v>
      </c>
      <c r="BN14" s="16">
        <f t="shared" ref="BN14" si="187">BN12+BN13</f>
        <v>749.56638450394962</v>
      </c>
      <c r="BO14" s="16">
        <f t="shared" ref="BO14" si="188">BO12+BO13</f>
        <v>587.42689103792554</v>
      </c>
      <c r="BP14" s="16">
        <f t="shared" ref="BP14" si="189">BP12+BP13</f>
        <v>848.28829766901936</v>
      </c>
      <c r="BQ14" s="16">
        <f t="shared" ref="BQ14" si="190">BQ12+BQ13</f>
        <v>877.18406794153157</v>
      </c>
      <c r="BR14" s="16">
        <f t="shared" ref="BR14" si="191">BR12+BR13</f>
        <v>819.26354770430157</v>
      </c>
      <c r="BS14" s="16">
        <f t="shared" ref="BS14" si="192">BS12+BS13</f>
        <v>867.99575664196664</v>
      </c>
      <c r="BT14" s="16">
        <f t="shared" ref="BT14" si="193">BT12+BT13</f>
        <v>896.71352613790293</v>
      </c>
      <c r="BU14" s="16">
        <f t="shared" ref="BU14" si="194">BU12+BU13</f>
        <v>1003.1903828511549</v>
      </c>
      <c r="BV14" s="16">
        <f t="shared" ref="BV14" si="195">BV12+BV13</f>
        <v>1163.869943663479</v>
      </c>
      <c r="BW14" s="16">
        <f t="shared" ref="BW14" si="196">BW12+BW13</f>
        <v>1330.8142455882762</v>
      </c>
      <c r="BX14" s="16">
        <f t="shared" ref="BX14" si="197">BX12+BX13</f>
        <v>1409.9034540692942</v>
      </c>
      <c r="BY14" s="16">
        <f t="shared" ref="BY14" si="198">BY12+BY13</f>
        <v>1100.7835663709002</v>
      </c>
      <c r="BZ14" s="16">
        <f t="shared" ref="BZ14" si="199">BZ12+BZ13</f>
        <v>885.37420755418964</v>
      </c>
      <c r="CA14" s="16">
        <f t="shared" ref="CA14" si="200">CA12+CA13</f>
        <v>843.109248233176</v>
      </c>
      <c r="CB14" s="16">
        <f t="shared" ref="CB14" si="201">CB12+CB13</f>
        <v>756.50822719895598</v>
      </c>
      <c r="CC14" s="16">
        <f t="shared" ref="CC14" si="202">CC12+CC13</f>
        <v>500.617567764623</v>
      </c>
      <c r="CD14" s="16">
        <f t="shared" ref="CD14" si="203">CD12+CD13</f>
        <v>134.08592831296738</v>
      </c>
      <c r="CE14" s="16">
        <f t="shared" ref="CE14" si="204">CE12+CE13</f>
        <v>22.586905940100525</v>
      </c>
      <c r="CF14" s="11">
        <f t="shared" si="2"/>
        <v>17091.985827559798</v>
      </c>
      <c r="CG14" s="11">
        <f t="shared" si="20"/>
        <v>911.8691457508304</v>
      </c>
      <c r="CH14" s="11">
        <f t="shared" si="21"/>
        <v>457.27892354384534</v>
      </c>
      <c r="CI14" s="11">
        <f t="shared" si="3"/>
        <v>5652.9691054442073</v>
      </c>
      <c r="CJ14" s="11">
        <f t="shared" si="22"/>
        <v>3142.2820850040125</v>
      </c>
      <c r="CK14" s="15">
        <f t="shared" si="23"/>
        <v>0.33073799396259357</v>
      </c>
      <c r="CL14" s="15">
        <f t="shared" si="24"/>
        <v>0.18384534814774253</v>
      </c>
      <c r="CM14" s="11">
        <f t="shared" si="25"/>
        <v>3132.162804352778</v>
      </c>
      <c r="CO14" s="7" t="str">
        <f t="shared" si="26"/>
        <v>2040_3</v>
      </c>
      <c r="CP14" s="30">
        <f>CP13</f>
        <v>2040</v>
      </c>
      <c r="CQ14" s="5" t="s">
        <v>23</v>
      </c>
      <c r="CR14" s="16">
        <f>CR12+CR13</f>
        <v>780.50655487377321</v>
      </c>
      <c r="CS14" s="16">
        <f t="shared" ref="CS14" si="205">CS12+CS13</f>
        <v>756.28890599528575</v>
      </c>
      <c r="CT14" s="16">
        <f t="shared" ref="CT14" si="206">CT12+CT13</f>
        <v>774.14271991903468</v>
      </c>
      <c r="CU14" s="16">
        <f t="shared" ref="CU14" si="207">CU12+CU13</f>
        <v>753.15099398541452</v>
      </c>
      <c r="CV14" s="16">
        <f t="shared" ref="CV14" si="208">CV12+CV13</f>
        <v>588.68180588425764</v>
      </c>
      <c r="CW14" s="16">
        <f t="shared" ref="CW14" si="209">CW12+CW13</f>
        <v>853.85586044667832</v>
      </c>
      <c r="CX14" s="16">
        <f t="shared" ref="CX14" si="210">CX12+CX13</f>
        <v>881.3770469115841</v>
      </c>
      <c r="CY14" s="16">
        <f t="shared" ref="CY14" si="211">CY12+CY13</f>
        <v>823.41820642510811</v>
      </c>
      <c r="CZ14" s="16">
        <f t="shared" ref="CZ14" si="212">CZ12+CZ13</f>
        <v>873.09771141033752</v>
      </c>
      <c r="DA14" s="16">
        <f t="shared" ref="DA14" si="213">DA12+DA13</f>
        <v>897.73225015073831</v>
      </c>
      <c r="DB14" s="16">
        <f t="shared" ref="DB14" si="214">DB12+DB13</f>
        <v>1004.1584735228503</v>
      </c>
      <c r="DC14" s="16">
        <f t="shared" ref="DC14" si="215">DC12+DC13</f>
        <v>1164.8182612999462</v>
      </c>
      <c r="DD14" s="16">
        <f t="shared" ref="DD14" si="216">DD12+DD13</f>
        <v>1330.8142455882762</v>
      </c>
      <c r="DE14" s="16">
        <f t="shared" ref="DE14" si="217">DE12+DE13</f>
        <v>1409.9034540692942</v>
      </c>
      <c r="DF14" s="16">
        <f t="shared" ref="DF14" si="218">DF12+DF13</f>
        <v>1100.7835663709002</v>
      </c>
      <c r="DG14" s="16">
        <f t="shared" ref="DG14" si="219">DG12+DG13</f>
        <v>885.37420755418964</v>
      </c>
      <c r="DH14" s="16">
        <f t="shared" ref="DH14" si="220">DH12+DH13</f>
        <v>843.109248233176</v>
      </c>
      <c r="DI14" s="16">
        <f t="shared" ref="DI14" si="221">DI12+DI13</f>
        <v>756.50822719895598</v>
      </c>
      <c r="DJ14" s="16">
        <f t="shared" ref="DJ14" si="222">DJ12+DJ13</f>
        <v>500.617567764623</v>
      </c>
      <c r="DK14" s="16">
        <f t="shared" ref="DK14" si="223">DK12+DK13</f>
        <v>134.08592831296738</v>
      </c>
      <c r="DL14" s="16">
        <f t="shared" ref="DL14" si="224">DL12+DL13</f>
        <v>22.586905940100525</v>
      </c>
      <c r="DM14" s="11">
        <f t="shared" si="69"/>
        <v>17135.012141857493</v>
      </c>
      <c r="DN14" s="11">
        <f t="shared" si="34"/>
        <v>918.25897554859216</v>
      </c>
      <c r="DO14" s="11">
        <f t="shared" si="35"/>
        <v>460.28728676469677</v>
      </c>
      <c r="DP14" s="11">
        <f t="shared" si="6"/>
        <v>5652.9691054442073</v>
      </c>
      <c r="DQ14" s="11">
        <f t="shared" si="36"/>
        <v>3142.2820850040125</v>
      </c>
      <c r="DR14" s="15">
        <f t="shared" si="37"/>
        <v>0.32990750509216776</v>
      </c>
      <c r="DS14" s="15">
        <f t="shared" si="38"/>
        <v>0.18338370927255021</v>
      </c>
      <c r="DT14" s="11">
        <f t="shared" si="70"/>
        <v>3147.3329196676282</v>
      </c>
      <c r="DX14" s="30">
        <f>DX13</f>
        <v>2040</v>
      </c>
      <c r="DY14" s="5" t="s">
        <v>23</v>
      </c>
      <c r="DZ14" s="16">
        <f>DZ12+DZ13</f>
        <v>1134.8557440890995</v>
      </c>
      <c r="EA14" s="16">
        <f t="shared" ref="EA14" si="225">EA12+EA13</f>
        <v>1093.6197364031941</v>
      </c>
      <c r="EB14" s="16">
        <f t="shared" ref="EB14" si="226">EB12+EB13</f>
        <v>1055.7508139678109</v>
      </c>
      <c r="EC14" s="16">
        <f t="shared" ref="EC14" si="227">EC12+EC13</f>
        <v>749.56638450394962</v>
      </c>
      <c r="ED14" s="16">
        <f t="shared" ref="ED14" si="228">ED12+ED13</f>
        <v>587.42689103792554</v>
      </c>
      <c r="EE14" s="16">
        <f t="shared" ref="EE14" si="229">EE12+EE13</f>
        <v>1102.2882976690194</v>
      </c>
      <c r="EF14" s="16">
        <f t="shared" ref="EF14" si="230">EF12+EF13</f>
        <v>1397.438232539866</v>
      </c>
      <c r="EG14" s="16">
        <f t="shared" ref="EG14" si="231">EG12+EG13</f>
        <v>1588.7293657963166</v>
      </c>
      <c r="EH14" s="16">
        <f t="shared" ref="EH14" si="232">EH12+EH13</f>
        <v>1627.4231160987615</v>
      </c>
      <c r="EI14" s="16">
        <f t="shared" ref="EI14" si="233">EI12+EI13</f>
        <v>1396.7298858329891</v>
      </c>
      <c r="EJ14" s="16">
        <f t="shared" ref="EJ14" si="234">EJ12+EJ13</f>
        <v>1243.4737922986824</v>
      </c>
      <c r="EK14" s="16">
        <f t="shared" ref="EK14" si="235">EK12+EK13</f>
        <v>1163.869943663479</v>
      </c>
      <c r="EL14" s="16">
        <f t="shared" ref="EL14" si="236">EL12+EL13</f>
        <v>1330.8142455882762</v>
      </c>
      <c r="EM14" s="16">
        <f t="shared" ref="EM14" si="237">EM12+EM13</f>
        <v>1409.9034540692942</v>
      </c>
      <c r="EN14" s="16">
        <f t="shared" ref="EN14" si="238">EN12+EN13</f>
        <v>1100.7835663709002</v>
      </c>
      <c r="EO14" s="16">
        <f t="shared" ref="EO14" si="239">EO12+EO13</f>
        <v>885.37420755418964</v>
      </c>
      <c r="EP14" s="16">
        <f t="shared" ref="EP14" si="240">EP12+EP13</f>
        <v>843.109248233176</v>
      </c>
      <c r="EQ14" s="16">
        <f t="shared" ref="EQ14" si="241">EQ12+EQ13</f>
        <v>756.50822719895598</v>
      </c>
      <c r="ER14" s="16">
        <f t="shared" ref="ER14" si="242">ER12+ER13</f>
        <v>500.617567764623</v>
      </c>
      <c r="ES14" s="16">
        <f t="shared" ref="ES14" si="243">ES12+ES13</f>
        <v>134.08592831296738</v>
      </c>
      <c r="ET14" s="16">
        <f t="shared" ref="ET14" si="244">ET12+ET13</f>
        <v>22.586905940100525</v>
      </c>
      <c r="EU14" s="11">
        <f t="shared" si="71"/>
        <v>21124.955554933582</v>
      </c>
      <c r="EV14" s="11">
        <f t="shared" si="41"/>
        <v>1289.6223302226031</v>
      </c>
      <c r="EW14" s="11">
        <f t="shared" si="42"/>
        <v>572.21360248791427</v>
      </c>
      <c r="EX14" s="11">
        <f t="shared" si="10"/>
        <v>5652.9691054442073</v>
      </c>
      <c r="EY14" s="11">
        <f t="shared" si="43"/>
        <v>3142.2820850040125</v>
      </c>
      <c r="EZ14" s="15">
        <f t="shared" si="44"/>
        <v>0.26759673367094949</v>
      </c>
      <c r="FA14" s="15">
        <f t="shared" si="45"/>
        <v>0.14874739389783734</v>
      </c>
      <c r="FB14" s="11">
        <f t="shared" si="72"/>
        <v>4675.8827870431278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372.98681942098636</v>
      </c>
      <c r="BL15" s="9">
        <f>IF(管理者入力シート!$B$14=1,BK12*管理者用人口入力シート!AM$3,IF(管理者入力シート!$B$14=2,BK12*管理者用人口入力シート!AM$7))</f>
        <v>379.02223806379089</v>
      </c>
      <c r="BM15" s="9">
        <f>IF(管理者入力シート!$B$14=1,BL12*管理者用人口入力シート!AN$3,IF(管理者入力シート!$B$14=2,BL12*管理者用人口入力シート!AN$7))</f>
        <v>392.19524033228964</v>
      </c>
      <c r="BN15" s="9">
        <f>IF(管理者入力シート!$B$14=1,BM12*管理者用人口入力シート!AO$3,IF(管理者入力シート!$B$14=2,BM12*管理者用人口入力シート!AO$7))</f>
        <v>353.99846039640755</v>
      </c>
      <c r="BO15" s="9">
        <f>IF(管理者入力シート!$B$14=1,BN12*管理者用人口入力シート!AP$3,IF(管理者入力シート!$B$14=2,BN12*管理者用人口入力シート!AP$7))</f>
        <v>228.82096514821333</v>
      </c>
      <c r="BP15" s="9">
        <f>IF(管理者入力シート!$B$14=1,BO12*管理者用人口入力シート!AQ$3,IF(管理者入力シート!$B$14=2,BO12*管理者用人口入力シート!AQ$7))</f>
        <v>343.88186861220845</v>
      </c>
      <c r="BQ15" s="9">
        <f>IF(管理者入力シート!$B$14=1,BP12*管理者用人口入力シート!AR$3,IF(管理者入力シート!$B$14=2,BP12*管理者用人口入力シート!AR$7))</f>
        <v>435.24099736935506</v>
      </c>
      <c r="BR15" s="9">
        <f>IF(管理者入力シート!$B$14=1,BQ12*管理者用人口入力シート!AS$3,IF(管理者入力シート!$B$14=2,BQ12*管理者用人口入力シート!AS$7))</f>
        <v>427.4180132217835</v>
      </c>
      <c r="BS15" s="9">
        <f>IF(管理者入力シート!$B$14=1,BR12*管理者用人口入力シート!AT$3,IF(管理者入力シート!$B$14=2,BR12*管理者用人口入力シート!AT$7))</f>
        <v>405.84902782456521</v>
      </c>
      <c r="BT15" s="9">
        <f>IF(管理者入力シート!$B$14=1,BS12*管理者用人口入力シート!AU$3,IF(管理者入力シート!$B$14=2,BS12*管理者用人口入力シート!AU$7))</f>
        <v>443.38618449347337</v>
      </c>
      <c r="BU15" s="9">
        <f>IF(管理者入力シート!$B$14=1,BT12*管理者用人口入力シート!AV$3,IF(管理者入力シート!$B$14=2,BT12*管理者用人口入力シート!AV$7))</f>
        <v>411.3729951160978</v>
      </c>
      <c r="BV15" s="9">
        <f>IF(管理者入力シート!$B$14=1,BU12*管理者用人口入力シート!AW$3,IF(管理者入力シート!$B$14=2,BU12*管理者用人口入力シート!AW$7))</f>
        <v>477.28687649432544</v>
      </c>
      <c r="BW15" s="9">
        <f>IF(管理者入力シート!$B$14=1,BV12*管理者用人口入力シート!AX$3,IF(管理者入力シート!$B$14=2,BV12*管理者用人口入力シート!AX$7))</f>
        <v>512.27522497374537</v>
      </c>
      <c r="BX15" s="9">
        <f>IF(管理者入力シート!$B$14=1,BW12*管理者用人口入力シート!AY$3,IF(管理者入力シート!$B$14=2,BW12*管理者用人口入力シート!AY$7))</f>
        <v>609.12238524313398</v>
      </c>
      <c r="BY15" s="9">
        <f>IF(管理者入力シート!$B$14=1,BX12*管理者用人口入力シート!AZ$3,IF(管理者入力シート!$B$14=2,BX12*管理者用人口入力シート!AZ$7))</f>
        <v>623.91337010683844</v>
      </c>
      <c r="BZ15" s="9">
        <f>IF(管理者入力シート!$B$14=1,BY12*管理者用人口入力シート!BA$3,IF(管理者入力シート!$B$14=2,BY12*管理者用人口入力シート!BA$7))</f>
        <v>435.70205812867346</v>
      </c>
      <c r="CA15" s="9">
        <f>IF(管理者入力シート!$B$14=1,BZ12*管理者用人口入力シート!BB$3,IF(管理者入力シート!$B$14=2,BZ12*管理者用人口入力シート!BB$7))</f>
        <v>334.20301699288467</v>
      </c>
      <c r="CB15" s="9">
        <f>IF(管理者入力シート!$B$14=1,CA12*管理者用人口入力シート!BC$3,IF(管理者入力シート!$B$14=2,CA12*管理者用人口入力シート!BC$7))</f>
        <v>223.99791141907639</v>
      </c>
      <c r="CC15" s="9">
        <f>IF(管理者入力シート!$B$14=1,CB12*管理者用人口入力シート!BD$3,IF(管理者入力シート!$B$14=2,CB12*管理者用人口入力シート!BD$7))</f>
        <v>133.0613896165807</v>
      </c>
      <c r="CD15" s="9">
        <f>IF(管理者入力シート!$B$14=1,CC12*管理者用人口入力シート!BE$3,IF(管理者入力シート!$B$14=2,CC12*管理者用人口入力シート!BE$7))</f>
        <v>55.813095340310106</v>
      </c>
      <c r="CE15" s="9">
        <f>IF(管理者入力シート!$B$14=1,CD12*管理者用人口入力シート!BF$3,IF(管理者入力シート!$B$14=2,CD12*管理者用人口入力シート!BF$7))</f>
        <v>0.65292697642362763</v>
      </c>
      <c r="CF15" s="9">
        <f t="shared" ref="CF15:CF20" si="252">SUM(BK15:CE15)</f>
        <v>7600.2010652911622</v>
      </c>
      <c r="CG15" s="9">
        <f t="shared" ref="CG15:CG20" si="253">BL15*3/5+BM15*3/5</f>
        <v>462.73048703764834</v>
      </c>
      <c r="CH15" s="9">
        <f t="shared" ref="CH15:CH20" si="254">BM15*2/5+BN15*1/5</f>
        <v>227.67778821219736</v>
      </c>
      <c r="CI15" s="9">
        <f t="shared" ref="CI15:CI20" si="255">SUM(BX15:CE15)</f>
        <v>2416.4661538239211</v>
      </c>
      <c r="CJ15" s="9">
        <f t="shared" ref="CJ15:CJ20" si="256">SUM(BZ15:CE15)</f>
        <v>1183.4303984739493</v>
      </c>
      <c r="CK15" s="13">
        <f t="shared" ref="CK15:CK20" si="257">CI15/CF15</f>
        <v>0.31794766126116253</v>
      </c>
      <c r="CL15" s="13">
        <f t="shared" ref="CL15:CL20" si="258">CJ15/CF15</f>
        <v>0.15571040664680261</v>
      </c>
      <c r="CM15" s="9">
        <f t="shared" ref="CM15:CM20" si="259">SUM(BO15:BR15)</f>
        <v>1435.3618443515602</v>
      </c>
      <c r="CO15" s="7" t="str">
        <f t="shared" si="26"/>
        <v>2045_1</v>
      </c>
      <c r="CP15" s="28">
        <f>管理者入力シート!B12</f>
        <v>2045</v>
      </c>
      <c r="CQ15" s="3" t="s">
        <v>21</v>
      </c>
      <c r="CR15" s="9">
        <f>DT16*$AK$13+将来予測シート②!$G17</f>
        <v>376.15170158025433</v>
      </c>
      <c r="CS15" s="9">
        <f>IF(管理者入力シート!$B$14=1,CR12*管理者用人口入力シート!AM$3,IF(管理者入力シート!$B$14=2,CR12*管理者用人口入力シート!AM$7))+将来予測シート②!$G18</f>
        <v>381.74910283718015</v>
      </c>
      <c r="CT15" s="9">
        <f>IF(管理者入力シート!$B$14=1,CS12*管理者用人口入力シート!AN$3,IF(管理者入力シート!$B$14=2,CS12*管理者用人口入力シート!AN$7))+将来予測シート②!$G19</f>
        <v>395.75927212548567</v>
      </c>
      <c r="CU15" s="9">
        <f>IF(管理者入力シート!$B$14=1,CT12*管理者用人口入力シート!AO$3,IF(管理者入力シート!$B$14=2,CT12*管理者用人口入力シート!AO$7))+将来予測シート②!$G20</f>
        <v>356.60002627214556</v>
      </c>
      <c r="CV15" s="9">
        <f>IF(管理者入力シート!$B$14=1,CU12*管理者用人口入力シート!AP$3,IF(管理者入力シート!$B$14=2,CU12*管理者用人口入力シート!AP$7))+将来予測シート②!$G21</f>
        <v>229.89174029475197</v>
      </c>
      <c r="CW15" s="9">
        <f>IF(管理者入力シート!$B$14=1,CV12*管理者用人口入力シート!AQ$3,IF(管理者入力シート!$B$14=2,CV12*管理者用人口入力シート!AQ$7))+将来予測シート②!$G22</f>
        <v>346.58608066156307</v>
      </c>
      <c r="CX15" s="9">
        <f>IF(管理者入力シート!$B$14=1,CW12*管理者用人口入力シート!AR$3,IF(管理者入力シート!$B$14=2,CW12*管理者用人口入力シート!AR$7))+将来予測シート②!$G23</f>
        <v>438.20046020996165</v>
      </c>
      <c r="CY15" s="9">
        <f>IF(管理者入力シート!$B$14=1,CX12*管理者用人口入力シート!AS$3,IF(管理者入力シート!$B$14=2,CX12*管理者用人口入力シート!AS$7))+将来予測シート②!$G24</f>
        <v>429.59309010616306</v>
      </c>
      <c r="CZ15" s="9">
        <f>IF(管理者入力シート!$B$14=1,CY12*管理者用人口入力シート!AT$3,IF(管理者入力シート!$B$14=2,CY12*管理者用人口入力シート!AT$7))+将来予測シート②!$G25</f>
        <v>408.021480758704</v>
      </c>
      <c r="DA15" s="9">
        <f>IF(管理者入力シート!$B$14=1,CZ12*管理者用人口入力シート!AU$3,IF(管理者入力シート!$B$14=2,CZ12*管理者用人口入力シート!AU$7))+将来予測シート②!$G26</f>
        <v>445.52819392812802</v>
      </c>
      <c r="DB15" s="9">
        <f>IF(管理者入力シート!$B$14=1,DA12*管理者用人口入力シート!AV$3,IF(管理者入力シート!$B$14=2,DA12*管理者用人口入力シート!AV$7))+将来予測シート②!$G27</f>
        <v>411.3729951160978</v>
      </c>
      <c r="DC15" s="9">
        <f>IF(管理者入力シート!$B$14=1,DB12*管理者用人口入力シート!AW$3,IF(管理者入力シート!$B$14=2,DB12*管理者用人口入力シート!AW$7))+将来予測シート②!$G28</f>
        <v>477.28687649432544</v>
      </c>
      <c r="DD15" s="9">
        <f>IF(管理者入力シート!$B$14=1,DC12*管理者用人口入力シート!AX$3,IF(管理者入力シート!$B$14=2,DC12*管理者用人口入力シート!AX$7))+将来予測シート②!$G29</f>
        <v>512.27522497374537</v>
      </c>
      <c r="DE15" s="9">
        <f>IF(管理者入力シート!$B$14=1,DD12*管理者用人口入力シート!AY$3,IF(管理者入力シート!$B$14=2,DD12*管理者用人口入力シート!AY$7))</f>
        <v>609.12238524313398</v>
      </c>
      <c r="DF15" s="9">
        <f>IF(管理者入力シート!$B$14=1,DE12*管理者用人口入力シート!AZ$3,IF(管理者入力シート!$B$14=2,DE12*管理者用人口入力シート!AZ$7))</f>
        <v>623.91337010683844</v>
      </c>
      <c r="DG15" s="9">
        <f>IF(管理者入力シート!$B$14=1,DF12*管理者用人口入力シート!BA$3,IF(管理者入力シート!$B$14=2,DF12*管理者用人口入力シート!BA$7))</f>
        <v>435.70205812867346</v>
      </c>
      <c r="DH15" s="9">
        <f>IF(管理者入力シート!$B$14=1,DG12*管理者用人口入力シート!BB$3,IF(管理者入力シート!$B$14=2,DG12*管理者用人口入力シート!BB$7))</f>
        <v>334.20301699288467</v>
      </c>
      <c r="DI15" s="9">
        <f>IF(管理者入力シート!$B$14=1,DH12*管理者用人口入力シート!BC$3,IF(管理者入力シート!$B$14=2,DH12*管理者用人口入力シート!BC$7))</f>
        <v>223.99791141907639</v>
      </c>
      <c r="DJ15" s="9">
        <f>IF(管理者入力シート!$B$14=1,DI12*管理者用人口入力シート!BD$3,IF(管理者入力シート!$B$14=2,DI12*管理者用人口入力シート!BD$7))</f>
        <v>133.0613896165807</v>
      </c>
      <c r="DK15" s="9">
        <f>IF(管理者入力シート!$B$14=1,DJ12*管理者用人口入力シート!BE$3,IF(管理者入力シート!$B$14=2,DJ12*管理者用人口入力シート!BE$7))</f>
        <v>55.813095340310106</v>
      </c>
      <c r="DL15" s="9">
        <f>IF(管理者入力シート!$B$14=1,DK12*管理者用人口入力シート!BF$3,IF(管理者入力シート!$B$14=2,DK12*管理者用人口入力シート!BF$7))</f>
        <v>0.65292697642362763</v>
      </c>
      <c r="DM15" s="9">
        <f t="shared" ref="DM15:DM20" si="260">SUM(CR15:DL15)</f>
        <v>7625.482399182426</v>
      </c>
      <c r="DN15" s="9">
        <f t="shared" ref="DN15:DN20" si="261">CS15*3/5+CT15*3/5</f>
        <v>466.50502497759948</v>
      </c>
      <c r="DO15" s="9">
        <f t="shared" ref="DO15:DO20" si="262">CT15*2/5+CU15*1/5</f>
        <v>229.62371410462336</v>
      </c>
      <c r="DP15" s="9">
        <f t="shared" ref="DP15:DP20" si="263">SUM(DE15:DL15)</f>
        <v>2416.4661538239211</v>
      </c>
      <c r="DQ15" s="9">
        <f t="shared" ref="DQ15:DQ20" si="264">SUM(DG15:DL15)</f>
        <v>1183.4303984739493</v>
      </c>
      <c r="DR15" s="13">
        <f t="shared" ref="DR15:DR20" si="265">DP15/DM15</f>
        <v>0.31689354552611715</v>
      </c>
      <c r="DS15" s="13">
        <f t="shared" ref="DS15:DS20" si="266">DQ15/DM15</f>
        <v>0.15519416825364804</v>
      </c>
      <c r="DT15" s="9">
        <f t="shared" ref="DT15:DT20" si="267">SUM(CV15:CY15)</f>
        <v>1444.2713712724399</v>
      </c>
      <c r="DV15" s="62" t="s">
        <v>404</v>
      </c>
      <c r="DW15" s="211">
        <f>AK13+AK14</f>
        <v>0.47396517773894786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369.39371399367417</v>
      </c>
      <c r="BL16" s="10">
        <f>IF(管理者入力シート!$B$14=1,BK13*管理者用人口入力シート!AM$4,IF(管理者入力シート!$B$14=2,BK13*管理者用人口入力シート!AM$8))</f>
        <v>357.83090605149266</v>
      </c>
      <c r="BM16" s="10">
        <f>IF(管理者入力シート!$B$14=1,BL13*管理者用人口入力シート!AN$4,IF(管理者入力シート!$B$14=2,BL13*管理者用人口入力シート!AN$8))</f>
        <v>363.74217668519515</v>
      </c>
      <c r="BN16" s="10">
        <f>IF(管理者入力シート!$B$14=1,BM13*管理者用人口入力シート!AO$4,IF(管理者入力シート!$B$14=2,BM13*管理者用人口入力シート!AO$8))</f>
        <v>349.45174810984344</v>
      </c>
      <c r="BO16" s="10">
        <f>IF(管理者入力シート!$B$14=1,BN13*管理者用人口入力シート!AP$4,IF(管理者入力シート!$B$14=2,BN13*管理者用人口入力シート!AP$8))</f>
        <v>282.19744625116914</v>
      </c>
      <c r="BP16" s="10">
        <f>IF(管理者入力シート!$B$14=1,BO13*管理者用人口入力シート!AQ$4,IF(管理者入力シート!$B$14=2,BO13*管理者用人口入力シート!AQ$8))</f>
        <v>391.00690643720844</v>
      </c>
      <c r="BQ16" s="10">
        <f>IF(管理者入力シート!$B$14=1,BP13*管理者用人口入力シート!AR$4,IF(管理者入力シート!$B$14=2,BP13*管理者用人口入力シート!AR$8))</f>
        <v>451.53237640265161</v>
      </c>
      <c r="BR16" s="10">
        <f>IF(管理者入力シート!$B$14=1,BQ13*管理者用人口入力シート!AS$4,IF(管理者入力シート!$B$14=2,BQ13*管理者用人口入力シート!AS$8))</f>
        <v>441.58199701494499</v>
      </c>
      <c r="BS16" s="10">
        <f>IF(管理者入力シート!$B$14=1,BR13*管理者用人口入力シート!AT$4,IF(管理者入力シート!$B$14=2,BR13*管理者用人口入力シート!AT$8))</f>
        <v>402.47805154543215</v>
      </c>
      <c r="BT16" s="10">
        <f>IF(管理者入力シート!$B$14=1,BS13*管理者用人口入力シート!AU$4,IF(管理者入力シート!$B$14=2,BS13*管理者用人口入力シート!AU$8))</f>
        <v>426.1403092028462</v>
      </c>
      <c r="BU16" s="10">
        <f>IF(管理者入力シート!$B$14=1,BT13*管理者用人口入力シート!AV$4,IF(管理者入力シート!$B$14=2,BT13*管理者用人口入力シート!AV$8))</f>
        <v>446.21321015660084</v>
      </c>
      <c r="BV16" s="10">
        <f>IF(管理者入力シート!$B$14=1,BU13*管理者用人口入力シート!AW$4,IF(管理者入力シート!$B$14=2,BU13*管理者用人口入力シート!AW$8))</f>
        <v>505.91487299274399</v>
      </c>
      <c r="BW16" s="10">
        <f>IF(管理者入力シート!$B$14=1,BV13*管理者用人口入力シート!AX$4,IF(管理者入力シート!$B$14=2,BV13*管理者用人口入力シート!AX$8))</f>
        <v>614.7834016321749</v>
      </c>
      <c r="BX16" s="10">
        <f>IF(管理者入力シート!$B$14=1,BW13*管理者用人口入力シート!AY$4,IF(管理者入力シート!$B$14=2,BW13*管理者用人口入力シート!AY$8))</f>
        <v>655.79647952905873</v>
      </c>
      <c r="BY16" s="10">
        <f>IF(管理者入力シート!$B$14=1,BX13*管理者用人口入力シート!AZ$4,IF(管理者入力シート!$B$14=2,BX13*管理者用人口入力シート!AZ$8))</f>
        <v>711.68249993770348</v>
      </c>
      <c r="BZ16" s="10">
        <f>IF(管理者入力シート!$B$14=1,BY13*管理者用人口入力シート!BA$4,IF(管理者入力シート!$B$14=2,BY13*管理者用人口入力シート!BA$8))</f>
        <v>569.55844685909426</v>
      </c>
      <c r="CA16" s="10">
        <f>IF(管理者入力シート!$B$14=1,BZ13*管理者用人口入力シート!BB$4,IF(管理者入力シート!$B$14=2,BZ13*管理者用人口入力シート!BB$8))</f>
        <v>426.65814245621266</v>
      </c>
      <c r="CB16" s="10">
        <f>IF(管理者入力シート!$B$14=1,CA13*管理者用人口入力シート!BC$4,IF(管理者入力シート!$B$14=2,CA13*管理者用人口入力シート!BC$8))</f>
        <v>393.03054790722507</v>
      </c>
      <c r="CC16" s="10">
        <f>IF(管理者入力シート!$B$14=1,CB13*管理者用人口入力シート!BD$4,IF(管理者入力シート!$B$14=2,CB13*管理者用人口入力シート!BD$8))</f>
        <v>303.11787179399596</v>
      </c>
      <c r="CD16" s="10">
        <f>IF(管理者入力シート!$B$14=1,CC13*管理者用人口入力シート!BE$4,IF(管理者入力シート!$B$14=2,CC13*管理者用人口入力シート!BE$8))</f>
        <v>125.98895176886583</v>
      </c>
      <c r="CE16" s="10">
        <f>IF(管理者入力シート!$B$14=1,CD13*管理者用人口入力シート!BF$4,IF(管理者入力シート!$B$14=2,CD13*管理者用人口入力シート!BF$8))</f>
        <v>24.033041402898238</v>
      </c>
      <c r="CF16" s="10">
        <f t="shared" si="252"/>
        <v>8612.1330981310311</v>
      </c>
      <c r="CG16" s="10">
        <f t="shared" si="253"/>
        <v>432.94384964201271</v>
      </c>
      <c r="CH16" s="10">
        <f t="shared" si="254"/>
        <v>215.38722029604673</v>
      </c>
      <c r="CI16" s="10">
        <f t="shared" si="255"/>
        <v>3209.8659816550539</v>
      </c>
      <c r="CJ16" s="10">
        <f t="shared" si="256"/>
        <v>1842.3870021882919</v>
      </c>
      <c r="CK16" s="14">
        <f t="shared" si="257"/>
        <v>0.37271439550227636</v>
      </c>
      <c r="CL16" s="14">
        <f t="shared" si="258"/>
        <v>0.21392922998230474</v>
      </c>
      <c r="CM16" s="10">
        <f t="shared" si="259"/>
        <v>1566.3187261059743</v>
      </c>
      <c r="CO16" s="7" t="str">
        <f t="shared" si="26"/>
        <v>2045_2</v>
      </c>
      <c r="CP16" s="29">
        <f>CP15</f>
        <v>2045</v>
      </c>
      <c r="CQ16" s="4" t="s">
        <v>22</v>
      </c>
      <c r="CR16" s="10">
        <f>DT16*$AK$14+将来予測シート②!$H17</f>
        <v>372.53774112689047</v>
      </c>
      <c r="CS16" s="10">
        <f>IF(管理者入力シート!$B$14=1,CR13*管理者用人口入力シート!AM$4,IF(管理者入力シート!$B$14=2,CR13*管理者用人口入力シート!AM$8))+将来予測シート②!$H18</f>
        <v>360.41425030402098</v>
      </c>
      <c r="CT16" s="10">
        <f>IF(管理者入力シート!$B$14=1,CS13*管理者用人口入力シート!AN$4,IF(管理者入力シート!$B$14=2,CS13*管理者用人口入力シート!AN$8))+将来予測シート②!$H19</f>
        <v>367.1291046070175</v>
      </c>
      <c r="CU16" s="10">
        <f>IF(管理者入力シート!$B$14=1,CT13*管理者用人口入力シート!AO$4,IF(管理者入力シート!$B$14=2,CT13*管理者用人口入力シート!AO$8))+将来予測シート②!$H20</f>
        <v>352.0968890093655</v>
      </c>
      <c r="CV16" s="10">
        <f>IF(管理者入力シート!$B$14=1,CU13*管理者用人口入力シート!AP$4,IF(管理者入力シート!$B$14=2,CU13*管理者用人口入力シート!AP$8))+将来予測シート②!$H21</f>
        <v>283.57634543998222</v>
      </c>
      <c r="CW16" s="10">
        <f>IF(管理者入力シート!$B$14=1,CV13*管理者用人口入力シート!AQ$4,IF(管理者入力シート!$B$14=2,CV13*管理者用人口入力シート!AQ$8))+将来予測シート②!$H22</f>
        <v>393.87025716551284</v>
      </c>
      <c r="CX16" s="10">
        <f>IF(管理者入力シート!$B$14=1,CW13*管理者用人口入力シート!AR$4,IF(管理者入力シート!$B$14=2,CW13*管理者用人口入力シート!AR$8))+将来予測シート②!$H23</f>
        <v>454.40173846431532</v>
      </c>
      <c r="CY16" s="10">
        <f>IF(管理者入力シート!$B$14=1,CX13*管理者用人口入力シート!AS$4,IF(管理者入力シート!$B$14=2,CX13*管理者用人口入力シート!AS$8))+将来予測シート②!$H24</f>
        <v>443.56157885137202</v>
      </c>
      <c r="CZ16" s="10">
        <f>IF(管理者入力シート!$B$14=1,CY13*管理者用人口入力シート!AT$4,IF(管理者入力シート!$B$14=2,CY13*管理者用人口入力シート!AT$8))+将来予測シート②!$H25</f>
        <v>405.40755337966436</v>
      </c>
      <c r="DA16" s="10">
        <f>IF(管理者入力シート!$B$14=1,CZ13*管理者用人口入力シート!AU$4,IF(管理者入力シート!$B$14=2,CZ13*管理者用人口入力シート!AU$8))+将来予測シート②!$H26</f>
        <v>429.1246630670239</v>
      </c>
      <c r="DB16" s="10">
        <f>IF(管理者入力シート!$B$14=1,DA13*管理者用人口入力シート!AV$4,IF(管理者入力シート!$B$14=2,DA13*管理者用人口入力シート!AV$8))+将来予測シート②!$H27</f>
        <v>447.18130082829623</v>
      </c>
      <c r="DC16" s="10">
        <f>IF(管理者入力シート!$B$14=1,DB13*管理者用人口入力シート!AW$4,IF(管理者入力シート!$B$14=2,DB13*管理者用人口入力シート!AW$8))+将来予測シート②!$H28</f>
        <v>506.86319062921098</v>
      </c>
      <c r="DD16" s="10">
        <f>IF(管理者入力シート!$B$14=1,DC13*管理者用人口入力シート!AX$4,IF(管理者入力シート!$B$14=2,DC13*管理者用人口入力シート!AX$8))+将来予測シート②!$H29</f>
        <v>615.70529083181987</v>
      </c>
      <c r="DE16" s="10">
        <f>IF(管理者入力シート!$B$14=1,DD13*管理者用人口入力シート!AY$4,IF(管理者入力シート!$B$14=2,DD13*管理者用人口入力シート!AY$8))</f>
        <v>655.79647952905873</v>
      </c>
      <c r="DF16" s="10">
        <f>IF(管理者入力シート!$B$14=1,DE13*管理者用人口入力シート!AZ$4,IF(管理者入力シート!$B$14=2,DE13*管理者用人口入力シート!AZ$8))</f>
        <v>711.68249993770348</v>
      </c>
      <c r="DG16" s="10">
        <f>IF(管理者入力シート!$B$14=1,DF13*管理者用人口入力シート!BA$4,IF(管理者入力シート!$B$14=2,DF13*管理者用人口入力シート!BA$8))</f>
        <v>569.55844685909426</v>
      </c>
      <c r="DH16" s="10">
        <f>IF(管理者入力シート!$B$14=1,DG13*管理者用人口入力シート!BB$4,IF(管理者入力シート!$B$14=2,DG13*管理者用人口入力シート!BB$8))</f>
        <v>426.65814245621266</v>
      </c>
      <c r="DI16" s="10">
        <f>IF(管理者入力シート!$B$14=1,DH13*管理者用人口入力シート!BC$4,IF(管理者入力シート!$B$14=2,DH13*管理者用人口入力シート!BC$8))</f>
        <v>393.03054790722507</v>
      </c>
      <c r="DJ16" s="10">
        <f>IF(管理者入力シート!$B$14=1,DI13*管理者用人口入力シート!BD$4,IF(管理者入力シート!$B$14=2,DI13*管理者用人口入力シート!BD$8))</f>
        <v>303.11787179399596</v>
      </c>
      <c r="DK16" s="10">
        <f>IF(管理者入力シート!$B$14=1,DJ13*管理者用人口入力シート!BE$4,IF(管理者入力シート!$B$14=2,DJ13*管理者用人口入力シート!BE$8))</f>
        <v>125.98895176886583</v>
      </c>
      <c r="DL16" s="10">
        <f>IF(管理者入力シート!$B$14=1,DK13*管理者用人口入力シート!BF$4,IF(管理者入力シート!$B$14=2,DK13*管理者用人口入力シート!BF$8))</f>
        <v>24.033041402898238</v>
      </c>
      <c r="DM16" s="10">
        <f t="shared" si="260"/>
        <v>8641.735885359547</v>
      </c>
      <c r="DN16" s="10">
        <f t="shared" si="261"/>
        <v>436.5260129466231</v>
      </c>
      <c r="DO16" s="10">
        <f t="shared" si="262"/>
        <v>217.27101964468011</v>
      </c>
      <c r="DP16" s="10">
        <f t="shared" si="263"/>
        <v>3209.8659816550539</v>
      </c>
      <c r="DQ16" s="10">
        <f t="shared" si="264"/>
        <v>1842.3870021882919</v>
      </c>
      <c r="DR16" s="14">
        <f t="shared" si="265"/>
        <v>0.37143763987199252</v>
      </c>
      <c r="DS16" s="14">
        <f t="shared" si="266"/>
        <v>0.21319640250861913</v>
      </c>
      <c r="DT16" s="10">
        <f t="shared" si="267"/>
        <v>1575.4099199211823</v>
      </c>
      <c r="DV16" s="212" t="s">
        <v>406</v>
      </c>
      <c r="DW16" s="7">
        <f>IF(DW10&lt;0,ABS(DW10)/DW15,0)</f>
        <v>284.45884781663949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742.38053341466048</v>
      </c>
      <c r="BL17" s="16">
        <f t="shared" ref="BL17:CE17" si="268">BL15+BL16</f>
        <v>736.85314411528361</v>
      </c>
      <c r="BM17" s="16">
        <f t="shared" si="268"/>
        <v>755.93741701748479</v>
      </c>
      <c r="BN17" s="16">
        <f t="shared" si="268"/>
        <v>703.45020850625099</v>
      </c>
      <c r="BO17" s="16">
        <f t="shared" si="268"/>
        <v>511.01841139938244</v>
      </c>
      <c r="BP17" s="16">
        <f t="shared" si="268"/>
        <v>734.88877504941684</v>
      </c>
      <c r="BQ17" s="16">
        <f t="shared" si="268"/>
        <v>886.77337377200661</v>
      </c>
      <c r="BR17" s="16">
        <f t="shared" si="268"/>
        <v>869.00001023672849</v>
      </c>
      <c r="BS17" s="16">
        <f t="shared" si="268"/>
        <v>808.32707936999736</v>
      </c>
      <c r="BT17" s="16">
        <f t="shared" si="268"/>
        <v>869.52649369631956</v>
      </c>
      <c r="BU17" s="16">
        <f t="shared" si="268"/>
        <v>857.58620527269863</v>
      </c>
      <c r="BV17" s="16">
        <f t="shared" si="268"/>
        <v>983.20174948706949</v>
      </c>
      <c r="BW17" s="16">
        <f t="shared" si="268"/>
        <v>1127.0586266059204</v>
      </c>
      <c r="BX17" s="16">
        <f t="shared" si="268"/>
        <v>1264.9188647721926</v>
      </c>
      <c r="BY17" s="16">
        <f t="shared" si="268"/>
        <v>1335.5958700445419</v>
      </c>
      <c r="BZ17" s="16">
        <f t="shared" si="268"/>
        <v>1005.2605049877677</v>
      </c>
      <c r="CA17" s="16">
        <f t="shared" si="268"/>
        <v>760.86115944909739</v>
      </c>
      <c r="CB17" s="16">
        <f t="shared" si="268"/>
        <v>617.02845932630146</v>
      </c>
      <c r="CC17" s="16">
        <f t="shared" si="268"/>
        <v>436.17926141057666</v>
      </c>
      <c r="CD17" s="16">
        <f t="shared" si="268"/>
        <v>181.80204710917593</v>
      </c>
      <c r="CE17" s="16">
        <f t="shared" si="268"/>
        <v>24.685968379321867</v>
      </c>
      <c r="CF17" s="11">
        <f t="shared" si="252"/>
        <v>16212.334163422196</v>
      </c>
      <c r="CG17" s="11">
        <f t="shared" si="253"/>
        <v>895.67433667966111</v>
      </c>
      <c r="CH17" s="11">
        <f t="shared" si="254"/>
        <v>443.06500850824415</v>
      </c>
      <c r="CI17" s="11">
        <f t="shared" si="255"/>
        <v>5626.3321354789759</v>
      </c>
      <c r="CJ17" s="11">
        <f t="shared" si="256"/>
        <v>3025.8174006622407</v>
      </c>
      <c r="CK17" s="15">
        <f t="shared" si="257"/>
        <v>0.34704022744441976</v>
      </c>
      <c r="CL17" s="15">
        <f t="shared" si="258"/>
        <v>0.18663675262066848</v>
      </c>
      <c r="CM17" s="11">
        <f t="shared" si="259"/>
        <v>3001.6805704575345</v>
      </c>
      <c r="CO17" s="7" t="str">
        <f t="shared" si="26"/>
        <v>2045_3</v>
      </c>
      <c r="CP17" s="30">
        <f>CP16</f>
        <v>2045</v>
      </c>
      <c r="CQ17" s="5" t="s">
        <v>23</v>
      </c>
      <c r="CR17" s="16">
        <f>CR15+CR16</f>
        <v>748.68944270714474</v>
      </c>
      <c r="CS17" s="16">
        <f>CS15+CS16</f>
        <v>742.16335314120113</v>
      </c>
      <c r="CT17" s="16">
        <f t="shared" ref="CT17:DL17" si="269">CT15+CT16</f>
        <v>762.88837673250316</v>
      </c>
      <c r="CU17" s="16">
        <f t="shared" si="269"/>
        <v>708.69691528151111</v>
      </c>
      <c r="CV17" s="16">
        <f t="shared" si="269"/>
        <v>513.46808573473413</v>
      </c>
      <c r="CW17" s="16">
        <f t="shared" si="269"/>
        <v>740.45633782707591</v>
      </c>
      <c r="CX17" s="16">
        <f t="shared" si="269"/>
        <v>892.60219867427691</v>
      </c>
      <c r="CY17" s="16">
        <f t="shared" si="269"/>
        <v>873.15466895753502</v>
      </c>
      <c r="CZ17" s="16">
        <f t="shared" si="269"/>
        <v>813.42903413836837</v>
      </c>
      <c r="DA17" s="16">
        <f t="shared" si="269"/>
        <v>874.65285699515198</v>
      </c>
      <c r="DB17" s="16">
        <f t="shared" si="269"/>
        <v>858.55429594439397</v>
      </c>
      <c r="DC17" s="16">
        <f t="shared" si="269"/>
        <v>984.15006712353647</v>
      </c>
      <c r="DD17" s="16">
        <f t="shared" si="269"/>
        <v>1127.9805158055651</v>
      </c>
      <c r="DE17" s="16">
        <f t="shared" si="269"/>
        <v>1264.9188647721926</v>
      </c>
      <c r="DF17" s="16">
        <f t="shared" si="269"/>
        <v>1335.5958700445419</v>
      </c>
      <c r="DG17" s="16">
        <f t="shared" si="269"/>
        <v>1005.2605049877677</v>
      </c>
      <c r="DH17" s="16">
        <f t="shared" si="269"/>
        <v>760.86115944909739</v>
      </c>
      <c r="DI17" s="16">
        <f t="shared" si="269"/>
        <v>617.02845932630146</v>
      </c>
      <c r="DJ17" s="16">
        <f t="shared" si="269"/>
        <v>436.17926141057666</v>
      </c>
      <c r="DK17" s="16">
        <f t="shared" si="269"/>
        <v>181.80204710917593</v>
      </c>
      <c r="DL17" s="16">
        <f t="shared" si="269"/>
        <v>24.685968379321867</v>
      </c>
      <c r="DM17" s="11">
        <f t="shared" si="260"/>
        <v>16267.218284541979</v>
      </c>
      <c r="DN17" s="11">
        <f t="shared" si="261"/>
        <v>903.03103792422257</v>
      </c>
      <c r="DO17" s="11">
        <f t="shared" si="262"/>
        <v>446.89473374930344</v>
      </c>
      <c r="DP17" s="11">
        <f t="shared" si="263"/>
        <v>5626.3321354789759</v>
      </c>
      <c r="DQ17" s="11">
        <f t="shared" si="264"/>
        <v>3025.8174006622407</v>
      </c>
      <c r="DR17" s="15">
        <f t="shared" si="265"/>
        <v>0.34586934514952883</v>
      </c>
      <c r="DS17" s="15">
        <f t="shared" si="266"/>
        <v>0.18600705712159415</v>
      </c>
      <c r="DT17" s="11">
        <f t="shared" si="267"/>
        <v>3019.6812911936222</v>
      </c>
      <c r="DV17" s="62" t="s">
        <v>407</v>
      </c>
      <c r="DW17" s="7">
        <f>IF(DW9&gt;=0,0,IF(AND(DW10&lt;=0,DW9&lt;=0,DW16*2&gt;=ABS(DW9)),ROUND(DW16/3,0),ROUND(ABS(DW9)/6,0)))</f>
        <v>127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343.57266913360155</v>
      </c>
      <c r="BL18" s="9">
        <f>IF(管理者入力シート!$B$14=1,BK15*管理者用人口入力シート!AM$3,IF(管理者入力シート!$B$14=2,BK15*管理者用人口入力シート!AM$7))</f>
        <v>363.10598385779991</v>
      </c>
      <c r="BM18" s="9">
        <f>IF(管理者入力シート!$B$14=1,BL15*管理者用人口入力シート!AN$3,IF(管理者入力シート!$B$14=2,BL15*管理者用人口入力シート!AN$7))</f>
        <v>384.6189557857623</v>
      </c>
      <c r="BN18" s="9">
        <f>IF(管理者入力シート!$B$14=1,BM15*管理者用人口入力シート!AO$3,IF(管理者入力シート!$B$14=2,BM15*管理者用人口入力シート!AO$7))</f>
        <v>348.250606016478</v>
      </c>
      <c r="BO18" s="9">
        <f>IF(管理者入力シート!$B$14=1,BN15*管理者用人口入力シート!AP$3,IF(管理者入力シート!$B$14=2,BN15*管理者用人口入力シート!AP$7))</f>
        <v>214.74302873205235</v>
      </c>
      <c r="BP18" s="9">
        <f>IF(管理者入力シート!$B$14=1,BO15*管理者用人口入力シート!AQ$3,IF(管理者入力シート!$B$14=2,BO15*管理者用人口入力シート!AQ$7))</f>
        <v>299.15206281544988</v>
      </c>
      <c r="BQ18" s="9">
        <f>IF(管理者入力シート!$B$14=1,BP15*管理者用人口入力シート!AR$3,IF(管理者入力シート!$B$14=2,BP15*管理者用人口入力シート!AR$7))</f>
        <v>376.34090564721356</v>
      </c>
      <c r="BR18" s="9">
        <f>IF(管理者入力シート!$B$14=1,BQ15*管理者用人口入力シート!AS$3,IF(管理者入力シート!$B$14=2,BQ15*管理者用人口入力シート!AS$7))</f>
        <v>432.51608816110684</v>
      </c>
      <c r="BS18" s="9">
        <f>IF(管理者入力シート!$B$14=1,BR15*管理者用人口入力シート!AT$3,IF(管理者入力シート!$B$14=2,BR15*管理者用人口入力シート!AT$7))</f>
        <v>426.90238841479618</v>
      </c>
      <c r="BT18" s="9">
        <f>IF(管理者入力シート!$B$14=1,BS15*管理者用人口入力シート!AU$3,IF(管理者入力シート!$B$14=2,BS15*管理者用人口入力シート!AU$7))</f>
        <v>400.16169417741634</v>
      </c>
      <c r="BU18" s="9">
        <f>IF(管理者入力シート!$B$14=1,BT15*管理者用人口入力シート!AV$3,IF(管理者入力シート!$B$14=2,BT15*管理者用人口入力シート!AV$7))</f>
        <v>426.9971406866847</v>
      </c>
      <c r="BV18" s="9">
        <f>IF(管理者入力シート!$B$14=1,BU15*管理者用人口入力シート!AW$3,IF(管理者入力シート!$B$14=2,BU15*管理者用人口入力シート!AW$7))</f>
        <v>403.39448848835548</v>
      </c>
      <c r="BW18" s="9">
        <f>IF(管理者入力シート!$B$14=1,BV15*管理者用人口入力シート!AX$3,IF(管理者入力シート!$B$14=2,BV15*管理者用人口入力シート!AX$7))</f>
        <v>460.05582113270617</v>
      </c>
      <c r="BX18" s="9">
        <f>IF(管理者入力シート!$B$14=1,BW15*管理者用人口入力シート!AY$3,IF(管理者入力シート!$B$14=2,BW15*管理者用人口入力シート!AY$7))</f>
        <v>483.64178506674483</v>
      </c>
      <c r="BY18" s="9">
        <f>IF(管理者入力シート!$B$14=1,BX15*管理者用人口入力シート!AZ$3,IF(管理者入力シート!$B$14=2,BX15*管理者用人口入力シート!AZ$7))</f>
        <v>567.37616195064243</v>
      </c>
      <c r="BZ18" s="9">
        <f>IF(管理者入力シート!$B$14=1,BY15*管理者用人口入力シート!BA$3,IF(管理者入力シート!$B$14=2,BY15*管理者用人口入力シート!BA$7))</f>
        <v>555.09989972189283</v>
      </c>
      <c r="CA18" s="9">
        <f>IF(管理者入力シート!$B$14=1,BZ15*管理者用人口入力シート!BB$3,IF(管理者入力シート!$B$14=2,BZ15*管理者用人口入力シート!BB$7))</f>
        <v>360.80945262032162</v>
      </c>
      <c r="CB18" s="9">
        <f>IF(管理者入力シート!$B$14=1,CA15*管理者用人口入力シート!BC$3,IF(管理者入力シート!$B$14=2,CA15*管理者用人口入力シート!BC$7))</f>
        <v>216.57293991568605</v>
      </c>
      <c r="CC18" s="9">
        <f>IF(管理者入力シート!$B$14=1,CB15*管理者用人口入力シート!BD$3,IF(管理者入力シート!$B$14=2,CB15*管理者用人口入力シート!BD$7))</f>
        <v>103.23123026206679</v>
      </c>
      <c r="CD18" s="9">
        <f>IF(管理者入力シート!$B$14=1,CC15*管理者用人口入力シート!BE$3,IF(管理者入力シート!$B$14=2,CC15*管理者用人口入力シート!BE$7))</f>
        <v>47.294600059108049</v>
      </c>
      <c r="CE18" s="9">
        <f>IF(管理者入力シート!$B$14=1,CD15*管理者用人口入力シート!BF$3,IF(管理者入力シート!$B$14=2,CD15*管理者用人口入力シート!BF$7))</f>
        <v>0.88032303638699139</v>
      </c>
      <c r="CF18" s="9">
        <f t="shared" si="252"/>
        <v>7214.7182256822734</v>
      </c>
      <c r="CG18" s="9">
        <f t="shared" si="253"/>
        <v>448.63496378613729</v>
      </c>
      <c r="CH18" s="9">
        <f t="shared" si="254"/>
        <v>223.49770351760054</v>
      </c>
      <c r="CI18" s="9">
        <f t="shared" si="255"/>
        <v>2334.9063926328499</v>
      </c>
      <c r="CJ18" s="9">
        <f t="shared" si="256"/>
        <v>1283.8884456154622</v>
      </c>
      <c r="CK18" s="13">
        <f t="shared" si="257"/>
        <v>0.32363098870878565</v>
      </c>
      <c r="CL18" s="13">
        <f t="shared" si="258"/>
        <v>0.17795406632031688</v>
      </c>
      <c r="CM18" s="9">
        <f t="shared" si="259"/>
        <v>1322.7520853558226</v>
      </c>
      <c r="CO18" s="7" t="str">
        <f t="shared" si="26"/>
        <v>2050_1</v>
      </c>
      <c r="CP18" s="28">
        <f>管理者入力シート!B13</f>
        <v>2050</v>
      </c>
      <c r="CQ18" s="3" t="s">
        <v>21</v>
      </c>
      <c r="CR18" s="9">
        <f>DT19*$AK$13+将来予測シート②!$G17</f>
        <v>347.2802470551124</v>
      </c>
      <c r="CS18" s="9">
        <f>IF(管理者入力シート!$B$14=1,CR15*管理者用人口入力シート!AM$3,IF(管理者入力シート!$B$14=2,CR15*管理者用人口入力シート!AM$7))+将来予測シート②!$G18</f>
        <v>366.1870247696985</v>
      </c>
      <c r="CT18" s="9">
        <f>IF(管理者入力シート!$B$14=1,CS15*管理者用人口入力シート!AN$3,IF(管理者入力シート!$B$14=2,CS15*管理者用人口入力シート!AN$7))+将来予測シート②!$G19</f>
        <v>388.38608598653281</v>
      </c>
      <c r="CU18" s="9">
        <f>IF(管理者入力シート!$B$14=1,CT15*管理者用人口入力シート!AO$3,IF(管理者入力シート!$B$14=2,CT15*管理者用人口入力シート!AO$7))+将来予測シート②!$G20</f>
        <v>351.41529570213282</v>
      </c>
      <c r="CV18" s="9">
        <f>IF(管理者入力シート!$B$14=1,CU15*管理者用人口入力シート!AP$3,IF(管理者入力シート!$B$14=2,CU15*管理者用人口入力シート!AP$7))+将来予測シート②!$G21</f>
        <v>216.32119417089731</v>
      </c>
      <c r="CW18" s="9">
        <f>IF(管理者入力シート!$B$14=1,CV15*管理者用人口入力シート!AQ$3,IF(管理者入力シート!$B$14=2,CV15*管理者用人口入力シート!AQ$7))+将来予測シート②!$G22</f>
        <v>302.55195462034226</v>
      </c>
      <c r="CX18" s="9">
        <f>IF(管理者入力シート!$B$14=1,CW15*管理者用人口入力シート!AR$3,IF(管理者入力シート!$B$14=2,CW15*管理者用人口入力シート!AR$7))+将来予測シート②!$G23</f>
        <v>379.30036848782026</v>
      </c>
      <c r="CY18" s="9">
        <f>IF(管理者入力シート!$B$14=1,CX15*管理者用人口入力シート!AS$3,IF(管理者入力シート!$B$14=2,CX15*管理者用人口入力シート!AS$7))+将来予測シート②!$G24</f>
        <v>435.45702272061266</v>
      </c>
      <c r="CZ18" s="9">
        <f>IF(管理者入力シート!$B$14=1,CY15*管理者用人口入力シート!AT$3,IF(管理者入力シート!$B$14=2,CY15*管理者用人口入力シート!AT$7))+将来予測シート②!$G25</f>
        <v>429.07484134893502</v>
      </c>
      <c r="DA18" s="9">
        <f>IF(管理者入力シート!$B$14=1,CZ15*管理者用人口入力シート!AU$3,IF(管理者入力シート!$B$14=2,CZ15*管理者用人口入力シート!AU$7))+将来予測シート②!$G26</f>
        <v>402.3037036120711</v>
      </c>
      <c r="DB18" s="9">
        <f>IF(管理者入力シート!$B$14=1,DA15*管理者用人口入力シート!AV$3,IF(管理者入力シート!$B$14=2,DA15*管理者用人口入力シート!AV$7))+将来予測シート②!$G27</f>
        <v>429.05997425234102</v>
      </c>
      <c r="DC18" s="9">
        <f>IF(管理者入力シート!$B$14=1,DB15*管理者用人口入力シート!AW$3,IF(管理者入力シート!$B$14=2,DB15*管理者用人口入力シート!AW$7))+将来予測シート②!$G28</f>
        <v>403.39448848835548</v>
      </c>
      <c r="DD18" s="9">
        <f>IF(管理者入力シート!$B$14=1,DC15*管理者用人口入力シート!AX$3,IF(管理者入力シート!$B$14=2,DC15*管理者用人口入力シート!AX$7))+将来予測シート②!$G29</f>
        <v>460.05582113270617</v>
      </c>
      <c r="DE18" s="9">
        <f>IF(管理者入力シート!$B$14=1,DD15*管理者用人口入力シート!AY$3,IF(管理者入力シート!$B$14=2,DD15*管理者用人口入力シート!AY$7))</f>
        <v>483.64178506674483</v>
      </c>
      <c r="DF18" s="9">
        <f>IF(管理者入力シート!$B$14=1,DE15*管理者用人口入力シート!AZ$3,IF(管理者入力シート!$B$14=2,DE15*管理者用人口入力シート!AZ$7))</f>
        <v>567.37616195064243</v>
      </c>
      <c r="DG18" s="9">
        <f>IF(管理者入力シート!$B$14=1,DF15*管理者用人口入力シート!BA$3,IF(管理者入力シート!$B$14=2,DF15*管理者用人口入力シート!BA$7))</f>
        <v>555.09989972189283</v>
      </c>
      <c r="DH18" s="9">
        <f>IF(管理者入力シート!$B$14=1,DG15*管理者用人口入力シート!BB$3,IF(管理者入力シート!$B$14=2,DG15*管理者用人口入力シート!BB$7))</f>
        <v>360.80945262032162</v>
      </c>
      <c r="DI18" s="9">
        <f>IF(管理者入力シート!$B$14=1,DH15*管理者用人口入力シート!BC$3,IF(管理者入力シート!$B$14=2,DH15*管理者用人口入力シート!BC$7))</f>
        <v>216.57293991568605</v>
      </c>
      <c r="DJ18" s="9">
        <f>IF(管理者入力シート!$B$14=1,DI15*管理者用人口入力シート!BD$3,IF(管理者入力シート!$B$14=2,DI15*管理者用人口入力シート!BD$7))</f>
        <v>103.23123026206679</v>
      </c>
      <c r="DK18" s="9">
        <f>IF(管理者入力シート!$B$14=1,DJ15*管理者用人口入力シート!BE$3,IF(管理者入力シート!$B$14=2,DJ15*管理者用人口入力シート!BE$7))</f>
        <v>47.294600059108049</v>
      </c>
      <c r="DL18" s="9">
        <f>IF(管理者入力シート!$B$14=1,DK15*管理者用人口入力シート!BF$3,IF(管理者入力シート!$B$14=2,DK15*管理者用人口入力シート!BF$7))</f>
        <v>0.88032303638699139</v>
      </c>
      <c r="DM18" s="9">
        <f t="shared" si="260"/>
        <v>7245.6944149804085</v>
      </c>
      <c r="DN18" s="9">
        <f t="shared" si="261"/>
        <v>452.7438664537388</v>
      </c>
      <c r="DO18" s="9">
        <f t="shared" si="262"/>
        <v>225.63749353503968</v>
      </c>
      <c r="DP18" s="9">
        <f t="shared" si="263"/>
        <v>2334.9063926328499</v>
      </c>
      <c r="DQ18" s="9">
        <f t="shared" si="264"/>
        <v>1283.8884456154622</v>
      </c>
      <c r="DR18" s="13">
        <f t="shared" si="265"/>
        <v>0.32224742845978321</v>
      </c>
      <c r="DS18" s="13">
        <f t="shared" si="266"/>
        <v>0.17719329191706379</v>
      </c>
      <c r="DT18" s="9">
        <f t="shared" si="267"/>
        <v>1333.6305399996725</v>
      </c>
      <c r="DX18" s="288">
        <f>DX1</f>
        <v>127</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340.26291994713847</v>
      </c>
      <c r="BL19" s="10">
        <f>IF(管理者入力シート!$B$14=1,BK16*管理者用人口入力シート!AM$4,IF(管理者入力シート!$B$14=2,BK16*管理者用人口入力シート!AM$8))</f>
        <v>342.80453796140432</v>
      </c>
      <c r="BM19" s="10">
        <f>IF(管理者入力シート!$B$14=1,BL16*管理者用人口入力シート!AN$4,IF(管理者入力シート!$B$14=2,BL16*管理者用人口入力シート!AN$8))</f>
        <v>356.71553804010256</v>
      </c>
      <c r="BN19" s="10">
        <f>IF(管理者入力シート!$B$14=1,BM16*管理者用人口入力シート!AO$4,IF(管理者入力シート!$B$14=2,BM16*管理者用人口入力シート!AO$8))</f>
        <v>343.77771845813822</v>
      </c>
      <c r="BO19" s="10">
        <f>IF(管理者入力シート!$B$14=1,BN16*管理者用人口入力シート!AP$4,IF(管理者入力シート!$B$14=2,BN16*管理者用人口入力シート!AP$8))</f>
        <v>264.83558562553236</v>
      </c>
      <c r="BP19" s="10">
        <f>IF(管理者入力シート!$B$14=1,BO16*管理者用人口入力シート!AQ$4,IF(管理者入力シート!$B$14=2,BO16*管理者用人口入力シート!AQ$8))</f>
        <v>340.14739744154645</v>
      </c>
      <c r="BQ19" s="10">
        <f>IF(管理者入力シート!$B$14=1,BP16*管理者用人口入力シート!AR$4,IF(管理者入力シート!$B$14=2,BP16*管理者用人口入力シート!AR$8))</f>
        <v>391.82778836311331</v>
      </c>
      <c r="BR19" s="10">
        <f>IF(管理者入力シート!$B$14=1,BQ16*管理者用人口入力シート!AS$4,IF(管理者入力シート!$B$14=2,BQ16*管理者用人口入力シート!AS$8))</f>
        <v>445.98633941026998</v>
      </c>
      <c r="BS19" s="10">
        <f>IF(管理者入力シート!$B$14=1,BR16*管理者用人口入力シート!AT$4,IF(管理者入力シート!$B$14=2,BR16*管理者用人口入力シート!AT$8))</f>
        <v>430.41073499750826</v>
      </c>
      <c r="BT19" s="10">
        <f>IF(管理者入力シート!$B$14=1,BS16*管理者用人口入力シート!AU$4,IF(管理者入力シート!$B$14=2,BS16*管理者用人口入力シート!AU$8))</f>
        <v>410.01405574853993</v>
      </c>
      <c r="BU19" s="10">
        <f>IF(管理者入力シート!$B$14=1,BT16*管理者用人口入力シート!AV$4,IF(管理者入力シート!$B$14=2,BT16*管理者用人口入力シート!AV$8))</f>
        <v>404.95998226688226</v>
      </c>
      <c r="BV19" s="10">
        <f>IF(管理者入力シート!$B$14=1,BU16*管理者用人口入力シート!AW$4,IF(管理者入力シート!$B$14=2,BU16*管理者用人口入力シート!AW$8))</f>
        <v>437.0994052396295</v>
      </c>
      <c r="BW19" s="10">
        <f>IF(管理者入力シート!$B$14=1,BV16*管理者用人口入力シート!AX$4,IF(管理者入力シート!$B$14=2,BV16*管理者用人口入力シート!AX$8))</f>
        <v>491.81565270607928</v>
      </c>
      <c r="BX19" s="10">
        <f>IF(管理者入力シート!$B$14=1,BW16*管理者用人口入力シート!AY$4,IF(管理者入力シート!$B$14=2,BW16*管理者用人口入力シート!AY$8))</f>
        <v>588.03303591813324</v>
      </c>
      <c r="BY19" s="10">
        <f>IF(管理者入力シート!$B$14=1,BX16*管理者用人口入力シート!AZ$4,IF(管理者入力シート!$B$14=2,BX16*管理者用人口入力シート!AZ$8))</f>
        <v>630.62961522587341</v>
      </c>
      <c r="BZ19" s="10">
        <f>IF(管理者入力シート!$B$14=1,BY16*管理者用人口入力シート!BA$4,IF(管理者入力シート!$B$14=2,BY16*管理者用人口入力シート!BA$8))</f>
        <v>663.33683999256243</v>
      </c>
      <c r="CA19" s="10">
        <f>IF(管理者入力シート!$B$14=1,BZ16*管理者用人口入力シート!BB$4,IF(管理者入力シート!$B$14=2,BZ16*管理者用人口入力シート!BB$8))</f>
        <v>504.37136713232468</v>
      </c>
      <c r="CB19" s="10">
        <f>IF(管理者入力シート!$B$14=1,CA16*管理者用人口入力シート!BC$4,IF(管理者入力シート!$B$14=2,CA16*管理者用人口入力シート!BC$8))</f>
        <v>337.09962792037567</v>
      </c>
      <c r="CC19" s="10">
        <f>IF(管理者入力シート!$B$14=1,CB16*管理者用人口入力シート!BD$4,IF(管理者入力シート!$B$14=2,CB16*管理者用人口入力シート!BD$8))</f>
        <v>254.67923201177834</v>
      </c>
      <c r="CD19" s="10">
        <f>IF(管理者入力シート!$B$14=1,CC16*管理者用人口入力シート!BE$4,IF(管理者入力シート!$B$14=2,CC16*管理者用人口入力シート!BE$8))</f>
        <v>111.14855249777312</v>
      </c>
      <c r="CE19" s="10">
        <f>IF(管理者入力シート!$B$14=1,CD16*管理者用人口入力シート!BF$4,IF(管理者入力シート!$B$14=2,CD16*管理者用人口入力シート!BF$8))</f>
        <v>32.66696402846847</v>
      </c>
      <c r="CF19" s="10">
        <f t="shared" si="252"/>
        <v>8122.6228909331739</v>
      </c>
      <c r="CG19" s="10">
        <f t="shared" si="253"/>
        <v>419.71204560090416</v>
      </c>
      <c r="CH19" s="10">
        <f t="shared" si="254"/>
        <v>211.44175890766869</v>
      </c>
      <c r="CI19" s="10">
        <f t="shared" si="255"/>
        <v>3121.9652347272895</v>
      </c>
      <c r="CJ19" s="10">
        <f t="shared" si="256"/>
        <v>1903.302583583283</v>
      </c>
      <c r="CK19" s="14">
        <f t="shared" si="257"/>
        <v>0.38435432453871066</v>
      </c>
      <c r="CL19" s="14">
        <f t="shared" si="258"/>
        <v>0.23432118037978009</v>
      </c>
      <c r="CM19" s="10">
        <f t="shared" si="259"/>
        <v>1442.797110840462</v>
      </c>
      <c r="CO19" s="7" t="str">
        <f t="shared" si="26"/>
        <v>2050_2</v>
      </c>
      <c r="CP19" s="29">
        <f>CP18</f>
        <v>2050</v>
      </c>
      <c r="CQ19" s="4" t="s">
        <v>22</v>
      </c>
      <c r="CR19" s="10">
        <f>DT19*$AK$14+将来予測シート②!$H17</f>
        <v>343.944414874779</v>
      </c>
      <c r="CS19" s="10">
        <f>IF(管理者入力シート!$B$14=1,CR16*管理者用人口入力シート!AM$4,IF(管理者入力シート!$B$14=2,CR16*管理者用人口入力シート!AM$8))+将来予測シート②!$H18</f>
        <v>345.72225617887995</v>
      </c>
      <c r="CT19" s="10">
        <f>IF(管理者入力シート!$B$14=1,CS16*管理者用人口入力シート!AN$4,IF(管理者入力シート!$B$14=2,CS16*管理者用人口入力シート!AN$8))+将来予測シート②!$H19</f>
        <v>360.2908299430631</v>
      </c>
      <c r="CU19" s="10">
        <f>IF(管理者入力シート!$B$14=1,CT16*管理者用人口入力シート!AO$4,IF(管理者入力シート!$B$14=2,CT16*管理者用人口入力シート!AO$8))+将来予測シート②!$H20</f>
        <v>346.97875047525827</v>
      </c>
      <c r="CV19" s="10">
        <f>IF(管理者入力シート!$B$14=1,CU16*管理者用人口入力シート!AP$4,IF(管理者入力シート!$B$14=2,CU16*管理者用人口入力シート!AP$8))+将来予測シート②!$H21</f>
        <v>266.84023274198285</v>
      </c>
      <c r="CW19" s="10">
        <f>IF(管理者入力シート!$B$14=1,CV16*管理者用人口入力シート!AQ$4,IF(管理者入力シート!$B$14=2,CV16*管理者用人口入力シート!AQ$8))+将来予測シート②!$H22</f>
        <v>343.80945702656328</v>
      </c>
      <c r="CX19" s="10">
        <f>IF(管理者入力シート!$B$14=1,CW16*管理者用人口入力シート!AR$4,IF(管理者入力シート!$B$14=2,CW16*管理者用人口入力シート!AR$8))+将来予測シート②!$H23</f>
        <v>394.69715042477702</v>
      </c>
      <c r="CY19" s="10">
        <f>IF(管理者入力シート!$B$14=1,CX16*管理者用人口入力シート!AS$4,IF(管理者入力シート!$B$14=2,CX16*管理者用人口入力シート!AS$8))+将来予測シート②!$H24</f>
        <v>448.82045795680568</v>
      </c>
      <c r="CZ19" s="10">
        <f>IF(管理者入力シート!$B$14=1,CY16*管理者用人口入力シート!AT$4,IF(管理者入力シート!$B$14=2,CY16*管理者用人口入力シート!AT$8))+将来予測シート②!$H25</f>
        <v>433.34023683174053</v>
      </c>
      <c r="DA19" s="10">
        <f>IF(管理者入力シート!$B$14=1,CZ16*管理者用人口入力シート!AU$4,IF(管理者入力シート!$B$14=2,CZ16*管理者用人口入力シート!AU$8))+将来予測シート②!$H26</f>
        <v>412.99840961271764</v>
      </c>
      <c r="DB19" s="10">
        <f>IF(管理者入力シート!$B$14=1,DA16*管理者用人口入力シート!AV$4,IF(管理者入力シート!$B$14=2,DA16*管理者用人口入力シート!AV$8))+将来予測シート②!$H27</f>
        <v>407.79600566531701</v>
      </c>
      <c r="DC19" s="10">
        <f>IF(管理者入力シート!$B$14=1,DB16*管理者用人口入力シート!AW$4,IF(管理者入力シート!$B$14=2,DB16*管理者用人口入力シート!AW$8))+将来予測シート②!$H28</f>
        <v>438.04772287609654</v>
      </c>
      <c r="DD19" s="10">
        <f>IF(管理者入力シート!$B$14=1,DC16*管理者用人口入力シート!AX$4,IF(管理者入力シート!$B$14=2,DC16*管理者用人口入力シート!AX$8))+将来予測シート②!$H29</f>
        <v>492.73754190572413</v>
      </c>
      <c r="DE19" s="10">
        <f>IF(管理者入力シート!$B$14=1,DD16*管理者用人口入力シート!AY$4,IF(管理者入力シート!$B$14=2,DD16*管理者用人口入力シート!AY$8))</f>
        <v>588.91481200936823</v>
      </c>
      <c r="DF19" s="10">
        <f>IF(管理者入力シート!$B$14=1,DE16*管理者用人口入力シート!AZ$4,IF(管理者入力シート!$B$14=2,DE16*管理者用人口入力シート!AZ$8))</f>
        <v>630.62961522587341</v>
      </c>
      <c r="DG19" s="10">
        <f>IF(管理者入力シート!$B$14=1,DF16*管理者用人口入力シート!BA$4,IF(管理者入力シート!$B$14=2,DF16*管理者用人口入力シート!BA$8))</f>
        <v>663.33683999256243</v>
      </c>
      <c r="DH19" s="10">
        <f>IF(管理者入力シート!$B$14=1,DG16*管理者用人口入力シート!BB$4,IF(管理者入力シート!$B$14=2,DG16*管理者用人口入力シート!BB$8))</f>
        <v>504.37136713232468</v>
      </c>
      <c r="DI19" s="10">
        <f>IF(管理者入力シート!$B$14=1,DH16*管理者用人口入力シート!BC$4,IF(管理者入力シート!$B$14=2,DH16*管理者用人口入力シート!BC$8))</f>
        <v>337.09962792037567</v>
      </c>
      <c r="DJ19" s="10">
        <f>IF(管理者入力シート!$B$14=1,DI16*管理者用人口入力シート!BD$4,IF(管理者入力シート!$B$14=2,DI16*管理者用人口入力シート!BD$8))</f>
        <v>254.67923201177834</v>
      </c>
      <c r="DK19" s="10">
        <f>IF(管理者入力シート!$B$14=1,DJ16*管理者用人口入力シート!BE$4,IF(管理者入力シート!$B$14=2,DJ16*管理者用人口入力シート!BE$8))</f>
        <v>111.14855249777312</v>
      </c>
      <c r="DL19" s="10">
        <f>IF(管理者入力シート!$B$14=1,DK16*管理者用人口入力シート!BF$4,IF(管理者入力シート!$B$14=2,DK16*管理者用人口入力シート!BF$8))</f>
        <v>32.66696402846847</v>
      </c>
      <c r="DM19" s="10">
        <f t="shared" si="260"/>
        <v>8158.8704773322297</v>
      </c>
      <c r="DN19" s="10">
        <f t="shared" si="261"/>
        <v>423.60785167316584</v>
      </c>
      <c r="DO19" s="10">
        <f t="shared" si="262"/>
        <v>213.51208207227688</v>
      </c>
      <c r="DP19" s="10">
        <f t="shared" si="263"/>
        <v>3122.8470108185243</v>
      </c>
      <c r="DQ19" s="10">
        <f t="shared" si="264"/>
        <v>1903.302583583283</v>
      </c>
      <c r="DR19" s="14">
        <f t="shared" si="265"/>
        <v>0.38275482120898019</v>
      </c>
      <c r="DS19" s="14">
        <f t="shared" si="266"/>
        <v>0.23328015671669552</v>
      </c>
      <c r="DT19" s="10">
        <f t="shared" si="267"/>
        <v>1454.1672981501288</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683.83558908073996</v>
      </c>
      <c r="BL20" s="16">
        <f t="shared" ref="BL20:CE20" si="276">BL18+BL19</f>
        <v>705.91052181920418</v>
      </c>
      <c r="BM20" s="16">
        <f t="shared" si="276"/>
        <v>741.33449382586491</v>
      </c>
      <c r="BN20" s="16">
        <f t="shared" si="276"/>
        <v>692.02832447461628</v>
      </c>
      <c r="BO20" s="16">
        <f t="shared" si="276"/>
        <v>479.57861435758468</v>
      </c>
      <c r="BP20" s="16">
        <f t="shared" si="276"/>
        <v>639.29946025699633</v>
      </c>
      <c r="BQ20" s="16">
        <f t="shared" si="276"/>
        <v>768.16869401032682</v>
      </c>
      <c r="BR20" s="16">
        <f t="shared" si="276"/>
        <v>878.50242757137676</v>
      </c>
      <c r="BS20" s="16">
        <f t="shared" si="276"/>
        <v>857.31312341230444</v>
      </c>
      <c r="BT20" s="16">
        <f t="shared" si="276"/>
        <v>810.17574992595632</v>
      </c>
      <c r="BU20" s="16">
        <f t="shared" si="276"/>
        <v>831.95712295356702</v>
      </c>
      <c r="BV20" s="16">
        <f t="shared" si="276"/>
        <v>840.49389372798498</v>
      </c>
      <c r="BW20" s="16">
        <f t="shared" si="276"/>
        <v>951.8714738387855</v>
      </c>
      <c r="BX20" s="16">
        <f t="shared" si="276"/>
        <v>1071.6748209848781</v>
      </c>
      <c r="BY20" s="16">
        <f t="shared" si="276"/>
        <v>1198.0057771765159</v>
      </c>
      <c r="BZ20" s="16">
        <f t="shared" si="276"/>
        <v>1218.4367397144551</v>
      </c>
      <c r="CA20" s="16">
        <f t="shared" si="276"/>
        <v>865.18081975264636</v>
      </c>
      <c r="CB20" s="16">
        <f t="shared" si="276"/>
        <v>553.67256783606172</v>
      </c>
      <c r="CC20" s="16">
        <f t="shared" si="276"/>
        <v>357.91046227384516</v>
      </c>
      <c r="CD20" s="16">
        <f t="shared" si="276"/>
        <v>158.44315255688116</v>
      </c>
      <c r="CE20" s="16">
        <f t="shared" si="276"/>
        <v>33.54728706485546</v>
      </c>
      <c r="CF20" s="11">
        <f t="shared" si="252"/>
        <v>15337.341116615449</v>
      </c>
      <c r="CG20" s="11">
        <f t="shared" si="253"/>
        <v>868.34700938704134</v>
      </c>
      <c r="CH20" s="11">
        <f t="shared" si="254"/>
        <v>434.9394624252692</v>
      </c>
      <c r="CI20" s="11">
        <f t="shared" si="255"/>
        <v>5456.8716273601385</v>
      </c>
      <c r="CJ20" s="11">
        <f t="shared" si="256"/>
        <v>3187.1910291987447</v>
      </c>
      <c r="CK20" s="15">
        <f t="shared" si="257"/>
        <v>0.35578993685212679</v>
      </c>
      <c r="CL20" s="15">
        <f t="shared" si="258"/>
        <v>0.20780596877681459</v>
      </c>
      <c r="CM20" s="11">
        <f t="shared" si="259"/>
        <v>2765.5491961962844</v>
      </c>
      <c r="CO20" s="7" t="str">
        <f t="shared" si="26"/>
        <v>2050_3</v>
      </c>
      <c r="CP20" s="30">
        <f>CP19</f>
        <v>2050</v>
      </c>
      <c r="CQ20" s="5" t="s">
        <v>23</v>
      </c>
      <c r="CR20" s="16">
        <f>CR18+CR19</f>
        <v>691.22466192989145</v>
      </c>
      <c r="CS20" s="16">
        <f t="shared" ref="CS20:DL20" si="277">CS18+CS19</f>
        <v>711.9092809485785</v>
      </c>
      <c r="CT20" s="16">
        <f t="shared" si="277"/>
        <v>748.67691592959591</v>
      </c>
      <c r="CU20" s="16">
        <f t="shared" si="277"/>
        <v>698.39404617739115</v>
      </c>
      <c r="CV20" s="16">
        <f t="shared" si="277"/>
        <v>483.16142691288019</v>
      </c>
      <c r="CW20" s="16">
        <f t="shared" si="277"/>
        <v>646.36141164690548</v>
      </c>
      <c r="CX20" s="16">
        <f t="shared" si="277"/>
        <v>773.99751891259734</v>
      </c>
      <c r="CY20" s="16">
        <f t="shared" si="277"/>
        <v>884.27748067741834</v>
      </c>
      <c r="CZ20" s="16">
        <f t="shared" si="277"/>
        <v>862.41507818067555</v>
      </c>
      <c r="DA20" s="16">
        <f t="shared" si="277"/>
        <v>815.30211322478874</v>
      </c>
      <c r="DB20" s="16">
        <f t="shared" si="277"/>
        <v>836.85597991765803</v>
      </c>
      <c r="DC20" s="16">
        <f t="shared" si="277"/>
        <v>841.44221136445208</v>
      </c>
      <c r="DD20" s="16">
        <f t="shared" si="277"/>
        <v>952.79336303843024</v>
      </c>
      <c r="DE20" s="16">
        <f t="shared" si="277"/>
        <v>1072.5565970761131</v>
      </c>
      <c r="DF20" s="16">
        <f t="shared" si="277"/>
        <v>1198.0057771765159</v>
      </c>
      <c r="DG20" s="16">
        <f t="shared" si="277"/>
        <v>1218.4367397144551</v>
      </c>
      <c r="DH20" s="16">
        <f t="shared" si="277"/>
        <v>865.18081975264636</v>
      </c>
      <c r="DI20" s="16">
        <f t="shared" si="277"/>
        <v>553.67256783606172</v>
      </c>
      <c r="DJ20" s="16">
        <f t="shared" si="277"/>
        <v>357.91046227384516</v>
      </c>
      <c r="DK20" s="16">
        <f t="shared" si="277"/>
        <v>158.44315255688116</v>
      </c>
      <c r="DL20" s="16">
        <f t="shared" si="277"/>
        <v>33.54728706485546</v>
      </c>
      <c r="DM20" s="11">
        <f t="shared" si="260"/>
        <v>15404.564892312637</v>
      </c>
      <c r="DN20" s="11">
        <f t="shared" si="261"/>
        <v>876.35171812690464</v>
      </c>
      <c r="DO20" s="11">
        <f t="shared" si="262"/>
        <v>439.14957560731659</v>
      </c>
      <c r="DP20" s="11">
        <f t="shared" si="263"/>
        <v>5457.7534034513737</v>
      </c>
      <c r="DQ20" s="11">
        <f t="shared" si="264"/>
        <v>3187.1910291987447</v>
      </c>
      <c r="DR20" s="15">
        <f t="shared" si="265"/>
        <v>0.35429455110250885</v>
      </c>
      <c r="DS20" s="15">
        <f t="shared" si="266"/>
        <v>0.20689912707558869</v>
      </c>
      <c r="DT20" s="11">
        <f t="shared" si="267"/>
        <v>2787.7978381498015</v>
      </c>
      <c r="DX20" s="28">
        <f>DX3</f>
        <v>2025</v>
      </c>
      <c r="DY20" s="3" t="s">
        <v>21</v>
      </c>
      <c r="DZ20" s="9">
        <f t="shared" ref="DZ20:ET20" si="278">ROUND(DZ3,0)</f>
        <v>430</v>
      </c>
      <c r="EA20" s="9">
        <f t="shared" si="278"/>
        <v>481</v>
      </c>
      <c r="EB20" s="9">
        <f t="shared" si="278"/>
        <v>565</v>
      </c>
      <c r="EC20" s="9">
        <f t="shared" si="278"/>
        <v>496</v>
      </c>
      <c r="ED20" s="9">
        <f t="shared" si="278"/>
        <v>286</v>
      </c>
      <c r="EE20" s="9">
        <f t="shared" si="278"/>
        <v>541</v>
      </c>
      <c r="EF20" s="9">
        <f t="shared" si="278"/>
        <v>563</v>
      </c>
      <c r="EG20" s="9">
        <f t="shared" si="278"/>
        <v>640</v>
      </c>
      <c r="EH20" s="9">
        <f t="shared" si="278"/>
        <v>571</v>
      </c>
      <c r="EI20" s="9">
        <f t="shared" si="278"/>
        <v>709</v>
      </c>
      <c r="EJ20" s="9">
        <f t="shared" si="278"/>
        <v>751</v>
      </c>
      <c r="EK20" s="9">
        <f t="shared" si="278"/>
        <v>578</v>
      </c>
      <c r="EL20" s="9">
        <f t="shared" si="278"/>
        <v>516</v>
      </c>
      <c r="EM20" s="9">
        <f t="shared" si="278"/>
        <v>504</v>
      </c>
      <c r="EN20" s="9">
        <f t="shared" si="278"/>
        <v>605</v>
      </c>
      <c r="EO20" s="9">
        <f t="shared" si="278"/>
        <v>635</v>
      </c>
      <c r="EP20" s="9">
        <f t="shared" si="278"/>
        <v>390</v>
      </c>
      <c r="EQ20" s="9">
        <f t="shared" si="278"/>
        <v>219</v>
      </c>
      <c r="ER20" s="9">
        <f t="shared" si="278"/>
        <v>85</v>
      </c>
      <c r="ES20" s="9">
        <f t="shared" si="278"/>
        <v>20</v>
      </c>
      <c r="ET20" s="9">
        <f t="shared" si="278"/>
        <v>0</v>
      </c>
      <c r="EU20" s="9">
        <f t="shared" ref="EU20:EU21" si="279">SUM(DZ20:ET20)</f>
        <v>9585</v>
      </c>
      <c r="EV20" s="9">
        <f>EA20*3/5+EB20*3/5</f>
        <v>627.6</v>
      </c>
      <c r="EW20" s="9">
        <f>EB20*2/5+EC20*1/5</f>
        <v>325.2</v>
      </c>
      <c r="EX20" s="9">
        <f t="shared" ref="EX20:EX31" si="280">SUM(EM20:ET20)</f>
        <v>2458</v>
      </c>
      <c r="EY20" s="9">
        <f>SUM(EO20:ET20)</f>
        <v>1349</v>
      </c>
      <c r="EZ20" s="13">
        <f>EX20/EU20</f>
        <v>0.25644235785080854</v>
      </c>
      <c r="FA20" s="13">
        <f>EY20/EU20</f>
        <v>0.14074074074074075</v>
      </c>
      <c r="FB20" s="9">
        <f>SUM(ED20:EG20)</f>
        <v>2030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426</v>
      </c>
      <c r="EA21" s="10">
        <f t="shared" si="281"/>
        <v>454</v>
      </c>
      <c r="EB21" s="10">
        <f t="shared" si="281"/>
        <v>522</v>
      </c>
      <c r="EC21" s="10">
        <f t="shared" si="281"/>
        <v>488</v>
      </c>
      <c r="ED21" s="10">
        <f t="shared" si="281"/>
        <v>346</v>
      </c>
      <c r="EE21" s="10">
        <f t="shared" si="281"/>
        <v>561</v>
      </c>
      <c r="EF21" s="10">
        <f t="shared" si="281"/>
        <v>606</v>
      </c>
      <c r="EG21" s="10">
        <f t="shared" si="281"/>
        <v>674</v>
      </c>
      <c r="EH21" s="10">
        <f t="shared" si="281"/>
        <v>667</v>
      </c>
      <c r="EI21" s="10">
        <f t="shared" si="281"/>
        <v>758</v>
      </c>
      <c r="EJ21" s="10">
        <f t="shared" si="281"/>
        <v>813</v>
      </c>
      <c r="EK21" s="10">
        <f t="shared" si="281"/>
        <v>683</v>
      </c>
      <c r="EL21" s="10">
        <f t="shared" si="281"/>
        <v>562</v>
      </c>
      <c r="EM21" s="10">
        <f t="shared" si="281"/>
        <v>627</v>
      </c>
      <c r="EN21" s="10">
        <f t="shared" si="281"/>
        <v>717</v>
      </c>
      <c r="EO21" s="10">
        <f t="shared" si="281"/>
        <v>758</v>
      </c>
      <c r="EP21" s="10">
        <f t="shared" si="281"/>
        <v>494</v>
      </c>
      <c r="EQ21" s="10">
        <f t="shared" si="281"/>
        <v>357</v>
      </c>
      <c r="ER21" s="10">
        <f t="shared" si="281"/>
        <v>193</v>
      </c>
      <c r="ES21" s="10">
        <f t="shared" si="281"/>
        <v>56</v>
      </c>
      <c r="ET21" s="10">
        <f t="shared" si="281"/>
        <v>11</v>
      </c>
      <c r="EU21" s="10">
        <f t="shared" si="279"/>
        <v>10773</v>
      </c>
      <c r="EV21" s="10">
        <f t="shared" ref="EV21:EV31" si="282">EA21*3/5+EB21*3/5</f>
        <v>585.59999999999991</v>
      </c>
      <c r="EW21" s="10">
        <f t="shared" ref="EW21:EW31" si="283">EB21*2/5+EC21*1/5</f>
        <v>306.39999999999998</v>
      </c>
      <c r="EX21" s="10">
        <f t="shared" si="280"/>
        <v>3213</v>
      </c>
      <c r="EY21" s="10">
        <f t="shared" ref="EY21:EY31" si="284">SUM(EO21:ET21)</f>
        <v>1869</v>
      </c>
      <c r="EZ21" s="14">
        <f t="shared" ref="EZ21:EZ31" si="285">EX21/EU21</f>
        <v>0.2982456140350877</v>
      </c>
      <c r="FA21" s="14">
        <f t="shared" ref="FA21:FA31" si="286">EY21/EU21</f>
        <v>0.17348927875243664</v>
      </c>
      <c r="FB21" s="10">
        <f>SUM(ED21:EG21)</f>
        <v>2187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856</v>
      </c>
      <c r="EA22" s="16">
        <f t="shared" ref="EA22:ET22" si="287">EA20+EA21</f>
        <v>935</v>
      </c>
      <c r="EB22" s="16">
        <f t="shared" si="287"/>
        <v>1087</v>
      </c>
      <c r="EC22" s="16">
        <f t="shared" si="287"/>
        <v>984</v>
      </c>
      <c r="ED22" s="16">
        <f t="shared" si="287"/>
        <v>632</v>
      </c>
      <c r="EE22" s="16">
        <f t="shared" si="287"/>
        <v>1102</v>
      </c>
      <c r="EF22" s="16">
        <f t="shared" si="287"/>
        <v>1169</v>
      </c>
      <c r="EG22" s="16">
        <f t="shared" si="287"/>
        <v>1314</v>
      </c>
      <c r="EH22" s="16">
        <f t="shared" si="287"/>
        <v>1238</v>
      </c>
      <c r="EI22" s="16">
        <f t="shared" si="287"/>
        <v>1467</v>
      </c>
      <c r="EJ22" s="16">
        <f t="shared" si="287"/>
        <v>1564</v>
      </c>
      <c r="EK22" s="16">
        <f t="shared" si="287"/>
        <v>1261</v>
      </c>
      <c r="EL22" s="16">
        <f t="shared" si="287"/>
        <v>1078</v>
      </c>
      <c r="EM22" s="16">
        <f t="shared" si="287"/>
        <v>1131</v>
      </c>
      <c r="EN22" s="16">
        <f t="shared" si="287"/>
        <v>1322</v>
      </c>
      <c r="EO22" s="16">
        <f t="shared" si="287"/>
        <v>1393</v>
      </c>
      <c r="EP22" s="16">
        <f t="shared" si="287"/>
        <v>884</v>
      </c>
      <c r="EQ22" s="16">
        <f t="shared" si="287"/>
        <v>576</v>
      </c>
      <c r="ER22" s="16">
        <f t="shared" si="287"/>
        <v>278</v>
      </c>
      <c r="ES22" s="16">
        <f t="shared" si="287"/>
        <v>76</v>
      </c>
      <c r="ET22" s="16">
        <f t="shared" si="287"/>
        <v>11</v>
      </c>
      <c r="EU22" s="11">
        <f>SUM(DZ22:ET22)</f>
        <v>20358</v>
      </c>
      <c r="EV22" s="11">
        <f t="shared" si="282"/>
        <v>1213.2</v>
      </c>
      <c r="EW22" s="11">
        <f t="shared" si="283"/>
        <v>631.6</v>
      </c>
      <c r="EX22" s="11">
        <f t="shared" si="280"/>
        <v>5671</v>
      </c>
      <c r="EY22" s="11">
        <f t="shared" si="284"/>
        <v>3218</v>
      </c>
      <c r="EZ22" s="15">
        <f t="shared" si="285"/>
        <v>0.27856370959819238</v>
      </c>
      <c r="FA22" s="15">
        <f t="shared" si="286"/>
        <v>0.1580705373808822</v>
      </c>
      <c r="FB22" s="11">
        <f>SUM(ED22:EG22)</f>
        <v>4217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554</v>
      </c>
      <c r="EA23" s="9">
        <f t="shared" si="288"/>
        <v>419</v>
      </c>
      <c r="EB23" s="9">
        <f t="shared" si="288"/>
        <v>488</v>
      </c>
      <c r="EC23" s="9">
        <f t="shared" si="288"/>
        <v>501</v>
      </c>
      <c r="ED23" s="9">
        <f t="shared" si="288"/>
        <v>301</v>
      </c>
      <c r="EE23" s="9">
        <f t="shared" si="288"/>
        <v>501</v>
      </c>
      <c r="EF23" s="9">
        <f t="shared" si="288"/>
        <v>719</v>
      </c>
      <c r="EG23" s="9">
        <f t="shared" si="288"/>
        <v>687</v>
      </c>
      <c r="EH23" s="9">
        <f t="shared" si="288"/>
        <v>639</v>
      </c>
      <c r="EI23" s="9">
        <f t="shared" si="288"/>
        <v>563</v>
      </c>
      <c r="EJ23" s="9">
        <f t="shared" si="288"/>
        <v>683</v>
      </c>
      <c r="EK23" s="9">
        <f t="shared" si="288"/>
        <v>736</v>
      </c>
      <c r="EL23" s="9">
        <f t="shared" si="288"/>
        <v>557</v>
      </c>
      <c r="EM23" s="9">
        <f t="shared" si="288"/>
        <v>487</v>
      </c>
      <c r="EN23" s="9">
        <f t="shared" si="288"/>
        <v>469</v>
      </c>
      <c r="EO23" s="9">
        <f t="shared" si="288"/>
        <v>538</v>
      </c>
      <c r="EP23" s="9">
        <f t="shared" si="288"/>
        <v>526</v>
      </c>
      <c r="EQ23" s="9">
        <f t="shared" si="288"/>
        <v>253</v>
      </c>
      <c r="ER23" s="9">
        <f t="shared" si="288"/>
        <v>101</v>
      </c>
      <c r="ES23" s="9">
        <f t="shared" si="288"/>
        <v>30</v>
      </c>
      <c r="ET23" s="9">
        <f t="shared" si="288"/>
        <v>0</v>
      </c>
      <c r="EU23" s="9">
        <f t="shared" ref="EU23:EU31" si="289">SUM(DZ23:ET23)</f>
        <v>9752</v>
      </c>
      <c r="EV23" s="9">
        <f t="shared" si="282"/>
        <v>544.20000000000005</v>
      </c>
      <c r="EW23" s="9">
        <f t="shared" si="283"/>
        <v>295.39999999999998</v>
      </c>
      <c r="EX23" s="9">
        <f t="shared" si="280"/>
        <v>2404</v>
      </c>
      <c r="EY23" s="9">
        <f t="shared" si="284"/>
        <v>1448</v>
      </c>
      <c r="EZ23" s="13">
        <f t="shared" si="285"/>
        <v>0.24651353568498768</v>
      </c>
      <c r="FA23" s="13">
        <f t="shared" si="286"/>
        <v>0.14848236259228875</v>
      </c>
      <c r="FB23" s="9">
        <f t="shared" ref="FB23:FB31" si="290">SUM(ED23:EG23)</f>
        <v>2208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549</v>
      </c>
      <c r="EA24" s="10">
        <f t="shared" si="291"/>
        <v>395</v>
      </c>
      <c r="EB24" s="10">
        <f t="shared" si="291"/>
        <v>453</v>
      </c>
      <c r="EC24" s="10">
        <f t="shared" si="291"/>
        <v>493</v>
      </c>
      <c r="ED24" s="10">
        <f t="shared" si="291"/>
        <v>370</v>
      </c>
      <c r="EE24" s="10">
        <f t="shared" si="291"/>
        <v>544</v>
      </c>
      <c r="EF24" s="10">
        <f t="shared" si="291"/>
        <v>689</v>
      </c>
      <c r="EG24" s="10">
        <f t="shared" si="291"/>
        <v>725</v>
      </c>
      <c r="EH24" s="10">
        <f t="shared" si="291"/>
        <v>657</v>
      </c>
      <c r="EI24" s="10">
        <f t="shared" si="291"/>
        <v>679</v>
      </c>
      <c r="EJ24" s="10">
        <f t="shared" si="291"/>
        <v>720</v>
      </c>
      <c r="EK24" s="10">
        <f t="shared" si="291"/>
        <v>796</v>
      </c>
      <c r="EL24" s="10">
        <f t="shared" si="291"/>
        <v>664</v>
      </c>
      <c r="EM24" s="10">
        <f t="shared" si="291"/>
        <v>538</v>
      </c>
      <c r="EN24" s="10">
        <f t="shared" si="291"/>
        <v>603</v>
      </c>
      <c r="EO24" s="10">
        <f t="shared" si="291"/>
        <v>669</v>
      </c>
      <c r="EP24" s="10">
        <f t="shared" si="291"/>
        <v>671</v>
      </c>
      <c r="EQ24" s="10">
        <f t="shared" si="291"/>
        <v>390</v>
      </c>
      <c r="ER24" s="10">
        <f t="shared" si="291"/>
        <v>232</v>
      </c>
      <c r="ES24" s="10">
        <f t="shared" si="291"/>
        <v>71</v>
      </c>
      <c r="ET24" s="10">
        <f t="shared" si="291"/>
        <v>14</v>
      </c>
      <c r="EU24" s="10">
        <f t="shared" si="289"/>
        <v>10922</v>
      </c>
      <c r="EV24" s="10">
        <f t="shared" si="282"/>
        <v>508.8</v>
      </c>
      <c r="EW24" s="10">
        <f t="shared" si="283"/>
        <v>279.79999999999995</v>
      </c>
      <c r="EX24" s="10">
        <f t="shared" si="280"/>
        <v>3188</v>
      </c>
      <c r="EY24" s="10">
        <f t="shared" si="284"/>
        <v>2047</v>
      </c>
      <c r="EZ24" s="14">
        <f t="shared" si="285"/>
        <v>0.29188793261307455</v>
      </c>
      <c r="FA24" s="14">
        <f t="shared" si="286"/>
        <v>0.1874198864676799</v>
      </c>
      <c r="FB24" s="10">
        <f t="shared" si="290"/>
        <v>2328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1103</v>
      </c>
      <c r="EA25" s="16">
        <f t="shared" ref="EA25:ET25" si="292">EA23+EA24</f>
        <v>814</v>
      </c>
      <c r="EB25" s="16">
        <f t="shared" si="292"/>
        <v>941</v>
      </c>
      <c r="EC25" s="16">
        <f t="shared" si="292"/>
        <v>994</v>
      </c>
      <c r="ED25" s="16">
        <f t="shared" si="292"/>
        <v>671</v>
      </c>
      <c r="EE25" s="16">
        <f t="shared" si="292"/>
        <v>1045</v>
      </c>
      <c r="EF25" s="16">
        <f t="shared" si="292"/>
        <v>1408</v>
      </c>
      <c r="EG25" s="16">
        <f t="shared" si="292"/>
        <v>1412</v>
      </c>
      <c r="EH25" s="16">
        <f t="shared" si="292"/>
        <v>1296</v>
      </c>
      <c r="EI25" s="16">
        <f t="shared" si="292"/>
        <v>1242</v>
      </c>
      <c r="EJ25" s="16">
        <f t="shared" si="292"/>
        <v>1403</v>
      </c>
      <c r="EK25" s="16">
        <f t="shared" si="292"/>
        <v>1532</v>
      </c>
      <c r="EL25" s="16">
        <f t="shared" si="292"/>
        <v>1221</v>
      </c>
      <c r="EM25" s="16">
        <f t="shared" si="292"/>
        <v>1025</v>
      </c>
      <c r="EN25" s="16">
        <f t="shared" si="292"/>
        <v>1072</v>
      </c>
      <c r="EO25" s="16">
        <f t="shared" si="292"/>
        <v>1207</v>
      </c>
      <c r="EP25" s="16">
        <f t="shared" si="292"/>
        <v>1197</v>
      </c>
      <c r="EQ25" s="16">
        <f t="shared" si="292"/>
        <v>643</v>
      </c>
      <c r="ER25" s="16">
        <f t="shared" si="292"/>
        <v>333</v>
      </c>
      <c r="ES25" s="16">
        <f t="shared" si="292"/>
        <v>101</v>
      </c>
      <c r="ET25" s="16">
        <f t="shared" si="292"/>
        <v>14</v>
      </c>
      <c r="EU25" s="11">
        <f t="shared" si="289"/>
        <v>20674</v>
      </c>
      <c r="EV25" s="11">
        <f t="shared" si="282"/>
        <v>1053</v>
      </c>
      <c r="EW25" s="11">
        <f t="shared" si="283"/>
        <v>575.20000000000005</v>
      </c>
      <c r="EX25" s="11">
        <f t="shared" si="280"/>
        <v>5592</v>
      </c>
      <c r="EY25" s="11">
        <f t="shared" si="284"/>
        <v>3495</v>
      </c>
      <c r="EZ25" s="15">
        <f t="shared" si="285"/>
        <v>0.2704846667311599</v>
      </c>
      <c r="FA25" s="15">
        <f t="shared" si="286"/>
        <v>0.16905291670697495</v>
      </c>
      <c r="FB25" s="11">
        <f t="shared" si="290"/>
        <v>4536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578</v>
      </c>
      <c r="EA26" s="9">
        <f t="shared" si="293"/>
        <v>540</v>
      </c>
      <c r="EB26" s="9">
        <f t="shared" si="293"/>
        <v>425</v>
      </c>
      <c r="EC26" s="9">
        <f t="shared" si="293"/>
        <v>434</v>
      </c>
      <c r="ED26" s="9">
        <f t="shared" si="293"/>
        <v>304</v>
      </c>
      <c r="EE26" s="9">
        <f t="shared" si="293"/>
        <v>520</v>
      </c>
      <c r="EF26" s="9">
        <f t="shared" si="293"/>
        <v>675</v>
      </c>
      <c r="EG26" s="9">
        <f t="shared" si="293"/>
        <v>842</v>
      </c>
      <c r="EH26" s="9">
        <f t="shared" si="293"/>
        <v>686</v>
      </c>
      <c r="EI26" s="9">
        <f t="shared" si="293"/>
        <v>630</v>
      </c>
      <c r="EJ26" s="9">
        <f t="shared" si="293"/>
        <v>542</v>
      </c>
      <c r="EK26" s="9">
        <f t="shared" si="293"/>
        <v>669</v>
      </c>
      <c r="EL26" s="9">
        <f t="shared" si="293"/>
        <v>709</v>
      </c>
      <c r="EM26" s="9">
        <f t="shared" si="293"/>
        <v>526</v>
      </c>
      <c r="EN26" s="9">
        <f t="shared" si="293"/>
        <v>454</v>
      </c>
      <c r="EO26" s="9">
        <f t="shared" si="293"/>
        <v>417</v>
      </c>
      <c r="EP26" s="9">
        <f t="shared" si="293"/>
        <v>446</v>
      </c>
      <c r="EQ26" s="9">
        <f t="shared" si="293"/>
        <v>341</v>
      </c>
      <c r="ER26" s="9">
        <f t="shared" si="293"/>
        <v>116</v>
      </c>
      <c r="ES26" s="9">
        <f t="shared" si="293"/>
        <v>36</v>
      </c>
      <c r="ET26" s="9">
        <f t="shared" si="293"/>
        <v>0</v>
      </c>
      <c r="EU26" s="9">
        <f t="shared" si="289"/>
        <v>9890</v>
      </c>
      <c r="EV26" s="9">
        <f t="shared" si="282"/>
        <v>579</v>
      </c>
      <c r="EW26" s="9">
        <f t="shared" si="283"/>
        <v>256.8</v>
      </c>
      <c r="EX26" s="9">
        <f t="shared" si="280"/>
        <v>2336</v>
      </c>
      <c r="EY26" s="9">
        <f t="shared" si="284"/>
        <v>1356</v>
      </c>
      <c r="EZ26" s="13">
        <f t="shared" si="285"/>
        <v>0.23619817997977754</v>
      </c>
      <c r="FA26" s="13">
        <f t="shared" si="286"/>
        <v>0.137108190091001</v>
      </c>
      <c r="FB26" s="9">
        <f t="shared" si="290"/>
        <v>2341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572</v>
      </c>
      <c r="EA27" s="10">
        <f t="shared" si="294"/>
        <v>510</v>
      </c>
      <c r="EB27" s="10">
        <f t="shared" si="294"/>
        <v>394</v>
      </c>
      <c r="EC27" s="10">
        <f t="shared" si="294"/>
        <v>428</v>
      </c>
      <c r="ED27" s="10">
        <f t="shared" si="294"/>
        <v>374</v>
      </c>
      <c r="EE27" s="10">
        <f t="shared" si="294"/>
        <v>573</v>
      </c>
      <c r="EF27" s="10">
        <f t="shared" si="294"/>
        <v>672</v>
      </c>
      <c r="EG27" s="10">
        <f t="shared" si="294"/>
        <v>807</v>
      </c>
      <c r="EH27" s="10">
        <f t="shared" si="294"/>
        <v>707</v>
      </c>
      <c r="EI27" s="10">
        <f t="shared" si="294"/>
        <v>670</v>
      </c>
      <c r="EJ27" s="10">
        <f t="shared" si="294"/>
        <v>646</v>
      </c>
      <c r="EK27" s="10">
        <f t="shared" si="294"/>
        <v>705</v>
      </c>
      <c r="EL27" s="10">
        <f t="shared" si="294"/>
        <v>774</v>
      </c>
      <c r="EM27" s="10">
        <f t="shared" si="294"/>
        <v>635</v>
      </c>
      <c r="EN27" s="10">
        <f t="shared" si="294"/>
        <v>517</v>
      </c>
      <c r="EO27" s="10">
        <f t="shared" si="294"/>
        <v>562</v>
      </c>
      <c r="EP27" s="10">
        <f t="shared" si="294"/>
        <v>592</v>
      </c>
      <c r="EQ27" s="10">
        <f t="shared" si="294"/>
        <v>530</v>
      </c>
      <c r="ER27" s="10">
        <f t="shared" si="294"/>
        <v>253</v>
      </c>
      <c r="ES27" s="10">
        <f t="shared" si="294"/>
        <v>85</v>
      </c>
      <c r="ET27" s="10">
        <f t="shared" si="294"/>
        <v>18</v>
      </c>
      <c r="EU27" s="10">
        <f t="shared" si="289"/>
        <v>11024</v>
      </c>
      <c r="EV27" s="10">
        <f t="shared" si="282"/>
        <v>542.4</v>
      </c>
      <c r="EW27" s="10">
        <f t="shared" si="283"/>
        <v>243.2</v>
      </c>
      <c r="EX27" s="10">
        <f t="shared" si="280"/>
        <v>3192</v>
      </c>
      <c r="EY27" s="10">
        <f t="shared" si="284"/>
        <v>2040</v>
      </c>
      <c r="EZ27" s="14">
        <f t="shared" si="285"/>
        <v>0.2895500725689405</v>
      </c>
      <c r="FA27" s="14">
        <f t="shared" si="286"/>
        <v>0.18505079825834542</v>
      </c>
      <c r="FB27" s="10">
        <f t="shared" si="290"/>
        <v>2426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1150</v>
      </c>
      <c r="EA28" s="16">
        <f t="shared" ref="EA28:ET28" si="295">EA26+EA27</f>
        <v>1050</v>
      </c>
      <c r="EB28" s="16">
        <f t="shared" si="295"/>
        <v>819</v>
      </c>
      <c r="EC28" s="16">
        <f t="shared" si="295"/>
        <v>862</v>
      </c>
      <c r="ED28" s="16">
        <f t="shared" si="295"/>
        <v>678</v>
      </c>
      <c r="EE28" s="16">
        <f t="shared" si="295"/>
        <v>1093</v>
      </c>
      <c r="EF28" s="16">
        <f t="shared" si="295"/>
        <v>1347</v>
      </c>
      <c r="EG28" s="16">
        <f t="shared" si="295"/>
        <v>1649</v>
      </c>
      <c r="EH28" s="16">
        <f t="shared" si="295"/>
        <v>1393</v>
      </c>
      <c r="EI28" s="16">
        <f t="shared" si="295"/>
        <v>1300</v>
      </c>
      <c r="EJ28" s="16">
        <f t="shared" si="295"/>
        <v>1188</v>
      </c>
      <c r="EK28" s="16">
        <f t="shared" si="295"/>
        <v>1374</v>
      </c>
      <c r="EL28" s="16">
        <f t="shared" si="295"/>
        <v>1483</v>
      </c>
      <c r="EM28" s="16">
        <f t="shared" si="295"/>
        <v>1161</v>
      </c>
      <c r="EN28" s="16">
        <f t="shared" si="295"/>
        <v>971</v>
      </c>
      <c r="EO28" s="16">
        <f t="shared" si="295"/>
        <v>979</v>
      </c>
      <c r="EP28" s="16">
        <f t="shared" si="295"/>
        <v>1038</v>
      </c>
      <c r="EQ28" s="16">
        <f t="shared" si="295"/>
        <v>871</v>
      </c>
      <c r="ER28" s="16">
        <f t="shared" si="295"/>
        <v>369</v>
      </c>
      <c r="ES28" s="16">
        <f t="shared" si="295"/>
        <v>121</v>
      </c>
      <c r="ET28" s="16">
        <f t="shared" si="295"/>
        <v>18</v>
      </c>
      <c r="EU28" s="11">
        <f t="shared" si="289"/>
        <v>20914</v>
      </c>
      <c r="EV28" s="11">
        <f t="shared" si="282"/>
        <v>1121.4000000000001</v>
      </c>
      <c r="EW28" s="11">
        <f t="shared" si="283"/>
        <v>500</v>
      </c>
      <c r="EX28" s="11">
        <f t="shared" si="280"/>
        <v>5528</v>
      </c>
      <c r="EY28" s="11">
        <f t="shared" si="284"/>
        <v>3396</v>
      </c>
      <c r="EZ28" s="15">
        <f t="shared" si="285"/>
        <v>0.26432055082719708</v>
      </c>
      <c r="FA28" s="15">
        <f t="shared" si="286"/>
        <v>0.16237926747633163</v>
      </c>
      <c r="FB28" s="11">
        <f t="shared" si="290"/>
        <v>4767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570</v>
      </c>
      <c r="EA29" s="9">
        <f t="shared" si="296"/>
        <v>563</v>
      </c>
      <c r="EB29" s="9">
        <f t="shared" si="296"/>
        <v>548</v>
      </c>
      <c r="EC29" s="9">
        <f t="shared" si="296"/>
        <v>377</v>
      </c>
      <c r="ED29" s="9">
        <f t="shared" si="296"/>
        <v>263</v>
      </c>
      <c r="EE29" s="9">
        <f t="shared" si="296"/>
        <v>525</v>
      </c>
      <c r="EF29" s="9">
        <f t="shared" si="296"/>
        <v>696</v>
      </c>
      <c r="EG29" s="9">
        <f t="shared" si="296"/>
        <v>798</v>
      </c>
      <c r="EH29" s="9">
        <f t="shared" si="296"/>
        <v>841</v>
      </c>
      <c r="EI29" s="9">
        <f t="shared" si="296"/>
        <v>677</v>
      </c>
      <c r="EJ29" s="9">
        <f t="shared" si="296"/>
        <v>607</v>
      </c>
      <c r="EK29" s="9">
        <f t="shared" si="296"/>
        <v>531</v>
      </c>
      <c r="EL29" s="9">
        <f t="shared" si="296"/>
        <v>645</v>
      </c>
      <c r="EM29" s="9">
        <f t="shared" si="296"/>
        <v>670</v>
      </c>
      <c r="EN29" s="9">
        <f t="shared" si="296"/>
        <v>490</v>
      </c>
      <c r="EO29" s="9">
        <f t="shared" si="296"/>
        <v>404</v>
      </c>
      <c r="EP29" s="9">
        <f t="shared" si="296"/>
        <v>346</v>
      </c>
      <c r="EQ29" s="9">
        <f t="shared" si="296"/>
        <v>289</v>
      </c>
      <c r="ER29" s="9">
        <f t="shared" si="296"/>
        <v>157</v>
      </c>
      <c r="ES29" s="9">
        <f t="shared" si="296"/>
        <v>41</v>
      </c>
      <c r="ET29" s="9">
        <f t="shared" si="296"/>
        <v>1</v>
      </c>
      <c r="EU29" s="9">
        <f t="shared" si="289"/>
        <v>10039</v>
      </c>
      <c r="EV29" s="9">
        <f t="shared" si="282"/>
        <v>666.6</v>
      </c>
      <c r="EW29" s="9">
        <f t="shared" si="283"/>
        <v>294.60000000000002</v>
      </c>
      <c r="EX29" s="9">
        <f t="shared" si="280"/>
        <v>2398</v>
      </c>
      <c r="EY29" s="9">
        <f t="shared" si="284"/>
        <v>1238</v>
      </c>
      <c r="EZ29" s="13">
        <f t="shared" si="285"/>
        <v>0.23886841318856461</v>
      </c>
      <c r="FA29" s="13">
        <f t="shared" si="286"/>
        <v>0.12331905568283694</v>
      </c>
      <c r="FB29" s="9">
        <f t="shared" si="290"/>
        <v>2282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565</v>
      </c>
      <c r="EA30" s="10">
        <f t="shared" si="297"/>
        <v>531</v>
      </c>
      <c r="EB30" s="10">
        <f t="shared" si="297"/>
        <v>508</v>
      </c>
      <c r="EC30" s="10">
        <f t="shared" si="297"/>
        <v>372</v>
      </c>
      <c r="ED30" s="10">
        <f t="shared" si="297"/>
        <v>324</v>
      </c>
      <c r="EE30" s="10">
        <f t="shared" si="297"/>
        <v>578</v>
      </c>
      <c r="EF30" s="10">
        <f t="shared" si="297"/>
        <v>701</v>
      </c>
      <c r="EG30" s="10">
        <f t="shared" si="297"/>
        <v>791</v>
      </c>
      <c r="EH30" s="10">
        <f t="shared" si="297"/>
        <v>787</v>
      </c>
      <c r="EI30" s="10">
        <f t="shared" si="297"/>
        <v>720</v>
      </c>
      <c r="EJ30" s="10">
        <f t="shared" si="297"/>
        <v>636</v>
      </c>
      <c r="EK30" s="10">
        <f t="shared" si="297"/>
        <v>632</v>
      </c>
      <c r="EL30" s="10">
        <f t="shared" si="297"/>
        <v>686</v>
      </c>
      <c r="EM30" s="10">
        <f t="shared" si="297"/>
        <v>740</v>
      </c>
      <c r="EN30" s="10">
        <f t="shared" si="297"/>
        <v>611</v>
      </c>
      <c r="EO30" s="10">
        <f t="shared" si="297"/>
        <v>482</v>
      </c>
      <c r="EP30" s="10">
        <f t="shared" si="297"/>
        <v>497</v>
      </c>
      <c r="EQ30" s="10">
        <f t="shared" si="297"/>
        <v>468</v>
      </c>
      <c r="ER30" s="10">
        <f t="shared" si="297"/>
        <v>344</v>
      </c>
      <c r="ES30" s="10">
        <f t="shared" si="297"/>
        <v>93</v>
      </c>
      <c r="ET30" s="10">
        <f t="shared" si="297"/>
        <v>22</v>
      </c>
      <c r="EU30" s="10">
        <f t="shared" si="289"/>
        <v>11088</v>
      </c>
      <c r="EV30" s="10">
        <f t="shared" si="282"/>
        <v>623.40000000000009</v>
      </c>
      <c r="EW30" s="10">
        <f t="shared" si="283"/>
        <v>277.60000000000002</v>
      </c>
      <c r="EX30" s="10">
        <f t="shared" si="280"/>
        <v>3257</v>
      </c>
      <c r="EY30" s="10">
        <f t="shared" si="284"/>
        <v>1906</v>
      </c>
      <c r="EZ30" s="14">
        <f t="shared" si="285"/>
        <v>0.29374098124098125</v>
      </c>
      <c r="FA30" s="14">
        <f t="shared" si="286"/>
        <v>0.17189754689754691</v>
      </c>
      <c r="FB30" s="10">
        <f t="shared" si="290"/>
        <v>2394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1135</v>
      </c>
      <c r="EA31" s="16">
        <f t="shared" ref="EA31:ET31" si="298">EA29+EA30</f>
        <v>1094</v>
      </c>
      <c r="EB31" s="16">
        <f t="shared" si="298"/>
        <v>1056</v>
      </c>
      <c r="EC31" s="16">
        <f t="shared" si="298"/>
        <v>749</v>
      </c>
      <c r="ED31" s="16">
        <f t="shared" si="298"/>
        <v>587</v>
      </c>
      <c r="EE31" s="16">
        <f t="shared" si="298"/>
        <v>1103</v>
      </c>
      <c r="EF31" s="16">
        <f t="shared" si="298"/>
        <v>1397</v>
      </c>
      <c r="EG31" s="16">
        <f t="shared" si="298"/>
        <v>1589</v>
      </c>
      <c r="EH31" s="16">
        <f t="shared" si="298"/>
        <v>1628</v>
      </c>
      <c r="EI31" s="16">
        <f t="shared" si="298"/>
        <v>1397</v>
      </c>
      <c r="EJ31" s="16">
        <f t="shared" si="298"/>
        <v>1243</v>
      </c>
      <c r="EK31" s="16">
        <f t="shared" si="298"/>
        <v>1163</v>
      </c>
      <c r="EL31" s="16">
        <f t="shared" si="298"/>
        <v>1331</v>
      </c>
      <c r="EM31" s="16">
        <f t="shared" si="298"/>
        <v>1410</v>
      </c>
      <c r="EN31" s="16">
        <f t="shared" si="298"/>
        <v>1101</v>
      </c>
      <c r="EO31" s="16">
        <f t="shared" si="298"/>
        <v>886</v>
      </c>
      <c r="EP31" s="16">
        <f t="shared" si="298"/>
        <v>843</v>
      </c>
      <c r="EQ31" s="16">
        <f t="shared" si="298"/>
        <v>757</v>
      </c>
      <c r="ER31" s="16">
        <f t="shared" si="298"/>
        <v>501</v>
      </c>
      <c r="ES31" s="16">
        <f t="shared" si="298"/>
        <v>134</v>
      </c>
      <c r="ET31" s="16">
        <f t="shared" si="298"/>
        <v>23</v>
      </c>
      <c r="EU31" s="11">
        <f t="shared" si="289"/>
        <v>21127</v>
      </c>
      <c r="EV31" s="11">
        <f t="shared" si="282"/>
        <v>1290</v>
      </c>
      <c r="EW31" s="11">
        <f t="shared" si="283"/>
        <v>572.20000000000005</v>
      </c>
      <c r="EX31" s="11">
        <f t="shared" si="280"/>
        <v>5655</v>
      </c>
      <c r="EY31" s="11">
        <f t="shared" si="284"/>
        <v>3144</v>
      </c>
      <c r="EZ31" s="15">
        <f t="shared" si="285"/>
        <v>0.26766696644104698</v>
      </c>
      <c r="FA31" s="15">
        <f t="shared" si="286"/>
        <v>0.14881431343778104</v>
      </c>
      <c r="FB31" s="11">
        <f t="shared" si="290"/>
        <v>4676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9578</v>
      </c>
      <c r="D4" s="17">
        <f>SUM(C41:C61)</f>
        <v>10777</v>
      </c>
      <c r="E4" s="17">
        <f>C4+D4</f>
        <v>20355</v>
      </c>
      <c r="F4" s="85"/>
      <c r="G4" s="1" t="s">
        <v>58</v>
      </c>
      <c r="H4" s="1">
        <f>B4</f>
        <v>2010</v>
      </c>
      <c r="I4" s="17">
        <f>C4</f>
        <v>9578</v>
      </c>
      <c r="J4" s="17">
        <f>D4</f>
        <v>10777</v>
      </c>
      <c r="K4" s="17">
        <f>I4+J4</f>
        <v>20355</v>
      </c>
      <c r="N4" s="1" t="s">
        <v>58</v>
      </c>
      <c r="O4" s="1">
        <f>H4</f>
        <v>2010</v>
      </c>
      <c r="P4" s="17">
        <f>I4</f>
        <v>9578</v>
      </c>
      <c r="Q4" s="17">
        <f t="shared" ref="Q4:R4" si="0">J4</f>
        <v>10777</v>
      </c>
      <c r="R4" s="17">
        <f t="shared" si="0"/>
        <v>20355</v>
      </c>
      <c r="S4" s="1"/>
      <c r="T4" s="1"/>
      <c r="U4" s="1"/>
    </row>
    <row r="5" spans="1:21" x14ac:dyDescent="0.15">
      <c r="A5" s="1" t="s">
        <v>61</v>
      </c>
      <c r="B5" s="1">
        <f>管理者入力シート!B6</f>
        <v>2015</v>
      </c>
      <c r="C5" s="17">
        <f>SUM(B65:B85)</f>
        <v>9615</v>
      </c>
      <c r="D5" s="17">
        <f>SUM(C65:C85)</f>
        <v>10833</v>
      </c>
      <c r="E5" s="17">
        <f t="shared" ref="E5" si="1">C5+D5</f>
        <v>20448</v>
      </c>
      <c r="F5" s="85"/>
      <c r="G5" s="1" t="s">
        <v>57</v>
      </c>
      <c r="H5" s="1">
        <f t="shared" ref="H5:H6" si="2">B5</f>
        <v>2015</v>
      </c>
      <c r="I5" s="17">
        <f t="shared" ref="I5" si="3">C5</f>
        <v>9615</v>
      </c>
      <c r="J5" s="17">
        <f>D5</f>
        <v>10833</v>
      </c>
      <c r="K5" s="17">
        <f t="shared" ref="K5:K10" si="4">I5+J5</f>
        <v>20448</v>
      </c>
      <c r="N5" s="1" t="s">
        <v>57</v>
      </c>
      <c r="O5" s="1">
        <f t="shared" ref="O5:O10" si="5">H5</f>
        <v>2015</v>
      </c>
      <c r="P5" s="17">
        <f t="shared" ref="P5:P10" si="6">I5</f>
        <v>9615</v>
      </c>
      <c r="Q5" s="17">
        <f t="shared" ref="Q5:Q10" si="7">J5</f>
        <v>10833</v>
      </c>
      <c r="R5" s="17">
        <f t="shared" ref="R5:R10" si="8">K5</f>
        <v>20448</v>
      </c>
      <c r="S5" s="1"/>
      <c r="T5" s="1"/>
      <c r="U5" s="1"/>
    </row>
    <row r="6" spans="1:21" x14ac:dyDescent="0.15">
      <c r="A6" s="1" t="s">
        <v>62</v>
      </c>
      <c r="B6" s="1">
        <f>管理者入力シート!B5</f>
        <v>2020</v>
      </c>
      <c r="C6" s="17">
        <f>SUM(B89:B109)</f>
        <v>9464</v>
      </c>
      <c r="D6" s="17">
        <f>SUM(C89:C109)</f>
        <v>10666</v>
      </c>
      <c r="E6" s="17">
        <f>C6+D6</f>
        <v>20130</v>
      </c>
      <c r="F6" s="85"/>
      <c r="G6" s="1" t="s">
        <v>62</v>
      </c>
      <c r="H6" s="1">
        <f t="shared" si="2"/>
        <v>2020</v>
      </c>
      <c r="I6" s="17">
        <f>C6</f>
        <v>9464</v>
      </c>
      <c r="J6" s="17">
        <f>D6</f>
        <v>10666</v>
      </c>
      <c r="K6" s="17">
        <f t="shared" si="4"/>
        <v>20130</v>
      </c>
      <c r="N6" s="1" t="s">
        <v>62</v>
      </c>
      <c r="O6" s="1">
        <f t="shared" si="5"/>
        <v>2020</v>
      </c>
      <c r="P6" s="17">
        <f t="shared" si="6"/>
        <v>9464</v>
      </c>
      <c r="Q6" s="17">
        <f t="shared" si="7"/>
        <v>10666</v>
      </c>
      <c r="R6" s="17">
        <f t="shared" si="8"/>
        <v>20130</v>
      </c>
      <c r="S6" s="1"/>
      <c r="T6" s="1"/>
      <c r="U6" s="1"/>
    </row>
    <row r="7" spans="1:21" x14ac:dyDescent="0.15">
      <c r="G7" s="1" t="s">
        <v>106</v>
      </c>
      <c r="H7" s="1">
        <f>管理者入力シート!B8</f>
        <v>2025</v>
      </c>
      <c r="I7" s="17">
        <f>SUM(H69:H89)</f>
        <v>9204</v>
      </c>
      <c r="J7" s="17">
        <f>SUM(I69:I89)</f>
        <v>10392</v>
      </c>
      <c r="K7" s="17">
        <f t="shared" si="4"/>
        <v>19596</v>
      </c>
      <c r="N7" s="1" t="s">
        <v>106</v>
      </c>
      <c r="O7" s="1">
        <f t="shared" si="5"/>
        <v>2025</v>
      </c>
      <c r="P7" s="17">
        <f t="shared" si="6"/>
        <v>9204</v>
      </c>
      <c r="Q7" s="17">
        <f t="shared" si="7"/>
        <v>10392</v>
      </c>
      <c r="R7" s="17">
        <f t="shared" si="8"/>
        <v>19596</v>
      </c>
      <c r="S7" s="236">
        <f>SUM(O69:O89)</f>
        <v>9208</v>
      </c>
      <c r="T7" s="236">
        <f>SUM(P69:P89)</f>
        <v>10397</v>
      </c>
      <c r="U7" s="236">
        <f>S7+T7</f>
        <v>19605</v>
      </c>
    </row>
    <row r="8" spans="1:21" x14ac:dyDescent="0.15">
      <c r="A8" s="69" t="s">
        <v>71</v>
      </c>
      <c r="G8" s="1" t="s">
        <v>107</v>
      </c>
      <c r="H8" s="1">
        <f>管理者入力シート!B9</f>
        <v>2030</v>
      </c>
      <c r="I8" s="17">
        <f>SUM(H93:H113)</f>
        <v>8830</v>
      </c>
      <c r="J8" s="17">
        <f>SUM(I93:I113)</f>
        <v>10016</v>
      </c>
      <c r="K8" s="17">
        <f t="shared" si="4"/>
        <v>18846</v>
      </c>
      <c r="N8" s="1" t="s">
        <v>107</v>
      </c>
      <c r="O8" s="1">
        <f t="shared" si="5"/>
        <v>2030</v>
      </c>
      <c r="P8" s="17">
        <f t="shared" si="6"/>
        <v>8830</v>
      </c>
      <c r="Q8" s="17">
        <f t="shared" si="7"/>
        <v>10016</v>
      </c>
      <c r="R8" s="17">
        <f t="shared" si="8"/>
        <v>18846</v>
      </c>
      <c r="S8" s="236">
        <f>SUM(O93:O113)</f>
        <v>8839</v>
      </c>
      <c r="T8" s="236">
        <f>SUM(P93:P113)</f>
        <v>10027</v>
      </c>
      <c r="U8" s="236">
        <f t="shared" ref="U8:U10" si="9">S8+T8</f>
        <v>18866</v>
      </c>
    </row>
    <row r="9" spans="1:21" x14ac:dyDescent="0.15">
      <c r="A9" s="2" t="s">
        <v>72</v>
      </c>
      <c r="G9" s="1" t="s">
        <v>108</v>
      </c>
      <c r="H9" s="1">
        <f>管理者入力シート!B10</f>
        <v>2035</v>
      </c>
      <c r="I9" s="17">
        <f>SUM(H117:H137)</f>
        <v>8399</v>
      </c>
      <c r="J9" s="17">
        <f>SUM(I117:I137)</f>
        <v>9574</v>
      </c>
      <c r="K9" s="17">
        <f t="shared" si="4"/>
        <v>17973</v>
      </c>
      <c r="N9" s="1" t="s">
        <v>108</v>
      </c>
      <c r="O9" s="1">
        <f t="shared" si="5"/>
        <v>2035</v>
      </c>
      <c r="P9" s="17">
        <f t="shared" si="6"/>
        <v>8399</v>
      </c>
      <c r="Q9" s="17">
        <f t="shared" si="7"/>
        <v>9574</v>
      </c>
      <c r="R9" s="17">
        <f t="shared" si="8"/>
        <v>17973</v>
      </c>
      <c r="S9" s="236">
        <f>SUM(O117:O137)</f>
        <v>8413</v>
      </c>
      <c r="T9" s="236">
        <f>SUM(P117:P137)</f>
        <v>9592</v>
      </c>
      <c r="U9" s="236">
        <f t="shared" si="9"/>
        <v>18005</v>
      </c>
    </row>
    <row r="10" spans="1:21" x14ac:dyDescent="0.15">
      <c r="A10" s="1" t="s">
        <v>58</v>
      </c>
      <c r="B10" s="1">
        <f>B4</f>
        <v>2010</v>
      </c>
      <c r="C10" s="17">
        <f>ROUND(VLOOKUP(B10&amp;"_3",管理者用人口入力シート!A:AA,26,FALSE),0)</f>
        <v>1289</v>
      </c>
      <c r="D10" s="12"/>
      <c r="E10" s="12"/>
      <c r="G10" s="1" t="s">
        <v>109</v>
      </c>
      <c r="H10" s="1">
        <f>管理者入力シート!B11</f>
        <v>2040</v>
      </c>
      <c r="I10" s="17">
        <f>SUM(H141:H161)</f>
        <v>7986</v>
      </c>
      <c r="J10" s="17">
        <f>SUM(I141:I161)</f>
        <v>9107</v>
      </c>
      <c r="K10" s="17">
        <f t="shared" si="4"/>
        <v>17093</v>
      </c>
      <c r="N10" s="1" t="s">
        <v>109</v>
      </c>
      <c r="O10" s="1">
        <f t="shared" si="5"/>
        <v>2040</v>
      </c>
      <c r="P10" s="17">
        <f t="shared" si="6"/>
        <v>7986</v>
      </c>
      <c r="Q10" s="17">
        <f t="shared" si="7"/>
        <v>9107</v>
      </c>
      <c r="R10" s="17">
        <f t="shared" si="8"/>
        <v>17093</v>
      </c>
      <c r="S10" s="236">
        <f>SUM(O141:O161)</f>
        <v>8007</v>
      </c>
      <c r="T10" s="236">
        <f>SUM(P141:P161)</f>
        <v>9129</v>
      </c>
      <c r="U10" s="236">
        <f t="shared" si="9"/>
        <v>17136</v>
      </c>
    </row>
    <row r="11" spans="1:21" x14ac:dyDescent="0.15">
      <c r="A11" s="1" t="s">
        <v>61</v>
      </c>
      <c r="B11" s="1">
        <f t="shared" ref="B11:B12" si="10">B5</f>
        <v>2015</v>
      </c>
      <c r="C11" s="17">
        <f>ROUND(VLOOKUP(B11&amp;"_3",管理者用人口入力シート!A:AA,26,FALSE),0)</f>
        <v>1287</v>
      </c>
      <c r="D11" s="12"/>
      <c r="E11" s="12"/>
      <c r="I11" s="12"/>
      <c r="J11" s="12"/>
      <c r="K11" s="12"/>
      <c r="P11" s="12"/>
    </row>
    <row r="12" spans="1:21" x14ac:dyDescent="0.15">
      <c r="A12" s="1" t="s">
        <v>62</v>
      </c>
      <c r="B12" s="1">
        <f t="shared" si="10"/>
        <v>2020</v>
      </c>
      <c r="C12" s="17">
        <f>ROUND(VLOOKUP(B12&amp;"_3",管理者用人口入力シート!A:AA,26,FALSE),0)</f>
        <v>1293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633</v>
      </c>
      <c r="D14" s="12"/>
      <c r="E14" s="12"/>
      <c r="G14" s="1" t="s">
        <v>58</v>
      </c>
      <c r="H14" s="1">
        <f>H4</f>
        <v>2010</v>
      </c>
      <c r="I14" s="17">
        <f>C10</f>
        <v>1289</v>
      </c>
      <c r="J14" s="12"/>
      <c r="K14" s="12"/>
      <c r="N14" s="1" t="s">
        <v>58</v>
      </c>
      <c r="O14" s="1">
        <f>O4</f>
        <v>2010</v>
      </c>
      <c r="P14" s="17">
        <f>I14</f>
        <v>1289</v>
      </c>
      <c r="Q14" s="17"/>
    </row>
    <row r="15" spans="1:21" x14ac:dyDescent="0.15">
      <c r="A15" s="1" t="s">
        <v>61</v>
      </c>
      <c r="B15" s="1">
        <f t="shared" ref="B15:B16" si="11">B5</f>
        <v>2015</v>
      </c>
      <c r="C15" s="17">
        <f>ROUND(VLOOKUP(B15&amp;"_3",管理者用人口入力シート!A:AA,27,FALSE),0)</f>
        <v>638</v>
      </c>
      <c r="D15" s="12"/>
      <c r="E15" s="12"/>
      <c r="G15" s="1" t="s">
        <v>57</v>
      </c>
      <c r="H15" s="1">
        <f t="shared" ref="H15:H20" si="12">H5</f>
        <v>2015</v>
      </c>
      <c r="I15" s="17">
        <f>C11</f>
        <v>1287</v>
      </c>
      <c r="J15" s="12"/>
      <c r="K15" s="12"/>
      <c r="N15" s="1" t="s">
        <v>57</v>
      </c>
      <c r="O15" s="1">
        <f t="shared" ref="O15:O20" si="13">O5</f>
        <v>2015</v>
      </c>
      <c r="P15" s="17">
        <f t="shared" ref="P15:P20" si="14">I15</f>
        <v>1287</v>
      </c>
      <c r="Q15" s="17"/>
    </row>
    <row r="16" spans="1:21" x14ac:dyDescent="0.15">
      <c r="A16" s="1" t="s">
        <v>62</v>
      </c>
      <c r="B16" s="1">
        <f t="shared" si="11"/>
        <v>2020</v>
      </c>
      <c r="C16" s="17">
        <f>ROUND(VLOOKUP(B16&amp;"_3",管理者用人口入力シート!A:AA,27,FALSE),0)</f>
        <v>615</v>
      </c>
      <c r="D16" s="12"/>
      <c r="E16" s="12"/>
      <c r="G16" s="1" t="s">
        <v>62</v>
      </c>
      <c r="H16" s="1">
        <f t="shared" si="12"/>
        <v>2020</v>
      </c>
      <c r="I16" s="17">
        <f>C12</f>
        <v>1293</v>
      </c>
      <c r="J16" s="12"/>
      <c r="K16" s="12"/>
      <c r="N16" s="1" t="s">
        <v>62</v>
      </c>
      <c r="O16" s="1">
        <f t="shared" si="13"/>
        <v>2020</v>
      </c>
      <c r="P16" s="17">
        <f t="shared" si="14"/>
        <v>1293</v>
      </c>
      <c r="Q16" s="17"/>
    </row>
    <row r="17" spans="1:17" x14ac:dyDescent="0.15">
      <c r="G17" s="1" t="s">
        <v>106</v>
      </c>
      <c r="H17" s="1">
        <f t="shared" si="12"/>
        <v>2025</v>
      </c>
      <c r="I17" s="17">
        <f>ROUND(VLOOKUP(H17&amp;"_3",管理者用人口入力シート!BH:CM,26,FALSE),0)</f>
        <v>1213</v>
      </c>
      <c r="J17" s="12"/>
      <c r="K17" s="12"/>
      <c r="N17" s="1" t="s">
        <v>106</v>
      </c>
      <c r="O17" s="1">
        <f t="shared" si="13"/>
        <v>2025</v>
      </c>
      <c r="P17" s="17">
        <f t="shared" si="14"/>
        <v>1213</v>
      </c>
      <c r="Q17" s="17">
        <f>ROUND(VLOOKUP(H17&amp;"_3",管理者用人口入力シート!CO:DT,26,FALSE),0)</f>
        <v>1215</v>
      </c>
    </row>
    <row r="18" spans="1:17" x14ac:dyDescent="0.15">
      <c r="A18" s="69" t="s">
        <v>110</v>
      </c>
      <c r="G18" s="1" t="s">
        <v>107</v>
      </c>
      <c r="H18" s="1">
        <f t="shared" si="12"/>
        <v>2030</v>
      </c>
      <c r="I18" s="17">
        <f>ROUND(VLOOKUP(H18&amp;"_3",管理者用人口入力シート!BH:CM,26,FALSE),0)</f>
        <v>1053</v>
      </c>
      <c r="J18" s="12"/>
      <c r="K18" s="12"/>
      <c r="N18" s="1" t="s">
        <v>107</v>
      </c>
      <c r="O18" s="1">
        <f t="shared" si="13"/>
        <v>2030</v>
      </c>
      <c r="P18" s="17">
        <f t="shared" si="14"/>
        <v>1053</v>
      </c>
      <c r="Q18" s="17">
        <f>ROUND(VLOOKUP(H18&amp;"_3",管理者用人口入力シート!CO:DT,26,FALSE),0)</f>
        <v>1055</v>
      </c>
    </row>
    <row r="19" spans="1:17" x14ac:dyDescent="0.15">
      <c r="A19" s="2" t="s">
        <v>84</v>
      </c>
      <c r="G19" s="1" t="s">
        <v>108</v>
      </c>
      <c r="H19" s="1">
        <f t="shared" si="12"/>
        <v>2035</v>
      </c>
      <c r="I19" s="17">
        <f>ROUND(VLOOKUP(H19&amp;"_3",管理者用人口入力シート!BH:CM,26,FALSE),0)</f>
        <v>950</v>
      </c>
      <c r="J19" s="12"/>
      <c r="K19" s="12"/>
      <c r="N19" s="1" t="s">
        <v>108</v>
      </c>
      <c r="O19" s="1">
        <f t="shared" si="13"/>
        <v>2035</v>
      </c>
      <c r="P19" s="17">
        <f t="shared" si="14"/>
        <v>950</v>
      </c>
      <c r="Q19" s="17">
        <f>ROUND(VLOOKUP(H19&amp;"_3",管理者用人口入力シート!CO:DT,26,FALSE),0)</f>
        <v>954</v>
      </c>
    </row>
    <row r="20" spans="1:17" x14ac:dyDescent="0.15">
      <c r="A20" s="1" t="s">
        <v>58</v>
      </c>
      <c r="B20" s="1">
        <f>B4</f>
        <v>2010</v>
      </c>
      <c r="C20" s="17">
        <f>SUM(B54:C61)</f>
        <v>3869</v>
      </c>
      <c r="D20" s="12"/>
      <c r="E20" s="12"/>
      <c r="G20" s="1" t="s">
        <v>109</v>
      </c>
      <c r="H20" s="1">
        <f t="shared" si="12"/>
        <v>2040</v>
      </c>
      <c r="I20" s="17">
        <f>ROUND(VLOOKUP(H20&amp;"_3",管理者用人口入力シート!BH:CM,26,FALSE),0)</f>
        <v>912</v>
      </c>
      <c r="J20" s="12"/>
      <c r="K20" s="12"/>
      <c r="N20" s="1" t="s">
        <v>109</v>
      </c>
      <c r="O20" s="1">
        <f t="shared" si="13"/>
        <v>2040</v>
      </c>
      <c r="P20" s="17">
        <f t="shared" si="14"/>
        <v>912</v>
      </c>
      <c r="Q20" s="17">
        <f>ROUND(VLOOKUP(H20&amp;"_3",管理者用人口入力シート!CO:DT,26,FALSE),0)</f>
        <v>918</v>
      </c>
    </row>
    <row r="21" spans="1:17" x14ac:dyDescent="0.15">
      <c r="A21" s="1" t="s">
        <v>61</v>
      </c>
      <c r="B21" s="1">
        <f t="shared" ref="B21:B22" si="15">B5</f>
        <v>2015</v>
      </c>
      <c r="C21" s="17">
        <f>SUM(B78:C85)</f>
        <v>4932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5498</v>
      </c>
      <c r="D22" s="12"/>
      <c r="E22" s="12"/>
      <c r="G22" s="1" t="s">
        <v>58</v>
      </c>
      <c r="H22" s="1">
        <f>H4</f>
        <v>2010</v>
      </c>
      <c r="I22" s="17">
        <f>C14</f>
        <v>633</v>
      </c>
      <c r="J22" s="12"/>
      <c r="K22" s="12"/>
      <c r="N22" s="1" t="s">
        <v>58</v>
      </c>
      <c r="O22" s="1">
        <f>O4</f>
        <v>2010</v>
      </c>
      <c r="P22" s="17">
        <f>I22</f>
        <v>633</v>
      </c>
      <c r="Q22" s="17"/>
    </row>
    <row r="23" spans="1:17" x14ac:dyDescent="0.15">
      <c r="A23" s="2" t="s">
        <v>86</v>
      </c>
      <c r="G23" s="1" t="s">
        <v>57</v>
      </c>
      <c r="H23" s="1">
        <f t="shared" ref="H23:H28" si="16">H5</f>
        <v>2015</v>
      </c>
      <c r="I23" s="17">
        <f t="shared" ref="I23:I24" si="17">C15</f>
        <v>638</v>
      </c>
      <c r="J23" s="12"/>
      <c r="K23" s="12"/>
      <c r="N23" s="1" t="s">
        <v>57</v>
      </c>
      <c r="O23" s="1">
        <f t="shared" ref="O23:O28" si="18">O5</f>
        <v>2015</v>
      </c>
      <c r="P23" s="17">
        <f t="shared" ref="P23:P28" si="19">I23</f>
        <v>638</v>
      </c>
      <c r="Q23" s="17"/>
    </row>
    <row r="24" spans="1:17" x14ac:dyDescent="0.15">
      <c r="A24" s="1" t="s">
        <v>58</v>
      </c>
      <c r="B24" s="1">
        <f>B4</f>
        <v>2010</v>
      </c>
      <c r="C24" s="17">
        <f>SUM(B56:C61)</f>
        <v>1664</v>
      </c>
      <c r="D24" s="12"/>
      <c r="E24" s="12"/>
      <c r="G24" s="1" t="s">
        <v>62</v>
      </c>
      <c r="H24" s="1">
        <f t="shared" si="16"/>
        <v>2020</v>
      </c>
      <c r="I24" s="17">
        <f t="shared" si="17"/>
        <v>615</v>
      </c>
      <c r="J24" s="12"/>
      <c r="K24" s="12"/>
      <c r="N24" s="1" t="s">
        <v>62</v>
      </c>
      <c r="O24" s="1">
        <f t="shared" si="18"/>
        <v>2020</v>
      </c>
      <c r="P24" s="17">
        <f t="shared" si="19"/>
        <v>615</v>
      </c>
      <c r="Q24" s="17"/>
    </row>
    <row r="25" spans="1:17" x14ac:dyDescent="0.15">
      <c r="A25" s="1" t="s">
        <v>61</v>
      </c>
      <c r="B25" s="1">
        <f t="shared" ref="B25:B26" si="20">B5</f>
        <v>2015</v>
      </c>
      <c r="C25" s="17">
        <f>SUM(B80:C85)</f>
        <v>2173</v>
      </c>
      <c r="D25" s="12"/>
      <c r="E25" s="12"/>
      <c r="G25" s="1" t="s">
        <v>106</v>
      </c>
      <c r="H25" s="1">
        <f t="shared" si="16"/>
        <v>2025</v>
      </c>
      <c r="I25" s="17">
        <f>ROUND(VLOOKUP(H25&amp;"_3",管理者用人口入力シート!BH:CM,27,FALSE),0)</f>
        <v>631</v>
      </c>
      <c r="J25" s="12"/>
      <c r="K25" s="12"/>
      <c r="N25" s="1" t="s">
        <v>106</v>
      </c>
      <c r="O25" s="1">
        <f t="shared" si="18"/>
        <v>2025</v>
      </c>
      <c r="P25" s="17">
        <f t="shared" si="19"/>
        <v>631</v>
      </c>
      <c r="Q25" s="17">
        <f>ROUND(VLOOKUP(H17&amp;"_3",管理者用人口入力シート!CO:DT,27,FALSE),0)</f>
        <v>632</v>
      </c>
    </row>
    <row r="26" spans="1:17" x14ac:dyDescent="0.15">
      <c r="A26" s="1" t="s">
        <v>62</v>
      </c>
      <c r="B26" s="1">
        <f t="shared" si="20"/>
        <v>2020</v>
      </c>
      <c r="C26" s="17">
        <f>SUM(B104:C109)</f>
        <v>2576</v>
      </c>
      <c r="D26" s="12"/>
      <c r="E26" s="12"/>
      <c r="G26" s="1" t="s">
        <v>107</v>
      </c>
      <c r="H26" s="1">
        <f t="shared" si="16"/>
        <v>2030</v>
      </c>
      <c r="I26" s="17">
        <f>ROUND(VLOOKUP(H26&amp;"_3",管理者用人口入力シート!BH:CM,27,FALSE),0)</f>
        <v>575</v>
      </c>
      <c r="J26" s="12"/>
      <c r="K26" s="12"/>
      <c r="N26" s="1" t="s">
        <v>107</v>
      </c>
      <c r="O26" s="1">
        <f t="shared" si="18"/>
        <v>2030</v>
      </c>
      <c r="P26" s="17">
        <f t="shared" si="19"/>
        <v>575</v>
      </c>
      <c r="Q26" s="17">
        <f>ROUND(VLOOKUP(H18&amp;"_3",管理者用人口入力シート!CO:DT,27,FALSE),0)</f>
        <v>577</v>
      </c>
    </row>
    <row r="27" spans="1:17" x14ac:dyDescent="0.15">
      <c r="G27" s="1" t="s">
        <v>108</v>
      </c>
      <c r="H27" s="1">
        <f t="shared" si="16"/>
        <v>2035</v>
      </c>
      <c r="I27" s="17">
        <f>ROUND(VLOOKUP(H27&amp;"_3",管理者用人口入力シート!BH:CM,27,FALSE),0)</f>
        <v>500</v>
      </c>
      <c r="J27" s="12"/>
      <c r="K27" s="12"/>
      <c r="N27" s="1" t="s">
        <v>108</v>
      </c>
      <c r="O27" s="1">
        <f t="shared" si="18"/>
        <v>2035</v>
      </c>
      <c r="P27" s="17">
        <f t="shared" si="19"/>
        <v>500</v>
      </c>
      <c r="Q27" s="17">
        <f>ROUND(VLOOKUP(H19&amp;"_3",管理者用人口入力シート!CO:DT,27,FALSE),0)</f>
        <v>502</v>
      </c>
    </row>
    <row r="28" spans="1:17" x14ac:dyDescent="0.15">
      <c r="A28" s="69" t="s">
        <v>85</v>
      </c>
      <c r="G28" s="1" t="s">
        <v>109</v>
      </c>
      <c r="H28" s="1">
        <f t="shared" si="16"/>
        <v>2040</v>
      </c>
      <c r="I28" s="17">
        <f>ROUND(VLOOKUP(H28&amp;"_3",管理者用人口入力シート!BH:CM,27,FALSE),0)</f>
        <v>457</v>
      </c>
      <c r="J28" s="12"/>
      <c r="K28" s="12"/>
      <c r="N28" s="1" t="s">
        <v>109</v>
      </c>
      <c r="O28" s="1">
        <f t="shared" si="18"/>
        <v>2040</v>
      </c>
      <c r="P28" s="17">
        <f t="shared" si="19"/>
        <v>457</v>
      </c>
      <c r="Q28" s="17">
        <f>ROUND(VLOOKUP(H20&amp;"_3",管理者用人口入力シート!CO:DT,27,FALSE),0)</f>
        <v>460</v>
      </c>
    </row>
    <row r="29" spans="1:17" x14ac:dyDescent="0.15">
      <c r="A29" s="2" t="s">
        <v>84</v>
      </c>
    </row>
    <row r="30" spans="1:17" x14ac:dyDescent="0.15">
      <c r="A30" s="1" t="s">
        <v>58</v>
      </c>
      <c r="B30" s="1">
        <f>B4</f>
        <v>2010</v>
      </c>
      <c r="C30" s="38">
        <f>ROUND((SUM(B54:C61)/SUM(B41:C61)),2)</f>
        <v>0.19</v>
      </c>
      <c r="D30" s="205"/>
      <c r="E30" s="205"/>
      <c r="G30" s="69" t="s">
        <v>110</v>
      </c>
      <c r="N30" s="69" t="s">
        <v>110</v>
      </c>
    </row>
    <row r="31" spans="1:17" x14ac:dyDescent="0.15">
      <c r="A31" s="1" t="s">
        <v>61</v>
      </c>
      <c r="B31" s="1">
        <f t="shared" ref="B31:B32" si="21">B5</f>
        <v>2015</v>
      </c>
      <c r="C31" s="38">
        <f>ROUND((SUM(B78:C85)/SUM(B65:C85)),2)</f>
        <v>0.24</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0.27</v>
      </c>
      <c r="D32" s="205"/>
      <c r="E32" s="205"/>
      <c r="G32" s="1" t="s">
        <v>58</v>
      </c>
      <c r="H32" s="1">
        <f>H4</f>
        <v>2010</v>
      </c>
      <c r="I32" s="17">
        <f>C20</f>
        <v>3869</v>
      </c>
      <c r="J32" s="12"/>
      <c r="K32" s="12"/>
      <c r="N32" s="1" t="s">
        <v>58</v>
      </c>
      <c r="O32" s="1">
        <f>O4</f>
        <v>2010</v>
      </c>
      <c r="P32" s="17">
        <f>I32</f>
        <v>3869</v>
      </c>
      <c r="Q32" s="17"/>
    </row>
    <row r="33" spans="1:17" x14ac:dyDescent="0.15">
      <c r="A33" s="2" t="s">
        <v>86</v>
      </c>
      <c r="G33" s="1" t="s">
        <v>57</v>
      </c>
      <c r="H33" s="1">
        <f t="shared" ref="H33:H38" si="22">H5</f>
        <v>2015</v>
      </c>
      <c r="I33" s="17">
        <f>C21</f>
        <v>4932</v>
      </c>
      <c r="J33" s="12"/>
      <c r="K33" s="12"/>
      <c r="N33" s="1" t="s">
        <v>57</v>
      </c>
      <c r="O33" s="1">
        <f t="shared" ref="O33:O38" si="23">O5</f>
        <v>2015</v>
      </c>
      <c r="P33" s="17">
        <f t="shared" ref="P33:P38" si="24">I33</f>
        <v>4932</v>
      </c>
      <c r="Q33" s="17"/>
    </row>
    <row r="34" spans="1:17" x14ac:dyDescent="0.15">
      <c r="A34" s="1" t="s">
        <v>58</v>
      </c>
      <c r="B34" s="1">
        <f>B4</f>
        <v>2010</v>
      </c>
      <c r="C34" s="38">
        <f>ROUND((SUM(B56:C61)/SUM(B41:C61)),2)</f>
        <v>0.08</v>
      </c>
      <c r="D34" s="205"/>
      <c r="E34" s="205"/>
      <c r="G34" s="1" t="s">
        <v>62</v>
      </c>
      <c r="H34" s="1">
        <f t="shared" si="22"/>
        <v>2020</v>
      </c>
      <c r="I34" s="17">
        <f>C22</f>
        <v>5498</v>
      </c>
      <c r="J34" s="12"/>
      <c r="K34" s="12"/>
      <c r="N34" s="1" t="s">
        <v>62</v>
      </c>
      <c r="O34" s="1">
        <f t="shared" si="23"/>
        <v>2020</v>
      </c>
      <c r="P34" s="17">
        <f t="shared" si="24"/>
        <v>5498</v>
      </c>
      <c r="Q34" s="17"/>
    </row>
    <row r="35" spans="1:17" x14ac:dyDescent="0.15">
      <c r="A35" s="1" t="s">
        <v>61</v>
      </c>
      <c r="B35" s="1">
        <f t="shared" ref="B35:B36" si="25">B5</f>
        <v>2015</v>
      </c>
      <c r="C35" s="38">
        <f>ROUND((SUM(B80:C85)/SUM(B65:C85)),2)</f>
        <v>0.11</v>
      </c>
      <c r="D35" s="205"/>
      <c r="E35" s="205"/>
      <c r="G35" s="1" t="s">
        <v>106</v>
      </c>
      <c r="H35" s="1">
        <f t="shared" si="22"/>
        <v>2025</v>
      </c>
      <c r="I35" s="17">
        <f>SUM(H82:I89)</f>
        <v>5671</v>
      </c>
      <c r="J35" s="12"/>
      <c r="K35" s="12"/>
      <c r="N35" s="1" t="s">
        <v>106</v>
      </c>
      <c r="O35" s="1">
        <f t="shared" si="23"/>
        <v>2025</v>
      </c>
      <c r="P35" s="17">
        <f t="shared" si="24"/>
        <v>5671</v>
      </c>
      <c r="Q35" s="17">
        <f>SUM(O82:P89)</f>
        <v>5671</v>
      </c>
    </row>
    <row r="36" spans="1:17" x14ac:dyDescent="0.15">
      <c r="A36" s="1" t="s">
        <v>62</v>
      </c>
      <c r="B36" s="1">
        <f t="shared" si="25"/>
        <v>2020</v>
      </c>
      <c r="C36" s="38">
        <f>ROUND((SUM(B104:C109)/SUM(B89:C109)),2)</f>
        <v>0.13</v>
      </c>
      <c r="D36" s="205"/>
      <c r="E36" s="205"/>
      <c r="G36" s="1" t="s">
        <v>107</v>
      </c>
      <c r="H36" s="1">
        <f t="shared" si="22"/>
        <v>2030</v>
      </c>
      <c r="I36" s="17">
        <f>SUM(H106:I113)</f>
        <v>5592</v>
      </c>
      <c r="J36" s="12"/>
      <c r="K36" s="12"/>
      <c r="N36" s="1" t="s">
        <v>107</v>
      </c>
      <c r="O36" s="1">
        <f t="shared" si="23"/>
        <v>2030</v>
      </c>
      <c r="P36" s="17">
        <f t="shared" si="24"/>
        <v>5592</v>
      </c>
      <c r="Q36" s="17">
        <f>SUM(O106:P113)</f>
        <v>5592</v>
      </c>
    </row>
    <row r="37" spans="1:17" x14ac:dyDescent="0.15">
      <c r="G37" s="1" t="s">
        <v>108</v>
      </c>
      <c r="H37" s="1">
        <f t="shared" si="22"/>
        <v>2035</v>
      </c>
      <c r="I37" s="17">
        <f>SUM(H130:I137)</f>
        <v>5528</v>
      </c>
      <c r="J37" s="12"/>
      <c r="K37" s="12"/>
      <c r="N37" s="1" t="s">
        <v>108</v>
      </c>
      <c r="O37" s="1">
        <f t="shared" si="23"/>
        <v>2035</v>
      </c>
      <c r="P37" s="17">
        <f t="shared" si="24"/>
        <v>5528</v>
      </c>
      <c r="Q37" s="17">
        <f>SUM(O130:P137)</f>
        <v>5528</v>
      </c>
    </row>
    <row r="38" spans="1:17" x14ac:dyDescent="0.15">
      <c r="A38" s="69" t="s">
        <v>113</v>
      </c>
      <c r="G38" s="1" t="s">
        <v>109</v>
      </c>
      <c r="H38" s="1">
        <f t="shared" si="22"/>
        <v>2040</v>
      </c>
      <c r="I38" s="17">
        <f>SUM(H154:I161)</f>
        <v>5655</v>
      </c>
      <c r="J38" s="12"/>
      <c r="K38" s="12"/>
      <c r="N38" s="1" t="s">
        <v>109</v>
      </c>
      <c r="O38" s="1">
        <f t="shared" si="23"/>
        <v>2040</v>
      </c>
      <c r="P38" s="17">
        <f t="shared" si="24"/>
        <v>5655</v>
      </c>
      <c r="Q38" s="17">
        <f>SUM(O154:P161)</f>
        <v>5655</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1664</v>
      </c>
      <c r="J40" s="12"/>
      <c r="K40" s="12"/>
      <c r="N40" s="1" t="s">
        <v>58</v>
      </c>
      <c r="O40" s="1">
        <f>O4</f>
        <v>2010</v>
      </c>
      <c r="P40" s="17">
        <f>I40</f>
        <v>1664</v>
      </c>
      <c r="Q40" s="17"/>
    </row>
    <row r="41" spans="1:17" x14ac:dyDescent="0.15">
      <c r="A41" s="2" t="s">
        <v>0</v>
      </c>
      <c r="B41" s="17">
        <f>ROUND(VLOOKUP(B$39&amp;"_1",管理者用人口入力シート!A:X,D41,FALSE),0)</f>
        <v>591</v>
      </c>
      <c r="C41" s="17">
        <f>ROUND(VLOOKUP(B$39&amp;"_2",管理者用人口入力シート!A:X,D41,FALSE),0)</f>
        <v>579</v>
      </c>
      <c r="D41" s="2">
        <v>4</v>
      </c>
      <c r="G41" s="1" t="s">
        <v>57</v>
      </c>
      <c r="H41" s="1">
        <f t="shared" ref="H41:H46" si="26">H5</f>
        <v>2015</v>
      </c>
      <c r="I41" s="17">
        <f>C25</f>
        <v>2173</v>
      </c>
      <c r="J41" s="12"/>
      <c r="K41" s="12"/>
      <c r="N41" s="1" t="s">
        <v>57</v>
      </c>
      <c r="O41" s="1">
        <f t="shared" ref="O41:O46" si="27">O5</f>
        <v>2015</v>
      </c>
      <c r="P41" s="17">
        <f t="shared" ref="P41:P46" si="28">I41</f>
        <v>2173</v>
      </c>
      <c r="Q41" s="17"/>
    </row>
    <row r="42" spans="1:17" x14ac:dyDescent="0.15">
      <c r="A42" s="2" t="s">
        <v>1</v>
      </c>
      <c r="B42" s="17">
        <f>ROUND(VLOOKUP(B$39&amp;"_1",管理者用人口入力シート!A:X,D42,FALSE),0)</f>
        <v>526</v>
      </c>
      <c r="C42" s="17">
        <f>ROUND(VLOOKUP(B$39&amp;"_2",管理者用人口入力シート!A:X,D42,FALSE),0)</f>
        <v>529</v>
      </c>
      <c r="D42" s="2">
        <v>5</v>
      </c>
      <c r="G42" s="1" t="s">
        <v>62</v>
      </c>
      <c r="H42" s="1">
        <f t="shared" si="26"/>
        <v>2020</v>
      </c>
      <c r="I42" s="17">
        <f>C26</f>
        <v>2576</v>
      </c>
      <c r="J42" s="12"/>
      <c r="K42" s="12"/>
      <c r="N42" s="1" t="s">
        <v>62</v>
      </c>
      <c r="O42" s="1">
        <f t="shared" si="27"/>
        <v>2020</v>
      </c>
      <c r="P42" s="17">
        <f t="shared" si="28"/>
        <v>2576</v>
      </c>
      <c r="Q42" s="17"/>
    </row>
    <row r="43" spans="1:17" x14ac:dyDescent="0.15">
      <c r="A43" s="2" t="s">
        <v>2</v>
      </c>
      <c r="B43" s="17">
        <f>ROUND(VLOOKUP(B$39&amp;"_1",管理者用人口入力シート!A:X,D43,FALSE),0)</f>
        <v>578</v>
      </c>
      <c r="C43" s="17">
        <f>ROUND(VLOOKUP(B$39&amp;"_2",管理者用人口入力シート!A:X,D43,FALSE),0)</f>
        <v>515</v>
      </c>
      <c r="D43" s="2">
        <v>6</v>
      </c>
      <c r="G43" s="1" t="s">
        <v>106</v>
      </c>
      <c r="H43" s="1">
        <f t="shared" si="26"/>
        <v>2025</v>
      </c>
      <c r="I43" s="17">
        <f>SUM(H84:I89)</f>
        <v>3218</v>
      </c>
      <c r="J43" s="12"/>
      <c r="K43" s="12"/>
      <c r="N43" s="1" t="s">
        <v>106</v>
      </c>
      <c r="O43" s="1">
        <f t="shared" si="27"/>
        <v>2025</v>
      </c>
      <c r="P43" s="17">
        <f t="shared" si="28"/>
        <v>3218</v>
      </c>
      <c r="Q43" s="17">
        <f>SUM(O84:P89)</f>
        <v>3218</v>
      </c>
    </row>
    <row r="44" spans="1:17" x14ac:dyDescent="0.15">
      <c r="A44" s="2" t="s">
        <v>3</v>
      </c>
      <c r="B44" s="17">
        <f>ROUND(VLOOKUP(B$39&amp;"_1",管理者用人口入力シート!A:X,D44,FALSE),0)</f>
        <v>494</v>
      </c>
      <c r="C44" s="17">
        <f>ROUND(VLOOKUP(B$39&amp;"_2",管理者用人口入力シート!A:X,D44,FALSE),0)</f>
        <v>485</v>
      </c>
      <c r="D44" s="2">
        <v>7</v>
      </c>
      <c r="G44" s="1" t="s">
        <v>107</v>
      </c>
      <c r="H44" s="1">
        <f t="shared" si="26"/>
        <v>2030</v>
      </c>
      <c r="I44" s="17">
        <f>SUM(H108:I113)</f>
        <v>3495</v>
      </c>
      <c r="J44" s="12"/>
      <c r="K44" s="12"/>
      <c r="N44" s="1" t="s">
        <v>107</v>
      </c>
      <c r="O44" s="1">
        <f t="shared" si="27"/>
        <v>2030</v>
      </c>
      <c r="P44" s="17">
        <f t="shared" si="28"/>
        <v>3495</v>
      </c>
      <c r="Q44" s="17">
        <f>SUM(O108:P113)</f>
        <v>3495</v>
      </c>
    </row>
    <row r="45" spans="1:17" x14ac:dyDescent="0.15">
      <c r="A45" s="2" t="s">
        <v>4</v>
      </c>
      <c r="B45" s="17">
        <f>ROUND(VLOOKUP(B$39&amp;"_1",管理者用人口入力シート!A:X,D45,FALSE),0)</f>
        <v>338</v>
      </c>
      <c r="C45" s="17">
        <f>ROUND(VLOOKUP(B$39&amp;"_2",管理者用人口入力シート!A:X,D45,FALSE),0)</f>
        <v>447</v>
      </c>
      <c r="D45" s="2">
        <v>8</v>
      </c>
      <c r="G45" s="1" t="s">
        <v>108</v>
      </c>
      <c r="H45" s="1">
        <f t="shared" si="26"/>
        <v>2035</v>
      </c>
      <c r="I45" s="17">
        <f>SUM(H132:I137)</f>
        <v>3396</v>
      </c>
      <c r="J45" s="12"/>
      <c r="K45" s="12"/>
      <c r="N45" s="1" t="s">
        <v>108</v>
      </c>
      <c r="O45" s="1">
        <f t="shared" si="27"/>
        <v>2035</v>
      </c>
      <c r="P45" s="17">
        <f t="shared" si="28"/>
        <v>3396</v>
      </c>
      <c r="Q45" s="17">
        <f>SUM(O132:P137)</f>
        <v>3396</v>
      </c>
    </row>
    <row r="46" spans="1:17" x14ac:dyDescent="0.15">
      <c r="A46" s="2" t="s">
        <v>5</v>
      </c>
      <c r="B46" s="17">
        <f>ROUND(VLOOKUP(B$39&amp;"_1",管理者用人口入力シート!A:X,D46,FALSE),0)</f>
        <v>552</v>
      </c>
      <c r="C46" s="17">
        <f>ROUND(VLOOKUP(B$39&amp;"_2",管理者用人口入力シート!A:X,D46,FALSE),0)</f>
        <v>663</v>
      </c>
      <c r="D46" s="2">
        <v>9</v>
      </c>
      <c r="G46" s="1" t="s">
        <v>109</v>
      </c>
      <c r="H46" s="1">
        <f t="shared" si="26"/>
        <v>2040</v>
      </c>
      <c r="I46" s="17">
        <f>SUM(H156:I161)</f>
        <v>3144</v>
      </c>
      <c r="J46" s="12"/>
      <c r="K46" s="12"/>
      <c r="N46" s="1" t="s">
        <v>109</v>
      </c>
      <c r="O46" s="1">
        <f t="shared" si="27"/>
        <v>2040</v>
      </c>
      <c r="P46" s="17">
        <f t="shared" si="28"/>
        <v>3144</v>
      </c>
      <c r="Q46" s="17">
        <f>SUM(O156:P161)</f>
        <v>3144</v>
      </c>
    </row>
    <row r="47" spans="1:17" x14ac:dyDescent="0.15">
      <c r="A47" s="2" t="s">
        <v>6</v>
      </c>
      <c r="B47" s="17">
        <f>ROUND(VLOOKUP(B$39&amp;"_1",管理者用人口入力シート!A:X,D47,FALSE),0)</f>
        <v>734</v>
      </c>
      <c r="C47" s="17">
        <f>ROUND(VLOOKUP(B$39&amp;"_2",管理者用人口入力シート!A:X,D47,FALSE),0)</f>
        <v>837</v>
      </c>
      <c r="D47" s="2">
        <v>10</v>
      </c>
    </row>
    <row r="48" spans="1:17" x14ac:dyDescent="0.15">
      <c r="A48" s="2" t="s">
        <v>7</v>
      </c>
      <c r="B48" s="17">
        <f>ROUND(VLOOKUP(B$39&amp;"_1",管理者用人口入力シート!A:X,D48,FALSE),0)</f>
        <v>772</v>
      </c>
      <c r="C48" s="17">
        <f>ROUND(VLOOKUP(B$39&amp;"_2",管理者用人口入力シート!A:X,D48,FALSE),0)</f>
        <v>832</v>
      </c>
      <c r="D48" s="2">
        <v>11</v>
      </c>
      <c r="G48" s="69" t="s">
        <v>85</v>
      </c>
      <c r="N48" s="69" t="s">
        <v>85</v>
      </c>
    </row>
    <row r="49" spans="1:17" x14ac:dyDescent="0.15">
      <c r="A49" s="2" t="s">
        <v>8</v>
      </c>
      <c r="B49" s="17">
        <f>ROUND(VLOOKUP(B$39&amp;"_1",管理者用人口入力シート!A:X,D49,FALSE),0)</f>
        <v>653</v>
      </c>
      <c r="C49" s="17">
        <f>ROUND(VLOOKUP(B$39&amp;"_2",管理者用人口入力シート!A:X,D49,FALSE),0)</f>
        <v>720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554</v>
      </c>
      <c r="C50" s="17">
        <f>ROUND(VLOOKUP(B$39&amp;"_2",管理者用人口入力シート!A:X,D50,FALSE),0)</f>
        <v>619</v>
      </c>
      <c r="D50" s="2">
        <v>13</v>
      </c>
      <c r="G50" s="1" t="s">
        <v>58</v>
      </c>
      <c r="H50" s="1">
        <f>H4</f>
        <v>2010</v>
      </c>
      <c r="I50" s="38">
        <f>C30</f>
        <v>0.19</v>
      </c>
      <c r="J50" s="205"/>
      <c r="K50" s="205"/>
      <c r="N50" s="1" t="s">
        <v>58</v>
      </c>
      <c r="O50" s="1">
        <f>O4</f>
        <v>2010</v>
      </c>
      <c r="P50" s="38">
        <f t="shared" ref="P50:P56" si="29">I50</f>
        <v>0.19</v>
      </c>
      <c r="Q50" s="1"/>
    </row>
    <row r="51" spans="1:17" x14ac:dyDescent="0.15">
      <c r="A51" s="2" t="s">
        <v>10</v>
      </c>
      <c r="B51" s="17">
        <f>ROUND(VLOOKUP(B$39&amp;"_1",管理者用人口入力シート!A:X,D51,FALSE),0)</f>
        <v>580</v>
      </c>
      <c r="C51" s="17">
        <f>ROUND(VLOOKUP(B$39&amp;"_2",管理者用人口入力シート!A:X,D51,FALSE),0)</f>
        <v>685</v>
      </c>
      <c r="D51" s="2">
        <v>14</v>
      </c>
      <c r="G51" s="1" t="s">
        <v>57</v>
      </c>
      <c r="H51" s="1">
        <f t="shared" ref="H51:H56" si="30">H5</f>
        <v>2015</v>
      </c>
      <c r="I51" s="38">
        <f t="shared" ref="I51:I52" si="31">C31</f>
        <v>0.24</v>
      </c>
      <c r="J51" s="205"/>
      <c r="K51" s="205"/>
      <c r="N51" s="1" t="s">
        <v>57</v>
      </c>
      <c r="O51" s="1">
        <f t="shared" ref="O51:O56" si="32">O5</f>
        <v>2015</v>
      </c>
      <c r="P51" s="38">
        <f t="shared" si="29"/>
        <v>0.24</v>
      </c>
      <c r="Q51" s="1"/>
    </row>
    <row r="52" spans="1:17" x14ac:dyDescent="0.15">
      <c r="A52" s="2" t="s">
        <v>11</v>
      </c>
      <c r="B52" s="17">
        <f>ROUND(VLOOKUP(B$39&amp;"_1",管理者用人口入力シート!A:X,D52,FALSE),0)</f>
        <v>692</v>
      </c>
      <c r="C52" s="17">
        <f>ROUND(VLOOKUP(B$39&amp;"_2",管理者用人口入力シート!A:X,D52,FALSE),0)</f>
        <v>804</v>
      </c>
      <c r="D52" s="2">
        <v>15</v>
      </c>
      <c r="G52" s="1" t="s">
        <v>62</v>
      </c>
      <c r="H52" s="1">
        <f t="shared" si="30"/>
        <v>2020</v>
      </c>
      <c r="I52" s="38">
        <f t="shared" si="31"/>
        <v>0.27</v>
      </c>
      <c r="J52" s="205"/>
      <c r="K52" s="205"/>
      <c r="N52" s="1" t="s">
        <v>62</v>
      </c>
      <c r="O52" s="1">
        <f t="shared" si="32"/>
        <v>2020</v>
      </c>
      <c r="P52" s="38">
        <f t="shared" si="29"/>
        <v>0.27</v>
      </c>
      <c r="Q52" s="1"/>
    </row>
    <row r="53" spans="1:17" x14ac:dyDescent="0.15">
      <c r="A53" s="2" t="s">
        <v>12</v>
      </c>
      <c r="B53" s="17">
        <f>ROUND(VLOOKUP(B$39&amp;"_1",管理者用人口入力シート!A:X,D53,FALSE),0)</f>
        <v>821</v>
      </c>
      <c r="C53" s="17">
        <f>ROUND(VLOOKUP(B$39&amp;"_2",管理者用人口入力シート!A:X,D53,FALSE),0)</f>
        <v>886</v>
      </c>
      <c r="D53" s="2">
        <v>16</v>
      </c>
      <c r="G53" s="1" t="s">
        <v>106</v>
      </c>
      <c r="H53" s="1">
        <f t="shared" si="30"/>
        <v>2025</v>
      </c>
      <c r="I53" s="38">
        <f>ROUND((SUM(H82:I89)/SUM(H69:I89)),2)</f>
        <v>0.28999999999999998</v>
      </c>
      <c r="J53" s="205"/>
      <c r="K53" s="205"/>
      <c r="L53" s="70"/>
      <c r="M53" s="70"/>
      <c r="N53" s="1" t="s">
        <v>106</v>
      </c>
      <c r="O53" s="1">
        <f t="shared" si="32"/>
        <v>2025</v>
      </c>
      <c r="P53" s="38">
        <f t="shared" si="29"/>
        <v>0.28999999999999998</v>
      </c>
      <c r="Q53" s="38">
        <f>ROUND((SUM(O82:P89)/SUM(O69:P89)),2)</f>
        <v>0.28999999999999998</v>
      </c>
    </row>
    <row r="54" spans="1:17" x14ac:dyDescent="0.15">
      <c r="A54" s="2" t="s">
        <v>13</v>
      </c>
      <c r="B54" s="17">
        <f>ROUND(VLOOKUP(B$39&amp;"_1",管理者用人口入力シート!A:X,D54,FALSE),0)</f>
        <v>566</v>
      </c>
      <c r="C54" s="17">
        <f>ROUND(VLOOKUP(B$39&amp;"_2",管理者用人口入力シート!A:X,D54,FALSE),0)</f>
        <v>643</v>
      </c>
      <c r="D54" s="2">
        <v>17</v>
      </c>
      <c r="G54" s="1" t="s">
        <v>107</v>
      </c>
      <c r="H54" s="1">
        <f t="shared" si="30"/>
        <v>2030</v>
      </c>
      <c r="I54" s="38">
        <f>ROUND((SUM(H106:I113)/SUM(H93:I113)),2)</f>
        <v>0.3</v>
      </c>
      <c r="J54" s="205"/>
      <c r="K54" s="205"/>
      <c r="N54" s="1" t="s">
        <v>107</v>
      </c>
      <c r="O54" s="1">
        <f t="shared" si="32"/>
        <v>2030</v>
      </c>
      <c r="P54" s="38">
        <f t="shared" si="29"/>
        <v>0.3</v>
      </c>
      <c r="Q54" s="38">
        <f>ROUND((SUM(O106:P113)/SUM(O93:P113)),2)</f>
        <v>0.3</v>
      </c>
    </row>
    <row r="55" spans="1:17" x14ac:dyDescent="0.15">
      <c r="A55" s="2" t="s">
        <v>14</v>
      </c>
      <c r="B55" s="17">
        <f>ROUND(VLOOKUP(B$39&amp;"_1",管理者用人口入力シート!A:X,D55,FALSE),0)</f>
        <v>456</v>
      </c>
      <c r="C55" s="17">
        <f>ROUND(VLOOKUP(B$39&amp;"_2",管理者用人口入力シート!A:X,D55,FALSE),0)</f>
        <v>540</v>
      </c>
      <c r="D55" s="2">
        <v>18</v>
      </c>
      <c r="G55" s="1" t="s">
        <v>108</v>
      </c>
      <c r="H55" s="1">
        <f t="shared" si="30"/>
        <v>2035</v>
      </c>
      <c r="I55" s="38">
        <f>ROUND((SUM(H130:I137)/SUM(H117:I137)),2)</f>
        <v>0.31</v>
      </c>
      <c r="J55" s="205"/>
      <c r="K55" s="205"/>
      <c r="N55" s="1" t="s">
        <v>108</v>
      </c>
      <c r="O55" s="1">
        <f t="shared" si="32"/>
        <v>2035</v>
      </c>
      <c r="P55" s="38">
        <f t="shared" si="29"/>
        <v>0.31</v>
      </c>
      <c r="Q55" s="38">
        <f>ROUND((SUM(O130:P137)/SUM(O117:P137)),2)</f>
        <v>0.31</v>
      </c>
    </row>
    <row r="56" spans="1:17" x14ac:dyDescent="0.15">
      <c r="A56" s="2" t="s">
        <v>15</v>
      </c>
      <c r="B56" s="17">
        <f>ROUND(VLOOKUP(B$39&amp;"_1",管理者用人口入力シート!A:X,D56,FALSE),0)</f>
        <v>359</v>
      </c>
      <c r="C56" s="17">
        <f>ROUND(VLOOKUP(B$39&amp;"_2",管理者用人口入力シート!A:X,D56,FALSE),0)</f>
        <v>430</v>
      </c>
      <c r="D56" s="2">
        <v>19</v>
      </c>
      <c r="G56" s="1" t="s">
        <v>109</v>
      </c>
      <c r="H56" s="1">
        <f t="shared" si="30"/>
        <v>2040</v>
      </c>
      <c r="I56" s="38">
        <f>ROUND((SUM(H154:I161)/SUM(H141:I161)),2)</f>
        <v>0.33</v>
      </c>
      <c r="J56" s="205"/>
      <c r="K56" s="205"/>
      <c r="N56" s="1" t="s">
        <v>109</v>
      </c>
      <c r="O56" s="1">
        <f t="shared" si="32"/>
        <v>2040</v>
      </c>
      <c r="P56" s="38">
        <f t="shared" si="29"/>
        <v>0.33</v>
      </c>
      <c r="Q56" s="38">
        <f>ROUND((SUM(O154:P161)/SUM(O141:P161)),2)</f>
        <v>0.33</v>
      </c>
    </row>
    <row r="57" spans="1:17" x14ac:dyDescent="0.15">
      <c r="A57" s="2" t="s">
        <v>16</v>
      </c>
      <c r="B57" s="17">
        <f>ROUND(VLOOKUP(B$39&amp;"_1",管理者用人口入力シート!A:X,D57,FALSE),0)</f>
        <v>202</v>
      </c>
      <c r="C57" s="17">
        <f>ROUND(VLOOKUP(B$39&amp;"_2",管理者用人口入力シート!A:X,D57,FALSE),0)</f>
        <v>280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87</v>
      </c>
      <c r="C58" s="17">
        <f>ROUND(VLOOKUP(B$39&amp;"_2",管理者用人口入力シート!A:X,D58,FALSE),0)</f>
        <v>193</v>
      </c>
      <c r="D58" s="2">
        <v>21</v>
      </c>
      <c r="G58" s="1" t="s">
        <v>58</v>
      </c>
      <c r="H58" s="1">
        <f>H4</f>
        <v>2010</v>
      </c>
      <c r="I58" s="38">
        <f>C34</f>
        <v>0.08</v>
      </c>
      <c r="J58" s="205"/>
      <c r="K58" s="205"/>
      <c r="N58" s="1" t="s">
        <v>58</v>
      </c>
      <c r="O58" s="1">
        <f>O4</f>
        <v>2010</v>
      </c>
      <c r="P58" s="38">
        <f t="shared" ref="P58:P64" si="33">I58</f>
        <v>0.08</v>
      </c>
      <c r="Q58" s="1"/>
    </row>
    <row r="59" spans="1:17" x14ac:dyDescent="0.15">
      <c r="A59" s="2" t="s">
        <v>18</v>
      </c>
      <c r="B59" s="17">
        <f>ROUND(VLOOKUP(B$39&amp;"_1",管理者用人口入力シート!A:X,D59,FALSE),0)</f>
        <v>19</v>
      </c>
      <c r="C59" s="17">
        <f>ROUND(VLOOKUP(B$39&amp;"_2",管理者用人口入力シート!A:X,D59,FALSE),0)</f>
        <v>66</v>
      </c>
      <c r="D59" s="2">
        <v>22</v>
      </c>
      <c r="G59" s="1" t="s">
        <v>57</v>
      </c>
      <c r="H59" s="1">
        <f t="shared" ref="H59:H64" si="34">H5</f>
        <v>2015</v>
      </c>
      <c r="I59" s="38">
        <f t="shared" ref="I59:I60" si="35">C35</f>
        <v>0.11</v>
      </c>
      <c r="J59" s="205"/>
      <c r="K59" s="205"/>
      <c r="N59" s="1" t="s">
        <v>57</v>
      </c>
      <c r="O59" s="1">
        <f t="shared" ref="O59:O64" si="36">O5</f>
        <v>2015</v>
      </c>
      <c r="P59" s="38">
        <f t="shared" si="33"/>
        <v>0.11</v>
      </c>
      <c r="Q59" s="1"/>
    </row>
    <row r="60" spans="1:17" x14ac:dyDescent="0.15">
      <c r="A60" s="2" t="s">
        <v>19</v>
      </c>
      <c r="B60" s="17">
        <f>ROUND(VLOOKUP(B$39&amp;"_1",管理者用人口入力シート!A:X,D60,FALSE),0)</f>
        <v>4</v>
      </c>
      <c r="C60" s="17">
        <f>ROUND(VLOOKUP(B$39&amp;"_2",管理者用人口入力シート!A:X,D60,FALSE),0)</f>
        <v>21</v>
      </c>
      <c r="D60" s="2">
        <v>23</v>
      </c>
      <c r="G60" s="1" t="s">
        <v>62</v>
      </c>
      <c r="H60" s="1">
        <f t="shared" si="34"/>
        <v>2020</v>
      </c>
      <c r="I60" s="38">
        <f t="shared" si="35"/>
        <v>0.13</v>
      </c>
      <c r="J60" s="205"/>
      <c r="K60" s="205"/>
      <c r="N60" s="1" t="s">
        <v>62</v>
      </c>
      <c r="O60" s="1">
        <f t="shared" si="36"/>
        <v>2020</v>
      </c>
      <c r="P60" s="38">
        <f t="shared" si="33"/>
        <v>0.13</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0.16</v>
      </c>
      <c r="J61" s="205"/>
      <c r="K61" s="205"/>
      <c r="N61" s="1" t="s">
        <v>106</v>
      </c>
      <c r="O61" s="1">
        <f t="shared" si="36"/>
        <v>2025</v>
      </c>
      <c r="P61" s="38">
        <f t="shared" si="33"/>
        <v>0.16</v>
      </c>
      <c r="Q61" s="38">
        <f>ROUND((SUM(O84:P89)/SUM(O69:P89)),2)</f>
        <v>0.16</v>
      </c>
    </row>
    <row r="62" spans="1:17" x14ac:dyDescent="0.15">
      <c r="G62" s="1" t="s">
        <v>107</v>
      </c>
      <c r="H62" s="1">
        <f t="shared" si="34"/>
        <v>2030</v>
      </c>
      <c r="I62" s="38">
        <f>ROUND((SUM(H108:I113)/SUM(H93:I113)),2)</f>
        <v>0.19</v>
      </c>
      <c r="J62" s="205"/>
      <c r="K62" s="205"/>
      <c r="N62" s="1" t="s">
        <v>107</v>
      </c>
      <c r="O62" s="1">
        <f t="shared" si="36"/>
        <v>2030</v>
      </c>
      <c r="P62" s="38">
        <f t="shared" si="33"/>
        <v>0.19</v>
      </c>
      <c r="Q62" s="38">
        <f>ROUND((SUM(O108:P113)/SUM(O93:P113)),2)</f>
        <v>0.19</v>
      </c>
    </row>
    <row r="63" spans="1:17" x14ac:dyDescent="0.15">
      <c r="A63" s="2" t="s">
        <v>384</v>
      </c>
      <c r="B63" s="316">
        <f>管理者入力シート!B6</f>
        <v>2015</v>
      </c>
      <c r="C63" s="317"/>
      <c r="D63" s="2" t="s">
        <v>114</v>
      </c>
      <c r="G63" s="1" t="s">
        <v>108</v>
      </c>
      <c r="H63" s="1">
        <f t="shared" si="34"/>
        <v>2035</v>
      </c>
      <c r="I63" s="38">
        <f>ROUND((SUM(H132:I137)/SUM(H117:I137)),2)</f>
        <v>0.19</v>
      </c>
      <c r="J63" s="205"/>
      <c r="K63" s="205"/>
      <c r="N63" s="1" t="s">
        <v>108</v>
      </c>
      <c r="O63" s="1">
        <f t="shared" si="36"/>
        <v>2035</v>
      </c>
      <c r="P63" s="38">
        <f t="shared" si="33"/>
        <v>0.19</v>
      </c>
      <c r="Q63" s="38">
        <f>ROUND((SUM(O132:P137)/SUM(O117:P137)),2)</f>
        <v>0.19</v>
      </c>
    </row>
    <row r="64" spans="1:17" x14ac:dyDescent="0.15">
      <c r="A64" s="2" t="s">
        <v>115</v>
      </c>
      <c r="B64" s="18" t="s">
        <v>21</v>
      </c>
      <c r="C64" s="18" t="s">
        <v>22</v>
      </c>
      <c r="G64" s="1" t="s">
        <v>109</v>
      </c>
      <c r="H64" s="1">
        <f t="shared" si="34"/>
        <v>2040</v>
      </c>
      <c r="I64" s="38">
        <f>ROUND((SUM(H156:I161)/SUM(H141:I161)),2)</f>
        <v>0.18</v>
      </c>
      <c r="J64" s="205"/>
      <c r="K64" s="205"/>
      <c r="N64" s="1" t="s">
        <v>109</v>
      </c>
      <c r="O64" s="1">
        <f t="shared" si="36"/>
        <v>2040</v>
      </c>
      <c r="P64" s="38">
        <f t="shared" si="33"/>
        <v>0.18</v>
      </c>
      <c r="Q64" s="38">
        <f>ROUND((SUM(O156:P161)/SUM(O141:P161)),2)</f>
        <v>0.18</v>
      </c>
    </row>
    <row r="65" spans="1:21" x14ac:dyDescent="0.15">
      <c r="A65" s="2" t="s">
        <v>0</v>
      </c>
      <c r="B65" s="17">
        <f>ROUND(VLOOKUP(B$63&amp;"_1",管理者用人口入力シート!A:X,D65,FALSE),0)</f>
        <v>562</v>
      </c>
      <c r="C65" s="17">
        <f>ROUND(VLOOKUP(B$63&amp;"_2",管理者用人口入力シート!A:X,D65,FALSE),0)</f>
        <v>536</v>
      </c>
      <c r="D65" s="2">
        <v>4</v>
      </c>
    </row>
    <row r="66" spans="1:21" x14ac:dyDescent="0.15">
      <c r="A66" s="2" t="s">
        <v>1</v>
      </c>
      <c r="B66" s="17">
        <f>ROUND(VLOOKUP(B$63&amp;"_1",管理者用人口入力シート!A:X,D66,FALSE),0)</f>
        <v>565</v>
      </c>
      <c r="C66" s="17">
        <f>ROUND(VLOOKUP(B$63&amp;"_2",管理者用人口入力シート!A:X,D66,FALSE),0)</f>
        <v>511</v>
      </c>
      <c r="D66" s="2">
        <v>5</v>
      </c>
      <c r="G66" s="69" t="s">
        <v>113</v>
      </c>
      <c r="N66" s="69" t="s">
        <v>113</v>
      </c>
    </row>
    <row r="67" spans="1:21" x14ac:dyDescent="0.15">
      <c r="A67" s="2" t="s">
        <v>2</v>
      </c>
      <c r="B67" s="17">
        <f>ROUND(VLOOKUP(B$63&amp;"_1",管理者用人口入力シート!A:X,D67,FALSE),0)</f>
        <v>549</v>
      </c>
      <c r="C67" s="17">
        <f>ROUND(VLOOKUP(B$63&amp;"_2",管理者用人口入力シート!A:X,D67,FALSE),0)</f>
        <v>520</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530</v>
      </c>
      <c r="C68" s="17">
        <f>ROUND(VLOOKUP(B$63&amp;"_2",管理者用人口入力シート!A:X,D68,FALSE),0)</f>
        <v>523</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305</v>
      </c>
      <c r="C69" s="17">
        <f>ROUND(VLOOKUP(B$63&amp;"_2",管理者用人口入力シート!A:X,D69,FALSE),0)</f>
        <v>405</v>
      </c>
      <c r="D69" s="2">
        <v>8</v>
      </c>
      <c r="G69" s="2" t="s">
        <v>0</v>
      </c>
      <c r="H69" s="17">
        <f>ROUND(VLOOKUP(H$67&amp;"_1",管理者用人口入力シート!BH:CE,J69,FALSE),0)</f>
        <v>430</v>
      </c>
      <c r="I69" s="17">
        <f>ROUND(VLOOKUP(H$67&amp;"_2",管理者用人口入力シート!BH:CE,J69,FALSE),0)</f>
        <v>426</v>
      </c>
      <c r="J69" s="2">
        <v>4</v>
      </c>
      <c r="K69" s="12"/>
      <c r="N69" s="2" t="s">
        <v>0</v>
      </c>
      <c r="O69" s="17">
        <f>ROUND(VLOOKUP(O$67&amp;"_1",管理者用人口入力シート!CO:DL,Q69,FALSE),0)</f>
        <v>431</v>
      </c>
      <c r="P69" s="17">
        <f>ROUND(VLOOKUP(O$67&amp;"_2",管理者用人口入力シート!CO:DL,Q69,FALSE),0)</f>
        <v>427</v>
      </c>
      <c r="Q69" s="2">
        <v>4</v>
      </c>
      <c r="U69" s="85"/>
    </row>
    <row r="70" spans="1:21" x14ac:dyDescent="0.15">
      <c r="A70" s="2" t="s">
        <v>5</v>
      </c>
      <c r="B70" s="17">
        <f>ROUND(VLOOKUP(B$63&amp;"_1",管理者用人口入力シート!A:X,D70,FALSE),0)</f>
        <v>441</v>
      </c>
      <c r="C70" s="17">
        <f>ROUND(VLOOKUP(B$63&amp;"_2",管理者用人口入力シート!A:X,D70,FALSE),0)</f>
        <v>550</v>
      </c>
      <c r="D70" s="2">
        <v>9</v>
      </c>
      <c r="G70" s="2" t="s">
        <v>1</v>
      </c>
      <c r="H70" s="17">
        <f>ROUND(VLOOKUP(H$67&amp;"_1",管理者用人口入力シート!BH:CE,J70,FALSE),0)</f>
        <v>481</v>
      </c>
      <c r="I70" s="17">
        <f>ROUND(VLOOKUP(H$67&amp;"_2",管理者用人口入力シート!BH:CE,J70,FALSE),0)</f>
        <v>454</v>
      </c>
      <c r="J70" s="2">
        <v>5</v>
      </c>
      <c r="K70" s="12"/>
      <c r="N70" s="2" t="s">
        <v>1</v>
      </c>
      <c r="O70" s="17">
        <f>ROUND(VLOOKUP(O$67&amp;"_1",管理者用人口入力シート!CO:DL,Q70,FALSE),0)</f>
        <v>481</v>
      </c>
      <c r="P70" s="17">
        <f>ROUND(VLOOKUP(O$67&amp;"_2",管理者用人口入力シート!CO:DL,Q70,FALSE),0)</f>
        <v>454</v>
      </c>
      <c r="Q70" s="2">
        <v>5</v>
      </c>
      <c r="U70" s="85"/>
    </row>
    <row r="71" spans="1:21" x14ac:dyDescent="0.15">
      <c r="A71" s="2" t="s">
        <v>6</v>
      </c>
      <c r="B71" s="17">
        <f>ROUND(VLOOKUP(B$63&amp;"_1",管理者用人口入力シート!A:X,D71,FALSE),0)</f>
        <v>564</v>
      </c>
      <c r="C71" s="17">
        <f>ROUND(VLOOKUP(B$63&amp;"_2",管理者用人口入力シート!A:X,D71,FALSE),0)</f>
        <v>661</v>
      </c>
      <c r="D71" s="2">
        <v>10</v>
      </c>
      <c r="G71" s="2" t="s">
        <v>2</v>
      </c>
      <c r="H71" s="17">
        <f>ROUND(VLOOKUP(H$67&amp;"_1",管理者用人口入力シート!BH:CE,J71,FALSE),0)</f>
        <v>565</v>
      </c>
      <c r="I71" s="17">
        <f>ROUND(VLOOKUP(H$67&amp;"_2",管理者用人口入力シート!BH:CE,J71,FALSE),0)</f>
        <v>522</v>
      </c>
      <c r="J71" s="2">
        <v>6</v>
      </c>
      <c r="K71" s="12"/>
      <c r="N71" s="2" t="s">
        <v>2</v>
      </c>
      <c r="O71" s="17">
        <f>ROUND(VLOOKUP(O$67&amp;"_1",管理者用人口入力シート!CO:DL,Q71,FALSE),0)</f>
        <v>566</v>
      </c>
      <c r="P71" s="17">
        <f>ROUND(VLOOKUP(O$67&amp;"_2",管理者用人口入力シート!CO:DL,Q71,FALSE),0)</f>
        <v>523</v>
      </c>
      <c r="Q71" s="2">
        <v>6</v>
      </c>
      <c r="U71" s="85"/>
    </row>
    <row r="72" spans="1:21" x14ac:dyDescent="0.15">
      <c r="A72" s="2" t="s">
        <v>7</v>
      </c>
      <c r="B72" s="17">
        <f>ROUND(VLOOKUP(B$63&amp;"_1",管理者用人口入力シート!A:X,D72,FALSE),0)</f>
        <v>716</v>
      </c>
      <c r="C72" s="17">
        <f>ROUND(VLOOKUP(B$63&amp;"_2",管理者用人口入力シート!A:X,D72,FALSE),0)</f>
        <v>789</v>
      </c>
      <c r="D72" s="2">
        <v>11</v>
      </c>
      <c r="G72" s="2" t="s">
        <v>3</v>
      </c>
      <c r="H72" s="17">
        <f>ROUND(VLOOKUP(H$67&amp;"_1",管理者用人口入力シート!BH:CE,J72,FALSE),0)</f>
        <v>496</v>
      </c>
      <c r="I72" s="17">
        <f>ROUND(VLOOKUP(H$67&amp;"_2",管理者用人口入力シート!BH:CE,J72,FALSE),0)</f>
        <v>488</v>
      </c>
      <c r="J72" s="2">
        <v>7</v>
      </c>
      <c r="K72" s="12"/>
      <c r="N72" s="2" t="s">
        <v>3</v>
      </c>
      <c r="O72" s="17">
        <f>ROUND(VLOOKUP(O$67&amp;"_1",管理者用人口入力シート!CO:DL,Q72,FALSE),0)</f>
        <v>496</v>
      </c>
      <c r="P72" s="17">
        <f>ROUND(VLOOKUP(O$67&amp;"_2",管理者用人口入力シート!CO:DL,Q72,FALSE),0)</f>
        <v>488</v>
      </c>
      <c r="Q72" s="2">
        <v>7</v>
      </c>
      <c r="U72" s="85"/>
    </row>
    <row r="73" spans="1:21" x14ac:dyDescent="0.15">
      <c r="A73" s="2" t="s">
        <v>8</v>
      </c>
      <c r="B73" s="17">
        <f>ROUND(VLOOKUP(B$63&amp;"_1",管理者用人口入力シート!A:X,D73,FALSE),0)</f>
        <v>766</v>
      </c>
      <c r="C73" s="17">
        <f>ROUND(VLOOKUP(B$63&amp;"_2",管理者用人口入力シート!A:X,D73,FALSE),0)</f>
        <v>839</v>
      </c>
      <c r="D73" s="2">
        <v>12</v>
      </c>
      <c r="G73" s="2" t="s">
        <v>4</v>
      </c>
      <c r="H73" s="17">
        <f>ROUND(VLOOKUP(H$67&amp;"_1",管理者用人口入力シート!BH:CE,J73,FALSE),0)</f>
        <v>286</v>
      </c>
      <c r="I73" s="17">
        <f>ROUND(VLOOKUP(H$67&amp;"_2",管理者用人口入力シート!BH:CE,J73,FALSE),0)</f>
        <v>346</v>
      </c>
      <c r="J73" s="2">
        <v>8</v>
      </c>
      <c r="K73" s="12"/>
      <c r="N73" s="2" t="s">
        <v>4</v>
      </c>
      <c r="O73" s="17">
        <f>ROUND(VLOOKUP(O$67&amp;"_1",管理者用人口入力シート!CO:DL,Q73,FALSE),0)</f>
        <v>286</v>
      </c>
      <c r="P73" s="17">
        <f>ROUND(VLOOKUP(O$67&amp;"_2",管理者用人口入力シート!CO:DL,Q73,FALSE),0)</f>
        <v>346</v>
      </c>
      <c r="Q73" s="2">
        <v>8</v>
      </c>
      <c r="U73" s="85"/>
    </row>
    <row r="74" spans="1:21" x14ac:dyDescent="0.15">
      <c r="A74" s="2" t="s">
        <v>9</v>
      </c>
      <c r="B74" s="17">
        <f>ROUND(VLOOKUP(B$63&amp;"_1",管理者用人口入力シート!A:X,D74,FALSE),0)</f>
        <v>624</v>
      </c>
      <c r="C74" s="17">
        <f>ROUND(VLOOKUP(B$63&amp;"_2",管理者用人口入力シート!A:X,D74,FALSE),0)</f>
        <v>733</v>
      </c>
      <c r="D74" s="2">
        <v>13</v>
      </c>
      <c r="G74" s="2" t="s">
        <v>5</v>
      </c>
      <c r="H74" s="17">
        <f>ROUND(VLOOKUP(H$67&amp;"_1",管理者用人口入力シート!BH:CE,J74,FALSE),0)</f>
        <v>414</v>
      </c>
      <c r="I74" s="17">
        <f>ROUND(VLOOKUP(H$67&amp;"_2",管理者用人口入力シート!BH:CE,J74,FALSE),0)</f>
        <v>434</v>
      </c>
      <c r="J74" s="2">
        <v>9</v>
      </c>
      <c r="K74" s="12"/>
      <c r="N74" s="2" t="s">
        <v>5</v>
      </c>
      <c r="O74" s="17">
        <f>ROUND(VLOOKUP(O$67&amp;"_1",管理者用人口入力シート!CO:DL,Q74,FALSE),0)</f>
        <v>416</v>
      </c>
      <c r="P74" s="17">
        <f>ROUND(VLOOKUP(O$67&amp;"_2",管理者用人口入力シート!CO:DL,Q74,FALSE),0)</f>
        <v>436</v>
      </c>
      <c r="Q74" s="2">
        <v>9</v>
      </c>
      <c r="U74" s="85"/>
    </row>
    <row r="75" spans="1:21" x14ac:dyDescent="0.15">
      <c r="A75" s="2" t="s">
        <v>10</v>
      </c>
      <c r="B75" s="17">
        <f>ROUND(VLOOKUP(B$63&amp;"_1",管理者用人口入力シート!A:X,D75,FALSE),0)</f>
        <v>545</v>
      </c>
      <c r="C75" s="17">
        <f>ROUND(VLOOKUP(B$63&amp;"_2",管理者用人口入力シート!A:X,D75,FALSE),0)</f>
        <v>588</v>
      </c>
      <c r="D75" s="2">
        <v>14</v>
      </c>
      <c r="G75" s="2" t="s">
        <v>6</v>
      </c>
      <c r="H75" s="17">
        <f>ROUND(VLOOKUP(H$67&amp;"_1",管理者用人口入力シート!BH:CE,J75,FALSE),0)</f>
        <v>436</v>
      </c>
      <c r="I75" s="17">
        <f>ROUND(VLOOKUP(H$67&amp;"_2",管理者用人口入力シート!BH:CE,J75,FALSE),0)</f>
        <v>479</v>
      </c>
      <c r="J75" s="2">
        <v>10</v>
      </c>
      <c r="K75" s="12"/>
      <c r="N75" s="2" t="s">
        <v>6</v>
      </c>
      <c r="O75" s="17">
        <f>ROUND(VLOOKUP(O$67&amp;"_1",管理者用人口入力シート!CO:DL,Q75,FALSE),0)</f>
        <v>436</v>
      </c>
      <c r="P75" s="17">
        <f>ROUND(VLOOKUP(O$67&amp;"_2",管理者用人口入力シート!CO:DL,Q75,FALSE),0)</f>
        <v>479</v>
      </c>
      <c r="Q75" s="2">
        <v>10</v>
      </c>
      <c r="U75" s="85"/>
    </row>
    <row r="76" spans="1:21" x14ac:dyDescent="0.15">
      <c r="A76" s="2" t="s">
        <v>11</v>
      </c>
      <c r="B76" s="17">
        <f>ROUND(VLOOKUP(B$63&amp;"_1",管理者用人口入力シート!A:X,D76,FALSE),0)</f>
        <v>567</v>
      </c>
      <c r="C76" s="17">
        <f>ROUND(VLOOKUP(B$63&amp;"_2",管理者用人口入力シート!A:X,D76,FALSE),0)</f>
        <v>668</v>
      </c>
      <c r="D76" s="2">
        <v>15</v>
      </c>
      <c r="G76" s="2" t="s">
        <v>7</v>
      </c>
      <c r="H76" s="17">
        <f>ROUND(VLOOKUP(H$67&amp;"_1",管理者用人口入力シート!BH:CE,J76,FALSE),0)</f>
        <v>513</v>
      </c>
      <c r="I76" s="17">
        <f>ROUND(VLOOKUP(H$67&amp;"_2",管理者用人口入力シート!BH:CE,J76,FALSE),0)</f>
        <v>547</v>
      </c>
      <c r="J76" s="2">
        <v>11</v>
      </c>
      <c r="K76" s="12"/>
      <c r="N76" s="2" t="s">
        <v>7</v>
      </c>
      <c r="O76" s="17">
        <f>ROUND(VLOOKUP(O$67&amp;"_1",管理者用人口入力シート!CO:DL,Q76,FALSE),0)</f>
        <v>513</v>
      </c>
      <c r="P76" s="17">
        <f>ROUND(VLOOKUP(O$67&amp;"_2",管理者用人口入力シート!CO:DL,Q76,FALSE),0)</f>
        <v>547</v>
      </c>
      <c r="Q76" s="2">
        <v>11</v>
      </c>
      <c r="U76" s="85"/>
    </row>
    <row r="77" spans="1:21" x14ac:dyDescent="0.15">
      <c r="A77" s="2" t="s">
        <v>12</v>
      </c>
      <c r="B77" s="17">
        <f>ROUND(VLOOKUP(B$63&amp;"_1",管理者用人口入力シート!A:X,D77,FALSE),0)</f>
        <v>684</v>
      </c>
      <c r="C77" s="17">
        <f>ROUND(VLOOKUP(B$63&amp;"_2",管理者用人口入力シート!A:X,D77,FALSE),0)</f>
        <v>775</v>
      </c>
      <c r="D77" s="2">
        <v>16</v>
      </c>
      <c r="G77" s="2" t="s">
        <v>8</v>
      </c>
      <c r="H77" s="17">
        <f>ROUND(VLOOKUP(H$67&amp;"_1",管理者用人口入力シート!BH:CE,J77,FALSE),0)</f>
        <v>571</v>
      </c>
      <c r="I77" s="17">
        <f>ROUND(VLOOKUP(H$67&amp;"_2",管理者用人口入力シート!BH:CE,J77,FALSE),0)</f>
        <v>667</v>
      </c>
      <c r="J77" s="2">
        <v>12</v>
      </c>
      <c r="K77" s="12"/>
      <c r="N77" s="2" t="s">
        <v>8</v>
      </c>
      <c r="O77" s="17">
        <f>ROUND(VLOOKUP(O$67&amp;"_1",管理者用人口入力シート!CO:DL,Q77,FALSE),0)</f>
        <v>571</v>
      </c>
      <c r="P77" s="17">
        <f>ROUND(VLOOKUP(O$67&amp;"_2",管理者用人口入力シート!CO:DL,Q77,FALSE),0)</f>
        <v>668</v>
      </c>
      <c r="Q77" s="2">
        <v>12</v>
      </c>
      <c r="U77" s="85"/>
    </row>
    <row r="78" spans="1:21" x14ac:dyDescent="0.15">
      <c r="A78" s="2" t="s">
        <v>13</v>
      </c>
      <c r="B78" s="17">
        <f>ROUND(VLOOKUP(B$63&amp;"_1",管理者用人口入力シート!A:X,D78,FALSE),0)</f>
        <v>771</v>
      </c>
      <c r="C78" s="17">
        <f>ROUND(VLOOKUP(B$63&amp;"_2",管理者用人口入力シート!A:X,D78,FALSE),0)</f>
        <v>842</v>
      </c>
      <c r="D78" s="2">
        <v>17</v>
      </c>
      <c r="G78" s="2" t="s">
        <v>9</v>
      </c>
      <c r="H78" s="17">
        <f>ROUND(VLOOKUP(H$67&amp;"_1",管理者用人口入力シート!BH:CE,J78,FALSE),0)</f>
        <v>709</v>
      </c>
      <c r="I78" s="17">
        <f>ROUND(VLOOKUP(H$67&amp;"_2",管理者用人口入力シート!BH:CE,J78,FALSE),0)</f>
        <v>758</v>
      </c>
      <c r="J78" s="2">
        <v>13</v>
      </c>
      <c r="K78" s="12"/>
      <c r="N78" s="2" t="s">
        <v>9</v>
      </c>
      <c r="O78" s="17">
        <f>ROUND(VLOOKUP(O$67&amp;"_1",管理者用人口入力シート!CO:DL,Q78,FALSE),0)</f>
        <v>709</v>
      </c>
      <c r="P78" s="17">
        <f>ROUND(VLOOKUP(O$67&amp;"_2",管理者用人口入力シート!CO:DL,Q78,FALSE),0)</f>
        <v>758</v>
      </c>
      <c r="Q78" s="2">
        <v>13</v>
      </c>
      <c r="U78" s="85"/>
    </row>
    <row r="79" spans="1:21" x14ac:dyDescent="0.15">
      <c r="A79" s="2" t="s">
        <v>14</v>
      </c>
      <c r="B79" s="17">
        <f>ROUND(VLOOKUP(B$63&amp;"_1",管理者用人口入力シート!A:X,D79,FALSE),0)</f>
        <v>531</v>
      </c>
      <c r="C79" s="17">
        <f>ROUND(VLOOKUP(B$63&amp;"_2",管理者用人口入力シート!A:X,D79,FALSE),0)</f>
        <v>615</v>
      </c>
      <c r="D79" s="2">
        <v>18</v>
      </c>
      <c r="G79" s="2" t="s">
        <v>10</v>
      </c>
      <c r="H79" s="17">
        <f>ROUND(VLOOKUP(H$67&amp;"_1",管理者用人口入力シート!BH:CE,J79,FALSE),0)</f>
        <v>751</v>
      </c>
      <c r="I79" s="17">
        <f>ROUND(VLOOKUP(H$67&amp;"_2",管理者用人口入力シート!BH:CE,J79,FALSE),0)</f>
        <v>813</v>
      </c>
      <c r="J79" s="2">
        <v>14</v>
      </c>
      <c r="K79" s="12"/>
      <c r="N79" s="2" t="s">
        <v>10</v>
      </c>
      <c r="O79" s="17">
        <f>ROUND(VLOOKUP(O$67&amp;"_1",管理者用人口入力シート!CO:DL,Q79,FALSE),0)</f>
        <v>751</v>
      </c>
      <c r="P79" s="17">
        <f>ROUND(VLOOKUP(O$67&amp;"_2",管理者用人口入力シート!CO:DL,Q79,FALSE),0)</f>
        <v>813</v>
      </c>
      <c r="Q79" s="2">
        <v>14</v>
      </c>
      <c r="U79" s="85"/>
    </row>
    <row r="80" spans="1:21" x14ac:dyDescent="0.15">
      <c r="A80" s="2" t="s">
        <v>15</v>
      </c>
      <c r="B80" s="17">
        <f>ROUND(VLOOKUP(B$63&amp;"_1",管理者用人口入力シート!A:X,D80,FALSE),0)</f>
        <v>407</v>
      </c>
      <c r="C80" s="17">
        <f>ROUND(VLOOKUP(B$63&amp;"_2",管理者用人口入力シート!A:X,D80,FALSE),0)</f>
        <v>517</v>
      </c>
      <c r="D80" s="2">
        <v>19</v>
      </c>
      <c r="G80" s="2" t="s">
        <v>11</v>
      </c>
      <c r="H80" s="17">
        <f>ROUND(VLOOKUP(H$67&amp;"_1",管理者用人口入力シート!BH:CE,J80,FALSE),0)</f>
        <v>578</v>
      </c>
      <c r="I80" s="17">
        <f>ROUND(VLOOKUP(H$67&amp;"_2",管理者用人口入力シート!BH:CE,J80,FALSE),0)</f>
        <v>683</v>
      </c>
      <c r="J80" s="2">
        <v>15</v>
      </c>
      <c r="K80" s="12"/>
      <c r="N80" s="2" t="s">
        <v>11</v>
      </c>
      <c r="O80" s="17">
        <f>ROUND(VLOOKUP(O$67&amp;"_1",管理者用人口入力シート!CO:DL,Q80,FALSE),0)</f>
        <v>578</v>
      </c>
      <c r="P80" s="17">
        <f>ROUND(VLOOKUP(O$67&amp;"_2",管理者用人口入力シート!CO:DL,Q80,FALSE),0)</f>
        <v>683</v>
      </c>
      <c r="Q80" s="2">
        <v>15</v>
      </c>
      <c r="U80" s="85"/>
    </row>
    <row r="81" spans="1:21" x14ac:dyDescent="0.15">
      <c r="A81" s="2" t="s">
        <v>16</v>
      </c>
      <c r="B81" s="17">
        <f>ROUND(VLOOKUP(B$63&amp;"_1",管理者用人口入力シート!A:X,D81,FALSE),0)</f>
        <v>297</v>
      </c>
      <c r="C81" s="17">
        <f>ROUND(VLOOKUP(B$63&amp;"_2",管理者用人口入力シート!A:X,D81,FALSE),0)</f>
        <v>386</v>
      </c>
      <c r="D81" s="2">
        <v>20</v>
      </c>
      <c r="G81" s="2" t="s">
        <v>12</v>
      </c>
      <c r="H81" s="17">
        <f>ROUND(VLOOKUP(H$67&amp;"_1",管理者用人口入力シート!BH:CE,J81,FALSE),0)</f>
        <v>516</v>
      </c>
      <c r="I81" s="17">
        <f>ROUND(VLOOKUP(H$67&amp;"_2",管理者用人口入力シート!BH:CE,J81,FALSE),0)</f>
        <v>562</v>
      </c>
      <c r="J81" s="2">
        <v>16</v>
      </c>
      <c r="K81" s="12"/>
      <c r="N81" s="2" t="s">
        <v>12</v>
      </c>
      <c r="O81" s="17">
        <f>ROUND(VLOOKUP(O$67&amp;"_1",管理者用人口入力シート!CO:DL,Q81,FALSE),0)</f>
        <v>516</v>
      </c>
      <c r="P81" s="17">
        <f>ROUND(VLOOKUP(O$67&amp;"_2",管理者用人口入力シート!CO:DL,Q81,FALSE),0)</f>
        <v>562</v>
      </c>
      <c r="Q81" s="2">
        <v>16</v>
      </c>
      <c r="U81" s="85"/>
    </row>
    <row r="82" spans="1:21" x14ac:dyDescent="0.15">
      <c r="A82" s="2" t="s">
        <v>17</v>
      </c>
      <c r="B82" s="17">
        <f>ROUND(VLOOKUP(B$63&amp;"_1",管理者用人口入力シート!A:X,D82,FALSE),0)</f>
        <v>137</v>
      </c>
      <c r="C82" s="17">
        <f>ROUND(VLOOKUP(B$63&amp;"_2",管理者用人口入力シート!A:X,D82,FALSE),0)</f>
        <v>226</v>
      </c>
      <c r="D82" s="2">
        <v>21</v>
      </c>
      <c r="G82" s="2" t="s">
        <v>13</v>
      </c>
      <c r="H82" s="17">
        <f>ROUND(VLOOKUP(H$67&amp;"_1",管理者用人口入力シート!BH:CE,J82,FALSE),0)</f>
        <v>504</v>
      </c>
      <c r="I82" s="17">
        <f>ROUND(VLOOKUP(H$67&amp;"_2",管理者用人口入力シート!BH:CE,J82,FALSE),0)</f>
        <v>627</v>
      </c>
      <c r="J82" s="2">
        <v>17</v>
      </c>
      <c r="K82" s="12"/>
      <c r="N82" s="2" t="s">
        <v>13</v>
      </c>
      <c r="O82" s="17">
        <f>ROUND(VLOOKUP(O$67&amp;"_1",管理者用人口入力シート!CO:DL,Q82,FALSE),0)</f>
        <v>504</v>
      </c>
      <c r="P82" s="17">
        <f>ROUND(VLOOKUP(O$67&amp;"_2",管理者用人口入力シート!CO:DL,Q82,FALSE),0)</f>
        <v>627</v>
      </c>
      <c r="Q82" s="2">
        <v>17</v>
      </c>
      <c r="U82" s="85"/>
    </row>
    <row r="83" spans="1:21" x14ac:dyDescent="0.15">
      <c r="A83" s="2" t="s">
        <v>18</v>
      </c>
      <c r="B83" s="17">
        <f>ROUND(VLOOKUP(B$63&amp;"_1",管理者用人口入力シート!A:X,D83,FALSE),0)</f>
        <v>46</v>
      </c>
      <c r="C83" s="17">
        <f>ROUND(VLOOKUP(B$63&amp;"_2",管理者用人口入力シート!A:X,D83,FALSE),0)</f>
        <v>120</v>
      </c>
      <c r="D83" s="2">
        <v>22</v>
      </c>
      <c r="G83" s="2" t="s">
        <v>14</v>
      </c>
      <c r="H83" s="17">
        <f>ROUND(VLOOKUP(H$67&amp;"_1",管理者用人口入力シート!BH:CE,J83,FALSE),0)</f>
        <v>605</v>
      </c>
      <c r="I83" s="17">
        <f>ROUND(VLOOKUP(H$67&amp;"_2",管理者用人口入力シート!BH:CE,J83,FALSE),0)</f>
        <v>717</v>
      </c>
      <c r="J83" s="2">
        <v>18</v>
      </c>
      <c r="K83" s="12"/>
      <c r="N83" s="2" t="s">
        <v>14</v>
      </c>
      <c r="O83" s="17">
        <f>ROUND(VLOOKUP(O$67&amp;"_1",管理者用人口入力シート!CO:DL,Q83,FALSE),0)</f>
        <v>605</v>
      </c>
      <c r="P83" s="17">
        <f>ROUND(VLOOKUP(O$67&amp;"_2",管理者用人口入力シート!CO:DL,Q83,FALSE),0)</f>
        <v>717</v>
      </c>
      <c r="Q83" s="2">
        <v>18</v>
      </c>
      <c r="U83" s="85"/>
    </row>
    <row r="84" spans="1:21" x14ac:dyDescent="0.15">
      <c r="A84" s="2" t="s">
        <v>19</v>
      </c>
      <c r="B84" s="17">
        <f>ROUND(VLOOKUP(B$63&amp;"_1",管理者用人口入力シート!A:X,D84,FALSE),0)</f>
        <v>7</v>
      </c>
      <c r="C84" s="17">
        <f>ROUND(VLOOKUP(B$63&amp;"_2",管理者用人口入力シート!A:X,D84,FALSE),0)</f>
        <v>26</v>
      </c>
      <c r="D84" s="2">
        <v>23</v>
      </c>
      <c r="G84" s="2" t="s">
        <v>15</v>
      </c>
      <c r="H84" s="17">
        <f>ROUND(VLOOKUP(H$67&amp;"_1",管理者用人口入力シート!BH:CE,J84,FALSE),0)</f>
        <v>635</v>
      </c>
      <c r="I84" s="17">
        <f>ROUND(VLOOKUP(H$67&amp;"_2",管理者用人口入力シート!BH:CE,J84,FALSE),0)</f>
        <v>758</v>
      </c>
      <c r="J84" s="2">
        <v>19</v>
      </c>
      <c r="K84" s="12"/>
      <c r="N84" s="2" t="s">
        <v>15</v>
      </c>
      <c r="O84" s="17">
        <f>ROUND(VLOOKUP(O$67&amp;"_1",管理者用人口入力シート!CO:DL,Q84,FALSE),0)</f>
        <v>635</v>
      </c>
      <c r="P84" s="17">
        <f>ROUND(VLOOKUP(O$67&amp;"_2",管理者用人口入力シート!CO:DL,Q84,FALSE),0)</f>
        <v>758</v>
      </c>
      <c r="Q84" s="2">
        <v>19</v>
      </c>
      <c r="U84" s="85"/>
    </row>
    <row r="85" spans="1:21" x14ac:dyDescent="0.15">
      <c r="A85" s="2" t="s">
        <v>20</v>
      </c>
      <c r="B85" s="17">
        <f>ROUND(VLOOKUP(B$63&amp;"_1",管理者用人口入力シート!A:X,D85,FALSE),0)</f>
        <v>1</v>
      </c>
      <c r="C85" s="17">
        <f>ROUND(VLOOKUP(B$63&amp;"_2",管理者用人口入力シート!A:X,D85,FALSE),0)</f>
        <v>3</v>
      </c>
      <c r="D85" s="2">
        <v>24</v>
      </c>
      <c r="G85" s="2" t="s">
        <v>16</v>
      </c>
      <c r="H85" s="17">
        <f>ROUND(VLOOKUP(H$67&amp;"_1",管理者用人口入力シート!BH:CE,J85,FALSE),0)</f>
        <v>390</v>
      </c>
      <c r="I85" s="17">
        <f>ROUND(VLOOKUP(H$67&amp;"_2",管理者用人口入力シート!BH:CE,J85,FALSE),0)</f>
        <v>494</v>
      </c>
      <c r="J85" s="2">
        <v>20</v>
      </c>
      <c r="K85" s="12"/>
      <c r="N85" s="2" t="s">
        <v>16</v>
      </c>
      <c r="O85" s="17">
        <f>ROUND(VLOOKUP(O$67&amp;"_1",管理者用人口入力シート!CO:DL,Q85,FALSE),0)</f>
        <v>390</v>
      </c>
      <c r="P85" s="17">
        <f>ROUND(VLOOKUP(O$67&amp;"_2",管理者用人口入力シート!CO:DL,Q85,FALSE),0)</f>
        <v>494</v>
      </c>
      <c r="Q85" s="2">
        <v>20</v>
      </c>
      <c r="U85" s="85"/>
    </row>
    <row r="86" spans="1:21" x14ac:dyDescent="0.15">
      <c r="G86" s="2" t="s">
        <v>17</v>
      </c>
      <c r="H86" s="17">
        <f>ROUND(VLOOKUP(H$67&amp;"_1",管理者用人口入力シート!BH:CE,J86,FALSE),0)</f>
        <v>219</v>
      </c>
      <c r="I86" s="17">
        <f>ROUND(VLOOKUP(H$67&amp;"_2",管理者用人口入力シート!BH:CE,J86,FALSE),0)</f>
        <v>357</v>
      </c>
      <c r="J86" s="2">
        <v>21</v>
      </c>
      <c r="K86" s="12"/>
      <c r="N86" s="2" t="s">
        <v>17</v>
      </c>
      <c r="O86" s="17">
        <f>ROUND(VLOOKUP(O$67&amp;"_1",管理者用人口入力シート!CO:DL,Q86,FALSE),0)</f>
        <v>219</v>
      </c>
      <c r="P86" s="17">
        <f>ROUND(VLOOKUP(O$67&amp;"_2",管理者用人口入力シート!CO:DL,Q86,FALSE),0)</f>
        <v>357</v>
      </c>
      <c r="Q86" s="2">
        <v>21</v>
      </c>
      <c r="U86" s="85"/>
    </row>
    <row r="87" spans="1:21" x14ac:dyDescent="0.15">
      <c r="A87" s="2" t="s">
        <v>62</v>
      </c>
      <c r="B87" s="316">
        <f>管理者入力シート!B5</f>
        <v>2020</v>
      </c>
      <c r="C87" s="317"/>
      <c r="D87" s="2" t="s">
        <v>114</v>
      </c>
      <c r="G87" s="2" t="s">
        <v>18</v>
      </c>
      <c r="H87" s="17">
        <f>ROUND(VLOOKUP(H$67&amp;"_1",管理者用人口入力シート!BH:CE,J87,FALSE),0)</f>
        <v>85</v>
      </c>
      <c r="I87" s="17">
        <f>ROUND(VLOOKUP(H$67&amp;"_2",管理者用人口入力シート!BH:CE,J87,FALSE),0)</f>
        <v>193</v>
      </c>
      <c r="J87" s="2">
        <v>22</v>
      </c>
      <c r="K87" s="12"/>
      <c r="N87" s="2" t="s">
        <v>18</v>
      </c>
      <c r="O87" s="17">
        <f>ROUND(VLOOKUP(O$67&amp;"_1",管理者用人口入力シート!CO:DL,Q87,FALSE),0)</f>
        <v>85</v>
      </c>
      <c r="P87" s="17">
        <f>ROUND(VLOOKUP(O$67&amp;"_2",管理者用人口入力シート!CO:DL,Q87,FALSE),0)</f>
        <v>193</v>
      </c>
      <c r="Q87" s="2">
        <v>22</v>
      </c>
      <c r="U87" s="85"/>
    </row>
    <row r="88" spans="1:21" x14ac:dyDescent="0.15">
      <c r="A88" s="2" t="s">
        <v>115</v>
      </c>
      <c r="B88" s="18" t="s">
        <v>21</v>
      </c>
      <c r="C88" s="18" t="s">
        <v>22</v>
      </c>
      <c r="G88" s="2" t="s">
        <v>19</v>
      </c>
      <c r="H88" s="17">
        <f>ROUND(VLOOKUP(H$67&amp;"_1",管理者用人口入力シート!BH:CE,J88,FALSE),0)</f>
        <v>20</v>
      </c>
      <c r="I88" s="17">
        <f>ROUND(VLOOKUP(H$67&amp;"_2",管理者用人口入力シート!BH:CE,J88,FALSE),0)</f>
        <v>56</v>
      </c>
      <c r="J88" s="2">
        <v>23</v>
      </c>
      <c r="K88" s="12"/>
      <c r="N88" s="2" t="s">
        <v>19</v>
      </c>
      <c r="O88" s="17">
        <f>ROUND(VLOOKUP(O$67&amp;"_1",管理者用人口入力シート!CO:DL,Q88,FALSE),0)</f>
        <v>20</v>
      </c>
      <c r="P88" s="17">
        <f>ROUND(VLOOKUP(O$67&amp;"_2",管理者用人口入力シート!CO:DL,Q88,FALSE),0)</f>
        <v>56</v>
      </c>
      <c r="Q88" s="2">
        <v>23</v>
      </c>
      <c r="U88" s="85"/>
    </row>
    <row r="89" spans="1:21" x14ac:dyDescent="0.15">
      <c r="A89" s="2" t="s">
        <v>0</v>
      </c>
      <c r="B89" s="17">
        <f>ROUND(VLOOKUP(B$87&amp;"_1",管理者用人口入力シート!A:X,D89,FALSE),0)</f>
        <v>494</v>
      </c>
      <c r="C89" s="17">
        <f>ROUND(VLOOKUP(B$87&amp;"_2",管理者用人口入力シート!A:X,D89,FALSE),0)</f>
        <v>490</v>
      </c>
      <c r="D89" s="2">
        <v>4</v>
      </c>
      <c r="G89" s="2" t="s">
        <v>20</v>
      </c>
      <c r="H89" s="17">
        <f>ROUND(VLOOKUP(H$67&amp;"_1",管理者用人口入力シート!BH:CE,J89,FALSE),0)</f>
        <v>0</v>
      </c>
      <c r="I89" s="17">
        <f>ROUND(VLOOKUP(H$67&amp;"_2",管理者用人口入力シート!BH:CE,J89,FALSE),0)</f>
        <v>11</v>
      </c>
      <c r="J89" s="2">
        <v>24</v>
      </c>
      <c r="K89" s="12"/>
      <c r="N89" s="2" t="s">
        <v>20</v>
      </c>
      <c r="O89" s="17">
        <f>ROUND(VLOOKUP(O$67&amp;"_1",管理者用人口入力シート!CO:DL,Q89,FALSE),0)</f>
        <v>0</v>
      </c>
      <c r="P89" s="17">
        <f>ROUND(VLOOKUP(O$67&amp;"_2",管理者用人口入力シート!CO:DL,Q89,FALSE),0)</f>
        <v>11</v>
      </c>
      <c r="Q89" s="2">
        <v>24</v>
      </c>
      <c r="U89" s="85"/>
    </row>
    <row r="90" spans="1:21" x14ac:dyDescent="0.15">
      <c r="A90" s="2" t="s">
        <v>1</v>
      </c>
      <c r="B90" s="17">
        <f>ROUND(VLOOKUP(B$87&amp;"_1",管理者用人口入力シート!A:X,D90,FALSE),0)</f>
        <v>557</v>
      </c>
      <c r="C90" s="17">
        <f>ROUND(VLOOKUP(B$87&amp;"_2",管理者用人口入力シート!A:X,D90,FALSE),0)</f>
        <v>524</v>
      </c>
      <c r="D90" s="2">
        <v>5</v>
      </c>
    </row>
    <row r="91" spans="1:21" x14ac:dyDescent="0.15">
      <c r="A91" s="2" t="s">
        <v>2</v>
      </c>
      <c r="B91" s="17">
        <f>ROUND(VLOOKUP(B$87&amp;"_1",管理者用人口入力シート!A:X,D91,FALSE),0)</f>
        <v>558</v>
      </c>
      <c r="C91" s="17">
        <f>ROUND(VLOOKUP(B$87&amp;"_2",管理者用人口入力シート!A:X,D91,FALSE),0)</f>
        <v>517</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471</v>
      </c>
      <c r="C92" s="17">
        <f>ROUND(VLOOKUP(B$87&amp;"_2",管理者用人口入力シート!A:X,D92,FALSE),0)</f>
        <v>457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317</v>
      </c>
      <c r="C93" s="17">
        <f>ROUND(VLOOKUP(B$87&amp;"_2",管理者用人口入力シート!A:X,D93,FALSE),0)</f>
        <v>360</v>
      </c>
      <c r="D93" s="2">
        <v>8</v>
      </c>
      <c r="G93" s="2" t="s">
        <v>0</v>
      </c>
      <c r="H93" s="17">
        <f>ROUND(VLOOKUP(H$91&amp;"_1",管理者用人口入力シート!BH:CE,J93,FALSE),0)</f>
        <v>404</v>
      </c>
      <c r="I93" s="17">
        <f>ROUND(VLOOKUP(H$91&amp;"_2",管理者用人口入力シート!BH:CE,J93,FALSE),0)</f>
        <v>400</v>
      </c>
      <c r="J93" s="2">
        <v>4</v>
      </c>
      <c r="K93" s="12"/>
      <c r="N93" s="2" t="s">
        <v>0</v>
      </c>
      <c r="O93" s="17">
        <f>ROUND(VLOOKUP(O$91&amp;"_1",管理者用人口入力シート!CO:DL,Q93,FALSE),0)</f>
        <v>406</v>
      </c>
      <c r="P93" s="17">
        <f>ROUND(VLOOKUP(O$91&amp;"_2",管理者用人口入力シート!CO:DL,Q93,FALSE),0)</f>
        <v>402</v>
      </c>
      <c r="Q93" s="2">
        <v>4</v>
      </c>
      <c r="T93" s="85"/>
    </row>
    <row r="94" spans="1:21" x14ac:dyDescent="0.15">
      <c r="A94" s="2" t="s">
        <v>5</v>
      </c>
      <c r="B94" s="17">
        <f>ROUND(VLOOKUP(B$87&amp;"_1",管理者用人口入力シート!A:X,D94,FALSE),0)</f>
        <v>399</v>
      </c>
      <c r="C94" s="17">
        <f>ROUND(VLOOKUP(B$87&amp;"_2",管理者用人口入力シート!A:X,D94,FALSE),0)</f>
        <v>478</v>
      </c>
      <c r="D94" s="2">
        <v>9</v>
      </c>
      <c r="G94" s="2" t="s">
        <v>1</v>
      </c>
      <c r="H94" s="17">
        <f>ROUND(VLOOKUP(H$91&amp;"_1",管理者用人口入力シート!BH:CE,J94,FALSE),0)</f>
        <v>419</v>
      </c>
      <c r="I94" s="17">
        <f>ROUND(VLOOKUP(H$91&amp;"_2",管理者用人口入力シート!BH:CE,J94,FALSE),0)</f>
        <v>395</v>
      </c>
      <c r="J94" s="2">
        <v>5</v>
      </c>
      <c r="K94" s="12"/>
      <c r="N94" s="2" t="s">
        <v>1</v>
      </c>
      <c r="O94" s="17">
        <f>ROUND(VLOOKUP(O$91&amp;"_1",管理者用人口入力シート!CO:DL,Q94,FALSE),0)</f>
        <v>420</v>
      </c>
      <c r="P94" s="17">
        <f>ROUND(VLOOKUP(O$91&amp;"_2",管理者用人口入力シート!CO:DL,Q94,FALSE),0)</f>
        <v>396</v>
      </c>
      <c r="Q94" s="2">
        <v>5</v>
      </c>
      <c r="T94" s="85"/>
    </row>
    <row r="95" spans="1:21" x14ac:dyDescent="0.15">
      <c r="A95" s="2" t="s">
        <v>6</v>
      </c>
      <c r="B95" s="17">
        <f>ROUND(VLOOKUP(B$87&amp;"_1",管理者用人口入力シート!A:X,D95,FALSE),0)</f>
        <v>516</v>
      </c>
      <c r="C95" s="17">
        <f>ROUND(VLOOKUP(B$87&amp;"_2",管理者用人口入力シート!A:X,D95,FALSE),0)</f>
        <v>554</v>
      </c>
      <c r="D95" s="2">
        <v>10</v>
      </c>
      <c r="G95" s="2" t="s">
        <v>2</v>
      </c>
      <c r="H95" s="17">
        <f>ROUND(VLOOKUP(H$91&amp;"_1",管理者用人口入力シート!BH:CE,J95,FALSE),0)</f>
        <v>488</v>
      </c>
      <c r="I95" s="17">
        <f>ROUND(VLOOKUP(H$91&amp;"_2",管理者用人口入力シート!BH:CE,J95,FALSE),0)</f>
        <v>453</v>
      </c>
      <c r="J95" s="2">
        <v>6</v>
      </c>
      <c r="K95" s="12"/>
      <c r="N95" s="2" t="s">
        <v>2</v>
      </c>
      <c r="O95" s="17">
        <f>ROUND(VLOOKUP(O$91&amp;"_1",管理者用人口入力シート!CO:DL,Q95,FALSE),0)</f>
        <v>489</v>
      </c>
      <c r="P95" s="17">
        <f>ROUND(VLOOKUP(O$91&amp;"_2",管理者用人口入力シート!CO:DL,Q95,FALSE),0)</f>
        <v>454</v>
      </c>
      <c r="Q95" s="2">
        <v>6</v>
      </c>
      <c r="T95" s="85"/>
    </row>
    <row r="96" spans="1:21" x14ac:dyDescent="0.15">
      <c r="A96" s="2" t="s">
        <v>7</v>
      </c>
      <c r="B96" s="17">
        <f>ROUND(VLOOKUP(B$87&amp;"_1",管理者用人口入力シート!A:X,D96,FALSE),0)</f>
        <v>571</v>
      </c>
      <c r="C96" s="17">
        <f>ROUND(VLOOKUP(B$87&amp;"_2",管理者用人口入力シート!A:X,D96,FALSE),0)</f>
        <v>684</v>
      </c>
      <c r="D96" s="2">
        <v>11</v>
      </c>
      <c r="G96" s="2" t="s">
        <v>3</v>
      </c>
      <c r="H96" s="17">
        <f>ROUND(VLOOKUP(H$91&amp;"_1",管理者用人口入力シート!BH:CE,J96,FALSE),0)</f>
        <v>501</v>
      </c>
      <c r="I96" s="17">
        <f>ROUND(VLOOKUP(H$91&amp;"_2",管理者用人口入力シート!BH:CE,J96,FALSE),0)</f>
        <v>493</v>
      </c>
      <c r="J96" s="2">
        <v>7</v>
      </c>
      <c r="K96" s="12"/>
      <c r="N96" s="2" t="s">
        <v>3</v>
      </c>
      <c r="O96" s="17">
        <f>ROUND(VLOOKUP(O$91&amp;"_1",管理者用人口入力シート!CO:DL,Q96,FALSE),0)</f>
        <v>502</v>
      </c>
      <c r="P96" s="17">
        <f>ROUND(VLOOKUP(O$91&amp;"_2",管理者用人口入力シート!CO:DL,Q96,FALSE),0)</f>
        <v>494</v>
      </c>
      <c r="Q96" s="2">
        <v>7</v>
      </c>
      <c r="T96" s="85"/>
    </row>
    <row r="97" spans="1:20" x14ac:dyDescent="0.15">
      <c r="A97" s="2" t="s">
        <v>8</v>
      </c>
      <c r="B97" s="17">
        <f>ROUND(VLOOKUP(B$87&amp;"_1",管理者用人口入力シート!A:X,D97,FALSE),0)</f>
        <v>719</v>
      </c>
      <c r="C97" s="17">
        <f>ROUND(VLOOKUP(B$87&amp;"_2",管理者用人口入力シート!A:X,D97,FALSE),0)</f>
        <v>744</v>
      </c>
      <c r="D97" s="2">
        <v>12</v>
      </c>
      <c r="G97" s="2" t="s">
        <v>4</v>
      </c>
      <c r="H97" s="17">
        <f>ROUND(VLOOKUP(H$91&amp;"_1",管理者用人口入力シート!BH:CE,J97,FALSE),0)</f>
        <v>301</v>
      </c>
      <c r="I97" s="17">
        <f>ROUND(VLOOKUP(H$91&amp;"_2",管理者用人口入力シート!BH:CE,J97,FALSE),0)</f>
        <v>370</v>
      </c>
      <c r="J97" s="2">
        <v>8</v>
      </c>
      <c r="K97" s="12"/>
      <c r="N97" s="2" t="s">
        <v>4</v>
      </c>
      <c r="O97" s="17">
        <f>ROUND(VLOOKUP(O$91&amp;"_1",管理者用人口入力シート!CO:DL,Q97,FALSE),0)</f>
        <v>301</v>
      </c>
      <c r="P97" s="17">
        <f>ROUND(VLOOKUP(O$91&amp;"_2",管理者用人口入力シート!CO:DL,Q97,FALSE),0)</f>
        <v>370</v>
      </c>
      <c r="Q97" s="2">
        <v>8</v>
      </c>
      <c r="T97" s="85"/>
    </row>
    <row r="98" spans="1:20" x14ac:dyDescent="0.15">
      <c r="A98" s="2" t="s">
        <v>9</v>
      </c>
      <c r="B98" s="17">
        <f>ROUND(VLOOKUP(B$87&amp;"_1",管理者用人口入力シート!A:X,D98,FALSE),0)</f>
        <v>779</v>
      </c>
      <c r="C98" s="17">
        <f>ROUND(VLOOKUP(B$87&amp;"_2",管理者用人口入力シート!A:X,D98,FALSE),0)</f>
        <v>855</v>
      </c>
      <c r="D98" s="2">
        <v>13</v>
      </c>
      <c r="G98" s="2" t="s">
        <v>5</v>
      </c>
      <c r="H98" s="17">
        <f>ROUND(VLOOKUP(H$91&amp;"_1",管理者用人口入力シート!BH:CE,J98,FALSE),0)</f>
        <v>374</v>
      </c>
      <c r="I98" s="17">
        <f>ROUND(VLOOKUP(H$91&amp;"_2",管理者用人口入力シート!BH:CE,J98,FALSE),0)</f>
        <v>417</v>
      </c>
      <c r="J98" s="2">
        <v>9</v>
      </c>
      <c r="K98" s="12"/>
      <c r="N98" s="2" t="s">
        <v>5</v>
      </c>
      <c r="O98" s="17">
        <f>ROUND(VLOOKUP(O$91&amp;"_1",管理者用人口入力シート!CO:DL,Q98,FALSE),0)</f>
        <v>376</v>
      </c>
      <c r="P98" s="17">
        <f>ROUND(VLOOKUP(O$91&amp;"_2",管理者用人口入力シート!CO:DL,Q98,FALSE),0)</f>
        <v>419</v>
      </c>
      <c r="Q98" s="2">
        <v>9</v>
      </c>
      <c r="T98" s="85"/>
    </row>
    <row r="99" spans="1:20" x14ac:dyDescent="0.15">
      <c r="A99" s="2" t="s">
        <v>10</v>
      </c>
      <c r="B99" s="17">
        <f>ROUND(VLOOKUP(B$87&amp;"_1",管理者用人口入力シート!A:X,D99,FALSE),0)</f>
        <v>589</v>
      </c>
      <c r="C99" s="17">
        <f>ROUND(VLOOKUP(B$87&amp;"_2",管理者用人口入力シート!A:X,D99,FALSE),0)</f>
        <v>698</v>
      </c>
      <c r="D99" s="2">
        <v>14</v>
      </c>
      <c r="G99" s="2" t="s">
        <v>6</v>
      </c>
      <c r="H99" s="17">
        <f>ROUND(VLOOKUP(H$91&amp;"_1",管理者用人口入力シート!BH:CE,J99,FALSE),0)</f>
        <v>453</v>
      </c>
      <c r="I99" s="17">
        <f>ROUND(VLOOKUP(H$91&amp;"_2",管理者用人口入力シート!BH:CE,J99,FALSE),0)</f>
        <v>435</v>
      </c>
      <c r="J99" s="2">
        <v>10</v>
      </c>
      <c r="K99" s="12"/>
      <c r="N99" s="2" t="s">
        <v>6</v>
      </c>
      <c r="O99" s="17">
        <f>ROUND(VLOOKUP(O$91&amp;"_1",管理者用人口入力シート!CO:DL,Q99,FALSE),0)</f>
        <v>455</v>
      </c>
      <c r="P99" s="17">
        <f>ROUND(VLOOKUP(O$91&amp;"_2",管理者用人口入力シート!CO:DL,Q99,FALSE),0)</f>
        <v>437</v>
      </c>
      <c r="Q99" s="2">
        <v>10</v>
      </c>
      <c r="T99" s="85"/>
    </row>
    <row r="100" spans="1:20" x14ac:dyDescent="0.15">
      <c r="A100" s="2" t="s">
        <v>11</v>
      </c>
      <c r="B100" s="17">
        <f>ROUND(VLOOKUP(B$87&amp;"_1",管理者用人口入力シート!A:X,D100,FALSE),0)</f>
        <v>535</v>
      </c>
      <c r="C100" s="17">
        <f>ROUND(VLOOKUP(B$87&amp;"_2",管理者用人口入力シート!A:X,D100,FALSE),0)</f>
        <v>578</v>
      </c>
      <c r="D100" s="2">
        <v>15</v>
      </c>
      <c r="G100" s="2" t="s">
        <v>7</v>
      </c>
      <c r="H100" s="17">
        <f>ROUND(VLOOKUP(H$91&amp;"_1",管理者用人口入力シート!BH:CE,J100,FALSE),0)</f>
        <v>434</v>
      </c>
      <c r="I100" s="17">
        <f>ROUND(VLOOKUP(H$91&amp;"_2",管理者用人口入力シート!BH:CE,J100,FALSE),0)</f>
        <v>473</v>
      </c>
      <c r="J100" s="2">
        <v>11</v>
      </c>
      <c r="K100" s="12"/>
      <c r="N100" s="2" t="s">
        <v>7</v>
      </c>
      <c r="O100" s="17">
        <f>ROUND(VLOOKUP(O$91&amp;"_1",管理者用人口入力シート!CO:DL,Q100,FALSE),0)</f>
        <v>434</v>
      </c>
      <c r="P100" s="17">
        <f>ROUND(VLOOKUP(O$91&amp;"_2",管理者用人口入力シート!CO:DL,Q100,FALSE),0)</f>
        <v>473</v>
      </c>
      <c r="Q100" s="2">
        <v>11</v>
      </c>
      <c r="T100" s="85"/>
    </row>
    <row r="101" spans="1:20" x14ac:dyDescent="0.15">
      <c r="A101" s="2" t="s">
        <v>12</v>
      </c>
      <c r="B101" s="17">
        <f>ROUND(VLOOKUP(B$87&amp;"_1",管理者用人口入力シート!A:X,D101,FALSE),0)</f>
        <v>533</v>
      </c>
      <c r="C101" s="17">
        <f>ROUND(VLOOKUP(B$87&amp;"_2",管理者用人口入力シート!A:X,D101,FALSE),0)</f>
        <v>655</v>
      </c>
      <c r="D101" s="2">
        <v>16</v>
      </c>
      <c r="G101" s="2" t="s">
        <v>8</v>
      </c>
      <c r="H101" s="17">
        <f>ROUND(VLOOKUP(H$91&amp;"_1",管理者用人口入力シート!BH:CE,J101,FALSE),0)</f>
        <v>513</v>
      </c>
      <c r="I101" s="17">
        <f>ROUND(VLOOKUP(H$91&amp;"_2",管理者用人口入力シート!BH:CE,J101,FALSE),0)</f>
        <v>533</v>
      </c>
      <c r="J101" s="2">
        <v>12</v>
      </c>
      <c r="K101" s="12"/>
      <c r="N101" s="2" t="s">
        <v>8</v>
      </c>
      <c r="O101" s="17">
        <f>ROUND(VLOOKUP(O$91&amp;"_1",管理者用人口入力シート!CO:DL,Q101,FALSE),0)</f>
        <v>513</v>
      </c>
      <c r="P101" s="17">
        <f>ROUND(VLOOKUP(O$91&amp;"_2",管理者用人口入力シート!CO:DL,Q101,FALSE),0)</f>
        <v>534</v>
      </c>
      <c r="Q101" s="2">
        <v>12</v>
      </c>
      <c r="T101" s="85"/>
    </row>
    <row r="102" spans="1:20" x14ac:dyDescent="0.15">
      <c r="A102" s="2" t="s">
        <v>13</v>
      </c>
      <c r="B102" s="17">
        <f>ROUND(VLOOKUP(B$87&amp;"_1",管理者用人口入力シート!A:X,D102,FALSE),0)</f>
        <v>649</v>
      </c>
      <c r="C102" s="17">
        <f>ROUND(VLOOKUP(B$87&amp;"_2",管理者用人口入力シート!A:X,D102,FALSE),0)</f>
        <v>746</v>
      </c>
      <c r="D102" s="2">
        <v>17</v>
      </c>
      <c r="G102" s="2" t="s">
        <v>9</v>
      </c>
      <c r="H102" s="17">
        <f>ROUND(VLOOKUP(H$91&amp;"_1",管理者用人口入力シート!BH:CE,J102,FALSE),0)</f>
        <v>563</v>
      </c>
      <c r="I102" s="17">
        <f>ROUND(VLOOKUP(H$91&amp;"_2",管理者用人口入力シート!BH:CE,J102,FALSE),0)</f>
        <v>679</v>
      </c>
      <c r="J102" s="2">
        <v>13</v>
      </c>
      <c r="K102" s="12"/>
      <c r="N102" s="2" t="s">
        <v>9</v>
      </c>
      <c r="O102" s="17">
        <f>ROUND(VLOOKUP(O$91&amp;"_1",管理者用人口入力シート!CO:DL,Q102,FALSE),0)</f>
        <v>563</v>
      </c>
      <c r="P102" s="17">
        <f>ROUND(VLOOKUP(O$91&amp;"_2",管理者用人口入力シート!CO:DL,Q102,FALSE),0)</f>
        <v>680</v>
      </c>
      <c r="Q102" s="2">
        <v>13</v>
      </c>
      <c r="T102" s="85"/>
    </row>
    <row r="103" spans="1:20" x14ac:dyDescent="0.15">
      <c r="A103" s="2" t="s">
        <v>14</v>
      </c>
      <c r="B103" s="17">
        <f>ROUND(VLOOKUP(B$87&amp;"_1",管理者用人口入力シート!A:X,D103,FALSE),0)</f>
        <v>714</v>
      </c>
      <c r="C103" s="17">
        <f>ROUND(VLOOKUP(B$87&amp;"_2",管理者用人口入力シート!A:X,D103,FALSE),0)</f>
        <v>813</v>
      </c>
      <c r="D103" s="2">
        <v>18</v>
      </c>
      <c r="G103" s="2" t="s">
        <v>10</v>
      </c>
      <c r="H103" s="17">
        <f>ROUND(VLOOKUP(H$91&amp;"_1",管理者用人口入力シート!BH:CE,J103,FALSE),0)</f>
        <v>683</v>
      </c>
      <c r="I103" s="17">
        <f>ROUND(VLOOKUP(H$91&amp;"_2",管理者用人口入力シート!BH:CE,J103,FALSE),0)</f>
        <v>720</v>
      </c>
      <c r="J103" s="2">
        <v>14</v>
      </c>
      <c r="K103" s="12"/>
      <c r="N103" s="2" t="s">
        <v>10</v>
      </c>
      <c r="O103" s="17">
        <f>ROUND(VLOOKUP(O$91&amp;"_1",管理者用人口入力シート!CO:DL,Q103,FALSE),0)</f>
        <v>683</v>
      </c>
      <c r="P103" s="17">
        <f>ROUND(VLOOKUP(O$91&amp;"_2",管理者用人口入力シート!CO:DL,Q103,FALSE),0)</f>
        <v>720</v>
      </c>
      <c r="Q103" s="2">
        <v>14</v>
      </c>
      <c r="T103" s="85"/>
    </row>
    <row r="104" spans="1:20" x14ac:dyDescent="0.15">
      <c r="A104" s="2" t="s">
        <v>15</v>
      </c>
      <c r="B104" s="17">
        <f>ROUND(VLOOKUP(B$87&amp;"_1",管理者用人口入力シート!A:X,D104,FALSE),0)</f>
        <v>471</v>
      </c>
      <c r="C104" s="17">
        <f>ROUND(VLOOKUP(B$87&amp;"_2",管理者用人口入力シート!A:X,D104,FALSE),0)</f>
        <v>558</v>
      </c>
      <c r="D104" s="2">
        <v>19</v>
      </c>
      <c r="G104" s="2" t="s">
        <v>11</v>
      </c>
      <c r="H104" s="17">
        <f>ROUND(VLOOKUP(H$91&amp;"_1",管理者用人口入力シート!BH:CE,J104,FALSE),0)</f>
        <v>736</v>
      </c>
      <c r="I104" s="17">
        <f>ROUND(VLOOKUP(H$91&amp;"_2",管理者用人口入力シート!BH:CE,J104,FALSE),0)</f>
        <v>796</v>
      </c>
      <c r="J104" s="2">
        <v>15</v>
      </c>
      <c r="K104" s="12"/>
      <c r="N104" s="2" t="s">
        <v>11</v>
      </c>
      <c r="O104" s="17">
        <f>ROUND(VLOOKUP(O$91&amp;"_1",管理者用人口入力シート!CO:DL,Q104,FALSE),0)</f>
        <v>736</v>
      </c>
      <c r="P104" s="17">
        <f>ROUND(VLOOKUP(O$91&amp;"_2",管理者用人口入力シート!CO:DL,Q104,FALSE),0)</f>
        <v>796</v>
      </c>
      <c r="Q104" s="2">
        <v>15</v>
      </c>
      <c r="T104" s="85"/>
    </row>
    <row r="105" spans="1:20" x14ac:dyDescent="0.15">
      <c r="A105" s="2" t="s">
        <v>16</v>
      </c>
      <c r="B105" s="17">
        <f>ROUND(VLOOKUP(B$87&amp;"_1",管理者用人口入力シート!A:X,D105,FALSE),0)</f>
        <v>338</v>
      </c>
      <c r="C105" s="17">
        <f>ROUND(VLOOKUP(B$87&amp;"_2",管理者用人口入力シート!A:X,D105,FALSE),0)</f>
        <v>452</v>
      </c>
      <c r="D105" s="2">
        <v>20</v>
      </c>
      <c r="G105" s="2" t="s">
        <v>12</v>
      </c>
      <c r="H105" s="17">
        <f>ROUND(VLOOKUP(H$91&amp;"_1",管理者用人口入力シート!BH:CE,J105,FALSE),0)</f>
        <v>557</v>
      </c>
      <c r="I105" s="17">
        <f>ROUND(VLOOKUP(H$91&amp;"_2",管理者用人口入力シート!BH:CE,J105,FALSE),0)</f>
        <v>664</v>
      </c>
      <c r="J105" s="2">
        <v>16</v>
      </c>
      <c r="K105" s="12"/>
      <c r="N105" s="2" t="s">
        <v>12</v>
      </c>
      <c r="O105" s="17">
        <f>ROUND(VLOOKUP(O$91&amp;"_1",管理者用人口入力シート!CO:DL,Q105,FALSE),0)</f>
        <v>557</v>
      </c>
      <c r="P105" s="17">
        <f>ROUND(VLOOKUP(O$91&amp;"_2",管理者用人口入力シート!CO:DL,Q105,FALSE),0)</f>
        <v>664</v>
      </c>
      <c r="Q105" s="2">
        <v>16</v>
      </c>
      <c r="T105" s="85"/>
    </row>
    <row r="106" spans="1:20" x14ac:dyDescent="0.15">
      <c r="A106" s="2" t="s">
        <v>17</v>
      </c>
      <c r="B106" s="17">
        <f>ROUND(VLOOKUP(B$87&amp;"_1",管理者用人口入力シート!A:X,D106,FALSE),0)</f>
        <v>184</v>
      </c>
      <c r="C106" s="17">
        <f>ROUND(VLOOKUP(B$87&amp;"_2",管理者用人口入力シート!A:X,D106,FALSE),0)</f>
        <v>298</v>
      </c>
      <c r="D106" s="2">
        <v>21</v>
      </c>
      <c r="G106" s="2" t="s">
        <v>13</v>
      </c>
      <c r="H106" s="17">
        <f>ROUND(VLOOKUP(H$91&amp;"_1",管理者用人口入力シート!BH:CE,J106,FALSE),0)</f>
        <v>487</v>
      </c>
      <c r="I106" s="17">
        <f>ROUND(VLOOKUP(H$91&amp;"_2",管理者用人口入力シート!BH:CE,J106,FALSE),0)</f>
        <v>538</v>
      </c>
      <c r="J106" s="2">
        <v>17</v>
      </c>
      <c r="K106" s="12"/>
      <c r="N106" s="2" t="s">
        <v>13</v>
      </c>
      <c r="O106" s="17">
        <f>ROUND(VLOOKUP(O$91&amp;"_1",管理者用人口入力シート!CO:DL,Q106,FALSE),0)</f>
        <v>487</v>
      </c>
      <c r="P106" s="17">
        <f>ROUND(VLOOKUP(O$91&amp;"_2",管理者用人口入力シート!CO:DL,Q106,FALSE),0)</f>
        <v>538</v>
      </c>
      <c r="Q106" s="2">
        <v>17</v>
      </c>
      <c r="T106" s="85"/>
    </row>
    <row r="107" spans="1:20" x14ac:dyDescent="0.15">
      <c r="A107" s="2" t="s">
        <v>18</v>
      </c>
      <c r="B107" s="17">
        <f>ROUND(VLOOKUP(B$87&amp;"_1",管理者用人口入力シート!A:X,D107,FALSE),0)</f>
        <v>55</v>
      </c>
      <c r="C107" s="17">
        <f>ROUND(VLOOKUP(B$87&amp;"_2",管理者用人口入力シート!A:X,D107,FALSE),0)</f>
        <v>152</v>
      </c>
      <c r="D107" s="2">
        <v>22</v>
      </c>
      <c r="G107" s="2" t="s">
        <v>14</v>
      </c>
      <c r="H107" s="17">
        <f>ROUND(VLOOKUP(H$91&amp;"_1",管理者用人口入力シート!BH:CE,J107,FALSE),0)</f>
        <v>469</v>
      </c>
      <c r="I107" s="17">
        <f>ROUND(VLOOKUP(H$91&amp;"_2",管理者用人口入力シート!BH:CE,J107,FALSE),0)</f>
        <v>603</v>
      </c>
      <c r="J107" s="2">
        <v>18</v>
      </c>
      <c r="K107" s="12"/>
      <c r="N107" s="2" t="s">
        <v>14</v>
      </c>
      <c r="O107" s="17">
        <f>ROUND(VLOOKUP(O$91&amp;"_1",管理者用人口入力シート!CO:DL,Q107,FALSE),0)</f>
        <v>469</v>
      </c>
      <c r="P107" s="17">
        <f>ROUND(VLOOKUP(O$91&amp;"_2",管理者用人口入力シート!CO:DL,Q107,FALSE),0)</f>
        <v>603</v>
      </c>
      <c r="Q107" s="2">
        <v>18</v>
      </c>
      <c r="T107" s="85"/>
    </row>
    <row r="108" spans="1:20" x14ac:dyDescent="0.15">
      <c r="A108" s="2" t="s">
        <v>19</v>
      </c>
      <c r="B108" s="17">
        <f>ROUND(VLOOKUP(B$87&amp;"_1",管理者用人口入力シート!A:X,D108,FALSE),0)</f>
        <v>15</v>
      </c>
      <c r="C108" s="17">
        <f>ROUND(VLOOKUP(B$87&amp;"_2",管理者用人口入力シート!A:X,D108,FALSE),0)</f>
        <v>41</v>
      </c>
      <c r="D108" s="2">
        <v>23</v>
      </c>
      <c r="G108" s="2" t="s">
        <v>15</v>
      </c>
      <c r="H108" s="17">
        <f>ROUND(VLOOKUP(H$91&amp;"_1",管理者用人口入力シート!BH:CE,J108,FALSE),0)</f>
        <v>538</v>
      </c>
      <c r="I108" s="17">
        <f>ROUND(VLOOKUP(H$91&amp;"_2",管理者用人口入力シート!BH:CE,J108,FALSE),0)</f>
        <v>669</v>
      </c>
      <c r="J108" s="2">
        <v>19</v>
      </c>
      <c r="K108" s="12"/>
      <c r="N108" s="2" t="s">
        <v>15</v>
      </c>
      <c r="O108" s="17">
        <f>ROUND(VLOOKUP(O$91&amp;"_1",管理者用人口入力シート!CO:DL,Q108,FALSE),0)</f>
        <v>538</v>
      </c>
      <c r="P108" s="17">
        <f>ROUND(VLOOKUP(O$91&amp;"_2",管理者用人口入力シート!CO:DL,Q108,FALSE),0)</f>
        <v>669</v>
      </c>
      <c r="Q108" s="2">
        <v>19</v>
      </c>
      <c r="T108" s="85"/>
    </row>
    <row r="109" spans="1:20" x14ac:dyDescent="0.15">
      <c r="A109" s="2" t="s">
        <v>20</v>
      </c>
      <c r="B109" s="17">
        <f>ROUND(VLOOKUP(B$87&amp;"_1",管理者用人口入力シート!A:X,D109,FALSE),0)</f>
        <v>0</v>
      </c>
      <c r="C109" s="17">
        <f>ROUND(VLOOKUP(B$87&amp;"_2",管理者用人口入力シート!A:X,D109,FALSE),0)</f>
        <v>12</v>
      </c>
      <c r="D109" s="2">
        <v>24</v>
      </c>
      <c r="G109" s="2" t="s">
        <v>16</v>
      </c>
      <c r="H109" s="17">
        <f>ROUND(VLOOKUP(H$91&amp;"_1",管理者用人口入力シート!BH:CE,J109,FALSE),0)</f>
        <v>526</v>
      </c>
      <c r="I109" s="17">
        <f>ROUND(VLOOKUP(H$91&amp;"_2",管理者用人口入力シート!BH:CE,J109,FALSE),0)</f>
        <v>671</v>
      </c>
      <c r="J109" s="2">
        <v>20</v>
      </c>
      <c r="K109" s="12"/>
      <c r="N109" s="2" t="s">
        <v>16</v>
      </c>
      <c r="O109" s="17">
        <f>ROUND(VLOOKUP(O$91&amp;"_1",管理者用人口入力シート!CO:DL,Q109,FALSE),0)</f>
        <v>526</v>
      </c>
      <c r="P109" s="17">
        <f>ROUND(VLOOKUP(O$91&amp;"_2",管理者用人口入力シート!CO:DL,Q109,FALSE),0)</f>
        <v>671</v>
      </c>
      <c r="Q109" s="2">
        <v>20</v>
      </c>
      <c r="T109" s="85"/>
    </row>
    <row r="110" spans="1:20" x14ac:dyDescent="0.15">
      <c r="G110" s="2" t="s">
        <v>17</v>
      </c>
      <c r="H110" s="17">
        <f>ROUND(VLOOKUP(H$91&amp;"_1",管理者用人口入力シート!BH:CE,J110,FALSE),0)</f>
        <v>253</v>
      </c>
      <c r="I110" s="17">
        <f>ROUND(VLOOKUP(H$91&amp;"_2",管理者用人口入力シート!BH:CE,J110,FALSE),0)</f>
        <v>390</v>
      </c>
      <c r="J110" s="2">
        <v>21</v>
      </c>
      <c r="K110" s="12"/>
      <c r="N110" s="2" t="s">
        <v>17</v>
      </c>
      <c r="O110" s="17">
        <f>ROUND(VLOOKUP(O$91&amp;"_1",管理者用人口入力シート!CO:DL,Q110,FALSE),0)</f>
        <v>253</v>
      </c>
      <c r="P110" s="17">
        <f>ROUND(VLOOKUP(O$91&amp;"_2",管理者用人口入力シート!CO:DL,Q110,FALSE),0)</f>
        <v>390</v>
      </c>
      <c r="Q110" s="2">
        <v>21</v>
      </c>
      <c r="T110" s="85"/>
    </row>
    <row r="111" spans="1:20" x14ac:dyDescent="0.15">
      <c r="G111" s="2" t="s">
        <v>18</v>
      </c>
      <c r="H111" s="17">
        <f>ROUND(VLOOKUP(H$91&amp;"_1",管理者用人口入力シート!BH:CE,J111,FALSE),0)</f>
        <v>101</v>
      </c>
      <c r="I111" s="17">
        <f>ROUND(VLOOKUP(H$91&amp;"_2",管理者用人口入力シート!BH:CE,J111,FALSE),0)</f>
        <v>232</v>
      </c>
      <c r="J111" s="2">
        <v>22</v>
      </c>
      <c r="K111" s="12"/>
      <c r="N111" s="2" t="s">
        <v>18</v>
      </c>
      <c r="O111" s="17">
        <f>ROUND(VLOOKUP(O$91&amp;"_1",管理者用人口入力シート!CO:DL,Q111,FALSE),0)</f>
        <v>101</v>
      </c>
      <c r="P111" s="17">
        <f>ROUND(VLOOKUP(O$91&amp;"_2",管理者用人口入力シート!CO:DL,Q111,FALSE),0)</f>
        <v>232</v>
      </c>
      <c r="Q111" s="2">
        <v>22</v>
      </c>
      <c r="T111" s="85"/>
    </row>
    <row r="112" spans="1:20" x14ac:dyDescent="0.15">
      <c r="G112" s="2" t="s">
        <v>19</v>
      </c>
      <c r="H112" s="17">
        <f>ROUND(VLOOKUP(H$91&amp;"_1",管理者用人口入力シート!BH:CE,J112,FALSE),0)</f>
        <v>30</v>
      </c>
      <c r="I112" s="17">
        <f>ROUND(VLOOKUP(H$91&amp;"_2",管理者用人口入力シート!BH:CE,J112,FALSE),0)</f>
        <v>71</v>
      </c>
      <c r="J112" s="2">
        <v>23</v>
      </c>
      <c r="K112" s="12"/>
      <c r="N112" s="2" t="s">
        <v>19</v>
      </c>
      <c r="O112" s="17">
        <f>ROUND(VLOOKUP(O$91&amp;"_1",管理者用人口入力シート!CO:DL,Q112,FALSE),0)</f>
        <v>30</v>
      </c>
      <c r="P112" s="17">
        <f>ROUND(VLOOKUP(O$91&amp;"_2",管理者用人口入力シート!CO:DL,Q112,FALSE),0)</f>
        <v>71</v>
      </c>
      <c r="Q112" s="2">
        <v>23</v>
      </c>
      <c r="T112" s="85"/>
    </row>
    <row r="113" spans="7:20" x14ac:dyDescent="0.15">
      <c r="G113" s="2" t="s">
        <v>20</v>
      </c>
      <c r="H113" s="17">
        <f>ROUND(VLOOKUP(H$91&amp;"_1",管理者用人口入力シート!BH:CE,J113,FALSE),0)</f>
        <v>0</v>
      </c>
      <c r="I113" s="17">
        <f>ROUND(VLOOKUP(H$91&amp;"_2",管理者用人口入力シート!BH:CE,J113,FALSE),0)</f>
        <v>14</v>
      </c>
      <c r="J113" s="2">
        <v>24</v>
      </c>
      <c r="K113" s="12"/>
      <c r="N113" s="2" t="s">
        <v>20</v>
      </c>
      <c r="O113" s="17">
        <f>ROUND(VLOOKUP(O$91&amp;"_1",管理者用人口入力シート!CO:DL,Q113,FALSE),0)</f>
        <v>0</v>
      </c>
      <c r="P113" s="17">
        <f>ROUND(VLOOKUP(O$91&amp;"_2",管理者用人口入力シート!CO:DL,Q113,FALSE),0)</f>
        <v>14</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397</v>
      </c>
      <c r="I117" s="17">
        <f>ROUND(VLOOKUP(H$115&amp;"_2",管理者用人口入力シート!BH:CE,J117,FALSE),0)</f>
        <v>393</v>
      </c>
      <c r="J117" s="2">
        <v>4</v>
      </c>
      <c r="N117" s="2" t="s">
        <v>0</v>
      </c>
      <c r="O117" s="17">
        <f>ROUND(VLOOKUP(O$115&amp;"_1",管理者用人口入力シート!CO:DL,Q117,FALSE),0)</f>
        <v>400</v>
      </c>
      <c r="P117" s="17">
        <f>ROUND(VLOOKUP(O$115&amp;"_2",管理者用人口入力シート!CO:DL,Q117,FALSE),0)</f>
        <v>396</v>
      </c>
      <c r="Q117" s="2">
        <v>4</v>
      </c>
      <c r="T117" s="85"/>
    </row>
    <row r="118" spans="7:20" x14ac:dyDescent="0.15">
      <c r="G118" s="2" t="s">
        <v>1</v>
      </c>
      <c r="H118" s="17">
        <f>ROUND(VLOOKUP(H$115&amp;"_1",管理者用人口入力シート!BH:CE,J118,FALSE),0)</f>
        <v>393</v>
      </c>
      <c r="I118" s="17">
        <f>ROUND(VLOOKUP(H$115&amp;"_2",管理者用人口入力シート!BH:CE,J118,FALSE),0)</f>
        <v>371</v>
      </c>
      <c r="J118" s="2">
        <v>5</v>
      </c>
      <c r="N118" s="2" t="s">
        <v>1</v>
      </c>
      <c r="O118" s="17">
        <f>ROUND(VLOOKUP(O$115&amp;"_1",管理者用人口入力シート!CO:DL,Q118,FALSE),0)</f>
        <v>395</v>
      </c>
      <c r="P118" s="17">
        <f>ROUND(VLOOKUP(O$115&amp;"_2",管理者用人口入力シート!CO:DL,Q118,FALSE),0)</f>
        <v>373</v>
      </c>
      <c r="Q118" s="2">
        <v>5</v>
      </c>
      <c r="T118" s="85"/>
    </row>
    <row r="119" spans="7:20" x14ac:dyDescent="0.15">
      <c r="G119" s="2" t="s">
        <v>2</v>
      </c>
      <c r="H119" s="17">
        <f>ROUND(VLOOKUP(H$115&amp;"_1",管理者用人口入力シート!BH:CE,J119,FALSE),0)</f>
        <v>425</v>
      </c>
      <c r="I119" s="17">
        <f>ROUND(VLOOKUP(H$115&amp;"_2",管理者用人口入力シート!BH:CE,J119,FALSE),0)</f>
        <v>394</v>
      </c>
      <c r="J119" s="2">
        <v>6</v>
      </c>
      <c r="N119" s="2" t="s">
        <v>2</v>
      </c>
      <c r="O119" s="17">
        <f>ROUND(VLOOKUP(O$115&amp;"_1",管理者用人口入力シート!CO:DL,Q119,FALSE),0)</f>
        <v>427</v>
      </c>
      <c r="P119" s="17">
        <f>ROUND(VLOOKUP(O$115&amp;"_2",管理者用人口入力シート!CO:DL,Q119,FALSE),0)</f>
        <v>396</v>
      </c>
      <c r="Q119" s="2">
        <v>6</v>
      </c>
      <c r="T119" s="85"/>
    </row>
    <row r="120" spans="7:20" x14ac:dyDescent="0.15">
      <c r="G120" s="2" t="s">
        <v>3</v>
      </c>
      <c r="H120" s="17">
        <f>ROUND(VLOOKUP(H$115&amp;"_1",管理者用人口入力シート!BH:CE,J120,FALSE),0)</f>
        <v>434</v>
      </c>
      <c r="I120" s="17">
        <f>ROUND(VLOOKUP(H$115&amp;"_2",管理者用人口入力シート!BH:CE,J120,FALSE),0)</f>
        <v>428</v>
      </c>
      <c r="J120" s="2">
        <v>7</v>
      </c>
      <c r="N120" s="2" t="s">
        <v>3</v>
      </c>
      <c r="O120" s="17">
        <f>ROUND(VLOOKUP(O$115&amp;"_1",管理者用人口入力シート!CO:DL,Q120,FALSE),0)</f>
        <v>434</v>
      </c>
      <c r="P120" s="17">
        <f>ROUND(VLOOKUP(O$115&amp;"_2",管理者用人口入力シート!CO:DL,Q120,FALSE),0)</f>
        <v>429</v>
      </c>
      <c r="Q120" s="2">
        <v>7</v>
      </c>
      <c r="T120" s="85"/>
    </row>
    <row r="121" spans="7:20" x14ac:dyDescent="0.15">
      <c r="G121" s="2" t="s">
        <v>4</v>
      </c>
      <c r="H121" s="17">
        <f>ROUND(VLOOKUP(H$115&amp;"_1",管理者用人口入力シート!BH:CE,J121,FALSE),0)</f>
        <v>304</v>
      </c>
      <c r="I121" s="17">
        <f>ROUND(VLOOKUP(H$115&amp;"_2",管理者用人口入力シート!BH:CE,J121,FALSE),0)</f>
        <v>374</v>
      </c>
      <c r="J121" s="2">
        <v>8</v>
      </c>
      <c r="N121" s="2" t="s">
        <v>4</v>
      </c>
      <c r="O121" s="17">
        <f>ROUND(VLOOKUP(O$115&amp;"_1",管理者用人口入力シート!CO:DL,Q121,FALSE),0)</f>
        <v>305</v>
      </c>
      <c r="P121" s="17">
        <f>ROUND(VLOOKUP(O$115&amp;"_2",管理者用人口入力シート!CO:DL,Q121,FALSE),0)</f>
        <v>375</v>
      </c>
      <c r="Q121" s="2">
        <v>8</v>
      </c>
      <c r="T121" s="85"/>
    </row>
    <row r="122" spans="7:20" x14ac:dyDescent="0.15">
      <c r="G122" s="2" t="s">
        <v>5</v>
      </c>
      <c r="H122" s="17">
        <f>ROUND(VLOOKUP(H$115&amp;"_1",管理者用人口入力シート!BH:CE,J122,FALSE),0)</f>
        <v>393</v>
      </c>
      <c r="I122" s="17">
        <f>ROUND(VLOOKUP(H$115&amp;"_2",管理者用人口入力シート!BH:CE,J122,FALSE),0)</f>
        <v>446</v>
      </c>
      <c r="J122" s="2">
        <v>9</v>
      </c>
      <c r="N122" s="2" t="s">
        <v>5</v>
      </c>
      <c r="O122" s="17">
        <f>ROUND(VLOOKUP(O$115&amp;"_1",管理者用人口入力シート!CO:DL,Q122,FALSE),0)</f>
        <v>395</v>
      </c>
      <c r="P122" s="17">
        <f>ROUND(VLOOKUP(O$115&amp;"_2",管理者用人口入力シート!CO:DL,Q122,FALSE),0)</f>
        <v>448</v>
      </c>
      <c r="Q122" s="2">
        <v>9</v>
      </c>
      <c r="T122" s="85"/>
    </row>
    <row r="123" spans="7:20" x14ac:dyDescent="0.15">
      <c r="G123" s="2" t="s">
        <v>6</v>
      </c>
      <c r="H123" s="17">
        <f>ROUND(VLOOKUP(H$115&amp;"_1",管理者用人口入力シート!BH:CE,J123,FALSE),0)</f>
        <v>409</v>
      </c>
      <c r="I123" s="17">
        <f>ROUND(VLOOKUP(H$115&amp;"_2",管理者用人口入力シート!BH:CE,J123,FALSE),0)</f>
        <v>418</v>
      </c>
      <c r="J123" s="2">
        <v>10</v>
      </c>
      <c r="N123" s="2" t="s">
        <v>6</v>
      </c>
      <c r="O123" s="17">
        <f>ROUND(VLOOKUP(O$115&amp;"_1",管理者用人口入力シート!CO:DL,Q123,FALSE),0)</f>
        <v>411</v>
      </c>
      <c r="P123" s="17">
        <f>ROUND(VLOOKUP(O$115&amp;"_2",管理者用人口入力シート!CO:DL,Q123,FALSE),0)</f>
        <v>420</v>
      </c>
      <c r="Q123" s="2">
        <v>10</v>
      </c>
      <c r="T123" s="85"/>
    </row>
    <row r="124" spans="7:20" x14ac:dyDescent="0.15">
      <c r="G124" s="2" t="s">
        <v>7</v>
      </c>
      <c r="H124" s="17">
        <f>ROUND(VLOOKUP(H$115&amp;"_1",管理者用人口入力シート!BH:CE,J124,FALSE),0)</f>
        <v>450</v>
      </c>
      <c r="I124" s="17">
        <f>ROUND(VLOOKUP(H$115&amp;"_2",管理者用人口入力シート!BH:CE,J124,FALSE),0)</f>
        <v>429</v>
      </c>
      <c r="J124" s="2">
        <v>11</v>
      </c>
      <c r="N124" s="2" t="s">
        <v>7</v>
      </c>
      <c r="O124" s="17">
        <f>ROUND(VLOOKUP(O$115&amp;"_1",管理者用人口入力シート!CO:DL,Q124,FALSE),0)</f>
        <v>452</v>
      </c>
      <c r="P124" s="17">
        <f>ROUND(VLOOKUP(O$115&amp;"_2",管理者用人口入力シート!CO:DL,Q124,FALSE),0)</f>
        <v>431</v>
      </c>
      <c r="Q124" s="2">
        <v>11</v>
      </c>
      <c r="T124" s="85"/>
    </row>
    <row r="125" spans="7:20" x14ac:dyDescent="0.15">
      <c r="G125" s="2" t="s">
        <v>8</v>
      </c>
      <c r="H125" s="17">
        <f>ROUND(VLOOKUP(H$115&amp;"_1",管理者用人口入力シート!BH:CE,J125,FALSE),0)</f>
        <v>433</v>
      </c>
      <c r="I125" s="17">
        <f>ROUND(VLOOKUP(H$115&amp;"_2",管理者用人口入力シート!BH:CE,J125,FALSE),0)</f>
        <v>461</v>
      </c>
      <c r="J125" s="2">
        <v>12</v>
      </c>
      <c r="N125" s="2" t="s">
        <v>8</v>
      </c>
      <c r="O125" s="17">
        <f>ROUND(VLOOKUP(O$115&amp;"_1",管理者用人口入力シート!CO:DL,Q125,FALSE),0)</f>
        <v>433</v>
      </c>
      <c r="P125" s="17">
        <f>ROUND(VLOOKUP(O$115&amp;"_2",管理者用人口入力シート!CO:DL,Q125,FALSE),0)</f>
        <v>462</v>
      </c>
      <c r="Q125" s="2">
        <v>12</v>
      </c>
      <c r="T125" s="85"/>
    </row>
    <row r="126" spans="7:20" x14ac:dyDescent="0.15">
      <c r="G126" s="2" t="s">
        <v>9</v>
      </c>
      <c r="H126" s="17">
        <f>ROUND(VLOOKUP(H$115&amp;"_1",管理者用人口入力シート!BH:CE,J126,FALSE),0)</f>
        <v>505</v>
      </c>
      <c r="I126" s="17">
        <f>ROUND(VLOOKUP(H$115&amp;"_2",管理者用人口入力シート!BH:CE,J126,FALSE),0)</f>
        <v>543</v>
      </c>
      <c r="J126" s="2">
        <v>13</v>
      </c>
      <c r="N126" s="2" t="s">
        <v>9</v>
      </c>
      <c r="O126" s="17">
        <f>ROUND(VLOOKUP(O$115&amp;"_1",管理者用人口入力シート!CO:DL,Q126,FALSE),0)</f>
        <v>505</v>
      </c>
      <c r="P126" s="17">
        <f>ROUND(VLOOKUP(O$115&amp;"_2",管理者用人口入力シート!CO:DL,Q126,FALSE),0)</f>
        <v>544</v>
      </c>
      <c r="Q126" s="2">
        <v>13</v>
      </c>
      <c r="T126" s="85"/>
    </row>
    <row r="127" spans="7:20" x14ac:dyDescent="0.15">
      <c r="G127" s="2" t="s">
        <v>10</v>
      </c>
      <c r="H127" s="17">
        <f>ROUND(VLOOKUP(H$115&amp;"_1",管理者用人口入力シート!BH:CE,J127,FALSE),0)</f>
        <v>542</v>
      </c>
      <c r="I127" s="17">
        <f>ROUND(VLOOKUP(H$115&amp;"_2",管理者用人口入力シート!BH:CE,J127,FALSE),0)</f>
        <v>646</v>
      </c>
      <c r="J127" s="2">
        <v>14</v>
      </c>
      <c r="N127" s="2" t="s">
        <v>10</v>
      </c>
      <c r="O127" s="17">
        <f>ROUND(VLOOKUP(O$115&amp;"_1",管理者用人口入力シート!CO:DL,Q127,FALSE),0)</f>
        <v>542</v>
      </c>
      <c r="P127" s="17">
        <f>ROUND(VLOOKUP(O$115&amp;"_2",管理者用人口入力シート!CO:DL,Q127,FALSE),0)</f>
        <v>647</v>
      </c>
      <c r="Q127" s="2">
        <v>14</v>
      </c>
      <c r="T127" s="85"/>
    </row>
    <row r="128" spans="7:20" x14ac:dyDescent="0.15">
      <c r="G128" s="2" t="s">
        <v>11</v>
      </c>
      <c r="H128" s="17">
        <f>ROUND(VLOOKUP(H$115&amp;"_1",管理者用人口入力シート!BH:CE,J128,FALSE),0)</f>
        <v>669</v>
      </c>
      <c r="I128" s="17">
        <f>ROUND(VLOOKUP(H$115&amp;"_2",管理者用人口入力シート!BH:CE,J128,FALSE),0)</f>
        <v>705</v>
      </c>
      <c r="J128" s="2">
        <v>15</v>
      </c>
      <c r="N128" s="2" t="s">
        <v>11</v>
      </c>
      <c r="O128" s="17">
        <f>ROUND(VLOOKUP(O$115&amp;"_1",管理者用人口入力シート!CO:DL,Q128,FALSE),0)</f>
        <v>669</v>
      </c>
      <c r="P128" s="17">
        <f>ROUND(VLOOKUP(O$115&amp;"_2",管理者用人口入力シート!CO:DL,Q128,FALSE),0)</f>
        <v>705</v>
      </c>
      <c r="Q128" s="2">
        <v>15</v>
      </c>
      <c r="T128" s="85"/>
    </row>
    <row r="129" spans="7:20" x14ac:dyDescent="0.15">
      <c r="G129" s="2" t="s">
        <v>12</v>
      </c>
      <c r="H129" s="17">
        <f>ROUND(VLOOKUP(H$115&amp;"_1",管理者用人口入力シート!BH:CE,J129,FALSE),0)</f>
        <v>709</v>
      </c>
      <c r="I129" s="17">
        <f>ROUND(VLOOKUP(H$115&amp;"_2",管理者用人口入力シート!BH:CE,J129,FALSE),0)</f>
        <v>774</v>
      </c>
      <c r="J129" s="2">
        <v>16</v>
      </c>
      <c r="N129" s="2" t="s">
        <v>12</v>
      </c>
      <c r="O129" s="17">
        <f>ROUND(VLOOKUP(O$115&amp;"_1",管理者用人口入力シート!CO:DL,Q129,FALSE),0)</f>
        <v>709</v>
      </c>
      <c r="P129" s="17">
        <f>ROUND(VLOOKUP(O$115&amp;"_2",管理者用人口入力シート!CO:DL,Q129,FALSE),0)</f>
        <v>774</v>
      </c>
      <c r="Q129" s="2">
        <v>16</v>
      </c>
      <c r="T129" s="85"/>
    </row>
    <row r="130" spans="7:20" x14ac:dyDescent="0.15">
      <c r="G130" s="2" t="s">
        <v>13</v>
      </c>
      <c r="H130" s="17">
        <f>ROUND(VLOOKUP(H$115&amp;"_1",管理者用人口入力シート!BH:CE,J130,FALSE),0)</f>
        <v>526</v>
      </c>
      <c r="I130" s="17">
        <f>ROUND(VLOOKUP(H$115&amp;"_2",管理者用人口入力シート!BH:CE,J130,FALSE),0)</f>
        <v>635</v>
      </c>
      <c r="J130" s="2">
        <v>17</v>
      </c>
      <c r="N130" s="2" t="s">
        <v>13</v>
      </c>
      <c r="O130" s="17">
        <f>ROUND(VLOOKUP(O$115&amp;"_1",管理者用人口入力シート!CO:DL,Q130,FALSE),0)</f>
        <v>526</v>
      </c>
      <c r="P130" s="17">
        <f>ROUND(VLOOKUP(O$115&amp;"_2",管理者用人口入力シート!CO:DL,Q130,FALSE),0)</f>
        <v>635</v>
      </c>
      <c r="Q130" s="2">
        <v>17</v>
      </c>
      <c r="T130" s="85"/>
    </row>
    <row r="131" spans="7:20" x14ac:dyDescent="0.15">
      <c r="G131" s="2" t="s">
        <v>14</v>
      </c>
      <c r="H131" s="17">
        <f>ROUND(VLOOKUP(H$115&amp;"_1",管理者用人口入力シート!BH:CE,J131,FALSE),0)</f>
        <v>454</v>
      </c>
      <c r="I131" s="17">
        <f>ROUND(VLOOKUP(H$115&amp;"_2",管理者用人口入力シート!BH:CE,J131,FALSE),0)</f>
        <v>517</v>
      </c>
      <c r="J131" s="2">
        <v>18</v>
      </c>
      <c r="N131" s="2" t="s">
        <v>14</v>
      </c>
      <c r="O131" s="17">
        <f>ROUND(VLOOKUP(O$115&amp;"_1",管理者用人口入力シート!CO:DL,Q131,FALSE),0)</f>
        <v>454</v>
      </c>
      <c r="P131" s="17">
        <f>ROUND(VLOOKUP(O$115&amp;"_2",管理者用人口入力シート!CO:DL,Q131,FALSE),0)</f>
        <v>517</v>
      </c>
      <c r="Q131" s="2">
        <v>18</v>
      </c>
      <c r="T131" s="85"/>
    </row>
    <row r="132" spans="7:20" x14ac:dyDescent="0.15">
      <c r="G132" s="2" t="s">
        <v>15</v>
      </c>
      <c r="H132" s="17">
        <f>ROUND(VLOOKUP(H$115&amp;"_1",管理者用人口入力シート!BH:CE,J132,FALSE),0)</f>
        <v>417</v>
      </c>
      <c r="I132" s="17">
        <f>ROUND(VLOOKUP(H$115&amp;"_2",管理者用人口入力シート!BH:CE,J132,FALSE),0)</f>
        <v>562</v>
      </c>
      <c r="J132" s="2">
        <v>19</v>
      </c>
      <c r="N132" s="2" t="s">
        <v>15</v>
      </c>
      <c r="O132" s="17">
        <f>ROUND(VLOOKUP(O$115&amp;"_1",管理者用人口入力シート!CO:DL,Q132,FALSE),0)</f>
        <v>417</v>
      </c>
      <c r="P132" s="17">
        <f>ROUND(VLOOKUP(O$115&amp;"_2",管理者用人口入力シート!CO:DL,Q132,FALSE),0)</f>
        <v>562</v>
      </c>
      <c r="Q132" s="2">
        <v>19</v>
      </c>
      <c r="T132" s="85"/>
    </row>
    <row r="133" spans="7:20" x14ac:dyDescent="0.15">
      <c r="G133" s="2" t="s">
        <v>16</v>
      </c>
      <c r="H133" s="17">
        <f>ROUND(VLOOKUP(H$115&amp;"_1",管理者用人口入力シート!BH:CE,J133,FALSE),0)</f>
        <v>446</v>
      </c>
      <c r="I133" s="17">
        <f>ROUND(VLOOKUP(H$115&amp;"_2",管理者用人口入力シート!BH:CE,J133,FALSE),0)</f>
        <v>592</v>
      </c>
      <c r="J133" s="2">
        <v>20</v>
      </c>
      <c r="N133" s="2" t="s">
        <v>16</v>
      </c>
      <c r="O133" s="17">
        <f>ROUND(VLOOKUP(O$115&amp;"_1",管理者用人口入力シート!CO:DL,Q133,FALSE),0)</f>
        <v>446</v>
      </c>
      <c r="P133" s="17">
        <f>ROUND(VLOOKUP(O$115&amp;"_2",管理者用人口入力シート!CO:DL,Q133,FALSE),0)</f>
        <v>592</v>
      </c>
      <c r="Q133" s="2">
        <v>20</v>
      </c>
      <c r="T133" s="85"/>
    </row>
    <row r="134" spans="7:20" x14ac:dyDescent="0.15">
      <c r="G134" s="2" t="s">
        <v>17</v>
      </c>
      <c r="H134" s="17">
        <f>ROUND(VLOOKUP(H$115&amp;"_1",管理者用人口入力シート!BH:CE,J134,FALSE),0)</f>
        <v>341</v>
      </c>
      <c r="I134" s="17">
        <f>ROUND(VLOOKUP(H$115&amp;"_2",管理者用人口入力シート!BH:CE,J134,FALSE),0)</f>
        <v>530</v>
      </c>
      <c r="J134" s="2">
        <v>21</v>
      </c>
      <c r="N134" s="2" t="s">
        <v>17</v>
      </c>
      <c r="O134" s="17">
        <f>ROUND(VLOOKUP(O$115&amp;"_1",管理者用人口入力シート!CO:DL,Q134,FALSE),0)</f>
        <v>341</v>
      </c>
      <c r="P134" s="17">
        <f>ROUND(VLOOKUP(O$115&amp;"_2",管理者用人口入力シート!CO:DL,Q134,FALSE),0)</f>
        <v>530</v>
      </c>
      <c r="Q134" s="2">
        <v>21</v>
      </c>
      <c r="T134" s="85"/>
    </row>
    <row r="135" spans="7:20" x14ac:dyDescent="0.15">
      <c r="G135" s="2" t="s">
        <v>18</v>
      </c>
      <c r="H135" s="17">
        <f>ROUND(VLOOKUP(H$115&amp;"_1",管理者用人口入力シート!BH:CE,J135,FALSE),0)</f>
        <v>116</v>
      </c>
      <c r="I135" s="17">
        <f>ROUND(VLOOKUP(H$115&amp;"_2",管理者用人口入力シート!BH:CE,J135,FALSE),0)</f>
        <v>253</v>
      </c>
      <c r="J135" s="2">
        <v>22</v>
      </c>
      <c r="N135" s="2" t="s">
        <v>18</v>
      </c>
      <c r="O135" s="17">
        <f>ROUND(VLOOKUP(O$115&amp;"_1",管理者用人口入力シート!CO:DL,Q135,FALSE),0)</f>
        <v>116</v>
      </c>
      <c r="P135" s="17">
        <f>ROUND(VLOOKUP(O$115&amp;"_2",管理者用人口入力シート!CO:DL,Q135,FALSE),0)</f>
        <v>253</v>
      </c>
      <c r="Q135" s="2">
        <v>22</v>
      </c>
      <c r="T135" s="85"/>
    </row>
    <row r="136" spans="7:20" x14ac:dyDescent="0.15">
      <c r="G136" s="2" t="s">
        <v>19</v>
      </c>
      <c r="H136" s="17">
        <f>ROUND(VLOOKUP(H$115&amp;"_1",管理者用人口入力シート!BH:CE,J136,FALSE),0)</f>
        <v>36</v>
      </c>
      <c r="I136" s="17">
        <f>ROUND(VLOOKUP(H$115&amp;"_2",管理者用人口入力シート!BH:CE,J136,FALSE),0)</f>
        <v>85</v>
      </c>
      <c r="J136" s="2">
        <v>23</v>
      </c>
      <c r="N136" s="2" t="s">
        <v>19</v>
      </c>
      <c r="O136" s="17">
        <f>ROUND(VLOOKUP(O$115&amp;"_1",管理者用人口入力シート!CO:DL,Q136,FALSE),0)</f>
        <v>36</v>
      </c>
      <c r="P136" s="17">
        <f>ROUND(VLOOKUP(O$115&amp;"_2",管理者用人口入力シート!CO:DL,Q136,FALSE),0)</f>
        <v>85</v>
      </c>
      <c r="Q136" s="2">
        <v>23</v>
      </c>
      <c r="T136" s="85"/>
    </row>
    <row r="137" spans="7:20" x14ac:dyDescent="0.15">
      <c r="G137" s="2" t="s">
        <v>20</v>
      </c>
      <c r="H137" s="17">
        <f>ROUND(VLOOKUP(H$115&amp;"_1",管理者用人口入力シート!BH:CE,J137,FALSE),0)</f>
        <v>0</v>
      </c>
      <c r="I137" s="17">
        <f>ROUND(VLOOKUP(H$115&amp;"_2",管理者用人口入力シート!BH:CE,J137,FALSE),0)</f>
        <v>18</v>
      </c>
      <c r="J137" s="2">
        <v>24</v>
      </c>
      <c r="N137" s="2" t="s">
        <v>20</v>
      </c>
      <c r="O137" s="17">
        <f>ROUND(VLOOKUP(O$115&amp;"_1",管理者用人口入力シート!CO:DL,Q137,FALSE),0)</f>
        <v>0</v>
      </c>
      <c r="P137" s="17">
        <f>ROUND(VLOOKUP(O$115&amp;"_2",管理者用人口入力シート!CO:DL,Q137,FALSE),0)</f>
        <v>18</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389</v>
      </c>
      <c r="I141" s="17">
        <f>ROUND(VLOOKUP(H$139&amp;"_2",管理者用人口入力シート!BH:CE,J141,FALSE),0)</f>
        <v>386</v>
      </c>
      <c r="J141" s="2">
        <v>4</v>
      </c>
      <c r="N141" s="2" t="s">
        <v>0</v>
      </c>
      <c r="O141" s="17">
        <f>ROUND(VLOOKUP(O$139&amp;"_1",管理者用人口入力シート!CO:DL,Q141,FALSE),0)</f>
        <v>392</v>
      </c>
      <c r="P141" s="17">
        <f>ROUND(VLOOKUP(O$139&amp;"_2",管理者用人口入力シート!CO:DL,Q141,FALSE),0)</f>
        <v>388</v>
      </c>
      <c r="Q141" s="2">
        <v>4</v>
      </c>
    </row>
    <row r="142" spans="7:20" x14ac:dyDescent="0.15">
      <c r="G142" s="2" t="s">
        <v>1</v>
      </c>
      <c r="H142" s="17">
        <f>ROUND(VLOOKUP(H$139&amp;"_1",管理者用人口入力シート!BH:CE,J142,FALSE),0)</f>
        <v>386</v>
      </c>
      <c r="I142" s="17">
        <f>ROUND(VLOOKUP(H$139&amp;"_2",管理者用人口入力シート!BH:CE,J142,FALSE),0)</f>
        <v>365</v>
      </c>
      <c r="J142" s="2">
        <v>5</v>
      </c>
      <c r="N142" s="2" t="s">
        <v>1</v>
      </c>
      <c r="O142" s="17">
        <f>ROUND(VLOOKUP(O$139&amp;"_1",管理者用人口入力シート!CO:DL,Q142,FALSE),0)</f>
        <v>389</v>
      </c>
      <c r="P142" s="17">
        <f>ROUND(VLOOKUP(O$139&amp;"_2",管理者用人口入力シート!CO:DL,Q142,FALSE),0)</f>
        <v>367</v>
      </c>
      <c r="Q142" s="2">
        <v>5</v>
      </c>
    </row>
    <row r="143" spans="7:20" x14ac:dyDescent="0.15">
      <c r="G143" s="2" t="s">
        <v>2</v>
      </c>
      <c r="H143" s="17">
        <f>ROUND(VLOOKUP(H$139&amp;"_1",管理者用人口入力シート!BH:CE,J143,FALSE),0)</f>
        <v>399</v>
      </c>
      <c r="I143" s="17">
        <f>ROUND(VLOOKUP(H$139&amp;"_2",管理者用人口入力シート!BH:CE,J143,FALSE),0)</f>
        <v>370</v>
      </c>
      <c r="J143" s="2">
        <v>6</v>
      </c>
      <c r="N143" s="2" t="s">
        <v>2</v>
      </c>
      <c r="O143" s="17">
        <f>ROUND(VLOOKUP(O$139&amp;"_1",管理者用人口入力シート!CO:DL,Q143,FALSE),0)</f>
        <v>402</v>
      </c>
      <c r="P143" s="17">
        <f>ROUND(VLOOKUP(O$139&amp;"_2",管理者用人口入力シート!CO:DL,Q143,FALSE),0)</f>
        <v>373</v>
      </c>
      <c r="Q143" s="2">
        <v>6</v>
      </c>
    </row>
    <row r="144" spans="7:20" x14ac:dyDescent="0.15">
      <c r="G144" s="2" t="s">
        <v>3</v>
      </c>
      <c r="H144" s="17">
        <f>ROUND(VLOOKUP(H$139&amp;"_1",管理者用人口入力シート!BH:CE,J144,FALSE),0)</f>
        <v>377</v>
      </c>
      <c r="I144" s="17">
        <f>ROUND(VLOOKUP(H$139&amp;"_2",管理者用人口入力シート!BH:CE,J144,FALSE),0)</f>
        <v>372</v>
      </c>
      <c r="J144" s="2">
        <v>7</v>
      </c>
      <c r="N144" s="2" t="s">
        <v>3</v>
      </c>
      <c r="O144" s="17">
        <f>ROUND(VLOOKUP(O$139&amp;"_1",管理者用人口入力シート!CO:DL,Q144,FALSE),0)</f>
        <v>379</v>
      </c>
      <c r="P144" s="17">
        <f>ROUND(VLOOKUP(O$139&amp;"_2",管理者用人口入力シート!CO:DL,Q144,FALSE),0)</f>
        <v>374</v>
      </c>
      <c r="Q144" s="2">
        <v>7</v>
      </c>
    </row>
    <row r="145" spans="7:17" x14ac:dyDescent="0.15">
      <c r="G145" s="2" t="s">
        <v>4</v>
      </c>
      <c r="H145" s="17">
        <f>ROUND(VLOOKUP(H$139&amp;"_1",管理者用人口入力シート!BH:CE,J145,FALSE),0)</f>
        <v>263</v>
      </c>
      <c r="I145" s="17">
        <f>ROUND(VLOOKUP(H$139&amp;"_2",管理者用人口入力シート!BH:CE,J145,FALSE),0)</f>
        <v>324</v>
      </c>
      <c r="J145" s="2">
        <v>8</v>
      </c>
      <c r="N145" s="2" t="s">
        <v>4</v>
      </c>
      <c r="O145" s="17">
        <f>ROUND(VLOOKUP(O$139&amp;"_1",管理者用人口入力シート!CO:DL,Q145,FALSE),0)</f>
        <v>264</v>
      </c>
      <c r="P145" s="17">
        <f>ROUND(VLOOKUP(O$139&amp;"_2",管理者用人口入力シート!CO:DL,Q145,FALSE),0)</f>
        <v>325</v>
      </c>
      <c r="Q145" s="2">
        <v>8</v>
      </c>
    </row>
    <row r="146" spans="7:17" x14ac:dyDescent="0.15">
      <c r="G146" s="2" t="s">
        <v>5</v>
      </c>
      <c r="H146" s="17">
        <f>ROUND(VLOOKUP(H$139&amp;"_1",管理者用人口入力シート!BH:CE,J146,FALSE),0)</f>
        <v>398</v>
      </c>
      <c r="I146" s="17">
        <f>ROUND(VLOOKUP(H$139&amp;"_2",管理者用人口入力シート!BH:CE,J146,FALSE),0)</f>
        <v>451</v>
      </c>
      <c r="J146" s="2">
        <v>9</v>
      </c>
      <c r="N146" s="2" t="s">
        <v>5</v>
      </c>
      <c r="O146" s="17">
        <f>ROUND(VLOOKUP(O$139&amp;"_1",管理者用人口入力シート!CO:DL,Q146,FALSE),0)</f>
        <v>400</v>
      </c>
      <c r="P146" s="17">
        <f>ROUND(VLOOKUP(O$139&amp;"_2",管理者用人口入力シート!CO:DL,Q146,FALSE),0)</f>
        <v>453</v>
      </c>
      <c r="Q146" s="2">
        <v>9</v>
      </c>
    </row>
    <row r="147" spans="7:17" x14ac:dyDescent="0.15">
      <c r="G147" s="2" t="s">
        <v>6</v>
      </c>
      <c r="H147" s="17">
        <f>ROUND(VLOOKUP(H$139&amp;"_1",管理者用人口入力シート!BH:CE,J147,FALSE),0)</f>
        <v>430</v>
      </c>
      <c r="I147" s="17">
        <f>ROUND(VLOOKUP(H$139&amp;"_2",管理者用人口入力シート!BH:CE,J147,FALSE),0)</f>
        <v>447</v>
      </c>
      <c r="J147" s="2">
        <v>10</v>
      </c>
      <c r="N147" s="2" t="s">
        <v>6</v>
      </c>
      <c r="O147" s="17">
        <f>ROUND(VLOOKUP(O$139&amp;"_1",管理者用人口入力シート!CO:DL,Q147,FALSE),0)</f>
        <v>432</v>
      </c>
      <c r="P147" s="17">
        <f>ROUND(VLOOKUP(O$139&amp;"_2",管理者用人口入力シート!CO:DL,Q147,FALSE),0)</f>
        <v>449</v>
      </c>
      <c r="Q147" s="2">
        <v>10</v>
      </c>
    </row>
    <row r="148" spans="7:17" x14ac:dyDescent="0.15">
      <c r="G148" s="2" t="s">
        <v>7</v>
      </c>
      <c r="H148" s="17">
        <f>ROUND(VLOOKUP(H$139&amp;"_1",管理者用人口入力シート!BH:CE,J148,FALSE),0)</f>
        <v>406</v>
      </c>
      <c r="I148" s="17">
        <f>ROUND(VLOOKUP(H$139&amp;"_2",管理者用人口入力シート!BH:CE,J148,FALSE),0)</f>
        <v>413</v>
      </c>
      <c r="J148" s="2">
        <v>11</v>
      </c>
      <c r="N148" s="2" t="s">
        <v>7</v>
      </c>
      <c r="O148" s="17">
        <f>ROUND(VLOOKUP(O$139&amp;"_1",管理者用人口入力シート!CO:DL,Q148,FALSE),0)</f>
        <v>409</v>
      </c>
      <c r="P148" s="17">
        <f>ROUND(VLOOKUP(O$139&amp;"_2",管理者用人口入力シート!CO:DL,Q148,FALSE),0)</f>
        <v>415</v>
      </c>
      <c r="Q148" s="2">
        <v>11</v>
      </c>
    </row>
    <row r="149" spans="7:17" x14ac:dyDescent="0.15">
      <c r="G149" s="2" t="s">
        <v>8</v>
      </c>
      <c r="H149" s="17">
        <f>ROUND(VLOOKUP(H$139&amp;"_1",管理者用人口入力シート!BH:CE,J149,FALSE),0)</f>
        <v>450</v>
      </c>
      <c r="I149" s="17">
        <f>ROUND(VLOOKUP(H$139&amp;"_2",管理者用人口入力シート!BH:CE,J149,FALSE),0)</f>
        <v>418</v>
      </c>
      <c r="J149" s="2">
        <v>12</v>
      </c>
      <c r="N149" s="2" t="s">
        <v>8</v>
      </c>
      <c r="O149" s="17">
        <f>ROUND(VLOOKUP(O$139&amp;"_1",管理者用人口入力シート!CO:DL,Q149,FALSE),0)</f>
        <v>452</v>
      </c>
      <c r="P149" s="17">
        <f>ROUND(VLOOKUP(O$139&amp;"_2",管理者用人口入力シート!CO:DL,Q149,FALSE),0)</f>
        <v>421</v>
      </c>
      <c r="Q149" s="2">
        <v>12</v>
      </c>
    </row>
    <row r="150" spans="7:17" x14ac:dyDescent="0.15">
      <c r="G150" s="2" t="s">
        <v>9</v>
      </c>
      <c r="H150" s="17">
        <f>ROUND(VLOOKUP(H$139&amp;"_1",管理者用人口入力シート!BH:CE,J150,FALSE),0)</f>
        <v>427</v>
      </c>
      <c r="I150" s="17">
        <f>ROUND(VLOOKUP(H$139&amp;"_2",管理者用人口入力シート!BH:CE,J150,FALSE),0)</f>
        <v>470</v>
      </c>
      <c r="J150" s="2">
        <v>13</v>
      </c>
      <c r="N150" s="2" t="s">
        <v>9</v>
      </c>
      <c r="O150" s="17">
        <f>ROUND(VLOOKUP(O$139&amp;"_1",管理者用人口入力シート!CO:DL,Q150,FALSE),0)</f>
        <v>427</v>
      </c>
      <c r="P150" s="17">
        <f>ROUND(VLOOKUP(O$139&amp;"_2",管理者用人口入力シート!CO:DL,Q150,FALSE),0)</f>
        <v>471</v>
      </c>
      <c r="Q150" s="2">
        <v>13</v>
      </c>
    </row>
    <row r="151" spans="7:17" x14ac:dyDescent="0.15">
      <c r="G151" s="2" t="s">
        <v>10</v>
      </c>
      <c r="H151" s="17">
        <f>ROUND(VLOOKUP(H$139&amp;"_1",管理者用人口入力シート!BH:CE,J151,FALSE),0)</f>
        <v>487</v>
      </c>
      <c r="I151" s="17">
        <f>ROUND(VLOOKUP(H$139&amp;"_2",管理者用人口入力シート!BH:CE,J151,FALSE),0)</f>
        <v>516</v>
      </c>
      <c r="J151" s="2">
        <v>14</v>
      </c>
      <c r="N151" s="2" t="s">
        <v>10</v>
      </c>
      <c r="O151" s="17">
        <f>ROUND(VLOOKUP(O$139&amp;"_1",管理者用人口入力シート!CO:DL,Q151,FALSE),0)</f>
        <v>487</v>
      </c>
      <c r="P151" s="17">
        <f>ROUND(VLOOKUP(O$139&amp;"_2",管理者用人口入力シート!CO:DL,Q151,FALSE),0)</f>
        <v>517</v>
      </c>
      <c r="Q151" s="2">
        <v>14</v>
      </c>
    </row>
    <row r="152" spans="7:17" x14ac:dyDescent="0.15">
      <c r="G152" s="2" t="s">
        <v>11</v>
      </c>
      <c r="H152" s="17">
        <f>ROUND(VLOOKUP(H$139&amp;"_1",管理者用人口入力シート!BH:CE,J152,FALSE),0)</f>
        <v>531</v>
      </c>
      <c r="I152" s="17">
        <f>ROUND(VLOOKUP(H$139&amp;"_2",管理者用人口入力シート!BH:CE,J152,FALSE),0)</f>
        <v>632</v>
      </c>
      <c r="J152" s="2">
        <v>15</v>
      </c>
      <c r="N152" s="2" t="s">
        <v>11</v>
      </c>
      <c r="O152" s="17">
        <f>ROUND(VLOOKUP(O$139&amp;"_1",管理者用人口入力シート!CO:DL,Q152,FALSE),0)</f>
        <v>531</v>
      </c>
      <c r="P152" s="17">
        <f>ROUND(VLOOKUP(O$139&amp;"_2",管理者用人口入力シート!CO:DL,Q152,FALSE),0)</f>
        <v>633</v>
      </c>
      <c r="Q152" s="2">
        <v>15</v>
      </c>
    </row>
    <row r="153" spans="7:17" x14ac:dyDescent="0.15">
      <c r="G153" s="2" t="s">
        <v>12</v>
      </c>
      <c r="H153" s="17">
        <f>ROUND(VLOOKUP(H$139&amp;"_1",管理者用人口入力シート!BH:CE,J153,FALSE),0)</f>
        <v>645</v>
      </c>
      <c r="I153" s="17">
        <f>ROUND(VLOOKUP(H$139&amp;"_2",管理者用人口入力シート!BH:CE,J153,FALSE),0)</f>
        <v>686</v>
      </c>
      <c r="J153" s="2">
        <v>16</v>
      </c>
      <c r="N153" s="2" t="s">
        <v>12</v>
      </c>
      <c r="O153" s="17">
        <f>ROUND(VLOOKUP(O$139&amp;"_1",管理者用人口入力シート!CO:DL,Q153,FALSE),0)</f>
        <v>645</v>
      </c>
      <c r="P153" s="17">
        <f>ROUND(VLOOKUP(O$139&amp;"_2",管理者用人口入力シート!CO:DL,Q153,FALSE),0)</f>
        <v>686</v>
      </c>
      <c r="Q153" s="2">
        <v>16</v>
      </c>
    </row>
    <row r="154" spans="7:17" x14ac:dyDescent="0.15">
      <c r="G154" s="2" t="s">
        <v>13</v>
      </c>
      <c r="H154" s="17">
        <f>ROUND(VLOOKUP(H$139&amp;"_1",管理者用人口入力シート!BH:CE,J154,FALSE),0)</f>
        <v>670</v>
      </c>
      <c r="I154" s="17">
        <f>ROUND(VLOOKUP(H$139&amp;"_2",管理者用人口入力シート!BH:CE,J154,FALSE),0)</f>
        <v>740</v>
      </c>
      <c r="J154" s="2">
        <v>17</v>
      </c>
      <c r="N154" s="2" t="s">
        <v>13</v>
      </c>
      <c r="O154" s="17">
        <f>ROUND(VLOOKUP(O$139&amp;"_1",管理者用人口入力シート!CO:DL,Q154,FALSE),0)</f>
        <v>670</v>
      </c>
      <c r="P154" s="17">
        <f>ROUND(VLOOKUP(O$139&amp;"_2",管理者用人口入力シート!CO:DL,Q154,FALSE),0)</f>
        <v>740</v>
      </c>
      <c r="Q154" s="2">
        <v>17</v>
      </c>
    </row>
    <row r="155" spans="7:17" x14ac:dyDescent="0.15">
      <c r="G155" s="2" t="s">
        <v>14</v>
      </c>
      <c r="H155" s="17">
        <f>ROUND(VLOOKUP(H$139&amp;"_1",管理者用人口入力シート!BH:CE,J155,FALSE),0)</f>
        <v>490</v>
      </c>
      <c r="I155" s="17">
        <f>ROUND(VLOOKUP(H$139&amp;"_2",管理者用人口入力シート!BH:CE,J155,FALSE),0)</f>
        <v>611</v>
      </c>
      <c r="J155" s="2">
        <v>18</v>
      </c>
      <c r="N155" s="2" t="s">
        <v>14</v>
      </c>
      <c r="O155" s="17">
        <f>ROUND(VLOOKUP(O$139&amp;"_1",管理者用人口入力シート!CO:DL,Q155,FALSE),0)</f>
        <v>490</v>
      </c>
      <c r="P155" s="17">
        <f>ROUND(VLOOKUP(O$139&amp;"_2",管理者用人口入力シート!CO:DL,Q155,FALSE),0)</f>
        <v>611</v>
      </c>
      <c r="Q155" s="2">
        <v>18</v>
      </c>
    </row>
    <row r="156" spans="7:17" x14ac:dyDescent="0.15">
      <c r="G156" s="2" t="s">
        <v>15</v>
      </c>
      <c r="H156" s="17">
        <f>ROUND(VLOOKUP(H$139&amp;"_1",管理者用人口入力シート!BH:CE,J156,FALSE),0)</f>
        <v>404</v>
      </c>
      <c r="I156" s="17">
        <f>ROUND(VLOOKUP(H$139&amp;"_2",管理者用人口入力シート!BH:CE,J156,FALSE),0)</f>
        <v>482</v>
      </c>
      <c r="J156" s="2">
        <v>19</v>
      </c>
      <c r="N156" s="2" t="s">
        <v>15</v>
      </c>
      <c r="O156" s="17">
        <f>ROUND(VLOOKUP(O$139&amp;"_1",管理者用人口入力シート!CO:DL,Q156,FALSE),0)</f>
        <v>404</v>
      </c>
      <c r="P156" s="17">
        <f>ROUND(VLOOKUP(O$139&amp;"_2",管理者用人口入力シート!CO:DL,Q156,FALSE),0)</f>
        <v>482</v>
      </c>
      <c r="Q156" s="2">
        <v>19</v>
      </c>
    </row>
    <row r="157" spans="7:17" x14ac:dyDescent="0.15">
      <c r="G157" s="2" t="s">
        <v>16</v>
      </c>
      <c r="H157" s="17">
        <f>ROUND(VLOOKUP(H$139&amp;"_1",管理者用人口入力シート!BH:CE,J157,FALSE),0)</f>
        <v>346</v>
      </c>
      <c r="I157" s="17">
        <f>ROUND(VLOOKUP(H$139&amp;"_2",管理者用人口入力シート!BH:CE,J157,FALSE),0)</f>
        <v>497</v>
      </c>
      <c r="J157" s="2">
        <v>20</v>
      </c>
      <c r="N157" s="2" t="s">
        <v>16</v>
      </c>
      <c r="O157" s="17">
        <f>ROUND(VLOOKUP(O$139&amp;"_1",管理者用人口入力シート!CO:DL,Q157,FALSE),0)</f>
        <v>346</v>
      </c>
      <c r="P157" s="17">
        <f>ROUND(VLOOKUP(O$139&amp;"_2",管理者用人口入力シート!CO:DL,Q157,FALSE),0)</f>
        <v>497</v>
      </c>
      <c r="Q157" s="2">
        <v>20</v>
      </c>
    </row>
    <row r="158" spans="7:17" x14ac:dyDescent="0.15">
      <c r="G158" s="2" t="s">
        <v>17</v>
      </c>
      <c r="H158" s="17">
        <f>ROUND(VLOOKUP(H$139&amp;"_1",管理者用人口入力シート!BH:CE,J158,FALSE),0)</f>
        <v>289</v>
      </c>
      <c r="I158" s="17">
        <f>ROUND(VLOOKUP(H$139&amp;"_2",管理者用人口入力シート!BH:CE,J158,FALSE),0)</f>
        <v>468</v>
      </c>
      <c r="J158" s="2">
        <v>21</v>
      </c>
      <c r="N158" s="2" t="s">
        <v>17</v>
      </c>
      <c r="O158" s="17">
        <f>ROUND(VLOOKUP(O$139&amp;"_1",管理者用人口入力シート!CO:DL,Q158,FALSE),0)</f>
        <v>289</v>
      </c>
      <c r="P158" s="17">
        <f>ROUND(VLOOKUP(O$139&amp;"_2",管理者用人口入力シート!CO:DL,Q158,FALSE),0)</f>
        <v>468</v>
      </c>
      <c r="Q158" s="2">
        <v>21</v>
      </c>
    </row>
    <row r="159" spans="7:17" x14ac:dyDescent="0.15">
      <c r="G159" s="2" t="s">
        <v>18</v>
      </c>
      <c r="H159" s="17">
        <f>ROUND(VLOOKUP(H$139&amp;"_1",管理者用人口入力シート!BH:CE,J159,FALSE),0)</f>
        <v>157</v>
      </c>
      <c r="I159" s="17">
        <f>ROUND(VLOOKUP(H$139&amp;"_2",管理者用人口入力シート!BH:CE,J159,FALSE),0)</f>
        <v>344</v>
      </c>
      <c r="J159" s="2">
        <v>22</v>
      </c>
      <c r="N159" s="2" t="s">
        <v>18</v>
      </c>
      <c r="O159" s="17">
        <f>ROUND(VLOOKUP(O$139&amp;"_1",管理者用人口入力シート!CO:DL,Q159,FALSE),0)</f>
        <v>157</v>
      </c>
      <c r="P159" s="17">
        <f>ROUND(VLOOKUP(O$139&amp;"_2",管理者用人口入力シート!CO:DL,Q159,FALSE),0)</f>
        <v>344</v>
      </c>
      <c r="Q159" s="2">
        <v>22</v>
      </c>
    </row>
    <row r="160" spans="7:17" x14ac:dyDescent="0.15">
      <c r="G160" s="2" t="s">
        <v>19</v>
      </c>
      <c r="H160" s="17">
        <f>ROUND(VLOOKUP(H$139&amp;"_1",管理者用人口入力シート!BH:CE,J160,FALSE),0)</f>
        <v>41</v>
      </c>
      <c r="I160" s="17">
        <f>ROUND(VLOOKUP(H$139&amp;"_2",管理者用人口入力シート!BH:CE,J160,FALSE),0)</f>
        <v>93</v>
      </c>
      <c r="J160" s="2">
        <v>23</v>
      </c>
      <c r="N160" s="2" t="s">
        <v>19</v>
      </c>
      <c r="O160" s="17">
        <f>ROUND(VLOOKUP(O$139&amp;"_1",管理者用人口入力シート!CO:DL,Q160,FALSE),0)</f>
        <v>41</v>
      </c>
      <c r="P160" s="17">
        <f>ROUND(VLOOKUP(O$139&amp;"_2",管理者用人口入力シート!CO:DL,Q160,FALSE),0)</f>
        <v>93</v>
      </c>
      <c r="Q160" s="2">
        <v>23</v>
      </c>
    </row>
    <row r="161" spans="7:17" x14ac:dyDescent="0.15">
      <c r="G161" s="2" t="s">
        <v>20</v>
      </c>
      <c r="H161" s="17">
        <f>ROUND(VLOOKUP(H$139&amp;"_1",管理者用人口入力シート!BH:CE,J161,FALSE),0)</f>
        <v>1</v>
      </c>
      <c r="I161" s="17">
        <f>ROUND(VLOOKUP(H$139&amp;"_2",管理者用人口入力シート!BH:CE,J161,FALSE),0)</f>
        <v>22</v>
      </c>
      <c r="J161" s="2">
        <v>24</v>
      </c>
      <c r="N161" s="2" t="s">
        <v>20</v>
      </c>
      <c r="O161" s="17">
        <f>ROUND(VLOOKUP(O$139&amp;"_1",管理者用人口入力シート!CO:DL,Q161,FALSE),0)</f>
        <v>1</v>
      </c>
      <c r="P161" s="17">
        <f>ROUND(VLOOKUP(O$139&amp;"_2",管理者用人口入力シート!CO:DL,Q161,FALSE),0)</f>
        <v>22</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373</v>
      </c>
      <c r="I165" s="17">
        <f>ROUND(VLOOKUP(H$163&amp;"_2",管理者用人口入力シート!BH:CE,J165,FALSE),0)</f>
        <v>369</v>
      </c>
      <c r="J165" s="2">
        <v>4</v>
      </c>
      <c r="N165" s="2" t="s">
        <v>0</v>
      </c>
      <c r="O165" s="17">
        <f>ROUND(VLOOKUP(O$163&amp;"_1",管理者用人口入力シート!CO:DL,Q165,FALSE),0)</f>
        <v>376</v>
      </c>
      <c r="P165" s="17">
        <f>ROUND(VLOOKUP(O$163&amp;"_2",管理者用人口入力シート!CO:DL,Q165,FALSE),0)</f>
        <v>373</v>
      </c>
      <c r="Q165" s="2">
        <v>4</v>
      </c>
    </row>
    <row r="166" spans="7:17" x14ac:dyDescent="0.15">
      <c r="G166" s="2" t="s">
        <v>1</v>
      </c>
      <c r="H166" s="17">
        <f>ROUND(VLOOKUP(H$163&amp;"_1",管理者用人口入力シート!BH:CE,J166,FALSE),0)</f>
        <v>379</v>
      </c>
      <c r="I166" s="17">
        <f>ROUND(VLOOKUP(H$163&amp;"_2",管理者用人口入力シート!BH:CE,J166,FALSE),0)</f>
        <v>358</v>
      </c>
      <c r="J166" s="2">
        <v>5</v>
      </c>
      <c r="N166" s="2" t="s">
        <v>1</v>
      </c>
      <c r="O166" s="17">
        <f>ROUND(VLOOKUP(O$163&amp;"_1",管理者用人口入力シート!CO:DL,Q166,FALSE),0)</f>
        <v>382</v>
      </c>
      <c r="P166" s="17">
        <f>ROUND(VLOOKUP(O$163&amp;"_2",管理者用人口入力シート!CO:DL,Q166,FALSE),0)</f>
        <v>360</v>
      </c>
      <c r="Q166" s="2">
        <v>5</v>
      </c>
    </row>
    <row r="167" spans="7:17" x14ac:dyDescent="0.15">
      <c r="G167" s="2" t="s">
        <v>2</v>
      </c>
      <c r="H167" s="17">
        <f>ROUND(VLOOKUP(H$163&amp;"_1",管理者用人口入力シート!BH:CE,J167,FALSE),0)</f>
        <v>392</v>
      </c>
      <c r="I167" s="17">
        <f>ROUND(VLOOKUP(H$163&amp;"_2",管理者用人口入力シート!BH:CE,J167,FALSE),0)</f>
        <v>364</v>
      </c>
      <c r="J167" s="2">
        <v>6</v>
      </c>
      <c r="N167" s="2" t="s">
        <v>2</v>
      </c>
      <c r="O167" s="17">
        <f>ROUND(VLOOKUP(O$163&amp;"_1",管理者用人口入力シート!CO:DL,Q167,FALSE),0)</f>
        <v>396</v>
      </c>
      <c r="P167" s="17">
        <f>ROUND(VLOOKUP(O$163&amp;"_2",管理者用人口入力シート!CO:DL,Q167,FALSE),0)</f>
        <v>367</v>
      </c>
      <c r="Q167" s="2">
        <v>6</v>
      </c>
    </row>
    <row r="168" spans="7:17" x14ac:dyDescent="0.15">
      <c r="G168" s="2" t="s">
        <v>3</v>
      </c>
      <c r="H168" s="17">
        <f>ROUND(VLOOKUP(H$163&amp;"_1",管理者用人口入力シート!BH:CE,J168,FALSE),0)</f>
        <v>354</v>
      </c>
      <c r="I168" s="17">
        <f>ROUND(VLOOKUP(H$163&amp;"_2",管理者用人口入力シート!BH:CE,J168,FALSE),0)</f>
        <v>349</v>
      </c>
      <c r="J168" s="2">
        <v>7</v>
      </c>
      <c r="N168" s="2" t="s">
        <v>3</v>
      </c>
      <c r="O168" s="17">
        <f>ROUND(VLOOKUP(O$163&amp;"_1",管理者用人口入力シート!CO:DL,Q168,FALSE),0)</f>
        <v>357</v>
      </c>
      <c r="P168" s="17">
        <f>ROUND(VLOOKUP(O$163&amp;"_2",管理者用人口入力シート!CO:DL,Q168,FALSE),0)</f>
        <v>352</v>
      </c>
      <c r="Q168" s="2">
        <v>7</v>
      </c>
    </row>
    <row r="169" spans="7:17" x14ac:dyDescent="0.15">
      <c r="G169" s="2" t="s">
        <v>4</v>
      </c>
      <c r="H169" s="17">
        <f>ROUND(VLOOKUP(H$163&amp;"_1",管理者用人口入力シート!BH:CE,J169,FALSE),0)</f>
        <v>229</v>
      </c>
      <c r="I169" s="17">
        <f>ROUND(VLOOKUP(H$163&amp;"_2",管理者用人口入力シート!BH:CE,J169,FALSE),0)</f>
        <v>282</v>
      </c>
      <c r="J169" s="2">
        <v>8</v>
      </c>
      <c r="N169" s="2" t="s">
        <v>4</v>
      </c>
      <c r="O169" s="17">
        <f>ROUND(VLOOKUP(O$163&amp;"_1",管理者用人口入力シート!CO:DL,Q169,FALSE),0)</f>
        <v>230</v>
      </c>
      <c r="P169" s="17">
        <f>ROUND(VLOOKUP(O$163&amp;"_2",管理者用人口入力シート!CO:DL,Q169,FALSE),0)</f>
        <v>284</v>
      </c>
      <c r="Q169" s="2">
        <v>8</v>
      </c>
    </row>
    <row r="170" spans="7:17" x14ac:dyDescent="0.15">
      <c r="G170" s="2" t="s">
        <v>5</v>
      </c>
      <c r="H170" s="17">
        <f>ROUND(VLOOKUP(H$163&amp;"_1",管理者用人口入力シート!BH:CE,J170,FALSE),0)</f>
        <v>344</v>
      </c>
      <c r="I170" s="17">
        <f>ROUND(VLOOKUP(H$163&amp;"_2",管理者用人口入力シート!BH:CE,J170,FALSE),0)</f>
        <v>391</v>
      </c>
      <c r="J170" s="2">
        <v>9</v>
      </c>
      <c r="N170" s="2" t="s">
        <v>5</v>
      </c>
      <c r="O170" s="17">
        <f>ROUND(VLOOKUP(O$163&amp;"_1",管理者用人口入力シート!CO:DL,Q170,FALSE),0)</f>
        <v>347</v>
      </c>
      <c r="P170" s="17">
        <f>ROUND(VLOOKUP(O$163&amp;"_2",管理者用人口入力シート!CO:DL,Q170,FALSE),0)</f>
        <v>394</v>
      </c>
      <c r="Q170" s="2">
        <v>9</v>
      </c>
    </row>
    <row r="171" spans="7:17" x14ac:dyDescent="0.15">
      <c r="G171" s="2" t="s">
        <v>6</v>
      </c>
      <c r="H171" s="17">
        <f>ROUND(VLOOKUP(H$163&amp;"_1",管理者用人口入力シート!BH:CE,J171,FALSE),0)</f>
        <v>435</v>
      </c>
      <c r="I171" s="17">
        <f>ROUND(VLOOKUP(H$163&amp;"_2",管理者用人口入力シート!BH:CE,J171,FALSE),0)</f>
        <v>452</v>
      </c>
      <c r="J171" s="2">
        <v>10</v>
      </c>
      <c r="N171" s="2" t="s">
        <v>6</v>
      </c>
      <c r="O171" s="17">
        <f>ROUND(VLOOKUP(O$163&amp;"_1",管理者用人口入力シート!CO:DL,Q171,FALSE),0)</f>
        <v>438</v>
      </c>
      <c r="P171" s="17">
        <f>ROUND(VLOOKUP(O$163&amp;"_2",管理者用人口入力シート!CO:DL,Q171,FALSE),0)</f>
        <v>454</v>
      </c>
      <c r="Q171" s="2">
        <v>10</v>
      </c>
    </row>
    <row r="172" spans="7:17" x14ac:dyDescent="0.15">
      <c r="G172" s="2" t="s">
        <v>7</v>
      </c>
      <c r="H172" s="17">
        <f>ROUND(VLOOKUP(H$163&amp;"_1",管理者用人口入力シート!BH:CE,J172,FALSE),0)</f>
        <v>427</v>
      </c>
      <c r="I172" s="17">
        <f>ROUND(VLOOKUP(H$163&amp;"_2",管理者用人口入力シート!BH:CE,J172,FALSE),0)</f>
        <v>442</v>
      </c>
      <c r="J172" s="2">
        <v>11</v>
      </c>
      <c r="N172" s="2" t="s">
        <v>7</v>
      </c>
      <c r="O172" s="17">
        <f>ROUND(VLOOKUP(O$163&amp;"_1",管理者用人口入力シート!CO:DL,Q172,FALSE),0)</f>
        <v>430</v>
      </c>
      <c r="P172" s="17">
        <f>ROUND(VLOOKUP(O$163&amp;"_2",管理者用人口入力シート!CO:DL,Q172,FALSE),0)</f>
        <v>444</v>
      </c>
      <c r="Q172" s="2">
        <v>11</v>
      </c>
    </row>
    <row r="173" spans="7:17" x14ac:dyDescent="0.15">
      <c r="G173" s="2" t="s">
        <v>8</v>
      </c>
      <c r="H173" s="17">
        <f>ROUND(VLOOKUP(H$163&amp;"_1",管理者用人口入力シート!BH:CE,J173,FALSE),0)</f>
        <v>406</v>
      </c>
      <c r="I173" s="17">
        <f>ROUND(VLOOKUP(H$163&amp;"_2",管理者用人口入力シート!BH:CE,J173,FALSE),0)</f>
        <v>402</v>
      </c>
      <c r="J173" s="2">
        <v>12</v>
      </c>
      <c r="N173" s="2" t="s">
        <v>8</v>
      </c>
      <c r="O173" s="17">
        <f>ROUND(VLOOKUP(O$163&amp;"_1",管理者用人口入力シート!CO:DL,Q173,FALSE),0)</f>
        <v>408</v>
      </c>
      <c r="P173" s="17">
        <f>ROUND(VLOOKUP(O$163&amp;"_2",管理者用人口入力シート!CO:DL,Q173,FALSE),0)</f>
        <v>405</v>
      </c>
      <c r="Q173" s="2">
        <v>12</v>
      </c>
    </row>
    <row r="174" spans="7:17" x14ac:dyDescent="0.15">
      <c r="G174" s="2" t="s">
        <v>9</v>
      </c>
      <c r="H174" s="17">
        <f>ROUND(VLOOKUP(H$163&amp;"_1",管理者用人口入力シート!BH:CE,J174,FALSE),0)</f>
        <v>443</v>
      </c>
      <c r="I174" s="17">
        <f>ROUND(VLOOKUP(H$163&amp;"_2",管理者用人口入力シート!BH:CE,J174,FALSE),0)</f>
        <v>426</v>
      </c>
      <c r="J174" s="2">
        <v>13</v>
      </c>
      <c r="N174" s="2" t="s">
        <v>9</v>
      </c>
      <c r="O174" s="17">
        <f>ROUND(VLOOKUP(O$163&amp;"_1",管理者用人口入力シート!CO:DL,Q174,FALSE),0)</f>
        <v>446</v>
      </c>
      <c r="P174" s="17">
        <f>ROUND(VLOOKUP(O$163&amp;"_2",管理者用人口入力シート!CO:DL,Q174,FALSE),0)</f>
        <v>429</v>
      </c>
      <c r="Q174" s="2">
        <v>13</v>
      </c>
    </row>
    <row r="175" spans="7:17" x14ac:dyDescent="0.15">
      <c r="G175" s="2" t="s">
        <v>10</v>
      </c>
      <c r="H175" s="17">
        <f>ROUND(VLOOKUP(H$163&amp;"_1",管理者用人口入力シート!BH:CE,J175,FALSE),0)</f>
        <v>411</v>
      </c>
      <c r="I175" s="17">
        <f>ROUND(VLOOKUP(H$163&amp;"_2",管理者用人口入力シート!BH:CE,J175,FALSE),0)</f>
        <v>446</v>
      </c>
      <c r="J175" s="2">
        <v>14</v>
      </c>
      <c r="N175" s="2" t="s">
        <v>10</v>
      </c>
      <c r="O175" s="17">
        <f>ROUND(VLOOKUP(O$163&amp;"_1",管理者用人口入力シート!CO:DL,Q175,FALSE),0)</f>
        <v>411</v>
      </c>
      <c r="P175" s="17">
        <f>ROUND(VLOOKUP(O$163&amp;"_2",管理者用人口入力シート!CO:DL,Q175,FALSE),0)</f>
        <v>447</v>
      </c>
      <c r="Q175" s="2">
        <v>14</v>
      </c>
    </row>
    <row r="176" spans="7:17" x14ac:dyDescent="0.15">
      <c r="G176" s="2" t="s">
        <v>11</v>
      </c>
      <c r="H176" s="17">
        <f>ROUND(VLOOKUP(H$163&amp;"_1",管理者用人口入力シート!BH:CE,J176,FALSE),0)</f>
        <v>477</v>
      </c>
      <c r="I176" s="17">
        <f>ROUND(VLOOKUP(H$163&amp;"_2",管理者用人口入力シート!BH:CE,J176,FALSE),0)</f>
        <v>506</v>
      </c>
      <c r="J176" s="2">
        <v>15</v>
      </c>
      <c r="N176" s="2" t="s">
        <v>11</v>
      </c>
      <c r="O176" s="17">
        <f>ROUND(VLOOKUP(O$163&amp;"_1",管理者用人口入力シート!CO:DL,Q176,FALSE),0)</f>
        <v>477</v>
      </c>
      <c r="P176" s="17">
        <f>ROUND(VLOOKUP(O$163&amp;"_2",管理者用人口入力シート!CO:DL,Q176,FALSE),0)</f>
        <v>507</v>
      </c>
      <c r="Q176" s="2">
        <v>15</v>
      </c>
    </row>
    <row r="177" spans="7:17" x14ac:dyDescent="0.15">
      <c r="G177" s="2" t="s">
        <v>12</v>
      </c>
      <c r="H177" s="17">
        <f>ROUND(VLOOKUP(H$163&amp;"_1",管理者用人口入力シート!BH:CE,J177,FALSE),0)</f>
        <v>512</v>
      </c>
      <c r="I177" s="17">
        <f>ROUND(VLOOKUP(H$163&amp;"_2",管理者用人口入力シート!BH:CE,J177,FALSE),0)</f>
        <v>615</v>
      </c>
      <c r="J177" s="2">
        <v>16</v>
      </c>
      <c r="N177" s="2" t="s">
        <v>12</v>
      </c>
      <c r="O177" s="17">
        <f>ROUND(VLOOKUP(O$163&amp;"_1",管理者用人口入力シート!CO:DL,Q177,FALSE),0)</f>
        <v>512</v>
      </c>
      <c r="P177" s="17">
        <f>ROUND(VLOOKUP(O$163&amp;"_2",管理者用人口入力シート!CO:DL,Q177,FALSE),0)</f>
        <v>616</v>
      </c>
      <c r="Q177" s="2">
        <v>16</v>
      </c>
    </row>
    <row r="178" spans="7:17" x14ac:dyDescent="0.15">
      <c r="G178" s="2" t="s">
        <v>13</v>
      </c>
      <c r="H178" s="17">
        <f>ROUND(VLOOKUP(H$163&amp;"_1",管理者用人口入力シート!BH:CE,J178,FALSE),0)</f>
        <v>609</v>
      </c>
      <c r="I178" s="17">
        <f>ROUND(VLOOKUP(H$163&amp;"_2",管理者用人口入力シート!BH:CE,J178,FALSE),0)</f>
        <v>656</v>
      </c>
      <c r="J178" s="2">
        <v>17</v>
      </c>
      <c r="N178" s="2" t="s">
        <v>13</v>
      </c>
      <c r="O178" s="17">
        <f>ROUND(VLOOKUP(O$163&amp;"_1",管理者用人口入力シート!CO:DL,Q178,FALSE),0)</f>
        <v>609</v>
      </c>
      <c r="P178" s="17">
        <f>ROUND(VLOOKUP(O$163&amp;"_2",管理者用人口入力シート!CO:DL,Q178,FALSE),0)</f>
        <v>656</v>
      </c>
      <c r="Q178" s="2">
        <v>17</v>
      </c>
    </row>
    <row r="179" spans="7:17" x14ac:dyDescent="0.15">
      <c r="G179" s="2" t="s">
        <v>14</v>
      </c>
      <c r="H179" s="17">
        <f>ROUND(VLOOKUP(H$163&amp;"_1",管理者用人口入力シート!BH:CE,J179,FALSE),0)</f>
        <v>624</v>
      </c>
      <c r="I179" s="17">
        <f>ROUND(VLOOKUP(H$163&amp;"_2",管理者用人口入力シート!BH:CE,J179,FALSE),0)</f>
        <v>712</v>
      </c>
      <c r="J179" s="2">
        <v>18</v>
      </c>
      <c r="N179" s="2" t="s">
        <v>14</v>
      </c>
      <c r="O179" s="17">
        <f>ROUND(VLOOKUP(O$163&amp;"_1",管理者用人口入力シート!CO:DL,Q179,FALSE),0)</f>
        <v>624</v>
      </c>
      <c r="P179" s="17">
        <f>ROUND(VLOOKUP(O$163&amp;"_2",管理者用人口入力シート!CO:DL,Q179,FALSE),0)</f>
        <v>712</v>
      </c>
      <c r="Q179" s="2">
        <v>18</v>
      </c>
    </row>
    <row r="180" spans="7:17" x14ac:dyDescent="0.15">
      <c r="G180" s="2" t="s">
        <v>15</v>
      </c>
      <c r="H180" s="17">
        <f>ROUND(VLOOKUP(H$163&amp;"_1",管理者用人口入力シート!BH:CE,J180,FALSE),0)</f>
        <v>436</v>
      </c>
      <c r="I180" s="17">
        <f>ROUND(VLOOKUP(H$163&amp;"_2",管理者用人口入力シート!BH:CE,J180,FALSE),0)</f>
        <v>570</v>
      </c>
      <c r="J180" s="2">
        <v>19</v>
      </c>
      <c r="N180" s="2" t="s">
        <v>15</v>
      </c>
      <c r="O180" s="17">
        <f>ROUND(VLOOKUP(O$163&amp;"_1",管理者用人口入力シート!CO:DL,Q180,FALSE),0)</f>
        <v>436</v>
      </c>
      <c r="P180" s="17">
        <f>ROUND(VLOOKUP(O$163&amp;"_2",管理者用人口入力シート!CO:DL,Q180,FALSE),0)</f>
        <v>570</v>
      </c>
      <c r="Q180" s="2">
        <v>19</v>
      </c>
    </row>
    <row r="181" spans="7:17" x14ac:dyDescent="0.15">
      <c r="G181" s="2" t="s">
        <v>16</v>
      </c>
      <c r="H181" s="17">
        <f>ROUND(VLOOKUP(H$163&amp;"_1",管理者用人口入力シート!BH:CE,J181,FALSE),0)</f>
        <v>334</v>
      </c>
      <c r="I181" s="17">
        <f>ROUND(VLOOKUP(H$163&amp;"_2",管理者用人口入力シート!BH:CE,J181,FALSE),0)</f>
        <v>427</v>
      </c>
      <c r="J181" s="2">
        <v>20</v>
      </c>
      <c r="N181" s="2" t="s">
        <v>16</v>
      </c>
      <c r="O181" s="17">
        <f>ROUND(VLOOKUP(O$163&amp;"_1",管理者用人口入力シート!CO:DL,Q181,FALSE),0)</f>
        <v>334</v>
      </c>
      <c r="P181" s="17">
        <f>ROUND(VLOOKUP(O$163&amp;"_2",管理者用人口入力シート!CO:DL,Q181,FALSE),0)</f>
        <v>427</v>
      </c>
      <c r="Q181" s="2">
        <v>20</v>
      </c>
    </row>
    <row r="182" spans="7:17" x14ac:dyDescent="0.15">
      <c r="G182" s="2" t="s">
        <v>17</v>
      </c>
      <c r="H182" s="17">
        <f>ROUND(VLOOKUP(H$163&amp;"_1",管理者用人口入力シート!BH:CE,J182,FALSE),0)</f>
        <v>224</v>
      </c>
      <c r="I182" s="17">
        <f>ROUND(VLOOKUP(H$163&amp;"_2",管理者用人口入力シート!BH:CE,J182,FALSE),0)</f>
        <v>393</v>
      </c>
      <c r="J182" s="2">
        <v>21</v>
      </c>
      <c r="N182" s="2" t="s">
        <v>17</v>
      </c>
      <c r="O182" s="17">
        <f>ROUND(VLOOKUP(O$163&amp;"_1",管理者用人口入力シート!CO:DL,Q182,FALSE),0)</f>
        <v>224</v>
      </c>
      <c r="P182" s="17">
        <f>ROUND(VLOOKUP(O$163&amp;"_2",管理者用人口入力シート!CO:DL,Q182,FALSE),0)</f>
        <v>393</v>
      </c>
      <c r="Q182" s="2">
        <v>21</v>
      </c>
    </row>
    <row r="183" spans="7:17" x14ac:dyDescent="0.15">
      <c r="G183" s="2" t="s">
        <v>18</v>
      </c>
      <c r="H183" s="17">
        <f>ROUND(VLOOKUP(H$163&amp;"_1",管理者用人口入力シート!BH:CE,J183,FALSE),0)</f>
        <v>133</v>
      </c>
      <c r="I183" s="17">
        <f>ROUND(VLOOKUP(H$163&amp;"_2",管理者用人口入力シート!BH:CE,J183,FALSE),0)</f>
        <v>303</v>
      </c>
      <c r="J183" s="2">
        <v>22</v>
      </c>
      <c r="N183" s="2" t="s">
        <v>18</v>
      </c>
      <c r="O183" s="17">
        <f>ROUND(VLOOKUP(O$163&amp;"_1",管理者用人口入力シート!CO:DL,Q183,FALSE),0)</f>
        <v>133</v>
      </c>
      <c r="P183" s="17">
        <f>ROUND(VLOOKUP(O$163&amp;"_2",管理者用人口入力シート!CO:DL,Q183,FALSE),0)</f>
        <v>303</v>
      </c>
      <c r="Q183" s="2">
        <v>22</v>
      </c>
    </row>
    <row r="184" spans="7:17" x14ac:dyDescent="0.15">
      <c r="G184" s="2" t="s">
        <v>19</v>
      </c>
      <c r="H184" s="17">
        <f>ROUND(VLOOKUP(H$163&amp;"_1",管理者用人口入力シート!BH:CE,J184,FALSE),0)</f>
        <v>56</v>
      </c>
      <c r="I184" s="17">
        <f>ROUND(VLOOKUP(H$163&amp;"_2",管理者用人口入力シート!BH:CE,J184,FALSE),0)</f>
        <v>126</v>
      </c>
      <c r="J184" s="2">
        <v>23</v>
      </c>
      <c r="N184" s="2" t="s">
        <v>19</v>
      </c>
      <c r="O184" s="17">
        <f>ROUND(VLOOKUP(O$163&amp;"_1",管理者用人口入力シート!CO:DL,Q184,FALSE),0)</f>
        <v>56</v>
      </c>
      <c r="P184" s="17">
        <f>ROUND(VLOOKUP(O$163&amp;"_2",管理者用人口入力シート!CO:DL,Q184,FALSE),0)</f>
        <v>126</v>
      </c>
      <c r="Q184" s="2">
        <v>23</v>
      </c>
    </row>
    <row r="185" spans="7:17" x14ac:dyDescent="0.15">
      <c r="G185" s="2" t="s">
        <v>20</v>
      </c>
      <c r="H185" s="17">
        <f>ROUND(VLOOKUP(H$163&amp;"_1",管理者用人口入力シート!BH:CE,J185,FALSE),0)</f>
        <v>1</v>
      </c>
      <c r="I185" s="17">
        <f>ROUND(VLOOKUP(H$163&amp;"_2",管理者用人口入力シート!BH:CE,J185,FALSE),0)</f>
        <v>24</v>
      </c>
      <c r="J185" s="2">
        <v>24</v>
      </c>
      <c r="N185" s="2" t="s">
        <v>20</v>
      </c>
      <c r="O185" s="17">
        <f>ROUND(VLOOKUP(O$163&amp;"_1",管理者用人口入力シート!CO:DL,Q185,FALSE),0)</f>
        <v>1</v>
      </c>
      <c r="P185" s="17">
        <f>ROUND(VLOOKUP(O$163&amp;"_2",管理者用人口入力シート!CO:DL,Q185,FALSE),0)</f>
        <v>24</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344</v>
      </c>
      <c r="I189" s="17">
        <f>ROUND(VLOOKUP(H$187&amp;"_2",管理者用人口入力シート!BH:CE,J189,FALSE),0)</f>
        <v>340</v>
      </c>
      <c r="J189" s="2">
        <v>4</v>
      </c>
      <c r="N189" s="2" t="s">
        <v>0</v>
      </c>
      <c r="O189" s="17">
        <f>ROUND(VLOOKUP(O$187&amp;"_1",管理者用人口入力シート!CO:DL,Q189,FALSE),0)</f>
        <v>347</v>
      </c>
      <c r="P189" s="17">
        <f>ROUND(VLOOKUP(O$187&amp;"_2",管理者用人口入力シート!CO:DL,Q189,FALSE),0)</f>
        <v>344</v>
      </c>
      <c r="Q189" s="2">
        <v>4</v>
      </c>
    </row>
    <row r="190" spans="7:17" x14ac:dyDescent="0.15">
      <c r="G190" s="2" t="s">
        <v>1</v>
      </c>
      <c r="H190" s="17">
        <f>ROUND(VLOOKUP(H$187&amp;"_1",管理者用人口入力シート!BH:CE,J190,FALSE),0)</f>
        <v>363</v>
      </c>
      <c r="I190" s="17">
        <f>ROUND(VLOOKUP(H$187&amp;"_2",管理者用人口入力シート!BH:CE,J190,FALSE),0)</f>
        <v>343</v>
      </c>
      <c r="J190" s="2">
        <v>5</v>
      </c>
      <c r="N190" s="2" t="s">
        <v>1</v>
      </c>
      <c r="O190" s="17">
        <f>ROUND(VLOOKUP(O$187&amp;"_1",管理者用人口入力シート!CO:DL,Q190,FALSE),0)</f>
        <v>366</v>
      </c>
      <c r="P190" s="17">
        <f>ROUND(VLOOKUP(O$187&amp;"_2",管理者用人口入力シート!CO:DL,Q190,FALSE),0)</f>
        <v>346</v>
      </c>
      <c r="Q190" s="2">
        <v>5</v>
      </c>
    </row>
    <row r="191" spans="7:17" x14ac:dyDescent="0.15">
      <c r="G191" s="2" t="s">
        <v>2</v>
      </c>
      <c r="H191" s="17">
        <f>ROUND(VLOOKUP(H$187&amp;"_1",管理者用人口入力シート!BH:CE,J191,FALSE),0)</f>
        <v>385</v>
      </c>
      <c r="I191" s="17">
        <f>ROUND(VLOOKUP(H$187&amp;"_2",管理者用人口入力シート!BH:CE,J191,FALSE),0)</f>
        <v>357</v>
      </c>
      <c r="J191" s="2">
        <v>6</v>
      </c>
      <c r="N191" s="2" t="s">
        <v>2</v>
      </c>
      <c r="O191" s="17">
        <f>ROUND(VLOOKUP(O$187&amp;"_1",管理者用人口入力シート!CO:DL,Q191,FALSE),0)</f>
        <v>388</v>
      </c>
      <c r="P191" s="17">
        <f>ROUND(VLOOKUP(O$187&amp;"_2",管理者用人口入力シート!CO:DL,Q191,FALSE),0)</f>
        <v>360</v>
      </c>
      <c r="Q191" s="2">
        <v>6</v>
      </c>
    </row>
    <row r="192" spans="7:17" x14ac:dyDescent="0.15">
      <c r="G192" s="2" t="s">
        <v>3</v>
      </c>
      <c r="H192" s="17">
        <f>ROUND(VLOOKUP(H$187&amp;"_1",管理者用人口入力シート!BH:CE,J192,FALSE),0)</f>
        <v>348</v>
      </c>
      <c r="I192" s="17">
        <f>ROUND(VLOOKUP(H$187&amp;"_2",管理者用人口入力シート!BH:CE,J192,FALSE),0)</f>
        <v>344</v>
      </c>
      <c r="J192" s="2">
        <v>7</v>
      </c>
      <c r="N192" s="2" t="s">
        <v>3</v>
      </c>
      <c r="O192" s="17">
        <f>ROUND(VLOOKUP(O$187&amp;"_1",管理者用人口入力シート!CO:DL,Q192,FALSE),0)</f>
        <v>351</v>
      </c>
      <c r="P192" s="17">
        <f>ROUND(VLOOKUP(O$187&amp;"_2",管理者用人口入力シート!CO:DL,Q192,FALSE),0)</f>
        <v>347</v>
      </c>
      <c r="Q192" s="2">
        <v>7</v>
      </c>
    </row>
    <row r="193" spans="7:17" x14ac:dyDescent="0.15">
      <c r="G193" s="2" t="s">
        <v>4</v>
      </c>
      <c r="H193" s="17">
        <f>ROUND(VLOOKUP(H$187&amp;"_1",管理者用人口入力シート!BH:CE,J193,FALSE),0)</f>
        <v>215</v>
      </c>
      <c r="I193" s="17">
        <f>ROUND(VLOOKUP(H$187&amp;"_2",管理者用人口入力シート!BH:CE,J193,FALSE),0)</f>
        <v>265</v>
      </c>
      <c r="J193" s="2">
        <v>8</v>
      </c>
      <c r="N193" s="2" t="s">
        <v>4</v>
      </c>
      <c r="O193" s="17">
        <f>ROUND(VLOOKUP(O$187&amp;"_1",管理者用人口入力シート!CO:DL,Q193,FALSE),0)</f>
        <v>216</v>
      </c>
      <c r="P193" s="17">
        <f>ROUND(VLOOKUP(O$187&amp;"_2",管理者用人口入力シート!CO:DL,Q193,FALSE),0)</f>
        <v>267</v>
      </c>
      <c r="Q193" s="2">
        <v>8</v>
      </c>
    </row>
    <row r="194" spans="7:17" x14ac:dyDescent="0.15">
      <c r="G194" s="2" t="s">
        <v>5</v>
      </c>
      <c r="H194" s="17">
        <f>ROUND(VLOOKUP(H$187&amp;"_1",管理者用人口入力シート!BH:CE,J194,FALSE),0)</f>
        <v>299</v>
      </c>
      <c r="I194" s="17">
        <f>ROUND(VLOOKUP(H$187&amp;"_2",管理者用人口入力シート!BH:CE,J194,FALSE),0)</f>
        <v>340</v>
      </c>
      <c r="J194" s="2">
        <v>9</v>
      </c>
      <c r="N194" s="2" t="s">
        <v>5</v>
      </c>
      <c r="O194" s="17">
        <f>ROUND(VLOOKUP(O$187&amp;"_1",管理者用人口入力シート!CO:DL,Q194,FALSE),0)</f>
        <v>303</v>
      </c>
      <c r="P194" s="17">
        <f>ROUND(VLOOKUP(O$187&amp;"_2",管理者用人口入力シート!CO:DL,Q194,FALSE),0)</f>
        <v>344</v>
      </c>
      <c r="Q194" s="2">
        <v>9</v>
      </c>
    </row>
    <row r="195" spans="7:17" x14ac:dyDescent="0.15">
      <c r="G195" s="2" t="s">
        <v>6</v>
      </c>
      <c r="H195" s="17">
        <f>ROUND(VLOOKUP(H$187&amp;"_1",管理者用人口入力シート!BH:CE,J195,FALSE),0)</f>
        <v>376</v>
      </c>
      <c r="I195" s="17">
        <f>ROUND(VLOOKUP(H$187&amp;"_2",管理者用人口入力シート!BH:CE,J195,FALSE),0)</f>
        <v>392</v>
      </c>
      <c r="J195" s="2">
        <v>10</v>
      </c>
      <c r="N195" s="2" t="s">
        <v>6</v>
      </c>
      <c r="O195" s="17">
        <f>ROUND(VLOOKUP(O$187&amp;"_1",管理者用人口入力シート!CO:DL,Q195,FALSE),0)</f>
        <v>379</v>
      </c>
      <c r="P195" s="17">
        <f>ROUND(VLOOKUP(O$187&amp;"_2",管理者用人口入力シート!CO:DL,Q195,FALSE),0)</f>
        <v>395</v>
      </c>
      <c r="Q195" s="2">
        <v>10</v>
      </c>
    </row>
    <row r="196" spans="7:17" x14ac:dyDescent="0.15">
      <c r="G196" s="2" t="s">
        <v>7</v>
      </c>
      <c r="H196" s="17">
        <f>ROUND(VLOOKUP(H$187&amp;"_1",管理者用人口入力シート!BH:CE,J196,FALSE),0)</f>
        <v>433</v>
      </c>
      <c r="I196" s="17">
        <f>ROUND(VLOOKUP(H$187&amp;"_2",管理者用人口入力シート!BH:CE,J196,FALSE),0)</f>
        <v>446</v>
      </c>
      <c r="J196" s="2">
        <v>11</v>
      </c>
      <c r="N196" s="2" t="s">
        <v>7</v>
      </c>
      <c r="O196" s="17">
        <f>ROUND(VLOOKUP(O$187&amp;"_1",管理者用人口入力シート!CO:DL,Q196,FALSE),0)</f>
        <v>435</v>
      </c>
      <c r="P196" s="17">
        <f>ROUND(VLOOKUP(O$187&amp;"_2",管理者用人口入力シート!CO:DL,Q196,FALSE),0)</f>
        <v>449</v>
      </c>
      <c r="Q196" s="2">
        <v>11</v>
      </c>
    </row>
    <row r="197" spans="7:17" x14ac:dyDescent="0.15">
      <c r="G197" s="2" t="s">
        <v>8</v>
      </c>
      <c r="H197" s="17">
        <f>ROUND(VLOOKUP(H$187&amp;"_1",管理者用人口入力シート!BH:CE,J197,FALSE),0)</f>
        <v>427</v>
      </c>
      <c r="I197" s="17">
        <f>ROUND(VLOOKUP(H$187&amp;"_2",管理者用人口入力シート!BH:CE,J197,FALSE),0)</f>
        <v>430</v>
      </c>
      <c r="J197" s="2">
        <v>12</v>
      </c>
      <c r="N197" s="2" t="s">
        <v>8</v>
      </c>
      <c r="O197" s="17">
        <f>ROUND(VLOOKUP(O$187&amp;"_1",管理者用人口入力シート!CO:DL,Q197,FALSE),0)</f>
        <v>429</v>
      </c>
      <c r="P197" s="17">
        <f>ROUND(VLOOKUP(O$187&amp;"_2",管理者用人口入力シート!CO:DL,Q197,FALSE),0)</f>
        <v>433</v>
      </c>
      <c r="Q197" s="2">
        <v>12</v>
      </c>
    </row>
    <row r="198" spans="7:17" x14ac:dyDescent="0.15">
      <c r="G198" s="2" t="s">
        <v>9</v>
      </c>
      <c r="H198" s="17">
        <f>ROUND(VLOOKUP(H$187&amp;"_1",管理者用人口入力シート!BH:CE,J198,FALSE),0)</f>
        <v>400</v>
      </c>
      <c r="I198" s="17">
        <f>ROUND(VLOOKUP(H$187&amp;"_2",管理者用人口入力シート!BH:CE,J198,FALSE),0)</f>
        <v>410</v>
      </c>
      <c r="J198" s="2">
        <v>13</v>
      </c>
      <c r="N198" s="2" t="s">
        <v>9</v>
      </c>
      <c r="O198" s="17">
        <f>ROUND(VLOOKUP(O$187&amp;"_1",管理者用人口入力シート!CO:DL,Q198,FALSE),0)</f>
        <v>402</v>
      </c>
      <c r="P198" s="17">
        <f>ROUND(VLOOKUP(O$187&amp;"_2",管理者用人口入力シート!CO:DL,Q198,FALSE),0)</f>
        <v>413</v>
      </c>
      <c r="Q198" s="2">
        <v>13</v>
      </c>
    </row>
    <row r="199" spans="7:17" x14ac:dyDescent="0.15">
      <c r="G199" s="2" t="s">
        <v>10</v>
      </c>
      <c r="H199" s="17">
        <f>ROUND(VLOOKUP(H$187&amp;"_1",管理者用人口入力シート!BH:CE,J199,FALSE),0)</f>
        <v>427</v>
      </c>
      <c r="I199" s="17">
        <f>ROUND(VLOOKUP(H$187&amp;"_2",管理者用人口入力シート!BH:CE,J199,FALSE),0)</f>
        <v>405</v>
      </c>
      <c r="J199" s="2">
        <v>14</v>
      </c>
      <c r="N199" s="2" t="s">
        <v>10</v>
      </c>
      <c r="O199" s="17">
        <f>ROUND(VLOOKUP(O$187&amp;"_1",管理者用人口入力シート!CO:DL,Q199,FALSE),0)</f>
        <v>429</v>
      </c>
      <c r="P199" s="17">
        <f>ROUND(VLOOKUP(O$187&amp;"_2",管理者用人口入力シート!CO:DL,Q199,FALSE),0)</f>
        <v>408</v>
      </c>
      <c r="Q199" s="2">
        <v>14</v>
      </c>
    </row>
    <row r="200" spans="7:17" x14ac:dyDescent="0.15">
      <c r="G200" s="2" t="s">
        <v>11</v>
      </c>
      <c r="H200" s="17">
        <f>ROUND(VLOOKUP(H$187&amp;"_1",管理者用人口入力シート!BH:CE,J200,FALSE),0)</f>
        <v>403</v>
      </c>
      <c r="I200" s="17">
        <f>ROUND(VLOOKUP(H$187&amp;"_2",管理者用人口入力シート!BH:CE,J200,FALSE),0)</f>
        <v>437</v>
      </c>
      <c r="J200" s="2">
        <v>15</v>
      </c>
      <c r="N200" s="2" t="s">
        <v>11</v>
      </c>
      <c r="O200" s="17">
        <f>ROUND(VLOOKUP(O$187&amp;"_1",管理者用人口入力シート!CO:DL,Q200,FALSE),0)</f>
        <v>403</v>
      </c>
      <c r="P200" s="17">
        <f>ROUND(VLOOKUP(O$187&amp;"_2",管理者用人口入力シート!CO:DL,Q200,FALSE),0)</f>
        <v>438</v>
      </c>
      <c r="Q200" s="2">
        <v>15</v>
      </c>
    </row>
    <row r="201" spans="7:17" x14ac:dyDescent="0.15">
      <c r="G201" s="2" t="s">
        <v>12</v>
      </c>
      <c r="H201" s="17">
        <f>ROUND(VLOOKUP(H$187&amp;"_1",管理者用人口入力シート!BH:CE,J201,FALSE),0)</f>
        <v>460</v>
      </c>
      <c r="I201" s="17">
        <f>ROUND(VLOOKUP(H$187&amp;"_2",管理者用人口入力シート!BH:CE,J201,FALSE),0)</f>
        <v>492</v>
      </c>
      <c r="J201" s="2">
        <v>16</v>
      </c>
      <c r="N201" s="2" t="s">
        <v>12</v>
      </c>
      <c r="O201" s="17">
        <f>ROUND(VLOOKUP(O$187&amp;"_1",管理者用人口入力シート!CO:DL,Q201,FALSE),0)</f>
        <v>460</v>
      </c>
      <c r="P201" s="17">
        <f>ROUND(VLOOKUP(O$187&amp;"_2",管理者用人口入力シート!CO:DL,Q201,FALSE),0)</f>
        <v>493</v>
      </c>
      <c r="Q201" s="2">
        <v>16</v>
      </c>
    </row>
    <row r="202" spans="7:17" x14ac:dyDescent="0.15">
      <c r="G202" s="2" t="s">
        <v>13</v>
      </c>
      <c r="H202" s="17">
        <f>ROUND(VLOOKUP(H$187&amp;"_1",管理者用人口入力シート!BH:CE,J202,FALSE),0)</f>
        <v>484</v>
      </c>
      <c r="I202" s="17">
        <f>ROUND(VLOOKUP(H$187&amp;"_2",管理者用人口入力シート!BH:CE,J202,FALSE),0)</f>
        <v>588</v>
      </c>
      <c r="J202" s="2">
        <v>17</v>
      </c>
      <c r="N202" s="2" t="s">
        <v>13</v>
      </c>
      <c r="O202" s="17">
        <f>ROUND(VLOOKUP(O$187&amp;"_1",管理者用人口入力シート!CO:DL,Q202,FALSE),0)</f>
        <v>484</v>
      </c>
      <c r="P202" s="17">
        <f>ROUND(VLOOKUP(O$187&amp;"_2",管理者用人口入力シート!CO:DL,Q202,FALSE),0)</f>
        <v>589</v>
      </c>
      <c r="Q202" s="2">
        <v>17</v>
      </c>
    </row>
    <row r="203" spans="7:17" x14ac:dyDescent="0.15">
      <c r="G203" s="2" t="s">
        <v>14</v>
      </c>
      <c r="H203" s="17">
        <f>ROUND(VLOOKUP(H$187&amp;"_1",管理者用人口入力シート!BH:CE,J203,FALSE),0)</f>
        <v>567</v>
      </c>
      <c r="I203" s="17">
        <f>ROUND(VLOOKUP(H$187&amp;"_2",管理者用人口入力シート!BH:CE,J203,FALSE),0)</f>
        <v>631</v>
      </c>
      <c r="J203" s="2">
        <v>18</v>
      </c>
      <c r="N203" s="2" t="s">
        <v>14</v>
      </c>
      <c r="O203" s="17">
        <f>ROUND(VLOOKUP(O$187&amp;"_1",管理者用人口入力シート!CO:DL,Q203,FALSE),0)</f>
        <v>567</v>
      </c>
      <c r="P203" s="17">
        <f>ROUND(VLOOKUP(O$187&amp;"_2",管理者用人口入力シート!CO:DL,Q203,FALSE),0)</f>
        <v>631</v>
      </c>
      <c r="Q203" s="2">
        <v>18</v>
      </c>
    </row>
    <row r="204" spans="7:17" x14ac:dyDescent="0.15">
      <c r="G204" s="2" t="s">
        <v>15</v>
      </c>
      <c r="H204" s="17">
        <f>ROUND(VLOOKUP(H$187&amp;"_1",管理者用人口入力シート!BH:CE,J204,FALSE),0)</f>
        <v>555</v>
      </c>
      <c r="I204" s="17">
        <f>ROUND(VLOOKUP(H$187&amp;"_2",管理者用人口入力シート!BH:CE,J204,FALSE),0)</f>
        <v>663</v>
      </c>
      <c r="J204" s="2">
        <v>19</v>
      </c>
      <c r="N204" s="2" t="s">
        <v>15</v>
      </c>
      <c r="O204" s="17">
        <f>ROUND(VLOOKUP(O$187&amp;"_1",管理者用人口入力シート!CO:DL,Q204,FALSE),0)</f>
        <v>555</v>
      </c>
      <c r="P204" s="17">
        <f>ROUND(VLOOKUP(O$187&amp;"_2",管理者用人口入力シート!CO:DL,Q204,FALSE),0)</f>
        <v>663</v>
      </c>
      <c r="Q204" s="2">
        <v>19</v>
      </c>
    </row>
    <row r="205" spans="7:17" x14ac:dyDescent="0.15">
      <c r="G205" s="2" t="s">
        <v>16</v>
      </c>
      <c r="H205" s="17">
        <f>ROUND(VLOOKUP(H$187&amp;"_1",管理者用人口入力シート!BH:CE,J205,FALSE),0)</f>
        <v>361</v>
      </c>
      <c r="I205" s="17">
        <f>ROUND(VLOOKUP(H$187&amp;"_2",管理者用人口入力シート!BH:CE,J205,FALSE),0)</f>
        <v>504</v>
      </c>
      <c r="J205" s="2">
        <v>20</v>
      </c>
      <c r="N205" s="2" t="s">
        <v>16</v>
      </c>
      <c r="O205" s="17">
        <f>ROUND(VLOOKUP(O$187&amp;"_1",管理者用人口入力シート!CO:DL,Q205,FALSE),0)</f>
        <v>361</v>
      </c>
      <c r="P205" s="17">
        <f>ROUND(VLOOKUP(O$187&amp;"_2",管理者用人口入力シート!CO:DL,Q205,FALSE),0)</f>
        <v>504</v>
      </c>
      <c r="Q205" s="2">
        <v>20</v>
      </c>
    </row>
    <row r="206" spans="7:17" x14ac:dyDescent="0.15">
      <c r="G206" s="2" t="s">
        <v>17</v>
      </c>
      <c r="H206" s="17">
        <f>ROUND(VLOOKUP(H$187&amp;"_1",管理者用人口入力シート!BH:CE,J206,FALSE),0)</f>
        <v>217</v>
      </c>
      <c r="I206" s="17">
        <f>ROUND(VLOOKUP(H$187&amp;"_2",管理者用人口入力シート!BH:CE,J206,FALSE),0)</f>
        <v>337</v>
      </c>
      <c r="J206" s="2">
        <v>21</v>
      </c>
      <c r="N206" s="2" t="s">
        <v>17</v>
      </c>
      <c r="O206" s="17">
        <f>ROUND(VLOOKUP(O$187&amp;"_1",管理者用人口入力シート!CO:DL,Q206,FALSE),0)</f>
        <v>217</v>
      </c>
      <c r="P206" s="17">
        <f>ROUND(VLOOKUP(O$187&amp;"_2",管理者用人口入力シート!CO:DL,Q206,FALSE),0)</f>
        <v>337</v>
      </c>
      <c r="Q206" s="2">
        <v>21</v>
      </c>
    </row>
    <row r="207" spans="7:17" x14ac:dyDescent="0.15">
      <c r="G207" s="2" t="s">
        <v>18</v>
      </c>
      <c r="H207" s="17">
        <f>ROUND(VLOOKUP(H$187&amp;"_1",管理者用人口入力シート!BH:CE,J207,FALSE),0)</f>
        <v>103</v>
      </c>
      <c r="I207" s="17">
        <f>ROUND(VLOOKUP(H$187&amp;"_2",管理者用人口入力シート!BH:CE,J207,FALSE),0)</f>
        <v>255</v>
      </c>
      <c r="J207" s="2">
        <v>22</v>
      </c>
      <c r="N207" s="2" t="s">
        <v>18</v>
      </c>
      <c r="O207" s="17">
        <f>ROUND(VLOOKUP(O$187&amp;"_1",管理者用人口入力シート!CO:DL,Q207,FALSE),0)</f>
        <v>103</v>
      </c>
      <c r="P207" s="17">
        <f>ROUND(VLOOKUP(O$187&amp;"_2",管理者用人口入力シート!CO:DL,Q207,FALSE),0)</f>
        <v>255</v>
      </c>
      <c r="Q207" s="2">
        <v>22</v>
      </c>
    </row>
    <row r="208" spans="7:17" x14ac:dyDescent="0.15">
      <c r="G208" s="2" t="s">
        <v>19</v>
      </c>
      <c r="H208" s="17">
        <f>ROUND(VLOOKUP(H$187&amp;"_1",管理者用人口入力シート!BH:CE,J208,FALSE),0)</f>
        <v>47</v>
      </c>
      <c r="I208" s="17">
        <f>ROUND(VLOOKUP(H$187&amp;"_2",管理者用人口入力シート!BH:CE,J208,FALSE),0)</f>
        <v>111</v>
      </c>
      <c r="J208" s="2">
        <v>23</v>
      </c>
      <c r="N208" s="2" t="s">
        <v>19</v>
      </c>
      <c r="O208" s="17">
        <f>ROUND(VLOOKUP(O$187&amp;"_1",管理者用人口入力シート!CO:DL,Q208,FALSE),0)</f>
        <v>47</v>
      </c>
      <c r="P208" s="17">
        <f>ROUND(VLOOKUP(O$187&amp;"_2",管理者用人口入力シート!CO:DL,Q208,FALSE),0)</f>
        <v>111</v>
      </c>
      <c r="Q208" s="2">
        <v>23</v>
      </c>
    </row>
    <row r="209" spans="7:17" x14ac:dyDescent="0.15">
      <c r="G209" s="2" t="s">
        <v>20</v>
      </c>
      <c r="H209" s="17">
        <f>ROUND(VLOOKUP(H$187&amp;"_1",管理者用人口入力シート!BH:CE,J209,FALSE),0)</f>
        <v>1</v>
      </c>
      <c r="I209" s="17">
        <f>ROUND(VLOOKUP(H$187&amp;"_2",管理者用人口入力シート!BH:CE,J209,FALSE),0)</f>
        <v>33</v>
      </c>
      <c r="J209" s="2">
        <v>24</v>
      </c>
      <c r="N209" s="2" t="s">
        <v>20</v>
      </c>
      <c r="O209" s="17">
        <f>ROUND(VLOOKUP(O$187&amp;"_1",管理者用人口入力シート!CO:DL,Q209,FALSE),0)</f>
        <v>1</v>
      </c>
      <c r="P209" s="17">
        <f>ROUND(VLOOKUP(O$187&amp;"_2",管理者用人口入力シート!CO:DL,Q209,FALSE),0)</f>
        <v>33</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804</v>
      </c>
      <c r="P214" s="17">
        <f>O93+P93</f>
        <v>808</v>
      </c>
      <c r="Q214" s="2">
        <v>4</v>
      </c>
    </row>
    <row r="215" spans="7:17" x14ac:dyDescent="0.15">
      <c r="N215" s="2" t="s">
        <v>1</v>
      </c>
      <c r="O215" s="17">
        <f t="shared" ref="O215:O233" si="37">H94+I94</f>
        <v>814</v>
      </c>
      <c r="P215" s="17">
        <f t="shared" ref="P215:P233" si="38">O94+P94</f>
        <v>816</v>
      </c>
      <c r="Q215" s="2">
        <v>5</v>
      </c>
    </row>
    <row r="216" spans="7:17" x14ac:dyDescent="0.15">
      <c r="N216" s="2" t="s">
        <v>2</v>
      </c>
      <c r="O216" s="17">
        <f t="shared" si="37"/>
        <v>941</v>
      </c>
      <c r="P216" s="17">
        <f t="shared" si="38"/>
        <v>943</v>
      </c>
      <c r="Q216" s="2">
        <v>6</v>
      </c>
    </row>
    <row r="217" spans="7:17" x14ac:dyDescent="0.15">
      <c r="N217" s="2" t="s">
        <v>3</v>
      </c>
      <c r="O217" s="17">
        <f t="shared" si="37"/>
        <v>994</v>
      </c>
      <c r="P217" s="17">
        <f t="shared" si="38"/>
        <v>996</v>
      </c>
      <c r="Q217" s="2">
        <v>7</v>
      </c>
    </row>
    <row r="218" spans="7:17" x14ac:dyDescent="0.15">
      <c r="N218" s="2" t="s">
        <v>4</v>
      </c>
      <c r="O218" s="17">
        <f t="shared" si="37"/>
        <v>671</v>
      </c>
      <c r="P218" s="17">
        <f t="shared" si="38"/>
        <v>671</v>
      </c>
      <c r="Q218" s="2">
        <v>8</v>
      </c>
    </row>
    <row r="219" spans="7:17" x14ac:dyDescent="0.15">
      <c r="N219" s="2" t="s">
        <v>5</v>
      </c>
      <c r="O219" s="17">
        <f t="shared" si="37"/>
        <v>791</v>
      </c>
      <c r="P219" s="17">
        <f t="shared" si="38"/>
        <v>795</v>
      </c>
      <c r="Q219" s="2">
        <v>9</v>
      </c>
    </row>
    <row r="220" spans="7:17" x14ac:dyDescent="0.15">
      <c r="N220" s="2" t="s">
        <v>6</v>
      </c>
      <c r="O220" s="17">
        <f t="shared" si="37"/>
        <v>888</v>
      </c>
      <c r="P220" s="17">
        <f t="shared" si="38"/>
        <v>892</v>
      </c>
      <c r="Q220" s="2">
        <v>10</v>
      </c>
    </row>
    <row r="221" spans="7:17" x14ac:dyDescent="0.15">
      <c r="N221" s="2" t="s">
        <v>7</v>
      </c>
      <c r="O221" s="17">
        <f t="shared" si="37"/>
        <v>907</v>
      </c>
      <c r="P221" s="17">
        <f t="shared" si="38"/>
        <v>907</v>
      </c>
      <c r="Q221" s="2">
        <v>11</v>
      </c>
    </row>
    <row r="222" spans="7:17" x14ac:dyDescent="0.15">
      <c r="N222" s="2" t="s">
        <v>8</v>
      </c>
      <c r="O222" s="17">
        <f t="shared" si="37"/>
        <v>1046</v>
      </c>
      <c r="P222" s="17">
        <f t="shared" si="38"/>
        <v>1047</v>
      </c>
      <c r="Q222" s="2">
        <v>12</v>
      </c>
    </row>
    <row r="223" spans="7:17" x14ac:dyDescent="0.15">
      <c r="N223" s="2" t="s">
        <v>9</v>
      </c>
      <c r="O223" s="17">
        <f t="shared" si="37"/>
        <v>1242</v>
      </c>
      <c r="P223" s="17">
        <f t="shared" si="38"/>
        <v>1243</v>
      </c>
      <c r="Q223" s="2">
        <v>13</v>
      </c>
    </row>
    <row r="224" spans="7:17" x14ac:dyDescent="0.15">
      <c r="N224" s="2" t="s">
        <v>10</v>
      </c>
      <c r="O224" s="17">
        <f t="shared" si="37"/>
        <v>1403</v>
      </c>
      <c r="P224" s="17">
        <f t="shared" si="38"/>
        <v>1403</v>
      </c>
      <c r="Q224" s="2">
        <v>14</v>
      </c>
    </row>
    <row r="225" spans="14:17" x14ac:dyDescent="0.15">
      <c r="N225" s="2" t="s">
        <v>11</v>
      </c>
      <c r="O225" s="17">
        <f t="shared" si="37"/>
        <v>1532</v>
      </c>
      <c r="P225" s="17">
        <f t="shared" si="38"/>
        <v>1532</v>
      </c>
      <c r="Q225" s="2">
        <v>15</v>
      </c>
    </row>
    <row r="226" spans="14:17" x14ac:dyDescent="0.15">
      <c r="N226" s="2" t="s">
        <v>12</v>
      </c>
      <c r="O226" s="17">
        <f t="shared" si="37"/>
        <v>1221</v>
      </c>
      <c r="P226" s="17">
        <f t="shared" si="38"/>
        <v>1221</v>
      </c>
      <c r="Q226" s="2">
        <v>16</v>
      </c>
    </row>
    <row r="227" spans="14:17" x14ac:dyDescent="0.15">
      <c r="N227" s="2" t="s">
        <v>13</v>
      </c>
      <c r="O227" s="17">
        <f t="shared" si="37"/>
        <v>1025</v>
      </c>
      <c r="P227" s="17">
        <f t="shared" si="38"/>
        <v>1025</v>
      </c>
      <c r="Q227" s="2">
        <v>17</v>
      </c>
    </row>
    <row r="228" spans="14:17" x14ac:dyDescent="0.15">
      <c r="N228" s="2" t="s">
        <v>14</v>
      </c>
      <c r="O228" s="17">
        <f t="shared" si="37"/>
        <v>1072</v>
      </c>
      <c r="P228" s="17">
        <f t="shared" si="38"/>
        <v>1072</v>
      </c>
      <c r="Q228" s="2">
        <v>18</v>
      </c>
    </row>
    <row r="229" spans="14:17" x14ac:dyDescent="0.15">
      <c r="N229" s="2" t="s">
        <v>15</v>
      </c>
      <c r="O229" s="17">
        <f t="shared" si="37"/>
        <v>1207</v>
      </c>
      <c r="P229" s="17">
        <f t="shared" si="38"/>
        <v>1207</v>
      </c>
      <c r="Q229" s="2">
        <v>19</v>
      </c>
    </row>
    <row r="230" spans="14:17" x14ac:dyDescent="0.15">
      <c r="N230" s="2" t="s">
        <v>16</v>
      </c>
      <c r="O230" s="17">
        <f t="shared" si="37"/>
        <v>1197</v>
      </c>
      <c r="P230" s="17">
        <f t="shared" si="38"/>
        <v>1197</v>
      </c>
      <c r="Q230" s="2">
        <v>20</v>
      </c>
    </row>
    <row r="231" spans="14:17" x14ac:dyDescent="0.15">
      <c r="N231" s="2" t="s">
        <v>17</v>
      </c>
      <c r="O231" s="17">
        <f t="shared" si="37"/>
        <v>643</v>
      </c>
      <c r="P231" s="17">
        <f t="shared" si="38"/>
        <v>643</v>
      </c>
      <c r="Q231" s="2">
        <v>21</v>
      </c>
    </row>
    <row r="232" spans="14:17" x14ac:dyDescent="0.15">
      <c r="N232" s="2" t="s">
        <v>18</v>
      </c>
      <c r="O232" s="17">
        <f t="shared" si="37"/>
        <v>333</v>
      </c>
      <c r="P232" s="17">
        <f t="shared" si="38"/>
        <v>333</v>
      </c>
      <c r="Q232" s="2">
        <v>22</v>
      </c>
    </row>
    <row r="233" spans="14:17" x14ac:dyDescent="0.15">
      <c r="N233" s="2" t="s">
        <v>19</v>
      </c>
      <c r="O233" s="17">
        <f t="shared" si="37"/>
        <v>101</v>
      </c>
      <c r="P233" s="17">
        <f t="shared" si="38"/>
        <v>101</v>
      </c>
      <c r="Q233" s="2">
        <v>23</v>
      </c>
    </row>
    <row r="234" spans="14:17" x14ac:dyDescent="0.15">
      <c r="N234" s="2" t="s">
        <v>20</v>
      </c>
      <c r="O234" s="17">
        <f>H113+I113</f>
        <v>14</v>
      </c>
      <c r="P234" s="17">
        <f>O113+P113</f>
        <v>14</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775</v>
      </c>
      <c r="P238" s="17">
        <f>O141+P141</f>
        <v>780</v>
      </c>
      <c r="Q238" s="2">
        <v>4</v>
      </c>
    </row>
    <row r="239" spans="14:17" x14ac:dyDescent="0.15">
      <c r="N239" s="2" t="s">
        <v>1</v>
      </c>
      <c r="O239" s="17">
        <f t="shared" ref="O239:O257" si="39">H142+I142</f>
        <v>751</v>
      </c>
      <c r="P239" s="17">
        <f t="shared" ref="P239:P257" si="40">O142+P142</f>
        <v>756</v>
      </c>
      <c r="Q239" s="2">
        <v>5</v>
      </c>
    </row>
    <row r="240" spans="14:17" x14ac:dyDescent="0.15">
      <c r="N240" s="2" t="s">
        <v>2</v>
      </c>
      <c r="O240" s="17">
        <f t="shared" si="39"/>
        <v>769</v>
      </c>
      <c r="P240" s="17">
        <f t="shared" si="40"/>
        <v>775</v>
      </c>
      <c r="Q240" s="2">
        <v>6</v>
      </c>
    </row>
    <row r="241" spans="14:17" x14ac:dyDescent="0.15">
      <c r="N241" s="2" t="s">
        <v>3</v>
      </c>
      <c r="O241" s="17">
        <f t="shared" si="39"/>
        <v>749</v>
      </c>
      <c r="P241" s="17">
        <f t="shared" si="40"/>
        <v>753</v>
      </c>
      <c r="Q241" s="2">
        <v>7</v>
      </c>
    </row>
    <row r="242" spans="14:17" x14ac:dyDescent="0.15">
      <c r="N242" s="2" t="s">
        <v>4</v>
      </c>
      <c r="O242" s="17">
        <f t="shared" si="39"/>
        <v>587</v>
      </c>
      <c r="P242" s="17">
        <f t="shared" si="40"/>
        <v>589</v>
      </c>
      <c r="Q242" s="2">
        <v>8</v>
      </c>
    </row>
    <row r="243" spans="14:17" x14ac:dyDescent="0.15">
      <c r="N243" s="2" t="s">
        <v>5</v>
      </c>
      <c r="O243" s="17">
        <f t="shared" si="39"/>
        <v>849</v>
      </c>
      <c r="P243" s="17">
        <f t="shared" si="40"/>
        <v>853</v>
      </c>
      <c r="Q243" s="2">
        <v>9</v>
      </c>
    </row>
    <row r="244" spans="14:17" x14ac:dyDescent="0.15">
      <c r="N244" s="2" t="s">
        <v>6</v>
      </c>
      <c r="O244" s="17">
        <f t="shared" si="39"/>
        <v>877</v>
      </c>
      <c r="P244" s="17">
        <f t="shared" si="40"/>
        <v>881</v>
      </c>
      <c r="Q244" s="2">
        <v>10</v>
      </c>
    </row>
    <row r="245" spans="14:17" x14ac:dyDescent="0.15">
      <c r="N245" s="2" t="s">
        <v>7</v>
      </c>
      <c r="O245" s="17">
        <f t="shared" si="39"/>
        <v>819</v>
      </c>
      <c r="P245" s="17">
        <f t="shared" si="40"/>
        <v>824</v>
      </c>
      <c r="Q245" s="2">
        <v>11</v>
      </c>
    </row>
    <row r="246" spans="14:17" x14ac:dyDescent="0.15">
      <c r="N246" s="2" t="s">
        <v>8</v>
      </c>
      <c r="O246" s="17">
        <f t="shared" si="39"/>
        <v>868</v>
      </c>
      <c r="P246" s="17">
        <f t="shared" si="40"/>
        <v>873</v>
      </c>
      <c r="Q246" s="2">
        <v>12</v>
      </c>
    </row>
    <row r="247" spans="14:17" x14ac:dyDescent="0.15">
      <c r="N247" s="2" t="s">
        <v>9</v>
      </c>
      <c r="O247" s="17">
        <f t="shared" si="39"/>
        <v>897</v>
      </c>
      <c r="P247" s="17">
        <f t="shared" si="40"/>
        <v>898</v>
      </c>
      <c r="Q247" s="2">
        <v>13</v>
      </c>
    </row>
    <row r="248" spans="14:17" x14ac:dyDescent="0.15">
      <c r="N248" s="2" t="s">
        <v>10</v>
      </c>
      <c r="O248" s="17">
        <f t="shared" si="39"/>
        <v>1003</v>
      </c>
      <c r="P248" s="17">
        <f t="shared" si="40"/>
        <v>1004</v>
      </c>
      <c r="Q248" s="2">
        <v>14</v>
      </c>
    </row>
    <row r="249" spans="14:17" x14ac:dyDescent="0.15">
      <c r="N249" s="2" t="s">
        <v>11</v>
      </c>
      <c r="O249" s="17">
        <f t="shared" si="39"/>
        <v>1163</v>
      </c>
      <c r="P249" s="17">
        <f t="shared" si="40"/>
        <v>1164</v>
      </c>
      <c r="Q249" s="2">
        <v>15</v>
      </c>
    </row>
    <row r="250" spans="14:17" x14ac:dyDescent="0.15">
      <c r="N250" s="2" t="s">
        <v>12</v>
      </c>
      <c r="O250" s="17">
        <f t="shared" si="39"/>
        <v>1331</v>
      </c>
      <c r="P250" s="17">
        <f t="shared" si="40"/>
        <v>1331</v>
      </c>
      <c r="Q250" s="2">
        <v>16</v>
      </c>
    </row>
    <row r="251" spans="14:17" x14ac:dyDescent="0.15">
      <c r="N251" s="2" t="s">
        <v>13</v>
      </c>
      <c r="O251" s="17">
        <f t="shared" si="39"/>
        <v>1410</v>
      </c>
      <c r="P251" s="17">
        <f t="shared" si="40"/>
        <v>1410</v>
      </c>
      <c r="Q251" s="2">
        <v>17</v>
      </c>
    </row>
    <row r="252" spans="14:17" x14ac:dyDescent="0.15">
      <c r="N252" s="2" t="s">
        <v>14</v>
      </c>
      <c r="O252" s="17">
        <f t="shared" si="39"/>
        <v>1101</v>
      </c>
      <c r="P252" s="17">
        <f t="shared" si="40"/>
        <v>1101</v>
      </c>
      <c r="Q252" s="2">
        <v>18</v>
      </c>
    </row>
    <row r="253" spans="14:17" x14ac:dyDescent="0.15">
      <c r="N253" s="2" t="s">
        <v>15</v>
      </c>
      <c r="O253" s="17">
        <f t="shared" si="39"/>
        <v>886</v>
      </c>
      <c r="P253" s="17">
        <f t="shared" si="40"/>
        <v>886</v>
      </c>
      <c r="Q253" s="2">
        <v>19</v>
      </c>
    </row>
    <row r="254" spans="14:17" x14ac:dyDescent="0.15">
      <c r="N254" s="2" t="s">
        <v>16</v>
      </c>
      <c r="O254" s="17">
        <f t="shared" si="39"/>
        <v>843</v>
      </c>
      <c r="P254" s="17">
        <f t="shared" si="40"/>
        <v>843</v>
      </c>
      <c r="Q254" s="2">
        <v>20</v>
      </c>
    </row>
    <row r="255" spans="14:17" x14ac:dyDescent="0.15">
      <c r="N255" s="2" t="s">
        <v>17</v>
      </c>
      <c r="O255" s="17">
        <f t="shared" si="39"/>
        <v>757</v>
      </c>
      <c r="P255" s="17">
        <f t="shared" si="40"/>
        <v>757</v>
      </c>
      <c r="Q255" s="2">
        <v>21</v>
      </c>
    </row>
    <row r="256" spans="14:17" x14ac:dyDescent="0.15">
      <c r="N256" s="2" t="s">
        <v>18</v>
      </c>
      <c r="O256" s="17">
        <f t="shared" si="39"/>
        <v>501</v>
      </c>
      <c r="P256" s="17">
        <f t="shared" si="40"/>
        <v>501</v>
      </c>
      <c r="Q256" s="2">
        <v>22</v>
      </c>
    </row>
    <row r="257" spans="14:17" x14ac:dyDescent="0.15">
      <c r="N257" s="2" t="s">
        <v>19</v>
      </c>
      <c r="O257" s="17">
        <f t="shared" si="39"/>
        <v>134</v>
      </c>
      <c r="P257" s="17">
        <f t="shared" si="40"/>
        <v>134</v>
      </c>
      <c r="Q257" s="2">
        <v>23</v>
      </c>
    </row>
    <row r="258" spans="14:17" x14ac:dyDescent="0.15">
      <c r="N258" s="2" t="s">
        <v>20</v>
      </c>
      <c r="O258" s="17">
        <f>H161+I161</f>
        <v>23</v>
      </c>
      <c r="P258" s="17">
        <f>O161+P161</f>
        <v>23</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2019-03-13T11:24:12Z</cp:lastPrinted>
  <dcterms:created xsi:type="dcterms:W3CDTF">2018-08-17T00:57:13Z</dcterms:created>
  <dcterms:modified xsi:type="dcterms:W3CDTF">2023-03-06T05:57:35Z</dcterms:modified>
</cp:coreProperties>
</file>