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eTPJb0WbL/ZDJBpZIWdGb/phVZlMzgGetgVysc73bvAzWLDv54gdKXVeRTVlFYCDaKw03K4nvuMB4616S3lLJw==" workbookSaltValue="8yhB8LJdLtQUOEN+twb7IA=="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W15" i="17" l="1"/>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BH9" i="17" l="1"/>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O46" i="18"/>
  <c r="AP8" i="17"/>
  <c r="BO4" i="17" s="1"/>
  <c r="CV4" i="17" s="1"/>
  <c r="AX8" i="17"/>
  <c r="BW4" i="17" s="1"/>
  <c r="DD4" i="17" s="1"/>
  <c r="O14" i="18"/>
  <c r="AV8" i="17"/>
  <c r="BU4" i="17" s="1"/>
  <c r="DB4"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O53" i="18"/>
  <c r="O43" i="18"/>
  <c r="O25" i="18"/>
  <c r="O64" i="18"/>
  <c r="O56" i="18"/>
  <c r="O20" i="18"/>
  <c r="A77" i="21" s="1"/>
  <c r="EP4" i="17"/>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O5" i="17"/>
  <c r="BS5" i="17"/>
  <c r="BV6" i="17"/>
  <c r="BX6" i="17"/>
  <c r="BP6" i="17"/>
  <c r="BT6" i="17"/>
  <c r="O42" i="18"/>
  <c r="O60" i="18"/>
  <c r="O52" i="18"/>
  <c r="O24" i="18"/>
  <c r="O34" i="18"/>
  <c r="O16" i="18"/>
  <c r="ED4" i="17" l="1"/>
  <c r="BW5" i="17"/>
  <c r="EL4" i="17"/>
  <c r="EL5" i="17" s="1"/>
  <c r="BZ7" i="17"/>
  <c r="BZ8" i="17" s="1"/>
  <c r="DI7" i="17"/>
  <c r="DJ10" i="17" s="1"/>
  <c r="EQ4" i="17"/>
  <c r="EJ4" i="17"/>
  <c r="EK7" i="17" s="1"/>
  <c r="BU5" i="17"/>
  <c r="DB7" i="17"/>
  <c r="BU7" i="17"/>
  <c r="O75" i="18"/>
  <c r="BQ5" i="17"/>
  <c r="CC5" i="17"/>
  <c r="CJ5" i="17" s="1"/>
  <c r="DJ4" i="17"/>
  <c r="P87" i="18"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B20" i="17"/>
  <c r="EW20" i="17" s="1"/>
  <c r="EW3" i="17"/>
  <c r="ES7" i="17"/>
  <c r="ER21" i="17"/>
  <c r="ER22" i="17" s="1"/>
  <c r="ER7" i="17"/>
  <c r="EQ21" i="17"/>
  <c r="EQ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I86" i="18"/>
  <c r="I80" i="18"/>
  <c r="CE9" i="17"/>
  <c r="H137" i="18" s="1"/>
  <c r="H88" i="18"/>
  <c r="DL5" i="17"/>
  <c r="DA9" i="17"/>
  <c r="DO3" i="17"/>
  <c r="DC6" i="17"/>
  <c r="DD5" i="17"/>
  <c r="DC10" i="17"/>
  <c r="EQ6" i="17"/>
  <c r="EQ23" i="17" s="1"/>
  <c r="EP5" i="17"/>
  <c r="EC7" i="17"/>
  <c r="ED5" i="17"/>
  <c r="EM6" i="17"/>
  <c r="EM23" i="17" s="1"/>
  <c r="EQ5" i="17"/>
  <c r="ER6" i="17"/>
  <c r="ER23" i="17" s="1"/>
  <c r="ER5" i="17"/>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BR9" i="17"/>
  <c r="BS12" i="17" s="1"/>
  <c r="H101" i="18" s="1"/>
  <c r="CZ5" i="17"/>
  <c r="DC5" i="17"/>
  <c r="DA5" i="17"/>
  <c r="BQ9" i="17"/>
  <c r="H123" i="18"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EL21" i="17" l="1"/>
  <c r="EL22" i="17" s="1"/>
  <c r="EM7" i="17"/>
  <c r="EM24" i="17" s="1"/>
  <c r="CA10" i="17"/>
  <c r="CB13" i="17" s="1"/>
  <c r="CC16" i="17" s="1"/>
  <c r="EJ21" i="17"/>
  <c r="EJ22" i="17" s="1"/>
  <c r="EJ5" i="17"/>
  <c r="DH7" i="17"/>
  <c r="P85" i="18" s="1"/>
  <c r="CM5" i="17"/>
  <c r="DJ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BU16" i="17"/>
  <c r="I102" i="18"/>
  <c r="O84" i="18"/>
  <c r="I112" i="18"/>
  <c r="CA16" i="17"/>
  <c r="I108" i="18"/>
  <c r="BW16" i="17"/>
  <c r="I104" i="18"/>
  <c r="DC8"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O8" i="17" l="1"/>
  <c r="DP7" i="17"/>
  <c r="DQ7" i="17"/>
  <c r="DH8" i="17"/>
  <c r="DP8" i="17" s="1"/>
  <c r="DI10" i="17"/>
  <c r="DJ13" i="17" s="1"/>
  <c r="DK16" i="17" s="1"/>
  <c r="O247" i="18"/>
  <c r="I161" i="18"/>
  <c r="DE13" i="17"/>
  <c r="DF16" i="17" s="1"/>
  <c r="DG19" i="17" s="1"/>
  <c r="P204" i="18" s="1"/>
  <c r="CE14" i="17"/>
  <c r="CD11" i="17"/>
  <c r="I136" i="18"/>
  <c r="BS11" i="17"/>
  <c r="I125" i="18"/>
  <c r="DQ5" i="17"/>
  <c r="O257" i="18"/>
  <c r="I135" i="18"/>
  <c r="DP5" i="17"/>
  <c r="ET8" i="17"/>
  <c r="EY8" i="17" s="1"/>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O258"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P249" i="18" l="1"/>
  <c r="P250" i="18"/>
  <c r="P226" i="18"/>
  <c r="DB16" i="17"/>
  <c r="DC19" i="17" s="1"/>
  <c r="P200" i="18" s="1"/>
  <c r="DI11" i="17"/>
  <c r="DQ11" i="17" s="1"/>
  <c r="DQ10" i="17"/>
  <c r="DQ8" i="17"/>
  <c r="DP10" i="17"/>
  <c r="P179" i="18"/>
  <c r="P134" i="18"/>
  <c r="Q37" i="18" s="1"/>
  <c r="P154" i="18"/>
  <c r="I45" i="18"/>
  <c r="P45" i="18" s="1"/>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O215" i="18" s="1"/>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Q12" i="17"/>
  <c r="BN13" i="17"/>
  <c r="CH10" i="17"/>
  <c r="DS3" i="17"/>
  <c r="DR3" i="17"/>
  <c r="CM14" i="17"/>
  <c r="CJ14" i="17"/>
  <c r="DR4" i="17"/>
  <c r="DS4" i="17"/>
  <c r="CG9" i="17"/>
  <c r="BN12" i="17"/>
  <c r="CH9" i="17"/>
  <c r="BM11" i="17"/>
  <c r="CH11" i="17" s="1"/>
  <c r="I27" i="18" s="1"/>
  <c r="P27" i="18" s="1"/>
  <c r="CV14" i="17"/>
  <c r="DT12" i="17"/>
  <c r="DN6" i="17"/>
  <c r="BL11" i="17"/>
  <c r="BM12" i="17"/>
  <c r="DP12" i="17"/>
  <c r="CI14" i="17"/>
  <c r="BM13" i="17"/>
  <c r="CG10" i="17"/>
  <c r="P175" i="18" l="1"/>
  <c r="H142" i="18"/>
  <c r="Q45" i="18"/>
  <c r="DB17" i="17"/>
  <c r="DC20" i="17"/>
  <c r="DP11"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DN8" i="17"/>
  <c r="Q18" i="18" s="1"/>
  <c r="P18" i="18"/>
  <c r="DN9" i="17"/>
  <c r="DW8" i="17" l="1"/>
  <c r="EY14" i="17"/>
  <c r="O239" i="18"/>
  <c r="DW10" i="17"/>
  <c r="DW16" i="17" s="1"/>
  <c r="CF12" i="17"/>
  <c r="CK12" i="17" s="1"/>
  <c r="CL8" i="17"/>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DW9" i="17" l="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DW17" i="17" l="1"/>
  <c r="DX1" i="17" s="1"/>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3" i="17" l="1"/>
  <c r="EE12" i="17"/>
  <c r="EF4" i="17"/>
  <c r="EF21" i="17" s="1"/>
  <c r="EE9" i="17"/>
  <c r="EF12" i="17" s="1"/>
  <c r="EF29" i="17" s="1"/>
  <c r="EE3" i="17"/>
  <c r="EF3" i="17"/>
  <c r="EF20" i="17" s="1"/>
  <c r="EE6" i="17"/>
  <c r="EE13" i="17"/>
  <c r="EG4" i="17"/>
  <c r="C37" i="21"/>
  <c r="D38" i="21" s="1"/>
  <c r="EE10" i="17"/>
  <c r="EE27" i="17" s="1"/>
  <c r="DX18" i="17"/>
  <c r="EE4" i="17"/>
  <c r="EE7" i="17"/>
  <c r="EF10" i="17" s="1"/>
  <c r="EF27" i="17" s="1"/>
  <c r="CH20" i="17"/>
  <c r="EE30" i="17"/>
  <c r="D39" i="21"/>
  <c r="EE23" i="17"/>
  <c r="EE21" i="17"/>
  <c r="EE29" i="17"/>
  <c r="EG7" i="17"/>
  <c r="EF9" i="17"/>
  <c r="EF7" i="17"/>
  <c r="EG6" i="17"/>
  <c r="EF5" i="17"/>
  <c r="EH6" i="17"/>
  <c r="EG20" i="17"/>
  <c r="EG5" i="17"/>
  <c r="EF13" i="17"/>
  <c r="EF30" i="17" s="1"/>
  <c r="EF6" i="17"/>
  <c r="EE5" i="17"/>
  <c r="EE20" i="17"/>
  <c r="FB3" i="17"/>
  <c r="EG21" i="17"/>
  <c r="EH7"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F22" i="17" l="1"/>
  <c r="EE14" i="17"/>
  <c r="EE31" i="17"/>
  <c r="EE24" i="17"/>
  <c r="EE25" i="17" s="1"/>
  <c r="EG13" i="17"/>
  <c r="EG30" i="17" s="1"/>
  <c r="EE26" i="17"/>
  <c r="EU4" i="17"/>
  <c r="C38" i="21"/>
  <c r="EE8" i="17"/>
  <c r="C39" i="21"/>
  <c r="EU3" i="17"/>
  <c r="EZ3" i="17" s="1"/>
  <c r="EE11" i="17"/>
  <c r="FB4" i="17"/>
  <c r="D37" i="21"/>
  <c r="EE28" i="17"/>
  <c r="FB7" i="17"/>
  <c r="DZ7" i="17" s="1"/>
  <c r="FB6" i="17"/>
  <c r="EF8" i="17"/>
  <c r="EG10" i="17"/>
  <c r="EF24" i="17"/>
  <c r="FB21" i="17"/>
  <c r="EU21" i="17"/>
  <c r="EG12" i="17"/>
  <c r="EF26" i="17"/>
  <c r="EF28" i="17" s="1"/>
  <c r="EF11" i="17"/>
  <c r="EI10" i="17"/>
  <c r="EH24" i="17"/>
  <c r="EG22" i="17"/>
  <c r="EG8" i="17"/>
  <c r="FB8" i="17" s="1"/>
  <c r="EH10" i="17"/>
  <c r="EG24" i="17"/>
  <c r="EI9" i="17"/>
  <c r="EH23" i="17"/>
  <c r="EH8" i="17"/>
  <c r="FB30" i="17"/>
  <c r="FB20" i="17"/>
  <c r="EU20" i="17"/>
  <c r="EE22" i="17"/>
  <c r="EF31" i="17"/>
  <c r="EU5" i="17"/>
  <c r="FB5" i="17"/>
  <c r="EF14" i="17"/>
  <c r="FB13" i="17"/>
  <c r="EF23" i="17"/>
  <c r="EG9" i="17"/>
  <c r="EG23" i="17"/>
  <c r="EH9" i="17"/>
  <c r="FA4" i="17"/>
  <c r="EZ4" i="17"/>
  <c r="D11" i="19"/>
  <c r="CK18" i="17"/>
  <c r="DS20" i="17"/>
  <c r="DS18" i="17"/>
  <c r="CK19" i="17"/>
  <c r="CL19" i="17"/>
  <c r="CF20" i="17"/>
  <c r="FA3" i="17" l="1"/>
  <c r="DZ6" i="17"/>
  <c r="EU6" i="17" s="1"/>
  <c r="FB23" i="17"/>
  <c r="EG25" i="17"/>
  <c r="EG29" i="17"/>
  <c r="EG14" i="17"/>
  <c r="FB14" i="17" s="1"/>
  <c r="FB12" i="17"/>
  <c r="EI11" i="17"/>
  <c r="EJ12" i="17"/>
  <c r="EI26" i="17"/>
  <c r="EU7" i="17"/>
  <c r="DZ24" i="17"/>
  <c r="EU24" i="17" s="1"/>
  <c r="EA10" i="17"/>
  <c r="EH27" i="17"/>
  <c r="EI13" i="17"/>
  <c r="EI30" i="17" s="1"/>
  <c r="FB24" i="17"/>
  <c r="EZ5" i="17"/>
  <c r="FA5" i="17"/>
  <c r="FB22" i="17"/>
  <c r="EU22" i="17"/>
  <c r="FA21" i="17"/>
  <c r="EZ21" i="17"/>
  <c r="EH26" i="17"/>
  <c r="EI12" i="17"/>
  <c r="EH11" i="17"/>
  <c r="FA20" i="17"/>
  <c r="EZ20" i="17"/>
  <c r="EH25" i="17"/>
  <c r="EF25" i="17"/>
  <c r="EG26" i="17"/>
  <c r="FB26" i="17" s="1"/>
  <c r="EH12" i="17"/>
  <c r="EG11" i="17"/>
  <c r="FB11" i="17" s="1"/>
  <c r="FB9" i="17"/>
  <c r="EJ13" i="17"/>
  <c r="EJ30" i="17" s="1"/>
  <c r="EI27" i="17"/>
  <c r="FB10" i="17"/>
  <c r="EH13" i="17"/>
  <c r="EH30" i="17" s="1"/>
  <c r="EG27" i="17"/>
  <c r="DZ13" i="17"/>
  <c r="DZ12" i="17"/>
  <c r="CK20" i="17"/>
  <c r="CL20" i="17"/>
  <c r="FB25" i="17" l="1"/>
  <c r="DZ8" i="17"/>
  <c r="EU8" i="17" s="1"/>
  <c r="DZ23" i="17"/>
  <c r="DZ25" i="17" s="1"/>
  <c r="EU25" i="17" s="1"/>
  <c r="EA9" i="17"/>
  <c r="EB12" i="17" s="1"/>
  <c r="EI28" i="17"/>
  <c r="FA7" i="17"/>
  <c r="EZ7" i="17"/>
  <c r="EJ29" i="17"/>
  <c r="EJ31" i="17" s="1"/>
  <c r="EJ14" i="17"/>
  <c r="DZ14" i="17"/>
  <c r="DZ29" i="17"/>
  <c r="FA22" i="17"/>
  <c r="EZ22" i="17"/>
  <c r="H36" i="21"/>
  <c r="DZ30" i="17"/>
  <c r="FB29" i="17"/>
  <c r="EG31" i="17"/>
  <c r="FB31" i="17" s="1"/>
  <c r="FA24" i="17"/>
  <c r="EZ24" i="17"/>
  <c r="EH29" i="17"/>
  <c r="EH31" i="17" s="1"/>
  <c r="EH14" i="17"/>
  <c r="EZ6" i="17"/>
  <c r="FA6" i="17"/>
  <c r="EG28" i="17"/>
  <c r="FB28" i="17" s="1"/>
  <c r="FB27" i="17"/>
  <c r="DZ10" i="17"/>
  <c r="DZ9" i="17"/>
  <c r="EI29" i="17"/>
  <c r="EI31" i="17" s="1"/>
  <c r="EI14" i="17"/>
  <c r="FA8" i="17"/>
  <c r="EZ8" i="17"/>
  <c r="EH28" i="17"/>
  <c r="EA27" i="17"/>
  <c r="EV27" i="17" s="1"/>
  <c r="EB13" i="17"/>
  <c r="EV10" i="17"/>
  <c r="EU23" i="17"/>
  <c r="EA26" i="17" l="1"/>
  <c r="EV26" i="17" s="1"/>
  <c r="EV9" i="17"/>
  <c r="EA11" i="17"/>
  <c r="EV11" i="17" s="1"/>
  <c r="DZ31" i="17"/>
  <c r="EA13" i="17"/>
  <c r="EV13" i="17" s="1"/>
  <c r="DZ27" i="17"/>
  <c r="EU27" i="17" s="1"/>
  <c r="EU10" i="17"/>
  <c r="EB29" i="17"/>
  <c r="EW12" i="17"/>
  <c r="EB14" i="17"/>
  <c r="EW14" i="17" s="1"/>
  <c r="EA12" i="17"/>
  <c r="DZ26" i="17"/>
  <c r="DZ11" i="17"/>
  <c r="EU9" i="17"/>
  <c r="H37" i="21"/>
  <c r="FA25" i="17"/>
  <c r="EZ25" i="17"/>
  <c r="EZ23" i="17"/>
  <c r="FA23" i="17"/>
  <c r="EB30" i="17"/>
  <c r="EW30" i="17" s="1"/>
  <c r="EW13" i="17"/>
  <c r="EU11" i="17" l="1"/>
  <c r="EA28" i="17"/>
  <c r="EV28" i="17" s="1"/>
  <c r="EW29" i="17"/>
  <c r="EB31" i="17"/>
  <c r="EW31" i="17" s="1"/>
  <c r="EZ10" i="17"/>
  <c r="FA10" i="17"/>
  <c r="EZ9" i="17"/>
  <c r="FA9" i="17"/>
  <c r="EA30" i="17"/>
  <c r="EU13" i="17"/>
  <c r="FA11" i="17"/>
  <c r="EZ11" i="17"/>
  <c r="DZ28" i="17"/>
  <c r="EU26" i="17"/>
  <c r="FA27" i="17"/>
  <c r="EZ27" i="17"/>
  <c r="EA29" i="17"/>
  <c r="EA14" i="17"/>
  <c r="EU12" i="17"/>
  <c r="EV12" i="17"/>
  <c r="EU28" i="17" l="1"/>
  <c r="FA28" i="17" s="1"/>
  <c r="FA13" i="17"/>
  <c r="EZ13" i="17"/>
  <c r="EV30" i="17"/>
  <c r="EU30" i="17"/>
  <c r="EZ12" i="17"/>
  <c r="FA12" i="17"/>
  <c r="EV14" i="17"/>
  <c r="EU14" i="17"/>
  <c r="EA31" i="17"/>
  <c r="EV29" i="17"/>
  <c r="EU29" i="17"/>
  <c r="FA26" i="17"/>
  <c r="EZ26" i="17"/>
  <c r="EZ28" i="17" l="1"/>
  <c r="H38" i="21"/>
  <c r="EV31" i="17"/>
  <c r="EU31" i="17"/>
  <c r="EZ14" i="17"/>
  <c r="FA14" i="17"/>
  <c r="FA30" i="17"/>
  <c r="EZ30" i="17"/>
  <c r="FA29" i="17"/>
  <c r="EZ29" i="17"/>
  <c r="H39" i="21" l="1"/>
  <c r="FA31" i="17"/>
  <c r="EZ31" i="17"/>
</calcChain>
</file>

<file path=xl/sharedStrings.xml><?xml version="1.0" encoding="utf-8"?>
<sst xmlns="http://schemas.openxmlformats.org/spreadsheetml/2006/main" count="1369" uniqueCount="452">
  <si>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</si>
  <si>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</si>
  <si>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</si>
  <si>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</si>
  <si>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</si>
  <si>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</si>
  <si>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</si>
  <si>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</si>
  <si>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</si>
  <si>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</si>
  <si>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</si>
  <si>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</si>
  <si>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</si>
  <si>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</si>
  <si>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</si>
  <si>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</si>
  <si>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</si>
  <si>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</si>
  <si>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</si>
  <si>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</si>
  <si>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</si>
  <si>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</si>
  <si>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</si>
  <si>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</si>
  <si>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</si>
  <si>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</si>
  <si>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</si>
  <si>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</si>
  <si>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</si>
  <si>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</si>
  <si>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</si>
  <si>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</si>
  <si>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</si>
  <si>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</si>
  <si>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</si>
  <si>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</si>
  <si>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</si>
  <si>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</si>
  <si>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</si>
  <si>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</si>
  <si>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</si>
  <si>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</si>
  <si>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</si>
  <si>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</si>
  <si>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</si>
  <si>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</si>
  <si>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</si>
  <si>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</si>
  <si>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</si>
  <si>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</si>
  <si>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</si>
  <si>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</si>
  <si>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</si>
  <si>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</si>
  <si>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</si>
  <si>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</si>
  <si>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</si>
  <si>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</si>
  <si>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</si>
  <si>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</si>
  <si>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</si>
  <si>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</si>
  <si>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</si>
  <si>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</si>
  <si>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</si>
  <si>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</si>
  <si>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</si>
  <si>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</si>
  <si>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</si>
  <si>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</si>
  <si>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</si>
  <si>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</si>
  <si>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</si>
  <si>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</si>
  <si>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</si>
  <si>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</si>
  <si>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</si>
  <si>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</si>
  <si>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</si>
  <si>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</si>
  <si>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</si>
  <si>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</si>
  <si>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</si>
  <si>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</si>
  <si>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</si>
  <si>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</si>
  <si>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</si>
  <si>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</si>
  <si>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</si>
  <si>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</si>
  <si>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</si>
  <si>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</si>
  <si>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</si>
  <si>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</si>
  <si>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</si>
  <si>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</si>
  <si>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</si>
  <si>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</si>
  <si>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</si>
  <si>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</si>
  <si>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</si>
  <si>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</si>
  <si>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</si>
  <si>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</si>
  <si>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</si>
  <si>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</si>
  <si>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</si>
  <si>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</si>
  <si>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</si>
  <si>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</si>
  <si>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</si>
  <si>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</si>
  <si>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</si>
  <si>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</si>
  <si>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</si>
  <si>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</si>
  <si>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</si>
  <si>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</si>
  <si>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</si>
  <si>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</si>
  <si>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</si>
  <si>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</si>
  <si>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</si>
  <si>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</si>
  <si>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</si>
  <si>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</si>
  <si>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</si>
  <si>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</si>
  <si>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</si>
  <si>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</si>
  <si>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</si>
  <si>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</si>
  <si>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</si>
  <si>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</si>
  <si>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</si>
  <si>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</si>
  <si>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</si>
  <si>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</si>
  <si>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</si>
  <si>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</si>
  <si>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</si>
  <si>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</si>
  <si>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</si>
  <si>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</si>
  <si>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</si>
  <si>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</si>
  <si>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</si>
  <si>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</si>
  <si>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</si>
  <si>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</si>
  <si>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</si>
  <si>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</si>
  <si>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</si>
  <si>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</si>
  <si>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</si>
  <si>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</si>
  <si>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</si>
  <si>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</si>
  <si>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</si>
  <si>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</si>
  <si>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</si>
  <si>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</si>
  <si>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</si>
  <si>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</si>
  <si>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</si>
  <si>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</si>
  <si>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</si>
  <si>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</si>
  <si>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</si>
  <si>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</si>
  <si>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</si>
  <si>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</si>
  <si>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</si>
  <si>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</si>
  <si>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</si>
  <si>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</si>
  <si>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</si>
  <si>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</si>
  <si>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</si>
  <si>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</si>
  <si>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</si>
  <si>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</si>
  <si>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</si>
  <si>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</si>
  <si>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</si>
  <si>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</si>
  <si>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</si>
  <si>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</si>
  <si>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</si>
  <si>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</si>
  <si>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</si>
  <si>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</si>
  <si>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</si>
  <si>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</si>
  <si>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</si>
  <si>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</si>
  <si>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</si>
  <si>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</si>
  <si>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</si>
  <si>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</si>
  <si>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</si>
  <si>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</si>
  <si>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</si>
  <si>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</si>
  <si>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</si>
  <si>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</si>
  <si>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</si>
  <si>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</si>
  <si>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</si>
  <si>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</si>
  <si>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</si>
  <si>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</si>
  <si>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</si>
  <si>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</si>
  <si>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</si>
  <si>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</si>
  <si>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</si>
  <si>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</si>
  <si>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</si>
  <si>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</si>
  <si>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</si>
  <si>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</si>
  <si>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</si>
  <si>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</si>
  <si>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</si>
  <si>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</si>
  <si>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</si>
  <si>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</si>
  <si>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</si>
  <si>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</si>
  <si>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</si>
  <si>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</si>
  <si>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</si>
  <si>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</si>
  <si>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</si>
  <si>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</si>
  <si>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</si>
  <si>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</si>
  <si>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</si>
  <si>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</si>
  <si>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</si>
  <si>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</si>
  <si>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</si>
  <si>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</si>
  <si>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</si>
  <si>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</si>
  <si>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</si>
  <si>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</si>
  <si>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</si>
  <si>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</si>
  <si>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</si>
  <si>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</si>
  <si>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</si>
  <si>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</si>
  <si>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</si>
  <si>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</si>
  <si>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</si>
  <si>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</si>
  <si>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</si>
  <si>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</si>
  <si>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</si>
  <si>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</si>
  <si>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</si>
  <si>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</si>
  <si>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</si>
  <si>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</si>
  <si>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</si>
  <si>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</si>
  <si>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</si>
  <si>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</si>
  <si>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</si>
  <si>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</si>
  <si>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</si>
  <si>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</si>
  <si>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</si>
  <si>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</si>
  <si>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</si>
  <si>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</si>
  <si>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</si>
  <si>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</si>
  <si>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</si>
  <si>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</si>
  <si>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</si>
  <si>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</si>
  <si>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</si>
  <si>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</si>
  <si>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</si>
  <si>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</si>
  <si>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</si>
  <si>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</si>
  <si>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</si>
  <si>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</si>
  <si>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</si>
  <si>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</si>
  <si>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</si>
  <si>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</si>
  <si>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</si>
  <si>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</si>
  <si>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</si>
  <si>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</si>
  <si>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</si>
  <si>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</si>
  <si>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</si>
  <si>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</si>
  <si>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</si>
  <si>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</si>
  <si>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</si>
  <si>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</si>
  <si>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</si>
  <si>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</si>
  <si>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</si>
  <si>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</si>
  <si>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</si>
  <si>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</si>
  <si>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</si>
  <si>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</si>
  <si>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</si>
  <si>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</si>
  <si>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</si>
  <si>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</si>
  <si>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</si>
  <si>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</si>
  <si>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</si>
  <si>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</si>
  <si>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</si>
  <si>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</si>
  <si>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</si>
  <si>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</si>
  <si>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</si>
  <si>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</si>
  <si>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</si>
  <si>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</si>
  <si>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</si>
  <si>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</si>
  <si>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</si>
  <si>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</si>
  <si>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</si>
  <si>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</si>
  <si>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</si>
  <si>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</si>
  <si>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</si>
  <si>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</si>
  <si>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</si>
  <si>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</si>
  <si>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</si>
  <si>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</si>
  <si>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</si>
  <si>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</si>
  <si>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</si>
  <si>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</si>
  <si>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</si>
  <si>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</si>
  <si>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</si>
  <si>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</si>
  <si>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</si>
  <si>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</si>
  <si>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</si>
  <si>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</si>
  <si>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</si>
  <si>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</si>
  <si>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</si>
  <si>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</si>
  <si>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</si>
  <si>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</si>
  <si>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</si>
  <si>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</si>
  <si>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</si>
  <si>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</si>
  <si>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</si>
  <si>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</si>
  <si>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</si>
  <si>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</si>
  <si>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</si>
  <si>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</si>
  <si>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</si>
  <si>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</si>
  <si>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</si>
  <si>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</si>
  <si>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</si>
  <si>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</si>
  <si>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</si>
  <si>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</si>
  <si>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</si>
  <si>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</si>
  <si>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</si>
  <si>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</si>
  <si>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</si>
  <si>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</si>
  <si>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</si>
  <si>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</si>
  <si>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</si>
  <si>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</si>
  <si>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</si>
  <si>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</si>
  <si>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</si>
  <si>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</si>
  <si>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</si>
  <si>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</si>
  <si>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</si>
  <si>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</si>
  <si>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</si>
  <si>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</si>
  <si>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</si>
  <si>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</si>
  <si>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</si>
  <si>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</si>
  <si>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</si>
  <si>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</si>
  <si>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</si>
  <si>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</si>
  <si>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</si>
  <si>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</si>
  <si>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</si>
  <si>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</si>
  <si>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</si>
  <si>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</si>
  <si>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</si>
  <si>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</si>
  <si>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</si>
  <si>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</si>
  <si>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</si>
  <si>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</si>
  <si>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</si>
  <si>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</si>
  <si>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</si>
  <si>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</si>
  <si>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</si>
  <si>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</si>
  <si>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45203_1</t>
  </si>
  <si>
    <t>延岡市</t>
    <rPh sb="0" eb="3">
      <t>ノベオカシ</t>
    </rPh>
    <phoneticPr fontId="1"/>
  </si>
  <si>
    <t>川中地区</t>
  </si>
  <si>
    <t>45203_2</t>
  </si>
  <si>
    <t>岡富地区</t>
  </si>
  <si>
    <t>45203_3</t>
  </si>
  <si>
    <t>恒富地区</t>
  </si>
  <si>
    <t>45203_4</t>
  </si>
  <si>
    <t>東海地区</t>
  </si>
  <si>
    <t>45203_5</t>
  </si>
  <si>
    <t>伊形地区</t>
  </si>
  <si>
    <t>45203_6</t>
  </si>
  <si>
    <t>南方地区</t>
  </si>
  <si>
    <t>45203_7</t>
  </si>
  <si>
    <t>南浦地区</t>
  </si>
  <si>
    <t>45203_8</t>
  </si>
  <si>
    <t>北方地区</t>
  </si>
  <si>
    <t>45203_9</t>
  </si>
  <si>
    <t>北浦地区</t>
  </si>
  <si>
    <t>45203_10</t>
  </si>
  <si>
    <t>北川地区</t>
  </si>
  <si>
    <t>45203_4</t>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</si>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</sst>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1070</c:v>
                </c:pt>
                <c:pt idx="1">
                  <c:v>927</c:v>
                </c:pt>
                <c:pt idx="2">
                  <c:v>857</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2661720"/>
        <c:axId val="392658192"/>
      </c:barChart>
      <c:catAx>
        <c:axId val="3926617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658192"/>
        <c:crosses val="autoZero"/>
        <c:auto val="1"/>
        <c:lblAlgn val="ctr"/>
        <c:lblOffset val="100"/>
        <c:noMultiLvlLbl val="0"/>
      </c:catAx>
      <c:valAx>
        <c:axId val="3926581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6617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585</c:v>
                </c:pt>
                <c:pt idx="1">
                  <c:v>516</c:v>
                </c:pt>
                <c:pt idx="2">
                  <c:v>492</c:v>
                </c:pt>
                <c:pt idx="3">
                  <c:v>433</c:v>
                </c:pt>
                <c:pt idx="4">
                  <c:v>368</c:v>
                </c:pt>
                <c:pt idx="5">
                  <c:v>304</c:v>
                </c:pt>
                <c:pt idx="6">
                  <c:v>259</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2919528"/>
        <c:axId val="392920312"/>
      </c:barChart>
      <c:catAx>
        <c:axId val="392919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920312"/>
        <c:crosses val="autoZero"/>
        <c:auto val="1"/>
        <c:lblAlgn val="ctr"/>
        <c:lblOffset val="100"/>
        <c:noMultiLvlLbl val="0"/>
      </c:catAx>
      <c:valAx>
        <c:axId val="3929203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9195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0.27</c:v>
                </c:pt>
                <c:pt idx="1">
                  <c:v>0.32</c:v>
                </c:pt>
                <c:pt idx="2">
                  <c:v>0.36</c:v>
                </c:pt>
                <c:pt idx="3">
                  <c:v>0.38</c:v>
                </c:pt>
                <c:pt idx="4">
                  <c:v>0.4</c:v>
                </c:pt>
                <c:pt idx="5">
                  <c:v>0.4</c:v>
                </c:pt>
                <c:pt idx="6">
                  <c:v>0.42</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2919920"/>
        <c:axId val="392921096"/>
      </c:barChart>
      <c:catAx>
        <c:axId val="392919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921096"/>
        <c:crosses val="autoZero"/>
        <c:auto val="1"/>
        <c:lblAlgn val="ctr"/>
        <c:lblOffset val="100"/>
        <c:noMultiLvlLbl val="0"/>
      </c:catAx>
      <c:valAx>
        <c:axId val="3929210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9199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0.14000000000000001</c:v>
                </c:pt>
                <c:pt idx="1">
                  <c:v>0.17</c:v>
                </c:pt>
                <c:pt idx="2">
                  <c:v>0.18</c:v>
                </c:pt>
                <c:pt idx="3">
                  <c:v>0.22</c:v>
                </c:pt>
                <c:pt idx="4">
                  <c:v>0.25</c:v>
                </c:pt>
                <c:pt idx="5">
                  <c:v>0.26</c:v>
                </c:pt>
                <c:pt idx="6">
                  <c:v>0.26</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2921488"/>
        <c:axId val="392923448"/>
      </c:barChart>
      <c:catAx>
        <c:axId val="3929214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923448"/>
        <c:crosses val="autoZero"/>
        <c:auto val="1"/>
        <c:lblAlgn val="ctr"/>
        <c:lblOffset val="100"/>
        <c:noMultiLvlLbl val="0"/>
      </c:catAx>
      <c:valAx>
        <c:axId val="3929234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92148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5337650444054718"/>
          <c:y val="1.822553638701869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20"/>
              <c:layout>
                <c:manualLayout>
                  <c:x val="-3.6707588031232245E-2"/>
                  <c:y val="-3.2961185800888587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4C5-40D5-BBFB-7675C5943C2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177</c:v>
                </c:pt>
                <c:pt idx="1">
                  <c:v>214</c:v>
                </c:pt>
                <c:pt idx="2">
                  <c:v>266</c:v>
                </c:pt>
                <c:pt idx="3">
                  <c:v>397</c:v>
                </c:pt>
                <c:pt idx="4">
                  <c:v>212</c:v>
                </c:pt>
                <c:pt idx="5">
                  <c:v>315</c:v>
                </c:pt>
                <c:pt idx="6">
                  <c:v>277</c:v>
                </c:pt>
                <c:pt idx="7">
                  <c:v>277</c:v>
                </c:pt>
                <c:pt idx="8">
                  <c:v>310</c:v>
                </c:pt>
                <c:pt idx="9">
                  <c:v>353</c:v>
                </c:pt>
                <c:pt idx="10">
                  <c:v>425</c:v>
                </c:pt>
                <c:pt idx="11">
                  <c:v>498</c:v>
                </c:pt>
                <c:pt idx="12">
                  <c:v>439</c:v>
                </c:pt>
                <c:pt idx="13">
                  <c:v>452</c:v>
                </c:pt>
                <c:pt idx="14">
                  <c:v>473</c:v>
                </c:pt>
                <c:pt idx="15">
                  <c:v>499</c:v>
                </c:pt>
                <c:pt idx="16">
                  <c:v>464</c:v>
                </c:pt>
                <c:pt idx="17">
                  <c:v>215</c:v>
                </c:pt>
                <c:pt idx="18">
                  <c:v>93</c:v>
                </c:pt>
                <c:pt idx="19">
                  <c:v>37</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2922272"/>
        <c:axId val="392924232"/>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200</c:v>
                </c:pt>
                <c:pt idx="1">
                  <c:v>241</c:v>
                </c:pt>
                <c:pt idx="2">
                  <c:v>297</c:v>
                </c:pt>
                <c:pt idx="3">
                  <c:v>317</c:v>
                </c:pt>
                <c:pt idx="4">
                  <c:v>183</c:v>
                </c:pt>
                <c:pt idx="5">
                  <c:v>199</c:v>
                </c:pt>
                <c:pt idx="6">
                  <c:v>223</c:v>
                </c:pt>
                <c:pt idx="7">
                  <c:v>236</c:v>
                </c:pt>
                <c:pt idx="8">
                  <c:v>293</c:v>
                </c:pt>
                <c:pt idx="9">
                  <c:v>383</c:v>
                </c:pt>
                <c:pt idx="10">
                  <c:v>458</c:v>
                </c:pt>
                <c:pt idx="11">
                  <c:v>461</c:v>
                </c:pt>
                <c:pt idx="12">
                  <c:v>440</c:v>
                </c:pt>
                <c:pt idx="13">
                  <c:v>528</c:v>
                </c:pt>
                <c:pt idx="14">
                  <c:v>549</c:v>
                </c:pt>
                <c:pt idx="15">
                  <c:v>634</c:v>
                </c:pt>
                <c:pt idx="16">
                  <c:v>665</c:v>
                </c:pt>
                <c:pt idx="17">
                  <c:v>349</c:v>
                </c:pt>
                <c:pt idx="18">
                  <c:v>232</c:v>
                </c:pt>
                <c:pt idx="19">
                  <c:v>82</c:v>
                </c:pt>
                <c:pt idx="20">
                  <c:v>12</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2924624"/>
        <c:axId val="392922664"/>
      </c:barChart>
      <c:catAx>
        <c:axId val="3929222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924232"/>
        <c:crosses val="autoZero"/>
        <c:auto val="1"/>
        <c:lblAlgn val="ctr"/>
        <c:lblOffset val="100"/>
        <c:noMultiLvlLbl val="0"/>
      </c:catAx>
      <c:valAx>
        <c:axId val="392924232"/>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922272"/>
        <c:crosses val="autoZero"/>
        <c:crossBetween val="between"/>
        <c:majorUnit val="500"/>
      </c:valAx>
      <c:valAx>
        <c:axId val="39292266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924624"/>
        <c:crosses val="max"/>
        <c:crossBetween val="between"/>
        <c:majorUnit val="500"/>
      </c:valAx>
      <c:catAx>
        <c:axId val="392924624"/>
        <c:scaling>
          <c:orientation val="minMax"/>
        </c:scaling>
        <c:delete val="1"/>
        <c:axPos val="l"/>
        <c:numFmt formatCode="General" sourceLinked="1"/>
        <c:majorTickMark val="out"/>
        <c:minorTickMark val="none"/>
        <c:tickLblPos val="nextTo"/>
        <c:crossAx val="39292266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20"/>
              <c:layout>
                <c:manualLayout>
                  <c:x val="-3.7840770680671355E-2"/>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69E-4E00-9757-63DA359A2F6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149</c:v>
                </c:pt>
                <c:pt idx="1">
                  <c:v>172</c:v>
                </c:pt>
                <c:pt idx="2">
                  <c:v>190</c:v>
                </c:pt>
                <c:pt idx="3">
                  <c:v>252</c:v>
                </c:pt>
                <c:pt idx="4">
                  <c:v>138</c:v>
                </c:pt>
                <c:pt idx="5">
                  <c:v>224</c:v>
                </c:pt>
                <c:pt idx="6">
                  <c:v>253</c:v>
                </c:pt>
                <c:pt idx="7">
                  <c:v>306</c:v>
                </c:pt>
                <c:pt idx="8">
                  <c:v>272</c:v>
                </c:pt>
                <c:pt idx="9">
                  <c:v>264</c:v>
                </c:pt>
                <c:pt idx="10">
                  <c:v>300</c:v>
                </c:pt>
                <c:pt idx="11">
                  <c:v>346</c:v>
                </c:pt>
                <c:pt idx="12">
                  <c:v>424</c:v>
                </c:pt>
                <c:pt idx="13">
                  <c:v>475</c:v>
                </c:pt>
                <c:pt idx="14">
                  <c:v>379</c:v>
                </c:pt>
                <c:pt idx="15">
                  <c:v>359</c:v>
                </c:pt>
                <c:pt idx="16">
                  <c:v>327</c:v>
                </c:pt>
                <c:pt idx="17">
                  <c:v>243</c:v>
                </c:pt>
                <c:pt idx="18">
                  <c:v>121</c:v>
                </c:pt>
                <c:pt idx="19">
                  <c:v>33</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93807128"/>
        <c:axId val="393808304"/>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168</c:v>
                </c:pt>
                <c:pt idx="1">
                  <c:v>193</c:v>
                </c:pt>
                <c:pt idx="2">
                  <c:v>212</c:v>
                </c:pt>
                <c:pt idx="3">
                  <c:v>236</c:v>
                </c:pt>
                <c:pt idx="4">
                  <c:v>152</c:v>
                </c:pt>
                <c:pt idx="5">
                  <c:v>172</c:v>
                </c:pt>
                <c:pt idx="6">
                  <c:v>183</c:v>
                </c:pt>
                <c:pt idx="7">
                  <c:v>198</c:v>
                </c:pt>
                <c:pt idx="8">
                  <c:v>212</c:v>
                </c:pt>
                <c:pt idx="9">
                  <c:v>221</c:v>
                </c:pt>
                <c:pt idx="10">
                  <c:v>286</c:v>
                </c:pt>
                <c:pt idx="11">
                  <c:v>360</c:v>
                </c:pt>
                <c:pt idx="12">
                  <c:v>440</c:v>
                </c:pt>
                <c:pt idx="13">
                  <c:v>447</c:v>
                </c:pt>
                <c:pt idx="14">
                  <c:v>403</c:v>
                </c:pt>
                <c:pt idx="15">
                  <c:v>469</c:v>
                </c:pt>
                <c:pt idx="16">
                  <c:v>464</c:v>
                </c:pt>
                <c:pt idx="17">
                  <c:v>414</c:v>
                </c:pt>
                <c:pt idx="18">
                  <c:v>281</c:v>
                </c:pt>
                <c:pt idx="19">
                  <c:v>69</c:v>
                </c:pt>
                <c:pt idx="20">
                  <c:v>13</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393810264"/>
        <c:axId val="393809872"/>
      </c:barChart>
      <c:catAx>
        <c:axId val="3938071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808304"/>
        <c:crosses val="autoZero"/>
        <c:auto val="1"/>
        <c:lblAlgn val="ctr"/>
        <c:lblOffset val="100"/>
        <c:noMultiLvlLbl val="0"/>
      </c:catAx>
      <c:valAx>
        <c:axId val="393808304"/>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807128"/>
        <c:crosses val="autoZero"/>
        <c:crossBetween val="between"/>
        <c:majorUnit val="500"/>
      </c:valAx>
      <c:valAx>
        <c:axId val="39380987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810264"/>
        <c:crosses val="max"/>
        <c:crossBetween val="between"/>
        <c:majorUnit val="500"/>
      </c:valAx>
      <c:catAx>
        <c:axId val="393810264"/>
        <c:scaling>
          <c:orientation val="minMax"/>
        </c:scaling>
        <c:delete val="1"/>
        <c:axPos val="l"/>
        <c:numFmt formatCode="General" sourceLinked="1"/>
        <c:majorTickMark val="out"/>
        <c:minorTickMark val="none"/>
        <c:tickLblPos val="nextTo"/>
        <c:crossAx val="39380987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17824</c:v>
                </c:pt>
                <c:pt idx="1">
                  <c:v>16966</c:v>
                </c:pt>
                <c:pt idx="2">
                  <c:v>15949</c:v>
                </c:pt>
                <c:pt idx="3">
                  <c:v>14679</c:v>
                </c:pt>
                <c:pt idx="4">
                  <c:v>13375</c:v>
                </c:pt>
                <c:pt idx="5">
                  <c:v>12074</c:v>
                </c:pt>
                <c:pt idx="6">
                  <c:v>10820</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0F8F-4B85-B534-D20BD2283CA5}"/>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0F8F-4B85-B534-D20BD2283CA5}"/>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0F8F-4B85-B534-D20BD2283CA5}"/>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0F8F-4B85-B534-D20BD2283CA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14688</c:v>
                </c:pt>
                <c:pt idx="4" formatCode="#,##0_);[Red]\(#,##0\)">
                  <c:v>13395</c:v>
                </c:pt>
                <c:pt idx="5" formatCode="#,##0_);[Red]\(#,##0\)">
                  <c:v>12106</c:v>
                </c:pt>
                <c:pt idx="6" formatCode="#,##0_);[Red]\(#,##0\)">
                  <c:v>10861</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6662168"/>
        <c:axId val="456665696"/>
      </c:barChart>
      <c:catAx>
        <c:axId val="4566621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65696"/>
        <c:crosses val="autoZero"/>
        <c:auto val="1"/>
        <c:lblAlgn val="ctr"/>
        <c:lblOffset val="100"/>
        <c:noMultiLvlLbl val="0"/>
      </c:catAx>
      <c:valAx>
        <c:axId val="4566656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62168"/>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1070</c:v>
                </c:pt>
                <c:pt idx="1">
                  <c:v>927</c:v>
                </c:pt>
                <c:pt idx="2">
                  <c:v>857</c:v>
                </c:pt>
                <c:pt idx="3">
                  <c:v>735</c:v>
                </c:pt>
                <c:pt idx="4">
                  <c:v>611</c:v>
                </c:pt>
                <c:pt idx="5">
                  <c:v>515</c:v>
                </c:pt>
                <c:pt idx="6">
                  <c:v>461</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4223661041448319E-2"/>
                  <c:y val="-5.091291308989524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737</c:v>
                </c:pt>
                <c:pt idx="4">
                  <c:v>614</c:v>
                </c:pt>
                <c:pt idx="5">
                  <c:v>520</c:v>
                </c:pt>
                <c:pt idx="6">
                  <c:v>468</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6659032"/>
        <c:axId val="456664912"/>
      </c:barChart>
      <c:catAx>
        <c:axId val="4566590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64912"/>
        <c:crosses val="autoZero"/>
        <c:auto val="1"/>
        <c:lblAlgn val="ctr"/>
        <c:lblOffset val="100"/>
        <c:noMultiLvlLbl val="0"/>
      </c:catAx>
      <c:valAx>
        <c:axId val="4566649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59032"/>
        <c:crosses val="autoZero"/>
        <c:crossBetween val="between"/>
      </c:valAx>
      <c:spPr>
        <a:noFill/>
        <a:ln>
          <a:noFill/>
        </a:ln>
        <a:effectLst/>
      </c:spPr>
    </c:plotArea>
    <c:legend>
      <c:legendPos val="t"/>
      <c:layout>
        <c:manualLayout>
          <c:xMode val="edge"/>
          <c:yMode val="edge"/>
          <c:x val="5.7385836743297169E-2"/>
          <c:y val="0.10654252804081556"/>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0.27</c:v>
                </c:pt>
                <c:pt idx="1">
                  <c:v>0.32</c:v>
                </c:pt>
                <c:pt idx="2">
                  <c:v>0.36</c:v>
                </c:pt>
                <c:pt idx="3">
                  <c:v>0.38</c:v>
                </c:pt>
                <c:pt idx="4">
                  <c:v>0.4</c:v>
                </c:pt>
                <c:pt idx="5">
                  <c:v>0.4</c:v>
                </c:pt>
                <c:pt idx="6">
                  <c:v>0.42</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81B6-4D02-9ABC-CBFE6F29ED22}"/>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81B6-4D02-9ABC-CBFE6F29ED22}"/>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81B6-4D02-9ABC-CBFE6F29ED22}"/>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81B6-4D02-9ABC-CBFE6F29ED2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0.38</c:v>
                </c:pt>
                <c:pt idx="4" formatCode="0%">
                  <c:v>0.39</c:v>
                </c:pt>
                <c:pt idx="5" formatCode="0%">
                  <c:v>0.4</c:v>
                </c:pt>
                <c:pt idx="6" formatCode="0%">
                  <c:v>0.41</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6661776"/>
        <c:axId val="456662560"/>
      </c:barChart>
      <c:catAx>
        <c:axId val="456661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62560"/>
        <c:crosses val="autoZero"/>
        <c:auto val="1"/>
        <c:lblAlgn val="ctr"/>
        <c:lblOffset val="100"/>
        <c:noMultiLvlLbl val="0"/>
      </c:catAx>
      <c:valAx>
        <c:axId val="4566625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6177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0.14000000000000001</c:v>
                </c:pt>
                <c:pt idx="1">
                  <c:v>0.17</c:v>
                </c:pt>
                <c:pt idx="2">
                  <c:v>0.18</c:v>
                </c:pt>
                <c:pt idx="3">
                  <c:v>0.22</c:v>
                </c:pt>
                <c:pt idx="4">
                  <c:v>0.25</c:v>
                </c:pt>
                <c:pt idx="5">
                  <c:v>0.26</c:v>
                </c:pt>
                <c:pt idx="6">
                  <c:v>0.26</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E8F8-4DFE-9C56-03774213B477}"/>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E8F8-4DFE-9C56-03774213B477}"/>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E8F8-4DFE-9C56-03774213B477}"/>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E8F8-4DFE-9C56-03774213B47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0.22</c:v>
                </c:pt>
                <c:pt idx="4" formatCode="0%">
                  <c:v>0.25</c:v>
                </c:pt>
                <c:pt idx="5" formatCode="0%">
                  <c:v>0.26</c:v>
                </c:pt>
                <c:pt idx="6" formatCode="0%">
                  <c:v>0.26</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6662952"/>
        <c:axId val="456659424"/>
      </c:barChart>
      <c:catAx>
        <c:axId val="456662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59424"/>
        <c:crosses val="autoZero"/>
        <c:auto val="1"/>
        <c:lblAlgn val="ctr"/>
        <c:lblOffset val="100"/>
        <c:noMultiLvlLbl val="0"/>
      </c:catAx>
      <c:valAx>
        <c:axId val="4566594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6295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585</c:v>
                </c:pt>
                <c:pt idx="1">
                  <c:v>516</c:v>
                </c:pt>
                <c:pt idx="2">
                  <c:v>492</c:v>
                </c:pt>
                <c:pt idx="3">
                  <c:v>433</c:v>
                </c:pt>
                <c:pt idx="4">
                  <c:v>368</c:v>
                </c:pt>
                <c:pt idx="5">
                  <c:v>304</c:v>
                </c:pt>
                <c:pt idx="6">
                  <c:v>259</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434</c:v>
                </c:pt>
                <c:pt idx="4">
                  <c:v>370</c:v>
                </c:pt>
                <c:pt idx="5">
                  <c:v>306</c:v>
                </c:pt>
                <c:pt idx="6">
                  <c:v>262</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6663344"/>
        <c:axId val="456659816"/>
      </c:barChart>
      <c:catAx>
        <c:axId val="4566633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59816"/>
        <c:crosses val="autoZero"/>
        <c:auto val="1"/>
        <c:lblAlgn val="ctr"/>
        <c:lblOffset val="100"/>
        <c:noMultiLvlLbl val="0"/>
      </c:catAx>
      <c:valAx>
        <c:axId val="4566598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63344"/>
        <c:crosses val="autoZero"/>
        <c:crossBetween val="between"/>
      </c:valAx>
      <c:spPr>
        <a:noFill/>
        <a:ln>
          <a:noFill/>
        </a:ln>
        <a:effectLst/>
      </c:spPr>
    </c:plotArea>
    <c:legend>
      <c:legendPos val="t"/>
      <c:layout>
        <c:manualLayout>
          <c:xMode val="edge"/>
          <c:yMode val="edge"/>
          <c:x val="0.1067062707832858"/>
          <c:y val="0.10855752803091595"/>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585</c:v>
                </c:pt>
                <c:pt idx="1">
                  <c:v>516</c:v>
                </c:pt>
                <c:pt idx="2">
                  <c:v>492</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2659760"/>
        <c:axId val="392660152"/>
      </c:barChart>
      <c:catAx>
        <c:axId val="392659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660152"/>
        <c:crosses val="autoZero"/>
        <c:auto val="1"/>
        <c:lblAlgn val="ctr"/>
        <c:lblOffset val="100"/>
        <c:noMultiLvlLbl val="0"/>
      </c:catAx>
      <c:valAx>
        <c:axId val="3926601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6597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20"/>
              <c:layout>
                <c:manualLayout>
                  <c:x val="-3.6288022473850157E-2"/>
                  <c:y val="-1.614187463580379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51D-4839-AFF8-23EBDD60BA1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179</c:v>
                </c:pt>
                <c:pt idx="1">
                  <c:v>215</c:v>
                </c:pt>
                <c:pt idx="2">
                  <c:v>267</c:v>
                </c:pt>
                <c:pt idx="3">
                  <c:v>398</c:v>
                </c:pt>
                <c:pt idx="4">
                  <c:v>212</c:v>
                </c:pt>
                <c:pt idx="5">
                  <c:v>317</c:v>
                </c:pt>
                <c:pt idx="6">
                  <c:v>279</c:v>
                </c:pt>
                <c:pt idx="7">
                  <c:v>277</c:v>
                </c:pt>
                <c:pt idx="8">
                  <c:v>310</c:v>
                </c:pt>
                <c:pt idx="9">
                  <c:v>353</c:v>
                </c:pt>
                <c:pt idx="10">
                  <c:v>425</c:v>
                </c:pt>
                <c:pt idx="11">
                  <c:v>498</c:v>
                </c:pt>
                <c:pt idx="12">
                  <c:v>439</c:v>
                </c:pt>
                <c:pt idx="13">
                  <c:v>452</c:v>
                </c:pt>
                <c:pt idx="14">
                  <c:v>473</c:v>
                </c:pt>
                <c:pt idx="15">
                  <c:v>499</c:v>
                </c:pt>
                <c:pt idx="16">
                  <c:v>464</c:v>
                </c:pt>
                <c:pt idx="17">
                  <c:v>215</c:v>
                </c:pt>
                <c:pt idx="18">
                  <c:v>93</c:v>
                </c:pt>
                <c:pt idx="19">
                  <c:v>37</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6660600"/>
        <c:axId val="456663736"/>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202</c:v>
                </c:pt>
                <c:pt idx="1">
                  <c:v>242</c:v>
                </c:pt>
                <c:pt idx="2">
                  <c:v>298</c:v>
                </c:pt>
                <c:pt idx="3">
                  <c:v>318</c:v>
                </c:pt>
                <c:pt idx="4">
                  <c:v>183</c:v>
                </c:pt>
                <c:pt idx="5">
                  <c:v>201</c:v>
                </c:pt>
                <c:pt idx="6">
                  <c:v>225</c:v>
                </c:pt>
                <c:pt idx="7">
                  <c:v>236</c:v>
                </c:pt>
                <c:pt idx="8">
                  <c:v>294</c:v>
                </c:pt>
                <c:pt idx="9">
                  <c:v>384</c:v>
                </c:pt>
                <c:pt idx="10">
                  <c:v>458</c:v>
                </c:pt>
                <c:pt idx="11">
                  <c:v>461</c:v>
                </c:pt>
                <c:pt idx="12">
                  <c:v>440</c:v>
                </c:pt>
                <c:pt idx="13">
                  <c:v>528</c:v>
                </c:pt>
                <c:pt idx="14">
                  <c:v>549</c:v>
                </c:pt>
                <c:pt idx="15">
                  <c:v>634</c:v>
                </c:pt>
                <c:pt idx="16">
                  <c:v>665</c:v>
                </c:pt>
                <c:pt idx="17">
                  <c:v>349</c:v>
                </c:pt>
                <c:pt idx="18">
                  <c:v>232</c:v>
                </c:pt>
                <c:pt idx="19">
                  <c:v>82</c:v>
                </c:pt>
                <c:pt idx="20">
                  <c:v>12</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7338360"/>
        <c:axId val="456664128"/>
      </c:barChart>
      <c:catAx>
        <c:axId val="4566606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63736"/>
        <c:crosses val="autoZero"/>
        <c:auto val="1"/>
        <c:lblAlgn val="ctr"/>
        <c:lblOffset val="100"/>
        <c:noMultiLvlLbl val="0"/>
      </c:catAx>
      <c:valAx>
        <c:axId val="45666373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60600"/>
        <c:crosses val="autoZero"/>
        <c:crossBetween val="between"/>
        <c:majorUnit val="500"/>
      </c:valAx>
      <c:valAx>
        <c:axId val="45666412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38360"/>
        <c:crosses val="max"/>
        <c:crossBetween val="between"/>
        <c:majorUnit val="500"/>
      </c:valAx>
      <c:catAx>
        <c:axId val="457338360"/>
        <c:scaling>
          <c:orientation val="minMax"/>
        </c:scaling>
        <c:delete val="1"/>
        <c:axPos val="l"/>
        <c:numFmt formatCode="General" sourceLinked="1"/>
        <c:majorTickMark val="out"/>
        <c:minorTickMark val="none"/>
        <c:tickLblPos val="nextTo"/>
        <c:crossAx val="4566641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20"/>
              <c:layout>
                <c:manualLayout>
                  <c:x val="-3.6288022473850157E-2"/>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2BF-4656-8204-86D6E7B6FCD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151</c:v>
                </c:pt>
                <c:pt idx="1">
                  <c:v>174</c:v>
                </c:pt>
                <c:pt idx="2">
                  <c:v>193</c:v>
                </c:pt>
                <c:pt idx="3">
                  <c:v>255</c:v>
                </c:pt>
                <c:pt idx="4">
                  <c:v>138</c:v>
                </c:pt>
                <c:pt idx="5">
                  <c:v>227</c:v>
                </c:pt>
                <c:pt idx="6">
                  <c:v>255</c:v>
                </c:pt>
                <c:pt idx="7">
                  <c:v>307</c:v>
                </c:pt>
                <c:pt idx="8">
                  <c:v>273</c:v>
                </c:pt>
                <c:pt idx="9">
                  <c:v>264</c:v>
                </c:pt>
                <c:pt idx="10">
                  <c:v>300</c:v>
                </c:pt>
                <c:pt idx="11">
                  <c:v>346</c:v>
                </c:pt>
                <c:pt idx="12">
                  <c:v>424</c:v>
                </c:pt>
                <c:pt idx="13">
                  <c:v>475</c:v>
                </c:pt>
                <c:pt idx="14">
                  <c:v>379</c:v>
                </c:pt>
                <c:pt idx="15">
                  <c:v>359</c:v>
                </c:pt>
                <c:pt idx="16">
                  <c:v>327</c:v>
                </c:pt>
                <c:pt idx="17">
                  <c:v>243</c:v>
                </c:pt>
                <c:pt idx="18">
                  <c:v>121</c:v>
                </c:pt>
                <c:pt idx="19">
                  <c:v>33</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7336008"/>
        <c:axId val="457341888"/>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170</c:v>
                </c:pt>
                <c:pt idx="1">
                  <c:v>196</c:v>
                </c:pt>
                <c:pt idx="2">
                  <c:v>215</c:v>
                </c:pt>
                <c:pt idx="3">
                  <c:v>238</c:v>
                </c:pt>
                <c:pt idx="4">
                  <c:v>153</c:v>
                </c:pt>
                <c:pt idx="5">
                  <c:v>175</c:v>
                </c:pt>
                <c:pt idx="6">
                  <c:v>185</c:v>
                </c:pt>
                <c:pt idx="7">
                  <c:v>200</c:v>
                </c:pt>
                <c:pt idx="8">
                  <c:v>215</c:v>
                </c:pt>
                <c:pt idx="9">
                  <c:v>222</c:v>
                </c:pt>
                <c:pt idx="10">
                  <c:v>287</c:v>
                </c:pt>
                <c:pt idx="11">
                  <c:v>361</c:v>
                </c:pt>
                <c:pt idx="12">
                  <c:v>440</c:v>
                </c:pt>
                <c:pt idx="13">
                  <c:v>447</c:v>
                </c:pt>
                <c:pt idx="14">
                  <c:v>403</c:v>
                </c:pt>
                <c:pt idx="15">
                  <c:v>469</c:v>
                </c:pt>
                <c:pt idx="16">
                  <c:v>464</c:v>
                </c:pt>
                <c:pt idx="17">
                  <c:v>414</c:v>
                </c:pt>
                <c:pt idx="18">
                  <c:v>281</c:v>
                </c:pt>
                <c:pt idx="19">
                  <c:v>69</c:v>
                </c:pt>
                <c:pt idx="20">
                  <c:v>13</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7341104"/>
        <c:axId val="457336400"/>
      </c:barChart>
      <c:catAx>
        <c:axId val="4573360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41888"/>
        <c:crosses val="autoZero"/>
        <c:auto val="1"/>
        <c:lblAlgn val="ctr"/>
        <c:lblOffset val="100"/>
        <c:noMultiLvlLbl val="0"/>
      </c:catAx>
      <c:valAx>
        <c:axId val="457341888"/>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36008"/>
        <c:crosses val="autoZero"/>
        <c:crossBetween val="between"/>
        <c:majorUnit val="500"/>
      </c:valAx>
      <c:valAx>
        <c:axId val="457336400"/>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41104"/>
        <c:crosses val="max"/>
        <c:crossBetween val="between"/>
        <c:majorUnit val="500"/>
      </c:valAx>
      <c:catAx>
        <c:axId val="457341104"/>
        <c:scaling>
          <c:orientation val="minMax"/>
        </c:scaling>
        <c:delete val="1"/>
        <c:axPos val="l"/>
        <c:numFmt formatCode="General" sourceLinked="1"/>
        <c:majorTickMark val="out"/>
        <c:minorTickMark val="none"/>
        <c:tickLblPos val="nextTo"/>
        <c:crossAx val="45733640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377</c:v>
                </c:pt>
                <c:pt idx="1">
                  <c:v>455</c:v>
                </c:pt>
                <c:pt idx="2">
                  <c:v>563</c:v>
                </c:pt>
                <c:pt idx="3">
                  <c:v>714</c:v>
                </c:pt>
                <c:pt idx="4">
                  <c:v>395</c:v>
                </c:pt>
                <c:pt idx="5">
                  <c:v>514</c:v>
                </c:pt>
                <c:pt idx="6">
                  <c:v>500</c:v>
                </c:pt>
                <c:pt idx="7">
                  <c:v>513</c:v>
                </c:pt>
                <c:pt idx="8">
                  <c:v>603</c:v>
                </c:pt>
                <c:pt idx="9">
                  <c:v>736</c:v>
                </c:pt>
                <c:pt idx="10">
                  <c:v>883</c:v>
                </c:pt>
                <c:pt idx="11">
                  <c:v>959</c:v>
                </c:pt>
                <c:pt idx="12">
                  <c:v>879</c:v>
                </c:pt>
                <c:pt idx="13">
                  <c:v>980</c:v>
                </c:pt>
                <c:pt idx="14">
                  <c:v>1022</c:v>
                </c:pt>
                <c:pt idx="15">
                  <c:v>1133</c:v>
                </c:pt>
                <c:pt idx="16">
                  <c:v>1129</c:v>
                </c:pt>
                <c:pt idx="17">
                  <c:v>564</c:v>
                </c:pt>
                <c:pt idx="18">
                  <c:v>325</c:v>
                </c:pt>
                <c:pt idx="19">
                  <c:v>119</c:v>
                </c:pt>
                <c:pt idx="20">
                  <c:v>12</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7340320"/>
        <c:axId val="457337184"/>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381</c:v>
                </c:pt>
                <c:pt idx="1">
                  <c:v>457</c:v>
                </c:pt>
                <c:pt idx="2">
                  <c:v>565</c:v>
                </c:pt>
                <c:pt idx="3">
                  <c:v>716</c:v>
                </c:pt>
                <c:pt idx="4">
                  <c:v>395</c:v>
                </c:pt>
                <c:pt idx="5">
                  <c:v>518</c:v>
                </c:pt>
                <c:pt idx="6">
                  <c:v>504</c:v>
                </c:pt>
                <c:pt idx="7">
                  <c:v>513</c:v>
                </c:pt>
                <c:pt idx="8">
                  <c:v>604</c:v>
                </c:pt>
                <c:pt idx="9">
                  <c:v>737</c:v>
                </c:pt>
                <c:pt idx="10">
                  <c:v>883</c:v>
                </c:pt>
                <c:pt idx="11">
                  <c:v>959</c:v>
                </c:pt>
                <c:pt idx="12">
                  <c:v>879</c:v>
                </c:pt>
                <c:pt idx="13">
                  <c:v>980</c:v>
                </c:pt>
                <c:pt idx="14">
                  <c:v>1022</c:v>
                </c:pt>
                <c:pt idx="15">
                  <c:v>1133</c:v>
                </c:pt>
                <c:pt idx="16">
                  <c:v>1129</c:v>
                </c:pt>
                <c:pt idx="17">
                  <c:v>564</c:v>
                </c:pt>
                <c:pt idx="18">
                  <c:v>325</c:v>
                </c:pt>
                <c:pt idx="19">
                  <c:v>119</c:v>
                </c:pt>
                <c:pt idx="20">
                  <c:v>12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7334832"/>
        <c:axId val="457335224"/>
      </c:barChart>
      <c:catAx>
        <c:axId val="4573403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37184"/>
        <c:crosses val="autoZero"/>
        <c:auto val="1"/>
        <c:lblAlgn val="ctr"/>
        <c:lblOffset val="100"/>
        <c:noMultiLvlLbl val="0"/>
      </c:catAx>
      <c:valAx>
        <c:axId val="457337184"/>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40320"/>
        <c:crosses val="autoZero"/>
        <c:crossBetween val="between"/>
        <c:majorUnit val="1000"/>
      </c:valAx>
      <c:valAx>
        <c:axId val="457335224"/>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34832"/>
        <c:crosses val="max"/>
        <c:crossBetween val="between"/>
        <c:majorUnit val="1000"/>
      </c:valAx>
      <c:catAx>
        <c:axId val="457334832"/>
        <c:scaling>
          <c:orientation val="minMax"/>
        </c:scaling>
        <c:delete val="1"/>
        <c:axPos val="l"/>
        <c:numFmt formatCode="General" sourceLinked="1"/>
        <c:majorTickMark val="out"/>
        <c:minorTickMark val="none"/>
        <c:tickLblPos val="nextTo"/>
        <c:crossAx val="457335224"/>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317</c:v>
                </c:pt>
                <c:pt idx="1">
                  <c:v>365</c:v>
                </c:pt>
                <c:pt idx="2">
                  <c:v>402</c:v>
                </c:pt>
                <c:pt idx="3">
                  <c:v>488</c:v>
                </c:pt>
                <c:pt idx="4">
                  <c:v>290</c:v>
                </c:pt>
                <c:pt idx="5">
                  <c:v>396</c:v>
                </c:pt>
                <c:pt idx="6">
                  <c:v>436</c:v>
                </c:pt>
                <c:pt idx="7">
                  <c:v>504</c:v>
                </c:pt>
                <c:pt idx="8">
                  <c:v>484</c:v>
                </c:pt>
                <c:pt idx="9">
                  <c:v>485</c:v>
                </c:pt>
                <c:pt idx="10">
                  <c:v>586</c:v>
                </c:pt>
                <c:pt idx="11">
                  <c:v>706</c:v>
                </c:pt>
                <c:pt idx="12">
                  <c:v>864</c:v>
                </c:pt>
                <c:pt idx="13">
                  <c:v>922</c:v>
                </c:pt>
                <c:pt idx="14">
                  <c:v>782</c:v>
                </c:pt>
                <c:pt idx="15">
                  <c:v>828</c:v>
                </c:pt>
                <c:pt idx="16">
                  <c:v>791</c:v>
                </c:pt>
                <c:pt idx="17">
                  <c:v>657</c:v>
                </c:pt>
                <c:pt idx="18">
                  <c:v>402</c:v>
                </c:pt>
                <c:pt idx="19">
                  <c:v>102</c:v>
                </c:pt>
                <c:pt idx="20">
                  <c:v>13</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7337576"/>
        <c:axId val="457340712"/>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321</c:v>
                </c:pt>
                <c:pt idx="1">
                  <c:v>370</c:v>
                </c:pt>
                <c:pt idx="2">
                  <c:v>408</c:v>
                </c:pt>
                <c:pt idx="3">
                  <c:v>493</c:v>
                </c:pt>
                <c:pt idx="4">
                  <c:v>291</c:v>
                </c:pt>
                <c:pt idx="5">
                  <c:v>402</c:v>
                </c:pt>
                <c:pt idx="6">
                  <c:v>440</c:v>
                </c:pt>
                <c:pt idx="7">
                  <c:v>507</c:v>
                </c:pt>
                <c:pt idx="8">
                  <c:v>488</c:v>
                </c:pt>
                <c:pt idx="9">
                  <c:v>486</c:v>
                </c:pt>
                <c:pt idx="10">
                  <c:v>587</c:v>
                </c:pt>
                <c:pt idx="11">
                  <c:v>707</c:v>
                </c:pt>
                <c:pt idx="12">
                  <c:v>864</c:v>
                </c:pt>
                <c:pt idx="13">
                  <c:v>922</c:v>
                </c:pt>
                <c:pt idx="14">
                  <c:v>782</c:v>
                </c:pt>
                <c:pt idx="15">
                  <c:v>828</c:v>
                </c:pt>
                <c:pt idx="16">
                  <c:v>791</c:v>
                </c:pt>
                <c:pt idx="17">
                  <c:v>657</c:v>
                </c:pt>
                <c:pt idx="18">
                  <c:v>402</c:v>
                </c:pt>
                <c:pt idx="19">
                  <c:v>102</c:v>
                </c:pt>
                <c:pt idx="20">
                  <c:v>13</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7341496"/>
        <c:axId val="457337968"/>
      </c:barChart>
      <c:catAx>
        <c:axId val="4573375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40712"/>
        <c:crosses val="autoZero"/>
        <c:auto val="1"/>
        <c:lblAlgn val="ctr"/>
        <c:lblOffset val="100"/>
        <c:noMultiLvlLbl val="0"/>
      </c:catAx>
      <c:valAx>
        <c:axId val="457340712"/>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37576"/>
        <c:crosses val="autoZero"/>
        <c:crossBetween val="between"/>
        <c:majorUnit val="1000"/>
      </c:valAx>
      <c:valAx>
        <c:axId val="457337968"/>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41496"/>
        <c:crosses val="max"/>
        <c:crossBetween val="between"/>
        <c:majorUnit val="1000"/>
      </c:valAx>
      <c:catAx>
        <c:axId val="457341496"/>
        <c:scaling>
          <c:orientation val="minMax"/>
        </c:scaling>
        <c:delete val="1"/>
        <c:axPos val="l"/>
        <c:numFmt formatCode="General" sourceLinked="1"/>
        <c:majorTickMark val="out"/>
        <c:minorTickMark val="none"/>
        <c:tickLblPos val="nextTo"/>
        <c:crossAx val="457337968"/>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東海地区</c:v>
                </c:pt>
              </c:strCache>
            </c:strRef>
          </c:cat>
          <c:val>
            <c:numRef>
              <c:f>管理者用地域特徴シート!$H$3:$H$5</c:f>
              <c:numCache>
                <c:formatCode>0.0%</c:formatCode>
                <c:ptCount val="3"/>
                <c:pt idx="0">
                  <c:v>0.46108733927332846</c:v>
                </c:pt>
                <c:pt idx="1">
                  <c:v>0.5004861543248289</c:v>
                </c:pt>
                <c:pt idx="2">
                  <c:v>0.5608498672082487</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7335616"/>
        <c:axId val="457339928"/>
      </c:barChart>
      <c:catAx>
        <c:axId val="4573356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39928"/>
        <c:crosses val="autoZero"/>
        <c:auto val="1"/>
        <c:lblAlgn val="ctr"/>
        <c:lblOffset val="100"/>
        <c:noMultiLvlLbl val="0"/>
      </c:catAx>
      <c:valAx>
        <c:axId val="45733992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356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東海地区</c:v>
                </c:pt>
              </c:strCache>
            </c:strRef>
          </c:cat>
          <c:val>
            <c:numRef>
              <c:f>管理者用地域特徴シート!$J$3:$J$5</c:f>
              <c:numCache>
                <c:formatCode>0.0%</c:formatCode>
                <c:ptCount val="3"/>
                <c:pt idx="0">
                  <c:v>0.15075281438403673</c:v>
                </c:pt>
                <c:pt idx="1">
                  <c:v>0.16056705040448041</c:v>
                </c:pt>
                <c:pt idx="2">
                  <c:v>0.1531010779565693</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6664520"/>
        <c:axId val="457852472"/>
      </c:barChart>
      <c:catAx>
        <c:axId val="4566645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852472"/>
        <c:crosses val="autoZero"/>
        <c:auto val="1"/>
        <c:lblAlgn val="ctr"/>
        <c:lblOffset val="100"/>
        <c:noMultiLvlLbl val="0"/>
      </c:catAx>
      <c:valAx>
        <c:axId val="45785247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645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東海地区</c:v>
                </c:pt>
              </c:strCache>
            </c:strRef>
          </c:cat>
          <c:val>
            <c:numRef>
              <c:f>管理者用地域特徴シート!$P$3:$P$5</c:f>
              <c:numCache>
                <c:formatCode>0.0%</c:formatCode>
                <c:ptCount val="3"/>
                <c:pt idx="0">
                  <c:v>0.34758352842621743</c:v>
                </c:pt>
                <c:pt idx="1">
                  <c:v>0.34667297329256552</c:v>
                </c:pt>
                <c:pt idx="2">
                  <c:v>0.30584989654523792</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7858352"/>
        <c:axId val="457854824"/>
      </c:barChart>
      <c:catAx>
        <c:axId val="4578583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854824"/>
        <c:crosses val="autoZero"/>
        <c:auto val="1"/>
        <c:lblAlgn val="ctr"/>
        <c:lblOffset val="100"/>
        <c:noMultiLvlLbl val="0"/>
      </c:catAx>
      <c:valAx>
        <c:axId val="45785482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8583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東海地区</c:v>
                </c:pt>
              </c:strCache>
            </c:strRef>
          </c:cat>
          <c:val>
            <c:numRef>
              <c:f>管理者用地域特徴シート!$AO$3:$AO$5</c:f>
              <c:numCache>
                <c:formatCode>0.0%</c:formatCode>
                <c:ptCount val="3"/>
                <c:pt idx="0">
                  <c:v>0.5259093009439566</c:v>
                </c:pt>
                <c:pt idx="1">
                  <c:v>0.51879002698674825</c:v>
                </c:pt>
                <c:pt idx="2">
                  <c:v>0.50337609723160026</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7857568"/>
        <c:axId val="457853256"/>
      </c:barChart>
      <c:catAx>
        <c:axId val="4578575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853256"/>
        <c:crosses val="autoZero"/>
        <c:auto val="1"/>
        <c:lblAlgn val="ctr"/>
        <c:lblOffset val="100"/>
        <c:noMultiLvlLbl val="0"/>
      </c:catAx>
      <c:valAx>
        <c:axId val="45785325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85756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東海地区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3.4847186518137674E-2</c:v>
                </c:pt>
                <c:pt idx="1">
                  <c:v>8.2833476149671518E-3</c:v>
                </c:pt>
                <c:pt idx="2">
                  <c:v>2.8563267637817766E-4</c:v>
                </c:pt>
                <c:pt idx="3">
                  <c:v>0.11725221365324193</c:v>
                </c:pt>
                <c:pt idx="4">
                  <c:v>0.19508711796629535</c:v>
                </c:pt>
                <c:pt idx="5">
                  <c:v>3.284775778349043E-3</c:v>
                </c:pt>
                <c:pt idx="6">
                  <c:v>7.5692659240217085E-3</c:v>
                </c:pt>
                <c:pt idx="7">
                  <c:v>3.9845758354755782E-2</c:v>
                </c:pt>
                <c:pt idx="8">
                  <c:v>0.14895744073121966</c:v>
                </c:pt>
                <c:pt idx="9">
                  <c:v>1.6281062553556127E-2</c:v>
                </c:pt>
                <c:pt idx="10">
                  <c:v>1.471008283347615E-2</c:v>
                </c:pt>
                <c:pt idx="11">
                  <c:v>2.1565267066552412E-2</c:v>
                </c:pt>
                <c:pt idx="12">
                  <c:v>3.8560411311053984E-2</c:v>
                </c:pt>
                <c:pt idx="13">
                  <c:v>3.4990002856326766E-2</c:v>
                </c:pt>
                <c:pt idx="14">
                  <c:v>3.741788060554127E-2</c:v>
                </c:pt>
                <c:pt idx="15">
                  <c:v>0.16223936018280491</c:v>
                </c:pt>
                <c:pt idx="16">
                  <c:v>9.4258783204798635E-3</c:v>
                </c:pt>
                <c:pt idx="17">
                  <c:v>6.1982290774064551E-2</c:v>
                </c:pt>
                <c:pt idx="18">
                  <c:v>2.7135104255926877E-2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延岡市平均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3.5924508866161428E-2</c:v>
                </c:pt>
                <c:pt idx="1">
                  <c:v>1.4200573909204621E-2</c:v>
                </c:pt>
                <c:pt idx="2">
                  <c:v>2.2073430946950188E-4</c:v>
                </c:pt>
                <c:pt idx="3">
                  <c:v>0.11082701787947907</c:v>
                </c:pt>
                <c:pt idx="4">
                  <c:v>0.16698550511367816</c:v>
                </c:pt>
                <c:pt idx="5">
                  <c:v>4.0284011478184095E-3</c:v>
                </c:pt>
                <c:pt idx="6">
                  <c:v>1.0815981164005593E-2</c:v>
                </c:pt>
                <c:pt idx="7">
                  <c:v>3.5096755205650795E-2</c:v>
                </c:pt>
                <c:pt idx="8">
                  <c:v>0.14833345596350525</c:v>
                </c:pt>
                <c:pt idx="9">
                  <c:v>1.6407917003899639E-2</c:v>
                </c:pt>
                <c:pt idx="10">
                  <c:v>1.4476491796041498E-2</c:v>
                </c:pt>
                <c:pt idx="11">
                  <c:v>2.1889485689058935E-2</c:v>
                </c:pt>
                <c:pt idx="12">
                  <c:v>4.8782282392759918E-2</c:v>
                </c:pt>
                <c:pt idx="13">
                  <c:v>3.6292399381943931E-2</c:v>
                </c:pt>
                <c:pt idx="14">
                  <c:v>4.7292325803840775E-2</c:v>
                </c:pt>
                <c:pt idx="15">
                  <c:v>0.16464940033845926</c:v>
                </c:pt>
                <c:pt idx="16">
                  <c:v>1.0871164741372967E-2</c:v>
                </c:pt>
                <c:pt idx="17">
                  <c:v>5.9303951144139506E-2</c:v>
                </c:pt>
                <c:pt idx="18">
                  <c:v>3.5096755205650795E-2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7854040"/>
        <c:axId val="457855608"/>
      </c:barChart>
      <c:catAx>
        <c:axId val="4578540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855608"/>
        <c:crosses val="autoZero"/>
        <c:auto val="1"/>
        <c:lblAlgn val="ctr"/>
        <c:lblOffset val="100"/>
        <c:noMultiLvlLbl val="0"/>
      </c:catAx>
      <c:valAx>
        <c:axId val="45785560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854040"/>
        <c:crosses val="autoZero"/>
        <c:crossBetween val="between"/>
      </c:valAx>
      <c:spPr>
        <a:noFill/>
        <a:ln>
          <a:noFill/>
        </a:ln>
        <a:effectLst/>
      </c:spPr>
    </c:plotArea>
    <c:legend>
      <c:legendPos val="b"/>
      <c:layout>
        <c:manualLayout>
          <c:xMode val="edge"/>
          <c:yMode val="edge"/>
          <c:x val="0.5645908838859931"/>
          <c:y val="7.631051175084337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東海地区</c:v>
                </c:pt>
              </c:strCache>
            </c:strRef>
          </c:cat>
          <c:val>
            <c:numRef>
              <c:f>管理者用地域特徴シート!$CK$3:$CK$5</c:f>
              <c:numCache>
                <c:formatCode>0.0%</c:formatCode>
                <c:ptCount val="3"/>
                <c:pt idx="0">
                  <c:v>0.82747216160708559</c:v>
                </c:pt>
                <c:pt idx="1">
                  <c:v>0.90607755132072698</c:v>
                </c:pt>
                <c:pt idx="2">
                  <c:v>0.92644958583261927</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7853648"/>
        <c:axId val="457857176"/>
      </c:barChart>
      <c:catAx>
        <c:axId val="4578536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857176"/>
        <c:crosses val="autoZero"/>
        <c:auto val="1"/>
        <c:lblAlgn val="ctr"/>
        <c:lblOffset val="100"/>
        <c:noMultiLvlLbl val="0"/>
      </c:catAx>
      <c:valAx>
        <c:axId val="45785717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8536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0.27</c:v>
                </c:pt>
                <c:pt idx="1">
                  <c:v>0.32</c:v>
                </c:pt>
                <c:pt idx="2">
                  <c:v>0.36</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2660544"/>
        <c:axId val="392660936"/>
      </c:barChart>
      <c:catAx>
        <c:axId val="392660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660936"/>
        <c:crosses val="autoZero"/>
        <c:auto val="1"/>
        <c:lblAlgn val="ctr"/>
        <c:lblOffset val="100"/>
        <c:noMultiLvlLbl val="0"/>
      </c:catAx>
      <c:valAx>
        <c:axId val="3926609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6605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0.14000000000000001</c:v>
                </c:pt>
                <c:pt idx="1">
                  <c:v>0.17</c:v>
                </c:pt>
                <c:pt idx="2">
                  <c:v>0.18</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2661328"/>
        <c:axId val="393807520"/>
      </c:barChart>
      <c:catAx>
        <c:axId val="392661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807520"/>
        <c:crosses val="autoZero"/>
        <c:auto val="1"/>
        <c:lblAlgn val="ctr"/>
        <c:lblOffset val="100"/>
        <c:noMultiLvlLbl val="0"/>
      </c:catAx>
      <c:valAx>
        <c:axId val="3938075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6613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9.8000481889786779E-5"/>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BD0-4248-B416-21D0427AAF1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380</c:v>
                </c:pt>
                <c:pt idx="1">
                  <c:v>439</c:v>
                </c:pt>
                <c:pt idx="2">
                  <c:v>522</c:v>
                </c:pt>
                <c:pt idx="3">
                  <c:v>525</c:v>
                </c:pt>
                <c:pt idx="4">
                  <c:v>277</c:v>
                </c:pt>
                <c:pt idx="5">
                  <c:v>347</c:v>
                </c:pt>
                <c:pt idx="6">
                  <c:v>435</c:v>
                </c:pt>
                <c:pt idx="7">
                  <c:v>539</c:v>
                </c:pt>
                <c:pt idx="8">
                  <c:v>462</c:v>
                </c:pt>
                <c:pt idx="9">
                  <c:v>480</c:v>
                </c:pt>
                <c:pt idx="10">
                  <c:v>552</c:v>
                </c:pt>
                <c:pt idx="11">
                  <c:v>656</c:v>
                </c:pt>
                <c:pt idx="12">
                  <c:v>781</c:v>
                </c:pt>
                <c:pt idx="13">
                  <c:v>566</c:v>
                </c:pt>
                <c:pt idx="14">
                  <c:v>514</c:v>
                </c:pt>
                <c:pt idx="15">
                  <c:v>490</c:v>
                </c:pt>
                <c:pt idx="16">
                  <c:v>296</c:v>
                </c:pt>
                <c:pt idx="17">
                  <c:v>114</c:v>
                </c:pt>
                <c:pt idx="18">
                  <c:v>30</c:v>
                </c:pt>
                <c:pt idx="19">
                  <c:v>7</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3806344"/>
        <c:axId val="39380673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324</c:v>
                </c:pt>
                <c:pt idx="1">
                  <c:v>367</c:v>
                </c:pt>
                <c:pt idx="2">
                  <c:v>456</c:v>
                </c:pt>
                <c:pt idx="3">
                  <c:v>445</c:v>
                </c:pt>
                <c:pt idx="4">
                  <c:v>307</c:v>
                </c:pt>
                <c:pt idx="5">
                  <c:v>394</c:v>
                </c:pt>
                <c:pt idx="6">
                  <c:v>477</c:v>
                </c:pt>
                <c:pt idx="7">
                  <c:v>517</c:v>
                </c:pt>
                <c:pt idx="8">
                  <c:v>496</c:v>
                </c:pt>
                <c:pt idx="9">
                  <c:v>568</c:v>
                </c:pt>
                <c:pt idx="10">
                  <c:v>625</c:v>
                </c:pt>
                <c:pt idx="11">
                  <c:v>737</c:v>
                </c:pt>
                <c:pt idx="12">
                  <c:v>857</c:v>
                </c:pt>
                <c:pt idx="13">
                  <c:v>604</c:v>
                </c:pt>
                <c:pt idx="14">
                  <c:v>647</c:v>
                </c:pt>
                <c:pt idx="15">
                  <c:v>621</c:v>
                </c:pt>
                <c:pt idx="16">
                  <c:v>464</c:v>
                </c:pt>
                <c:pt idx="17">
                  <c:v>315</c:v>
                </c:pt>
                <c:pt idx="18">
                  <c:v>144</c:v>
                </c:pt>
                <c:pt idx="19">
                  <c:v>43</c:v>
                </c:pt>
                <c:pt idx="20">
                  <c:v>4</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3807912"/>
        <c:axId val="393809480"/>
      </c:barChart>
      <c:catAx>
        <c:axId val="3938063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806736"/>
        <c:crosses val="autoZero"/>
        <c:auto val="1"/>
        <c:lblAlgn val="ctr"/>
        <c:lblOffset val="100"/>
        <c:noMultiLvlLbl val="0"/>
      </c:catAx>
      <c:valAx>
        <c:axId val="39380673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806344"/>
        <c:crosses val="autoZero"/>
        <c:crossBetween val="between"/>
        <c:majorUnit val="500"/>
      </c:valAx>
      <c:valAx>
        <c:axId val="393809480"/>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807912"/>
        <c:crosses val="max"/>
        <c:crossBetween val="between"/>
        <c:majorUnit val="500"/>
      </c:valAx>
      <c:catAx>
        <c:axId val="393807912"/>
        <c:scaling>
          <c:orientation val="minMax"/>
        </c:scaling>
        <c:delete val="1"/>
        <c:axPos val="l"/>
        <c:numFmt formatCode="General" sourceLinked="1"/>
        <c:majorTickMark val="out"/>
        <c:minorTickMark val="none"/>
        <c:tickLblPos val="nextTo"/>
        <c:crossAx val="3938094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8412</c:v>
                </c:pt>
                <c:pt idx="1">
                  <c:v>8061</c:v>
                </c:pt>
                <c:pt idx="2">
                  <c:v>7601</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9412</c:v>
                </c:pt>
                <c:pt idx="1">
                  <c:v>8905</c:v>
                </c:pt>
                <c:pt idx="2">
                  <c:v>8348</c:v>
                </c:pt>
              </c:numCache>
            </c:numRef>
          </c:val>
          <c:extLst xmlns:c16r2="http://schemas.microsoft.com/office/drawing/2015/06/chart">
            <c:ext xmlns:c16="http://schemas.microsoft.com/office/drawing/2014/chart" uri="{C3380CC4-5D6E-409C-BE32-E72D297353CC}">
              <c16:uniqueId val="{00000000-376F-433F-97D9-759280FA2EFE}"/>
            </c:ext>
          </c:extLst>
        </c:ser>
        <c:dLbls>
          <c:showLegendKey val="0"/>
          <c:showVal val="0"/>
          <c:showCatName val="0"/>
          <c:showSerName val="0"/>
          <c:showPercent val="0"/>
          <c:showBubbleSize val="0"/>
        </c:dLbls>
        <c:gapWidth val="219"/>
        <c:overlap val="100"/>
        <c:axId val="393812224"/>
        <c:axId val="393813008"/>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76F-433F-97D9-759280FA2EFE}"/>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17824</c:v>
                </c:pt>
                <c:pt idx="1">
                  <c:v>16966</c:v>
                </c:pt>
                <c:pt idx="2">
                  <c:v>15949</c:v>
                </c:pt>
              </c:numCache>
            </c:numRef>
          </c:val>
          <c:smooth val="0"/>
          <c:extLst xmlns:c16r2="http://schemas.microsoft.com/office/drawing/2015/06/chart">
            <c:ext xmlns:c16="http://schemas.microsoft.com/office/drawing/2014/chart" uri="{C3380CC4-5D6E-409C-BE32-E72D297353CC}">
              <c16:uniqueId val="{00000002-376F-433F-97D9-759280FA2EFE}"/>
            </c:ext>
          </c:extLst>
        </c:ser>
        <c:dLbls>
          <c:showLegendKey val="0"/>
          <c:showVal val="0"/>
          <c:showCatName val="0"/>
          <c:showSerName val="0"/>
          <c:showPercent val="0"/>
          <c:showBubbleSize val="0"/>
        </c:dLbls>
        <c:marker val="1"/>
        <c:smooth val="0"/>
        <c:axId val="393812224"/>
        <c:axId val="393813008"/>
      </c:lineChart>
      <c:catAx>
        <c:axId val="3938122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813008"/>
        <c:crosses val="autoZero"/>
        <c:auto val="1"/>
        <c:lblAlgn val="ctr"/>
        <c:lblOffset val="100"/>
        <c:noMultiLvlLbl val="0"/>
      </c:catAx>
      <c:valAx>
        <c:axId val="3938130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812224"/>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1.1355565205592791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6AA-4AA1-826B-D81E1304BC8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248</c:v>
                </c:pt>
                <c:pt idx="1">
                  <c:v>337</c:v>
                </c:pt>
                <c:pt idx="2">
                  <c:v>412</c:v>
                </c:pt>
                <c:pt idx="3">
                  <c:v>558</c:v>
                </c:pt>
                <c:pt idx="4">
                  <c:v>233</c:v>
                </c:pt>
                <c:pt idx="5">
                  <c:v>286</c:v>
                </c:pt>
                <c:pt idx="6">
                  <c:v>317</c:v>
                </c:pt>
                <c:pt idx="7">
                  <c:v>371</c:v>
                </c:pt>
                <c:pt idx="8">
                  <c:v>438</c:v>
                </c:pt>
                <c:pt idx="9">
                  <c:v>508</c:v>
                </c:pt>
                <c:pt idx="10">
                  <c:v>441</c:v>
                </c:pt>
                <c:pt idx="11">
                  <c:v>474</c:v>
                </c:pt>
                <c:pt idx="12">
                  <c:v>548</c:v>
                </c:pt>
                <c:pt idx="13">
                  <c:v>629</c:v>
                </c:pt>
                <c:pt idx="14">
                  <c:v>671</c:v>
                </c:pt>
                <c:pt idx="15">
                  <c:v>440</c:v>
                </c:pt>
                <c:pt idx="16">
                  <c:v>354</c:v>
                </c:pt>
                <c:pt idx="17">
                  <c:v>243</c:v>
                </c:pt>
                <c:pt idx="18">
                  <c:v>76</c:v>
                </c:pt>
                <c:pt idx="19">
                  <c:v>15</c:v>
                </c:pt>
                <c:pt idx="20">
                  <c:v>2</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3811048"/>
        <c:axId val="39381144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280</c:v>
                </c:pt>
                <c:pt idx="1">
                  <c:v>323</c:v>
                </c:pt>
                <c:pt idx="2">
                  <c:v>357</c:v>
                </c:pt>
                <c:pt idx="3">
                  <c:v>367</c:v>
                </c:pt>
                <c:pt idx="4">
                  <c:v>223</c:v>
                </c:pt>
                <c:pt idx="5">
                  <c:v>237</c:v>
                </c:pt>
                <c:pt idx="6">
                  <c:v>307</c:v>
                </c:pt>
                <c:pt idx="7">
                  <c:v>409</c:v>
                </c:pt>
                <c:pt idx="8">
                  <c:v>469</c:v>
                </c:pt>
                <c:pt idx="9">
                  <c:v>490</c:v>
                </c:pt>
                <c:pt idx="10">
                  <c:v>459</c:v>
                </c:pt>
                <c:pt idx="11">
                  <c:v>544</c:v>
                </c:pt>
                <c:pt idx="12">
                  <c:v>600</c:v>
                </c:pt>
                <c:pt idx="13">
                  <c:v>713</c:v>
                </c:pt>
                <c:pt idx="14">
                  <c:v>787</c:v>
                </c:pt>
                <c:pt idx="15">
                  <c:v>535</c:v>
                </c:pt>
                <c:pt idx="16">
                  <c:v>549</c:v>
                </c:pt>
                <c:pt idx="17">
                  <c:v>419</c:v>
                </c:pt>
                <c:pt idx="18">
                  <c:v>210</c:v>
                </c:pt>
                <c:pt idx="19">
                  <c:v>59</c:v>
                </c:pt>
                <c:pt idx="20">
                  <c:v>11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3805560"/>
        <c:axId val="393812616"/>
      </c:barChart>
      <c:catAx>
        <c:axId val="3938110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811440"/>
        <c:crosses val="autoZero"/>
        <c:auto val="1"/>
        <c:lblAlgn val="ctr"/>
        <c:lblOffset val="100"/>
        <c:noMultiLvlLbl val="0"/>
      </c:catAx>
      <c:valAx>
        <c:axId val="393811440"/>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811048"/>
        <c:crosses val="autoZero"/>
        <c:crossBetween val="between"/>
        <c:majorUnit val="500"/>
      </c:valAx>
      <c:valAx>
        <c:axId val="393812616"/>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805560"/>
        <c:crosses val="max"/>
        <c:crossBetween val="between"/>
        <c:majorUnit val="500"/>
      </c:valAx>
      <c:catAx>
        <c:axId val="393805560"/>
        <c:scaling>
          <c:orientation val="minMax"/>
        </c:scaling>
        <c:delete val="1"/>
        <c:axPos val="l"/>
        <c:numFmt formatCode="General" sourceLinked="1"/>
        <c:majorTickMark val="out"/>
        <c:minorTickMark val="none"/>
        <c:tickLblPos val="nextTo"/>
        <c:crossAx val="3938126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77BF-4FF3-9181-495BAA315804}"/>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77BF-4FF3-9181-495BAA315804}"/>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77BF-4FF3-9181-495BAA315804}"/>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7BF-4FF3-9181-495BAA315804}"/>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77BF-4FF3-9181-495BAA315804}"/>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8412</c:v>
                </c:pt>
                <c:pt idx="1">
                  <c:v>8061</c:v>
                </c:pt>
                <c:pt idx="2">
                  <c:v>7601</c:v>
                </c:pt>
                <c:pt idx="3">
                  <c:v>6999</c:v>
                </c:pt>
                <c:pt idx="4">
                  <c:v>6393</c:v>
                </c:pt>
                <c:pt idx="5">
                  <c:v>5791</c:v>
                </c:pt>
                <c:pt idx="6">
                  <c:v>5227</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77BF-4FF3-9181-495BAA315804}"/>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77BF-4FF3-9181-495BAA315804}"/>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77BF-4FF3-9181-495BAA315804}"/>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9412</c:v>
                </c:pt>
                <c:pt idx="1">
                  <c:v>8905</c:v>
                </c:pt>
                <c:pt idx="2">
                  <c:v>8348</c:v>
                </c:pt>
                <c:pt idx="3">
                  <c:v>7680</c:v>
                </c:pt>
                <c:pt idx="4">
                  <c:v>6982</c:v>
                </c:pt>
                <c:pt idx="5">
                  <c:v>6283</c:v>
                </c:pt>
                <c:pt idx="6">
                  <c:v>5593</c:v>
                </c:pt>
              </c:numCache>
            </c:numRef>
          </c:val>
          <c:extLst xmlns:c16r2="http://schemas.microsoft.com/office/drawing/2015/06/chart">
            <c:ext xmlns:c16="http://schemas.microsoft.com/office/drawing/2014/chart" uri="{C3380CC4-5D6E-409C-BE32-E72D297353CC}">
              <c16:uniqueId val="{00000010-77BF-4FF3-9181-495BAA315804}"/>
            </c:ext>
          </c:extLst>
        </c:ser>
        <c:dLbls>
          <c:showLegendKey val="0"/>
          <c:showVal val="0"/>
          <c:showCatName val="0"/>
          <c:showSerName val="0"/>
          <c:showPercent val="0"/>
          <c:showBubbleSize val="0"/>
        </c:dLbls>
        <c:gapWidth val="219"/>
        <c:overlap val="100"/>
        <c:axId val="392919136"/>
        <c:axId val="392925016"/>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17824</c:v>
                </c:pt>
                <c:pt idx="1">
                  <c:v>16966</c:v>
                </c:pt>
                <c:pt idx="2">
                  <c:v>15949</c:v>
                </c:pt>
                <c:pt idx="3">
                  <c:v>14679</c:v>
                </c:pt>
                <c:pt idx="4">
                  <c:v>13375</c:v>
                </c:pt>
                <c:pt idx="5">
                  <c:v>12074</c:v>
                </c:pt>
                <c:pt idx="6">
                  <c:v>10820</c:v>
                </c:pt>
              </c:numCache>
            </c:numRef>
          </c:val>
          <c:smooth val="0"/>
          <c:extLst xmlns:c16r2="http://schemas.microsoft.com/office/drawing/2015/06/chart">
            <c:ext xmlns:c16="http://schemas.microsoft.com/office/drawing/2014/chart" uri="{C3380CC4-5D6E-409C-BE32-E72D297353CC}">
              <c16:uniqueId val="{00000011-77BF-4FF3-9181-495BAA315804}"/>
            </c:ext>
          </c:extLst>
        </c:ser>
        <c:dLbls>
          <c:showLegendKey val="0"/>
          <c:showVal val="0"/>
          <c:showCatName val="0"/>
          <c:showSerName val="0"/>
          <c:showPercent val="0"/>
          <c:showBubbleSize val="0"/>
        </c:dLbls>
        <c:marker val="1"/>
        <c:smooth val="0"/>
        <c:axId val="392919136"/>
        <c:axId val="392925016"/>
      </c:lineChart>
      <c:catAx>
        <c:axId val="3929191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925016"/>
        <c:crosses val="autoZero"/>
        <c:auto val="1"/>
        <c:lblAlgn val="ctr"/>
        <c:lblOffset val="100"/>
        <c:noMultiLvlLbl val="0"/>
      </c:catAx>
      <c:valAx>
        <c:axId val="3929250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919136"/>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1070</c:v>
                </c:pt>
                <c:pt idx="1">
                  <c:v>927</c:v>
                </c:pt>
                <c:pt idx="2">
                  <c:v>857</c:v>
                </c:pt>
                <c:pt idx="3">
                  <c:v>735</c:v>
                </c:pt>
                <c:pt idx="4">
                  <c:v>611</c:v>
                </c:pt>
                <c:pt idx="5">
                  <c:v>515</c:v>
                </c:pt>
                <c:pt idx="6">
                  <c:v>461</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2925800"/>
        <c:axId val="392925408"/>
      </c:barChart>
      <c:catAx>
        <c:axId val="3929258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925408"/>
        <c:crosses val="autoZero"/>
        <c:auto val="1"/>
        <c:lblAlgn val="ctr"/>
        <c:lblOffset val="100"/>
        <c:noMultiLvlLbl val="0"/>
      </c:catAx>
      <c:valAx>
        <c:axId val="3929254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9258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 xmlns:a16="http://schemas.microsoft.com/office/drawing/2014/main"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 xmlns:a16="http://schemas.microsoft.com/office/drawing/2014/main"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 xmlns:a16="http://schemas.microsoft.com/office/drawing/2014/main"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 xmlns:a16="http://schemas.microsoft.com/office/drawing/2014/main"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 xmlns:a16="http://schemas.microsoft.com/office/drawing/2014/main"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 xmlns:a16="http://schemas.microsoft.com/office/drawing/2014/main"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 xmlns:a16="http://schemas.microsoft.com/office/drawing/2014/main"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 xmlns:a16="http://schemas.microsoft.com/office/drawing/2014/main"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 xmlns:a16="http://schemas.microsoft.com/office/drawing/2014/main"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 xmlns:a16="http://schemas.microsoft.com/office/drawing/2014/main"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 xmlns:a16="http://schemas.microsoft.com/office/drawing/2014/main"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 xmlns:a16="http://schemas.microsoft.com/office/drawing/2014/main"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 xmlns:a16="http://schemas.microsoft.com/office/drawing/2014/main"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 xmlns:a16="http://schemas.microsoft.com/office/drawing/2014/main"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 xmlns:a16="http://schemas.microsoft.com/office/drawing/2014/main"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 xmlns:a16="http://schemas.microsoft.com/office/drawing/2014/main"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 xmlns:a16="http://schemas.microsoft.com/office/drawing/2014/main"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 xmlns:a16="http://schemas.microsoft.com/office/drawing/2014/main"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 xmlns:a16="http://schemas.microsoft.com/office/drawing/2014/main"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 xmlns:a16="http://schemas.microsoft.com/office/drawing/2014/main"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 xmlns:a16="http://schemas.microsoft.com/office/drawing/2014/main"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 xmlns:a16="http://schemas.microsoft.com/office/drawing/2014/main"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 xmlns:a16="http://schemas.microsoft.com/office/drawing/2014/main"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 xmlns:a16="http://schemas.microsoft.com/office/drawing/2014/main"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 xmlns:a16="http://schemas.microsoft.com/office/drawing/2014/main"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 xmlns:a16="http://schemas.microsoft.com/office/drawing/2014/main"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 xmlns:a16="http://schemas.microsoft.com/office/drawing/2014/main"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 xmlns:a16="http://schemas.microsoft.com/office/drawing/2014/main"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 xmlns:a16="http://schemas.microsoft.com/office/drawing/2014/main"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 xmlns:a16="http://schemas.microsoft.com/office/drawing/2014/main"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 xmlns:a16="http://schemas.microsoft.com/office/drawing/2014/main"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 xmlns:a16="http://schemas.microsoft.com/office/drawing/2014/main"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 xmlns:a16="http://schemas.microsoft.com/office/drawing/2014/main"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 xmlns:a16="http://schemas.microsoft.com/office/drawing/2014/main"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 xmlns:a16="http://schemas.microsoft.com/office/drawing/2014/main"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 xmlns:a16="http://schemas.microsoft.com/office/drawing/2014/main"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 xmlns:a16="http://schemas.microsoft.com/office/drawing/2014/main"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 xmlns:a16="http://schemas.microsoft.com/office/drawing/2014/main"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 xmlns:a16="http://schemas.microsoft.com/office/drawing/2014/main"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 xmlns:a16="http://schemas.microsoft.com/office/drawing/2014/main"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 xmlns:a16="http://schemas.microsoft.com/office/drawing/2014/main"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 xmlns:a16="http://schemas.microsoft.com/office/drawing/2014/main"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 xmlns:a16="http://schemas.microsoft.com/office/drawing/2014/main"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 xmlns:a16="http://schemas.microsoft.com/office/drawing/2014/main"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 xmlns:a16="http://schemas.microsoft.com/office/drawing/2014/main"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 xmlns:a16="http://schemas.microsoft.com/office/drawing/2014/main"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 xmlns:a16="http://schemas.microsoft.com/office/drawing/2014/main"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 xmlns:a16="http://schemas.microsoft.com/office/drawing/2014/main"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 xmlns:a16="http://schemas.microsoft.com/office/drawing/2014/main"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 xmlns:a16="http://schemas.microsoft.com/office/drawing/2014/main"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 xmlns:a16="http://schemas.microsoft.com/office/drawing/2014/main"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 xmlns:a16="http://schemas.microsoft.com/office/drawing/2014/main"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 xmlns:a16="http://schemas.microsoft.com/office/drawing/2014/main"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 xmlns:a16="http://schemas.microsoft.com/office/drawing/2014/main"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 xmlns:a16="http://schemas.microsoft.com/office/drawing/2014/main"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 xmlns:a16="http://schemas.microsoft.com/office/drawing/2014/main"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 xmlns:a16="http://schemas.microsoft.com/office/drawing/2014/main"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東海地区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6"/>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305" t="s">
        <v>131</v>
      </c>
      <c r="L1" s="305"/>
      <c r="M1" s="305"/>
      <c r="N1" s="305"/>
      <c r="O1" s="305"/>
      <c r="P1" s="305"/>
      <c r="Q1" s="305"/>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延岡市平均</v>
      </c>
      <c r="C4" s="88" t="str">
        <f>B4</f>
        <v>延岡市平均</v>
      </c>
      <c r="D4" s="185">
        <f>SUM(D7:D70)</f>
        <v>51424</v>
      </c>
      <c r="E4" s="186">
        <f>SUM(E7:E70)</f>
        <v>25737</v>
      </c>
      <c r="F4" s="186">
        <f>SUM(F7:F70)</f>
        <v>7867</v>
      </c>
      <c r="G4" s="187">
        <f>SUM(G7:G70)</f>
        <v>8257</v>
      </c>
      <c r="H4" s="148">
        <f>E4/D4</f>
        <v>0.5004861543248289</v>
      </c>
      <c r="I4" s="149">
        <f>F4/D4</f>
        <v>0.15298304293714998</v>
      </c>
      <c r="J4" s="150">
        <f>G4/D4</f>
        <v>0.16056705040448041</v>
      </c>
      <c r="K4" s="185">
        <f>SUM(K7:K70)</f>
        <v>118394</v>
      </c>
      <c r="L4" s="186">
        <f>SUM(L7:L70)</f>
        <v>12929</v>
      </c>
      <c r="M4" s="186">
        <f>SUM(M7:M70)</f>
        <v>41044</v>
      </c>
      <c r="N4" s="187">
        <f>SUM(N7:N70)</f>
        <v>58537</v>
      </c>
      <c r="O4" s="148">
        <f>L4/K4</f>
        <v>0.10920316907951416</v>
      </c>
      <c r="P4" s="149">
        <f>M4/K4</f>
        <v>0.34667297329256552</v>
      </c>
      <c r="Q4" s="150">
        <f>N4/K4</f>
        <v>0.49442539317870837</v>
      </c>
      <c r="R4" s="185">
        <f>SUM(R7:R70)</f>
        <v>118394</v>
      </c>
      <c r="S4" s="145">
        <f>SUM(S7:S70)</f>
        <v>16546</v>
      </c>
      <c r="T4" s="145">
        <f>SUM(T7:T70)</f>
        <v>3638</v>
      </c>
      <c r="U4" s="144">
        <f>SUM(U7:U70)</f>
        <v>4306</v>
      </c>
      <c r="V4" s="144">
        <f>SUM(V7:V70)</f>
        <v>337</v>
      </c>
      <c r="W4" s="146">
        <f>S4+T4+U4+V4</f>
        <v>24827</v>
      </c>
      <c r="X4" s="143">
        <f>SUM(X7:X70)</f>
        <v>56100</v>
      </c>
      <c r="Y4" s="144">
        <f>SUM(Y7:Y70)</f>
        <v>7375</v>
      </c>
      <c r="Z4" s="144">
        <f>SUM(Z7:Z70)</f>
        <v>1904</v>
      </c>
      <c r="AA4" s="144">
        <f>SUM(AA7:AA70)</f>
        <v>2484</v>
      </c>
      <c r="AB4" s="144">
        <f>SUM(AB7:AB70)</f>
        <v>184</v>
      </c>
      <c r="AC4" s="146">
        <f>Y4+Z4+AA4+AB4</f>
        <v>11947</v>
      </c>
      <c r="AD4" s="143">
        <f>SUM(AD7:AD70)</f>
        <v>62294</v>
      </c>
      <c r="AE4" s="143">
        <f t="shared" ref="AE4:AH4" si="0">SUM(AE7:AE70)</f>
        <v>9171</v>
      </c>
      <c r="AF4" s="143">
        <f t="shared" si="0"/>
        <v>1734</v>
      </c>
      <c r="AG4" s="143">
        <f t="shared" si="0"/>
        <v>1822</v>
      </c>
      <c r="AH4" s="143">
        <f t="shared" si="0"/>
        <v>153</v>
      </c>
      <c r="AI4" s="146">
        <f>AE4+AF4+AG4+AH4</f>
        <v>12880</v>
      </c>
      <c r="AJ4" s="148">
        <f>W4/R4</f>
        <v>0.20969812659425308</v>
      </c>
      <c r="AK4" s="149">
        <f>T4/W4</f>
        <v>0.1465340153864744</v>
      </c>
      <c r="AL4" s="149">
        <f>U4/W4</f>
        <v>0.17344020622709147</v>
      </c>
      <c r="AM4" s="149">
        <f>V4/W4</f>
        <v>1.3573931606718492E-2</v>
      </c>
      <c r="AN4" s="147">
        <f>AC4/W4</f>
        <v>0.48120997301325169</v>
      </c>
      <c r="AO4" s="150">
        <f>AI4/W4</f>
        <v>0.51879002698674825</v>
      </c>
      <c r="AP4" s="143">
        <f>SUM(AP7:AP70)</f>
        <v>54364</v>
      </c>
      <c r="AQ4" s="144">
        <f t="shared" ref="AQ4:BI4" si="1">SUM(AQ7:AQ70)</f>
        <v>1953</v>
      </c>
      <c r="AR4" s="144">
        <f t="shared" si="1"/>
        <v>772</v>
      </c>
      <c r="AS4" s="144">
        <f t="shared" si="1"/>
        <v>12</v>
      </c>
      <c r="AT4" s="144">
        <f t="shared" si="1"/>
        <v>6025</v>
      </c>
      <c r="AU4" s="144">
        <f t="shared" si="1"/>
        <v>9078</v>
      </c>
      <c r="AV4" s="144">
        <f t="shared" si="1"/>
        <v>219</v>
      </c>
      <c r="AW4" s="144">
        <f t="shared" si="1"/>
        <v>588</v>
      </c>
      <c r="AX4" s="144">
        <f t="shared" si="1"/>
        <v>1908</v>
      </c>
      <c r="AY4" s="144">
        <f t="shared" si="1"/>
        <v>8064</v>
      </c>
      <c r="AZ4" s="144">
        <f t="shared" si="1"/>
        <v>892</v>
      </c>
      <c r="BA4" s="144">
        <f t="shared" si="1"/>
        <v>787</v>
      </c>
      <c r="BB4" s="144">
        <f t="shared" si="1"/>
        <v>1190</v>
      </c>
      <c r="BC4" s="144">
        <f t="shared" si="1"/>
        <v>2652</v>
      </c>
      <c r="BD4" s="144">
        <f t="shared" si="1"/>
        <v>1973</v>
      </c>
      <c r="BE4" s="144">
        <f t="shared" si="1"/>
        <v>2571</v>
      </c>
      <c r="BF4" s="144">
        <f t="shared" si="1"/>
        <v>8951</v>
      </c>
      <c r="BG4" s="144">
        <f t="shared" si="1"/>
        <v>591</v>
      </c>
      <c r="BH4" s="144">
        <f t="shared" si="1"/>
        <v>3224</v>
      </c>
      <c r="BI4" s="146">
        <f t="shared" si="1"/>
        <v>1908</v>
      </c>
      <c r="BJ4" s="147">
        <f>IF($AP4=0,0,AQ4/$AP4)</f>
        <v>3.5924508866161428E-2</v>
      </c>
      <c r="BK4" s="149">
        <f t="shared" ref="BK4:CB4" si="2">IF($AP4=0,0,AR4/$AP4)</f>
        <v>1.4200573909204621E-2</v>
      </c>
      <c r="BL4" s="149">
        <f t="shared" si="2"/>
        <v>2.2073430946950188E-4</v>
      </c>
      <c r="BM4" s="149">
        <f t="shared" si="2"/>
        <v>0.11082701787947907</v>
      </c>
      <c r="BN4" s="149">
        <f t="shared" si="2"/>
        <v>0.16698550511367816</v>
      </c>
      <c r="BO4" s="149">
        <f t="shared" si="2"/>
        <v>4.0284011478184095E-3</v>
      </c>
      <c r="BP4" s="149">
        <f t="shared" si="2"/>
        <v>1.0815981164005593E-2</v>
      </c>
      <c r="BQ4" s="149">
        <f t="shared" si="2"/>
        <v>3.5096755205650795E-2</v>
      </c>
      <c r="BR4" s="149">
        <f t="shared" si="2"/>
        <v>0.14833345596350525</v>
      </c>
      <c r="BS4" s="149">
        <f t="shared" si="2"/>
        <v>1.6407917003899639E-2</v>
      </c>
      <c r="BT4" s="149">
        <f t="shared" si="2"/>
        <v>1.4476491796041498E-2</v>
      </c>
      <c r="BU4" s="149">
        <f t="shared" si="2"/>
        <v>2.1889485689058935E-2</v>
      </c>
      <c r="BV4" s="149">
        <f t="shared" si="2"/>
        <v>4.8782282392759918E-2</v>
      </c>
      <c r="BW4" s="149">
        <f t="shared" si="2"/>
        <v>3.6292399381943931E-2</v>
      </c>
      <c r="BX4" s="149">
        <f t="shared" si="2"/>
        <v>4.7292325803840775E-2</v>
      </c>
      <c r="BY4" s="149">
        <f t="shared" si="2"/>
        <v>0.16464940033845926</v>
      </c>
      <c r="BZ4" s="149">
        <f t="shared" si="2"/>
        <v>1.0871164741372967E-2</v>
      </c>
      <c r="CA4" s="149">
        <f t="shared" si="2"/>
        <v>5.9303951144139506E-2</v>
      </c>
      <c r="CB4" s="150">
        <f t="shared" si="2"/>
        <v>3.5096755205650795E-2</v>
      </c>
      <c r="CC4" s="143">
        <f>SUM(CC7:CC70)</f>
        <v>54364</v>
      </c>
      <c r="CD4" s="144">
        <f t="shared" ref="CD4:CI4" si="3">SUM(CD7:CD70)</f>
        <v>49258</v>
      </c>
      <c r="CE4" s="144">
        <f t="shared" si="3"/>
        <v>3772</v>
      </c>
      <c r="CF4" s="144">
        <f t="shared" si="3"/>
        <v>433</v>
      </c>
      <c r="CG4" s="143">
        <f t="shared" si="3"/>
        <v>4905</v>
      </c>
      <c r="CH4" s="144">
        <f t="shared" si="3"/>
        <v>4279</v>
      </c>
      <c r="CI4" s="144">
        <f t="shared" si="3"/>
        <v>448</v>
      </c>
      <c r="CJ4" s="144">
        <f>SUM(CJ7:CJ70)</f>
        <v>77</v>
      </c>
      <c r="CK4" s="148">
        <f t="shared" ref="CK4:CM4" si="4">IF($CC4=0,0,CD4/$CC4)</f>
        <v>0.90607755132072698</v>
      </c>
      <c r="CL4" s="149">
        <f t="shared" si="4"/>
        <v>6.9384151276580083E-2</v>
      </c>
      <c r="CM4" s="150">
        <f t="shared" si="4"/>
        <v>7.9648296666911932E-3</v>
      </c>
      <c r="CN4" s="148">
        <f t="shared" ref="CN4:CP4" si="5">IF($CG4=0,0,CH4/$CG4)</f>
        <v>0.87237512742099899</v>
      </c>
      <c r="CO4" s="149">
        <f t="shared" si="5"/>
        <v>9.1335372069317022E-2</v>
      </c>
      <c r="CP4" s="150">
        <f t="shared" si="5"/>
        <v>1.5698267074413862E-2</v>
      </c>
    </row>
    <row r="5" spans="1:94" s="181" customFormat="1" x14ac:dyDescent="0.15">
      <c r="A5" s="183" t="str">
        <f>管理者入力シート!B2</f>
        <v>45203_4</v>
      </c>
      <c r="B5" s="201" t="str">
        <f>VLOOKUP($A$5,$A$7:$CP$50,2,FALSE)</f>
        <v>延岡市</v>
      </c>
      <c r="C5" s="201" t="str">
        <f>VLOOKUP($A$5,$A$7:$CP$50,3,FALSE)</f>
        <v>東海地区</v>
      </c>
      <c r="D5" s="188">
        <f>VLOOKUP($A$5,$A$7:$CP$70,4,FALSE)</f>
        <v>6401</v>
      </c>
      <c r="E5" s="189">
        <f>VLOOKUP($A$5,$A$7:$CP$70,5,FALSE)</f>
        <v>3590</v>
      </c>
      <c r="F5" s="189">
        <f>VLOOKUP($A$5,$A$7:$CP$70,6,FALSE)</f>
        <v>1174</v>
      </c>
      <c r="G5" s="190">
        <f>VLOOKUP($A$5,$A$7:$CP$70,7,FALSE)</f>
        <v>980</v>
      </c>
      <c r="H5" s="178">
        <f>VLOOKUP($A$5,$A$7:$CP$70,8,FALSE)</f>
        <v>0.5608498672082487</v>
      </c>
      <c r="I5" s="179">
        <f>VLOOKUP($A$5,$A$7:$CP$70,9,FALSE)</f>
        <v>0.18340884236837995</v>
      </c>
      <c r="J5" s="180">
        <f>VLOOKUP($A$5,$A$7:$CP$70,10,FALSE)</f>
        <v>0.1531010779565693</v>
      </c>
      <c r="K5" s="188">
        <f>VLOOKUP($A$5,$A$7:$CP$70,11,FALSE)</f>
        <v>15949</v>
      </c>
      <c r="L5" s="189">
        <f>VLOOKUP($A$5,$A$7:$CP$70,12,FALSE)</f>
        <v>1769</v>
      </c>
      <c r="M5" s="189">
        <f>VLOOKUP($A$5,$A$7:$CP$70,13,FALSE)</f>
        <v>4878</v>
      </c>
      <c r="N5" s="190">
        <f>VLOOKUP($A$5,$A$7:$CP$70,14,FALSE)</f>
        <v>8593</v>
      </c>
      <c r="O5" s="178">
        <f>VLOOKUP($A$5,$A$7:$CP$70,15,FALSE)</f>
        <v>0.11091604489309674</v>
      </c>
      <c r="P5" s="179">
        <f>VLOOKUP($A$5,$A$7:$CP$70,16,FALSE)</f>
        <v>0.30584989654523792</v>
      </c>
      <c r="Q5" s="180">
        <f>VLOOKUP($A$5,$A$7:$CP$70,17,FALSE)</f>
        <v>0.53877986080632012</v>
      </c>
      <c r="R5" s="188">
        <f>VLOOKUP($A$5,$A$7:$CP$70,18,FALSE)</f>
        <v>15949</v>
      </c>
      <c r="S5" s="189">
        <f>VLOOKUP($A$5,$A$7:$CP$70,19,FALSE)</f>
        <v>2041</v>
      </c>
      <c r="T5" s="189">
        <f>VLOOKUP($A$5,$A$7:$CP$70,20,FALSE)</f>
        <v>378</v>
      </c>
      <c r="U5" s="189">
        <f>VLOOKUP($A$5,$A$7:$CP$70,21,FALSE)</f>
        <v>493</v>
      </c>
      <c r="V5" s="189">
        <f>VLOOKUP($A$5,$A$7:$CP$70,22,FALSE)</f>
        <v>50</v>
      </c>
      <c r="W5" s="190">
        <f>VLOOKUP($A$5,$A$7:$CP$70,23,FALSE)</f>
        <v>2962</v>
      </c>
      <c r="X5" s="188">
        <f>VLOOKUP($A$5,$A$7:$CP$70,24,FALSE)</f>
        <v>7600</v>
      </c>
      <c r="Y5" s="189">
        <f>VLOOKUP($A$5,$A$7:$CP$70,25,FALSE)</f>
        <v>929</v>
      </c>
      <c r="Z5" s="189">
        <f>VLOOKUP($A$5,$A$7:$CP$70,26,FALSE)</f>
        <v>207</v>
      </c>
      <c r="AA5" s="189">
        <f>VLOOKUP($A$5,$A$7:$CP$70,27,FALSE)</f>
        <v>310</v>
      </c>
      <c r="AB5" s="189">
        <f>VLOOKUP($A$5,$A$7:$CP$70,28,FALSE)</f>
        <v>25</v>
      </c>
      <c r="AC5" s="191">
        <f>VLOOKUP($A$5,$A$7:$CP$70,29,FALSE)</f>
        <v>1471</v>
      </c>
      <c r="AD5" s="188">
        <f>VLOOKUP($A$5,$A$7:$CP$70,30,FALSE)</f>
        <v>8349</v>
      </c>
      <c r="AE5" s="189">
        <f>VLOOKUP($A$5,$A$7:$CP$70,31,FALSE)</f>
        <v>1112</v>
      </c>
      <c r="AF5" s="189">
        <f>VLOOKUP($A$5,$A$7:$CP$70,32,FALSE)</f>
        <v>171</v>
      </c>
      <c r="AG5" s="189">
        <f>VLOOKUP($A$5,$A$7:$CP$70,33,FALSE)</f>
        <v>183</v>
      </c>
      <c r="AH5" s="189">
        <f>VLOOKUP($A$5,$A$7:$CP$70,34,FALSE)</f>
        <v>25</v>
      </c>
      <c r="AI5" s="191">
        <f>VLOOKUP($A$5,$A$7:$CP$70,35,FALSE)</f>
        <v>1491</v>
      </c>
      <c r="AJ5" s="178">
        <f>VLOOKUP($A$5,$A$7:$CP$70,36,FALSE)</f>
        <v>0.18571697285096245</v>
      </c>
      <c r="AK5" s="179">
        <f>VLOOKUP($A$5,$A$7:$CP$70,37,FALSE)</f>
        <v>0.12761647535449022</v>
      </c>
      <c r="AL5" s="179">
        <f>VLOOKUP($A$5,$A$7:$CP$70,38,FALSE)</f>
        <v>0.16644159351789331</v>
      </c>
      <c r="AM5" s="179">
        <f>VLOOKUP($A$5,$A$7:$CP$70,39,FALSE)</f>
        <v>1.6880486158001352E-2</v>
      </c>
      <c r="AN5" s="182">
        <f>VLOOKUP($A$5,$A$7:$CP$70,40,FALSE)</f>
        <v>0.49662390276839974</v>
      </c>
      <c r="AO5" s="180">
        <f>VLOOKUP($A$5,$A$7:$CP$70,41,FALSE)</f>
        <v>0.50337609723160026</v>
      </c>
      <c r="AP5" s="192">
        <f>VLOOKUP($A$5,$A$7:$CP$70,42,FALSE)</f>
        <v>7002</v>
      </c>
      <c r="AQ5" s="189">
        <f>VLOOKUP($A$5,$A$7:$CP$70,43,FALSE)</f>
        <v>244</v>
      </c>
      <c r="AR5" s="189">
        <f>VLOOKUP($A$5,$A$7:$CP$70,44,FALSE)</f>
        <v>58</v>
      </c>
      <c r="AS5" s="189">
        <f>VLOOKUP($A$5,$A$7:$CP$70,45,FALSE)</f>
        <v>2</v>
      </c>
      <c r="AT5" s="189">
        <f>VLOOKUP($A$5,$A$7:$CP$70,46,FALSE)</f>
        <v>821</v>
      </c>
      <c r="AU5" s="189">
        <f>VLOOKUP($A$5,$A$7:$CP$70,47,FALSE)</f>
        <v>1366</v>
      </c>
      <c r="AV5" s="189">
        <f>VLOOKUP($A$5,$A$7:$CP$70,48,FALSE)</f>
        <v>23</v>
      </c>
      <c r="AW5" s="189">
        <f>VLOOKUP($A$5,$A$7:$CP$70,49,FALSE)</f>
        <v>53</v>
      </c>
      <c r="AX5" s="189">
        <f>VLOOKUP($A$5,$A$7:$CP$70,50,FALSE)</f>
        <v>279</v>
      </c>
      <c r="AY5" s="189">
        <f>VLOOKUP($A$5,$A$7:$CP$70,51,FALSE)</f>
        <v>1043</v>
      </c>
      <c r="AZ5" s="189">
        <f>VLOOKUP($A$5,$A$7:$CP$70,52,FALSE)</f>
        <v>114</v>
      </c>
      <c r="BA5" s="189">
        <f>VLOOKUP($A$5,$A$7:$CP$70,53,FALSE)</f>
        <v>103</v>
      </c>
      <c r="BB5" s="189">
        <f>VLOOKUP($A$5,$A$7:$CP$70,54,FALSE)</f>
        <v>151</v>
      </c>
      <c r="BC5" s="189">
        <f>VLOOKUP($A$5,$A$7:$CP$70,55,FALSE)</f>
        <v>270</v>
      </c>
      <c r="BD5" s="189">
        <f>VLOOKUP($A$5,$A$7:$CP$70,56,FALSE)</f>
        <v>245</v>
      </c>
      <c r="BE5" s="189">
        <f>VLOOKUP($A$5,$A$7:$CP$70,57,FALSE)</f>
        <v>262</v>
      </c>
      <c r="BF5" s="189">
        <f>VLOOKUP($A$5,$A$7:$CP$70,58,FALSE)</f>
        <v>1136</v>
      </c>
      <c r="BG5" s="189">
        <f>VLOOKUP($A$5,$A$7:$CP$70,59,FALSE)</f>
        <v>66</v>
      </c>
      <c r="BH5" s="189">
        <f>VLOOKUP($A$5,$A$7:$CP$70,60,FALSE)</f>
        <v>434</v>
      </c>
      <c r="BI5" s="189">
        <f>VLOOKUP($A$5,$A$7:$CP$70,61,FALSE)</f>
        <v>190</v>
      </c>
      <c r="BJ5" s="178">
        <f>VLOOKUP($A$5,$A$7:$CP$70,62,FALSE)</f>
        <v>3.4847186518137674E-2</v>
      </c>
      <c r="BK5" s="179">
        <f>VLOOKUP($A$5,$A$7:$CP$70,63,FALSE)</f>
        <v>8.2833476149671518E-3</v>
      </c>
      <c r="BL5" s="179">
        <f>VLOOKUP($A$5,$A$7:$CP$70,64,FALSE)</f>
        <v>2.8563267637817766E-4</v>
      </c>
      <c r="BM5" s="179">
        <f>VLOOKUP($A$5,$A$7:$CP$70,65,FALSE)</f>
        <v>0.11725221365324193</v>
      </c>
      <c r="BN5" s="179">
        <f>VLOOKUP($A$5,$A$7:$CP$70,66,FALSE)</f>
        <v>0.19508711796629535</v>
      </c>
      <c r="BO5" s="179">
        <f>VLOOKUP($A$5,$A$7:$CP$70,67,FALSE)</f>
        <v>3.284775778349043E-3</v>
      </c>
      <c r="BP5" s="179">
        <f>VLOOKUP($A$5,$A$7:$CP$70,68,FALSE)</f>
        <v>7.5692659240217085E-3</v>
      </c>
      <c r="BQ5" s="179">
        <f>VLOOKUP($A$5,$A$7:$CP$70,69,FALSE)</f>
        <v>3.9845758354755782E-2</v>
      </c>
      <c r="BR5" s="179">
        <f>VLOOKUP($A$5,$A$7:$CP$70,70,FALSE)</f>
        <v>0.14895744073121966</v>
      </c>
      <c r="BS5" s="179">
        <f>VLOOKUP($A$5,$A$7:$CP$70,71,FALSE)</f>
        <v>1.6281062553556127E-2</v>
      </c>
      <c r="BT5" s="179">
        <f>VLOOKUP($A$5,$A$7:$CP$70,72,FALSE)</f>
        <v>1.471008283347615E-2</v>
      </c>
      <c r="BU5" s="179">
        <f>VLOOKUP($A$5,$A$7:$CP$70,73,FALSE)</f>
        <v>2.1565267066552412E-2</v>
      </c>
      <c r="BV5" s="179">
        <f>VLOOKUP($A$5,$A$7:$CP$70,74,FALSE)</f>
        <v>3.8560411311053984E-2</v>
      </c>
      <c r="BW5" s="179">
        <f>VLOOKUP($A$5,$A$7:$CP$70,75,FALSE)</f>
        <v>3.4990002856326766E-2</v>
      </c>
      <c r="BX5" s="179">
        <f>VLOOKUP($A$5,$A$7:$CP$70,76,FALSE)</f>
        <v>3.741788060554127E-2</v>
      </c>
      <c r="BY5" s="179">
        <f>VLOOKUP($A$5,$A$7:$CP$70,77,FALSE)</f>
        <v>0.16223936018280491</v>
      </c>
      <c r="BZ5" s="179">
        <f>VLOOKUP($A$5,$A$7:$CP$70,78,FALSE)</f>
        <v>9.4258783204798635E-3</v>
      </c>
      <c r="CA5" s="179">
        <f>VLOOKUP($A$5,$A$7:$CP$70,79,FALSE)</f>
        <v>6.1982290774064551E-2</v>
      </c>
      <c r="CB5" s="180">
        <f>VLOOKUP($A$5,$A$7:$CP$70,80,FALSE)</f>
        <v>2.7135104255926877E-2</v>
      </c>
      <c r="CC5" s="188">
        <f>VLOOKUP($A$5,$A$7:$CP$70,81,FALSE)</f>
        <v>7002</v>
      </c>
      <c r="CD5" s="190">
        <f>VLOOKUP($A$5,$A$7:$CP$70,82,FALSE)</f>
        <v>6487</v>
      </c>
      <c r="CE5" s="189">
        <f>VLOOKUP($A$5,$A$7:$CP$70,83,FALSE)</f>
        <v>340</v>
      </c>
      <c r="CF5" s="191">
        <f>VLOOKUP($A$5,$A$7:$CP$70,84,FALSE)</f>
        <v>53</v>
      </c>
      <c r="CG5" s="188">
        <f>VLOOKUP($A$5,$A$7:$CP$70,85,FALSE)</f>
        <v>837</v>
      </c>
      <c r="CH5" s="189">
        <f>VLOOKUP($A$5,$A$7:$CP$70,86,FALSE)</f>
        <v>756</v>
      </c>
      <c r="CI5" s="189">
        <f>VLOOKUP($A$5,$A$7:$CP$70,87,FALSE)</f>
        <v>51</v>
      </c>
      <c r="CJ5" s="191">
        <f>VLOOKUP($A$5,$A$7:$CP$70,88,FALSE)</f>
        <v>7</v>
      </c>
      <c r="CK5" s="178">
        <f>VLOOKUP($A$5,$A$7:$CP$70,89,FALSE)</f>
        <v>0.92644958583261927</v>
      </c>
      <c r="CL5" s="179">
        <f>VLOOKUP($A$5,$A$7:$CP$70,90,FALSE)</f>
        <v>4.8557554984290201E-2</v>
      </c>
      <c r="CM5" s="180">
        <f>VLOOKUP($A$5,$A$7:$CP$70,91,FALSE)</f>
        <v>7.5692659240217085E-3</v>
      </c>
      <c r="CN5" s="178">
        <f>VLOOKUP($A$5,$A$7:$CP$70,92,FALSE)</f>
        <v>0.90322580645161288</v>
      </c>
      <c r="CO5" s="179">
        <f>VLOOKUP($A$5,$A$7:$CP$70,93,FALSE)</f>
        <v>6.093189964157706E-2</v>
      </c>
      <c r="CP5" s="180">
        <f>VLOOKUP($A$5,$A$7:$CP$70,94,FALSE)</f>
        <v>8.3632019115890081E-3</v>
      </c>
    </row>
    <row r="6" spans="1:94" s="242" customFormat="1" x14ac:dyDescent="0.15"/>
    <row r="7" spans="1:94" x14ac:dyDescent="0.15">
      <c r="A7" t="s">
        <v>428</v>
      </c>
      <c r="B7" t="s">
        <v>429</v>
      </c>
      <c r="C7" t="s">
        <v>430</v>
      </c>
      <c r="D7">
        <v>1559</v>
      </c>
      <c r="E7">
        <v>719</v>
      </c>
      <c r="F7">
        <v>187</v>
      </c>
      <c r="G7">
        <v>300</v>
      </c>
      <c r="H7">
        <v>0.46119307248236047</v>
      </c>
      <c r="I7">
        <v>0.11994868505452214</v>
      </c>
      <c r="J7">
        <v>0.19243104554201412</v>
      </c>
      <c r="K7">
        <v>3081</v>
      </c>
      <c r="L7">
        <v>393</v>
      </c>
      <c r="M7">
        <v>1044</v>
      </c>
      <c r="N7">
        <v>1392</v>
      </c>
      <c r="O7">
        <v>0.12755598831548198</v>
      </c>
      <c r="P7">
        <v>0.33885102239532622</v>
      </c>
      <c r="Q7">
        <v>0.45180136319376824</v>
      </c>
      <c r="R7">
        <v>3081</v>
      </c>
      <c r="S7">
        <v>339</v>
      </c>
      <c r="T7">
        <v>133</v>
      </c>
      <c r="U7">
        <v>158</v>
      </c>
      <c r="V7">
        <v>1</v>
      </c>
      <c r="W7">
        <v>631</v>
      </c>
      <c r="X7">
        <v>1489</v>
      </c>
      <c r="Y7">
        <v>149</v>
      </c>
      <c r="Z7">
        <v>85</v>
      </c>
      <c r="AA7">
        <v>98</v>
      </c>
      <c r="AB7">
        <v>0</v>
      </c>
      <c r="AC7">
        <v>332</v>
      </c>
      <c r="AD7">
        <v>1592</v>
      </c>
      <c r="AE7">
        <v>190</v>
      </c>
      <c r="AF7">
        <v>48</v>
      </c>
      <c r="AG7">
        <v>60</v>
      </c>
      <c r="AH7">
        <v>1</v>
      </c>
      <c r="AI7">
        <v>299</v>
      </c>
      <c r="AJ7">
        <v>0.20480363518338202</v>
      </c>
      <c r="AK7">
        <v>0.21077654516640254</v>
      </c>
      <c r="AL7">
        <v>0.25039619651347067</v>
      </c>
      <c r="AM7">
        <v>1.5847860538827259E-3</v>
      </c>
      <c r="AN7">
        <v>0.52614896988906501</v>
      </c>
      <c r="AO7">
        <v>0.47385103011093505</v>
      </c>
      <c r="AP7">
        <v>1541</v>
      </c>
      <c r="AQ7">
        <v>10</v>
      </c>
      <c r="AR7">
        <v>24</v>
      </c>
      <c r="AS7">
        <v>0</v>
      </c>
      <c r="AT7">
        <v>136</v>
      </c>
      <c r="AU7">
        <v>203</v>
      </c>
      <c r="AV7">
        <v>22</v>
      </c>
      <c r="AW7">
        <v>32</v>
      </c>
      <c r="AX7">
        <v>35</v>
      </c>
      <c r="AY7">
        <v>226</v>
      </c>
      <c r="AZ7">
        <v>41</v>
      </c>
      <c r="BA7">
        <v>26</v>
      </c>
      <c r="BB7">
        <v>63</v>
      </c>
      <c r="BC7">
        <v>162</v>
      </c>
      <c r="BD7">
        <v>66</v>
      </c>
      <c r="BE7">
        <v>83</v>
      </c>
      <c r="BF7">
        <v>207</v>
      </c>
      <c r="BG7">
        <v>14</v>
      </c>
      <c r="BH7">
        <v>80</v>
      </c>
      <c r="BI7">
        <v>80</v>
      </c>
      <c r="BJ7">
        <v>6.4892926670992862E-3</v>
      </c>
      <c r="BK7">
        <v>1.5574302401038288E-2</v>
      </c>
      <c r="BL7">
        <v>0</v>
      </c>
      <c r="BM7">
        <v>8.8254380272550295E-2</v>
      </c>
      <c r="BN7">
        <v>0.1317326411421155</v>
      </c>
      <c r="BO7">
        <v>1.427644386761843E-2</v>
      </c>
      <c r="BP7">
        <v>2.0765736534717714E-2</v>
      </c>
      <c r="BQ7">
        <v>2.2712524334847502E-2</v>
      </c>
      <c r="BR7">
        <v>0.14665801427644387</v>
      </c>
      <c r="BS7">
        <v>2.6606099935107073E-2</v>
      </c>
      <c r="BT7">
        <v>1.6872160934458143E-2</v>
      </c>
      <c r="BU7">
        <v>4.0882543802725504E-2</v>
      </c>
      <c r="BV7">
        <v>0.10512654120700844</v>
      </c>
      <c r="BW7">
        <v>4.2829331602855292E-2</v>
      </c>
      <c r="BX7">
        <v>5.3861129136924077E-2</v>
      </c>
      <c r="BY7">
        <v>0.13432835820895522</v>
      </c>
      <c r="BZ7">
        <v>9.0850097339390014E-3</v>
      </c>
      <c r="CA7">
        <v>5.191434133679429E-2</v>
      </c>
      <c r="CB7">
        <v>5.191434133679429E-2</v>
      </c>
      <c r="CC7">
        <v>1541</v>
      </c>
      <c r="CD7">
        <v>1452</v>
      </c>
      <c r="CE7">
        <v>56</v>
      </c>
      <c r="CF7">
        <v>3</v>
      </c>
      <c r="CG7">
        <v>109</v>
      </c>
      <c r="CH7">
        <v>96</v>
      </c>
      <c r="CI7">
        <v>8</v>
      </c>
      <c r="CJ7">
        <v>3</v>
      </c>
      <c r="CK7">
        <v>0.94224529526281631</v>
      </c>
      <c r="CL7">
        <v>3.6340038935756006E-2</v>
      </c>
      <c r="CM7">
        <v>1.9467878001297859E-3</v>
      </c>
      <c r="CN7">
        <v>0.88073394495412849</v>
      </c>
      <c r="CO7">
        <v>7.3394495412844041E-2</v>
      </c>
      <c r="CP7">
        <v>2.7522935779816515E-2</v>
      </c>
    </row>
    <row r="8" spans="1:94" x14ac:dyDescent="0.15">
      <c r="A8" t="s">
        <v>431</v>
      </c>
      <c r="B8" t="s">
        <v>429</v>
      </c>
      <c r="C8" t="s">
        <v>432</v>
      </c>
      <c r="D8">
        <v>7976</v>
      </c>
      <c r="E8">
        <v>3748</v>
      </c>
      <c r="F8">
        <v>1133</v>
      </c>
      <c r="G8">
        <v>1384</v>
      </c>
      <c r="H8">
        <v>0.46990972918756269</v>
      </c>
      <c r="I8">
        <v>0.14205115346038114</v>
      </c>
      <c r="J8">
        <v>0.17352056168505517</v>
      </c>
      <c r="K8">
        <v>17277</v>
      </c>
      <c r="L8">
        <v>1540</v>
      </c>
      <c r="M8">
        <v>6906</v>
      </c>
      <c r="N8">
        <v>7869</v>
      </c>
      <c r="O8">
        <v>8.9135845343520287E-2</v>
      </c>
      <c r="P8">
        <v>0.39972217398853965</v>
      </c>
      <c r="Q8">
        <v>0.45546101753776697</v>
      </c>
      <c r="R8">
        <v>17277</v>
      </c>
      <c r="S8">
        <v>3110</v>
      </c>
      <c r="T8">
        <v>571</v>
      </c>
      <c r="U8">
        <v>712</v>
      </c>
      <c r="V8">
        <v>60</v>
      </c>
      <c r="W8">
        <v>4453</v>
      </c>
      <c r="X8">
        <v>8037</v>
      </c>
      <c r="Y8">
        <v>1351</v>
      </c>
      <c r="Z8">
        <v>289</v>
      </c>
      <c r="AA8">
        <v>409</v>
      </c>
      <c r="AB8">
        <v>43</v>
      </c>
      <c r="AC8">
        <v>2092</v>
      </c>
      <c r="AD8">
        <v>9240</v>
      </c>
      <c r="AE8">
        <v>1759</v>
      </c>
      <c r="AF8">
        <v>282</v>
      </c>
      <c r="AG8">
        <v>303</v>
      </c>
      <c r="AH8">
        <v>17</v>
      </c>
      <c r="AI8">
        <v>2361</v>
      </c>
      <c r="AJ8">
        <v>0.25774150604850377</v>
      </c>
      <c r="AK8">
        <v>0.12822816079047833</v>
      </c>
      <c r="AL8">
        <v>0.15989220750056141</v>
      </c>
      <c r="AM8">
        <v>1.3474062429822591E-2</v>
      </c>
      <c r="AN8">
        <v>0.469795643386481</v>
      </c>
      <c r="AO8">
        <v>0.53020435661351895</v>
      </c>
      <c r="AP8">
        <v>7935</v>
      </c>
      <c r="AQ8">
        <v>120</v>
      </c>
      <c r="AR8">
        <v>23</v>
      </c>
      <c r="AS8">
        <v>1</v>
      </c>
      <c r="AT8">
        <v>799</v>
      </c>
      <c r="AU8">
        <v>1378</v>
      </c>
      <c r="AV8">
        <v>39</v>
      </c>
      <c r="AW8">
        <v>92</v>
      </c>
      <c r="AX8">
        <v>250</v>
      </c>
      <c r="AY8">
        <v>1263</v>
      </c>
      <c r="AZ8">
        <v>141</v>
      </c>
      <c r="BA8">
        <v>130</v>
      </c>
      <c r="BB8">
        <v>203</v>
      </c>
      <c r="BC8">
        <v>476</v>
      </c>
      <c r="BD8">
        <v>300</v>
      </c>
      <c r="BE8">
        <v>460</v>
      </c>
      <c r="BF8">
        <v>1231</v>
      </c>
      <c r="BG8">
        <v>87</v>
      </c>
      <c r="BH8">
        <v>470</v>
      </c>
      <c r="BI8">
        <v>318</v>
      </c>
      <c r="BJ8">
        <v>1.5122873345935728E-2</v>
      </c>
      <c r="BK8">
        <v>2.8985507246376812E-3</v>
      </c>
      <c r="BL8">
        <v>1.260239445494644E-4</v>
      </c>
      <c r="BM8">
        <v>0.10069313169502206</v>
      </c>
      <c r="BN8">
        <v>0.17366099558916195</v>
      </c>
      <c r="BO8">
        <v>4.9149338374291111E-3</v>
      </c>
      <c r="BP8">
        <v>1.1594202898550725E-2</v>
      </c>
      <c r="BQ8">
        <v>3.1505986137366097E-2</v>
      </c>
      <c r="BR8">
        <v>0.15916824196597354</v>
      </c>
      <c r="BS8">
        <v>1.7769376181474481E-2</v>
      </c>
      <c r="BT8">
        <v>1.6383112791430371E-2</v>
      </c>
      <c r="BU8">
        <v>2.5582860743541273E-2</v>
      </c>
      <c r="BV8">
        <v>5.9987397605545056E-2</v>
      </c>
      <c r="BW8">
        <v>3.780718336483932E-2</v>
      </c>
      <c r="BX8">
        <v>5.7971014492753624E-2</v>
      </c>
      <c r="BY8">
        <v>0.15513547574039066</v>
      </c>
      <c r="BZ8">
        <v>1.0964083175803403E-2</v>
      </c>
      <c r="CA8">
        <v>5.9231253938248268E-2</v>
      </c>
      <c r="CB8">
        <v>4.0075614366729677E-2</v>
      </c>
      <c r="CC8">
        <v>7935</v>
      </c>
      <c r="CD8">
        <v>7315</v>
      </c>
      <c r="CE8">
        <v>446</v>
      </c>
      <c r="CF8">
        <v>40</v>
      </c>
      <c r="CG8">
        <v>624</v>
      </c>
      <c r="CH8">
        <v>545</v>
      </c>
      <c r="CI8">
        <v>56</v>
      </c>
      <c r="CJ8">
        <v>12</v>
      </c>
      <c r="CK8">
        <v>0.92186515437933203</v>
      </c>
      <c r="CL8">
        <v>5.6206679269061123E-2</v>
      </c>
      <c r="CM8">
        <v>5.0409577819785761E-3</v>
      </c>
      <c r="CN8">
        <v>0.8733974358974359</v>
      </c>
      <c r="CO8">
        <v>8.9743589743589744E-2</v>
      </c>
      <c r="CP8">
        <v>1.9230769230769232E-2</v>
      </c>
    </row>
    <row r="9" spans="1:94" x14ac:dyDescent="0.15">
      <c r="A9" t="s">
        <v>433</v>
      </c>
      <c r="B9" t="s">
        <v>429</v>
      </c>
      <c r="C9" t="s">
        <v>434</v>
      </c>
      <c r="D9">
        <v>15557</v>
      </c>
      <c r="E9">
        <v>6993</v>
      </c>
      <c r="F9">
        <v>2140</v>
      </c>
      <c r="G9">
        <v>2374</v>
      </c>
      <c r="H9">
        <v>0.4495082599472906</v>
      </c>
      <c r="I9">
        <v>0.13755865526772515</v>
      </c>
      <c r="J9">
        <v>0.15260011570354182</v>
      </c>
      <c r="K9">
        <v>34988</v>
      </c>
      <c r="L9">
        <v>3175</v>
      </c>
      <c r="M9">
        <v>13018</v>
      </c>
      <c r="N9">
        <v>16681</v>
      </c>
      <c r="O9">
        <v>9.0745398422316229E-2</v>
      </c>
      <c r="P9">
        <v>0.3720704241454213</v>
      </c>
      <c r="Q9">
        <v>0.47676346175831713</v>
      </c>
      <c r="R9">
        <v>34988</v>
      </c>
      <c r="S9">
        <v>5167</v>
      </c>
      <c r="T9">
        <v>1148</v>
      </c>
      <c r="U9">
        <v>1465</v>
      </c>
      <c r="V9">
        <v>61</v>
      </c>
      <c r="W9">
        <v>7841</v>
      </c>
      <c r="X9">
        <v>16675</v>
      </c>
      <c r="Y9">
        <v>2391</v>
      </c>
      <c r="Z9">
        <v>606</v>
      </c>
      <c r="AA9">
        <v>887</v>
      </c>
      <c r="AB9">
        <v>38</v>
      </c>
      <c r="AC9">
        <v>3922</v>
      </c>
      <c r="AD9">
        <v>18313</v>
      </c>
      <c r="AE9">
        <v>2776</v>
      </c>
      <c r="AF9">
        <v>542</v>
      </c>
      <c r="AG9">
        <v>578</v>
      </c>
      <c r="AH9">
        <v>23</v>
      </c>
      <c r="AI9">
        <v>3919</v>
      </c>
      <c r="AJ9">
        <v>0.22410540756830913</v>
      </c>
      <c r="AK9">
        <v>0.14640989669684989</v>
      </c>
      <c r="AL9">
        <v>0.18683841346766994</v>
      </c>
      <c r="AM9">
        <v>7.7796199464354038E-3</v>
      </c>
      <c r="AN9">
        <v>0.50019130212983043</v>
      </c>
      <c r="AO9">
        <v>0.49980869787016963</v>
      </c>
      <c r="AP9">
        <v>16193</v>
      </c>
      <c r="AQ9">
        <v>235</v>
      </c>
      <c r="AR9">
        <v>41</v>
      </c>
      <c r="AS9">
        <v>4</v>
      </c>
      <c r="AT9">
        <v>1696</v>
      </c>
      <c r="AU9">
        <v>2850</v>
      </c>
      <c r="AV9">
        <v>62</v>
      </c>
      <c r="AW9">
        <v>218</v>
      </c>
      <c r="AX9">
        <v>568</v>
      </c>
      <c r="AY9">
        <v>2528</v>
      </c>
      <c r="AZ9">
        <v>291</v>
      </c>
      <c r="BA9">
        <v>247</v>
      </c>
      <c r="BB9">
        <v>357</v>
      </c>
      <c r="BC9">
        <v>789</v>
      </c>
      <c r="BD9">
        <v>667</v>
      </c>
      <c r="BE9">
        <v>856</v>
      </c>
      <c r="BF9">
        <v>2725</v>
      </c>
      <c r="BG9">
        <v>141</v>
      </c>
      <c r="BH9">
        <v>978</v>
      </c>
      <c r="BI9">
        <v>603</v>
      </c>
      <c r="BJ9">
        <v>1.4512443648490088E-2</v>
      </c>
      <c r="BK9">
        <v>2.5319582535663558E-3</v>
      </c>
      <c r="BL9">
        <v>2.4702031742110787E-4</v>
      </c>
      <c r="BM9">
        <v>0.10473661458654974</v>
      </c>
      <c r="BN9">
        <v>0.17600197616253938</v>
      </c>
      <c r="BO9">
        <v>3.8288149200271723E-3</v>
      </c>
      <c r="BP9">
        <v>1.3462607299450379E-2</v>
      </c>
      <c r="BQ9">
        <v>3.5076885073797318E-2</v>
      </c>
      <c r="BR9">
        <v>0.1561168406101402</v>
      </c>
      <c r="BS9">
        <v>1.7970728092385597E-2</v>
      </c>
      <c r="BT9">
        <v>1.5253504600753412E-2</v>
      </c>
      <c r="BU9">
        <v>2.2046563329833877E-2</v>
      </c>
      <c r="BV9">
        <v>4.8724757611313528E-2</v>
      </c>
      <c r="BW9">
        <v>4.1190637929969742E-2</v>
      </c>
      <c r="BX9">
        <v>5.2862347928117087E-2</v>
      </c>
      <c r="BY9">
        <v>0.16828259124312975</v>
      </c>
      <c r="BZ9">
        <v>8.7074661890940534E-3</v>
      </c>
      <c r="CA9">
        <v>6.039646760946088E-2</v>
      </c>
      <c r="CB9">
        <v>3.7238312851232011E-2</v>
      </c>
      <c r="CC9">
        <v>16193</v>
      </c>
      <c r="CD9">
        <v>14651</v>
      </c>
      <c r="CE9">
        <v>1160</v>
      </c>
      <c r="CF9">
        <v>100</v>
      </c>
      <c r="CG9">
        <v>1253</v>
      </c>
      <c r="CH9">
        <v>1067</v>
      </c>
      <c r="CI9">
        <v>133</v>
      </c>
      <c r="CJ9">
        <v>25</v>
      </c>
      <c r="CK9">
        <v>0.90477366763416289</v>
      </c>
      <c r="CL9">
        <v>7.1635892052121286E-2</v>
      </c>
      <c r="CM9">
        <v>6.1755079355276972E-3</v>
      </c>
      <c r="CN9">
        <v>0.85155626496408621</v>
      </c>
      <c r="CO9">
        <v>0.10614525139664804</v>
      </c>
      <c r="CP9">
        <v>1.9952114924181964E-2</v>
      </c>
    </row>
    <row r="10" spans="1:94" x14ac:dyDescent="0.15">
      <c r="A10" t="s">
        <v>435</v>
      </c>
      <c r="B10" t="s">
        <v>429</v>
      </c>
      <c r="C10" t="s">
        <v>436</v>
      </c>
      <c r="D10">
        <v>6401</v>
      </c>
      <c r="E10">
        <v>3590</v>
      </c>
      <c r="F10">
        <v>1174</v>
      </c>
      <c r="G10">
        <v>980</v>
      </c>
      <c r="H10">
        <v>0.5608498672082487</v>
      </c>
      <c r="I10">
        <v>0.18340884236837995</v>
      </c>
      <c r="J10">
        <v>0.1531010779565693</v>
      </c>
      <c r="K10">
        <v>15949</v>
      </c>
      <c r="L10">
        <v>1769</v>
      </c>
      <c r="M10">
        <v>4878</v>
      </c>
      <c r="N10">
        <v>8593</v>
      </c>
      <c r="O10">
        <v>0.11091604489309674</v>
      </c>
      <c r="P10">
        <v>0.30584989654523792</v>
      </c>
      <c r="Q10">
        <v>0.53877986080632012</v>
      </c>
      <c r="R10">
        <v>15949</v>
      </c>
      <c r="S10">
        <v>2041</v>
      </c>
      <c r="T10">
        <v>378</v>
      </c>
      <c r="U10">
        <v>493</v>
      </c>
      <c r="V10">
        <v>50</v>
      </c>
      <c r="W10">
        <v>2962</v>
      </c>
      <c r="X10">
        <v>7600</v>
      </c>
      <c r="Y10">
        <v>929</v>
      </c>
      <c r="Z10">
        <v>207</v>
      </c>
      <c r="AA10">
        <v>310</v>
      </c>
      <c r="AB10">
        <v>25</v>
      </c>
      <c r="AC10">
        <v>1471</v>
      </c>
      <c r="AD10">
        <v>8349</v>
      </c>
      <c r="AE10">
        <v>1112</v>
      </c>
      <c r="AF10">
        <v>171</v>
      </c>
      <c r="AG10">
        <v>183</v>
      </c>
      <c r="AH10">
        <v>25</v>
      </c>
      <c r="AI10">
        <v>1491</v>
      </c>
      <c r="AJ10">
        <v>0.18571697285096245</v>
      </c>
      <c r="AK10">
        <v>0.12761647535449022</v>
      </c>
      <c r="AL10">
        <v>0.16644159351789331</v>
      </c>
      <c r="AM10">
        <v>1.6880486158001352E-2</v>
      </c>
      <c r="AN10">
        <v>0.49662390276839974</v>
      </c>
      <c r="AO10">
        <v>0.50337609723160026</v>
      </c>
      <c r="AP10">
        <v>7002</v>
      </c>
      <c r="AQ10">
        <v>244</v>
      </c>
      <c r="AR10">
        <v>58</v>
      </c>
      <c r="AS10">
        <v>2</v>
      </c>
      <c r="AT10">
        <v>821</v>
      </c>
      <c r="AU10">
        <v>1366</v>
      </c>
      <c r="AV10">
        <v>23</v>
      </c>
      <c r="AW10">
        <v>53</v>
      </c>
      <c r="AX10">
        <v>279</v>
      </c>
      <c r="AY10">
        <v>1043</v>
      </c>
      <c r="AZ10">
        <v>114</v>
      </c>
      <c r="BA10">
        <v>103</v>
      </c>
      <c r="BB10">
        <v>151</v>
      </c>
      <c r="BC10">
        <v>270</v>
      </c>
      <c r="BD10">
        <v>245</v>
      </c>
      <c r="BE10">
        <v>262</v>
      </c>
      <c r="BF10">
        <v>1136</v>
      </c>
      <c r="BG10">
        <v>66</v>
      </c>
      <c r="BH10">
        <v>434</v>
      </c>
      <c r="BI10">
        <v>190</v>
      </c>
      <c r="BJ10">
        <v>3.4847186518137674E-2</v>
      </c>
      <c r="BK10">
        <v>8.2833476149671518E-3</v>
      </c>
      <c r="BL10">
        <v>2.8563267637817766E-4</v>
      </c>
      <c r="BM10">
        <v>0.11725221365324193</v>
      </c>
      <c r="BN10">
        <v>0.19508711796629535</v>
      </c>
      <c r="BO10">
        <v>3.284775778349043E-3</v>
      </c>
      <c r="BP10">
        <v>7.5692659240217085E-3</v>
      </c>
      <c r="BQ10">
        <v>3.9845758354755782E-2</v>
      </c>
      <c r="BR10">
        <v>0.14895744073121966</v>
      </c>
      <c r="BS10">
        <v>1.6281062553556127E-2</v>
      </c>
      <c r="BT10">
        <v>1.471008283347615E-2</v>
      </c>
      <c r="BU10">
        <v>2.1565267066552412E-2</v>
      </c>
      <c r="BV10">
        <v>3.8560411311053984E-2</v>
      </c>
      <c r="BW10">
        <v>3.4990002856326766E-2</v>
      </c>
      <c r="BX10">
        <v>3.741788060554127E-2</v>
      </c>
      <c r="BY10">
        <v>0.16223936018280491</v>
      </c>
      <c r="BZ10">
        <v>9.4258783204798635E-3</v>
      </c>
      <c r="CA10">
        <v>6.1982290774064551E-2</v>
      </c>
      <c r="CB10">
        <v>2.7135104255926877E-2</v>
      </c>
      <c r="CC10">
        <v>7002</v>
      </c>
      <c r="CD10">
        <v>6487</v>
      </c>
      <c r="CE10">
        <v>340</v>
      </c>
      <c r="CF10">
        <v>53</v>
      </c>
      <c r="CG10">
        <v>837</v>
      </c>
      <c r="CH10">
        <v>756</v>
      </c>
      <c r="CI10">
        <v>51</v>
      </c>
      <c r="CJ10">
        <v>7</v>
      </c>
      <c r="CK10">
        <v>0.92644958583261927</v>
      </c>
      <c r="CL10">
        <v>4.8557554984290201E-2</v>
      </c>
      <c r="CM10">
        <v>7.5692659240217085E-3</v>
      </c>
      <c r="CN10">
        <v>0.90322580645161288</v>
      </c>
      <c r="CO10">
        <v>6.093189964157706E-2</v>
      </c>
      <c r="CP10">
        <v>8.3632019115890081E-3</v>
      </c>
    </row>
    <row r="11" spans="1:94" x14ac:dyDescent="0.15">
      <c r="A11" t="s">
        <v>437</v>
      </c>
      <c r="B11" t="s">
        <v>429</v>
      </c>
      <c r="C11" t="s">
        <v>438</v>
      </c>
      <c r="D11">
        <v>6587</v>
      </c>
      <c r="E11">
        <v>3609</v>
      </c>
      <c r="F11">
        <v>1183</v>
      </c>
      <c r="G11">
        <v>1136</v>
      </c>
      <c r="H11">
        <v>0.54789737361469559</v>
      </c>
      <c r="I11">
        <v>0.17959617428267799</v>
      </c>
      <c r="J11">
        <v>0.17246090784879309</v>
      </c>
      <c r="K11">
        <v>16136</v>
      </c>
      <c r="L11">
        <v>1587</v>
      </c>
      <c r="M11">
        <v>5504</v>
      </c>
      <c r="N11">
        <v>8451</v>
      </c>
      <c r="O11">
        <v>9.8351512146752598E-2</v>
      </c>
      <c r="P11">
        <v>0.34110064452156669</v>
      </c>
      <c r="Q11">
        <v>0.52373574615765994</v>
      </c>
      <c r="R11">
        <v>16136</v>
      </c>
      <c r="S11">
        <v>2374</v>
      </c>
      <c r="T11">
        <v>441</v>
      </c>
      <c r="U11">
        <v>279</v>
      </c>
      <c r="V11">
        <v>37</v>
      </c>
      <c r="W11">
        <v>3131</v>
      </c>
      <c r="X11">
        <v>7516</v>
      </c>
      <c r="Y11">
        <v>992</v>
      </c>
      <c r="Z11">
        <v>212</v>
      </c>
      <c r="AA11">
        <v>152</v>
      </c>
      <c r="AB11">
        <v>13</v>
      </c>
      <c r="AC11">
        <v>1369</v>
      </c>
      <c r="AD11">
        <v>8620</v>
      </c>
      <c r="AE11">
        <v>1382</v>
      </c>
      <c r="AF11">
        <v>229</v>
      </c>
      <c r="AG11">
        <v>127</v>
      </c>
      <c r="AH11">
        <v>24</v>
      </c>
      <c r="AI11">
        <v>1762</v>
      </c>
      <c r="AJ11">
        <v>0.19403817550818048</v>
      </c>
      <c r="AK11">
        <v>0.14084956882785052</v>
      </c>
      <c r="AL11">
        <v>8.9108910891089105E-2</v>
      </c>
      <c r="AM11">
        <v>1.1817310763334398E-2</v>
      </c>
      <c r="AN11">
        <v>0.43724049824337274</v>
      </c>
      <c r="AO11">
        <v>0.56275950175662726</v>
      </c>
      <c r="AP11">
        <v>7168</v>
      </c>
      <c r="AQ11">
        <v>111</v>
      </c>
      <c r="AR11">
        <v>86</v>
      </c>
      <c r="AS11">
        <v>0</v>
      </c>
      <c r="AT11">
        <v>883</v>
      </c>
      <c r="AU11">
        <v>1228</v>
      </c>
      <c r="AV11">
        <v>14</v>
      </c>
      <c r="AW11">
        <v>63</v>
      </c>
      <c r="AX11">
        <v>296</v>
      </c>
      <c r="AY11">
        <v>1174</v>
      </c>
      <c r="AZ11">
        <v>93</v>
      </c>
      <c r="BA11">
        <v>89</v>
      </c>
      <c r="BB11">
        <v>141</v>
      </c>
      <c r="BC11">
        <v>319</v>
      </c>
      <c r="BD11">
        <v>253</v>
      </c>
      <c r="BE11">
        <v>307</v>
      </c>
      <c r="BF11">
        <v>1330</v>
      </c>
      <c r="BG11">
        <v>76</v>
      </c>
      <c r="BH11">
        <v>405</v>
      </c>
      <c r="BI11">
        <v>169</v>
      </c>
      <c r="BJ11">
        <v>1.5485491071428572E-2</v>
      </c>
      <c r="BK11">
        <v>1.1997767857142858E-2</v>
      </c>
      <c r="BL11">
        <v>0</v>
      </c>
      <c r="BM11">
        <v>0.12318638392857142</v>
      </c>
      <c r="BN11">
        <v>0.17131696428571427</v>
      </c>
      <c r="BO11">
        <v>1.953125E-3</v>
      </c>
      <c r="BP11">
        <v>8.7890625E-3</v>
      </c>
      <c r="BQ11">
        <v>4.1294642857142856E-2</v>
      </c>
      <c r="BR11">
        <v>0.16378348214285715</v>
      </c>
      <c r="BS11">
        <v>1.2974330357142858E-2</v>
      </c>
      <c r="BT11">
        <v>1.2416294642857142E-2</v>
      </c>
      <c r="BU11">
        <v>1.9670758928571428E-2</v>
      </c>
      <c r="BV11">
        <v>4.4503348214285712E-2</v>
      </c>
      <c r="BW11">
        <v>3.5295758928571432E-2</v>
      </c>
      <c r="BX11">
        <v>4.2829241071428568E-2</v>
      </c>
      <c r="BY11">
        <v>0.185546875</v>
      </c>
      <c r="BZ11">
        <v>1.0602678571428572E-2</v>
      </c>
      <c r="CA11">
        <v>5.6501116071428568E-2</v>
      </c>
      <c r="CB11">
        <v>2.3577008928571428E-2</v>
      </c>
      <c r="CC11">
        <v>7168</v>
      </c>
      <c r="CD11">
        <v>5981</v>
      </c>
      <c r="CE11">
        <v>1027</v>
      </c>
      <c r="CF11">
        <v>49</v>
      </c>
      <c r="CG11">
        <v>568</v>
      </c>
      <c r="CH11">
        <v>426</v>
      </c>
      <c r="CI11">
        <v>119</v>
      </c>
      <c r="CJ11">
        <v>11</v>
      </c>
      <c r="CK11">
        <v>0.8344029017857143</v>
      </c>
      <c r="CL11">
        <v>0.14327566964285715</v>
      </c>
      <c r="CM11">
        <v>6.8359375E-3</v>
      </c>
      <c r="CN11">
        <v>0.75</v>
      </c>
      <c r="CO11">
        <v>0.20950704225352113</v>
      </c>
      <c r="CP11">
        <v>1.936619718309859E-2</v>
      </c>
    </row>
    <row r="12" spans="1:94" x14ac:dyDescent="0.15">
      <c r="A12" t="s">
        <v>439</v>
      </c>
      <c r="B12" t="s">
        <v>429</v>
      </c>
      <c r="C12" t="s">
        <v>440</v>
      </c>
      <c r="D12">
        <v>8881</v>
      </c>
      <c r="E12">
        <v>3893</v>
      </c>
      <c r="F12">
        <v>1196</v>
      </c>
      <c r="G12">
        <v>1164</v>
      </c>
      <c r="H12">
        <v>0.43835153698907781</v>
      </c>
      <c r="I12">
        <v>0.13466951919828848</v>
      </c>
      <c r="J12">
        <v>0.13106632136020718</v>
      </c>
      <c r="K12">
        <v>20001</v>
      </c>
      <c r="L12">
        <v>2052</v>
      </c>
      <c r="M12">
        <v>7283</v>
      </c>
      <c r="N12">
        <v>9463</v>
      </c>
      <c r="O12">
        <v>0.10259487025648717</v>
      </c>
      <c r="P12">
        <v>0.36413179341032947</v>
      </c>
      <c r="Q12">
        <v>0.47312634368281586</v>
      </c>
      <c r="R12">
        <v>20001</v>
      </c>
      <c r="S12">
        <v>2623</v>
      </c>
      <c r="T12">
        <v>786</v>
      </c>
      <c r="U12">
        <v>998</v>
      </c>
      <c r="V12">
        <v>26</v>
      </c>
      <c r="W12">
        <v>4433</v>
      </c>
      <c r="X12">
        <v>9572</v>
      </c>
      <c r="Y12">
        <v>1188</v>
      </c>
      <c r="Z12">
        <v>419</v>
      </c>
      <c r="AA12">
        <v>525</v>
      </c>
      <c r="AB12">
        <v>12</v>
      </c>
      <c r="AC12">
        <v>2144</v>
      </c>
      <c r="AD12">
        <v>10429</v>
      </c>
      <c r="AE12">
        <v>1435</v>
      </c>
      <c r="AF12">
        <v>367</v>
      </c>
      <c r="AG12">
        <v>473</v>
      </c>
      <c r="AH12">
        <v>14</v>
      </c>
      <c r="AI12">
        <v>2289</v>
      </c>
      <c r="AJ12">
        <v>0.2216389180540973</v>
      </c>
      <c r="AK12">
        <v>0.17730656440333858</v>
      </c>
      <c r="AL12">
        <v>0.22512970900067675</v>
      </c>
      <c r="AM12">
        <v>5.8651026392961877E-3</v>
      </c>
      <c r="AN12">
        <v>0.48364538687119335</v>
      </c>
      <c r="AO12">
        <v>0.51635461312880671</v>
      </c>
      <c r="AP12">
        <v>9181</v>
      </c>
      <c r="AQ12">
        <v>330</v>
      </c>
      <c r="AR12">
        <v>18</v>
      </c>
      <c r="AS12">
        <v>2</v>
      </c>
      <c r="AT12">
        <v>1058</v>
      </c>
      <c r="AU12">
        <v>1349</v>
      </c>
      <c r="AV12">
        <v>49</v>
      </c>
      <c r="AW12">
        <v>112</v>
      </c>
      <c r="AX12">
        <v>292</v>
      </c>
      <c r="AY12">
        <v>1319</v>
      </c>
      <c r="AZ12">
        <v>171</v>
      </c>
      <c r="BA12">
        <v>153</v>
      </c>
      <c r="BB12">
        <v>231</v>
      </c>
      <c r="BC12">
        <v>417</v>
      </c>
      <c r="BD12">
        <v>304</v>
      </c>
      <c r="BE12">
        <v>507</v>
      </c>
      <c r="BF12">
        <v>1582</v>
      </c>
      <c r="BG12">
        <v>109</v>
      </c>
      <c r="BH12">
        <v>611</v>
      </c>
      <c r="BI12">
        <v>413</v>
      </c>
      <c r="BJ12">
        <v>3.5943796972007405E-2</v>
      </c>
      <c r="BK12">
        <v>1.9605707439276769E-3</v>
      </c>
      <c r="BL12">
        <v>2.1784119376974185E-4</v>
      </c>
      <c r="BM12">
        <v>0.11523799150419345</v>
      </c>
      <c r="BN12">
        <v>0.14693388519769088</v>
      </c>
      <c r="BO12">
        <v>5.3371092473586757E-3</v>
      </c>
      <c r="BP12">
        <v>1.2199106851105545E-2</v>
      </c>
      <c r="BQ12">
        <v>3.1804814290382309E-2</v>
      </c>
      <c r="BR12">
        <v>0.14366626729114476</v>
      </c>
      <c r="BS12">
        <v>1.8625422067312929E-2</v>
      </c>
      <c r="BT12">
        <v>1.666485132338525E-2</v>
      </c>
      <c r="BU12">
        <v>2.5160657880405186E-2</v>
      </c>
      <c r="BV12">
        <v>4.5419888900991176E-2</v>
      </c>
      <c r="BW12">
        <v>3.3111861453000761E-2</v>
      </c>
      <c r="BX12">
        <v>5.522274262062956E-2</v>
      </c>
      <c r="BY12">
        <v>0.17231238427186582</v>
      </c>
      <c r="BZ12">
        <v>1.1872345060450932E-2</v>
      </c>
      <c r="CA12">
        <v>6.6550484696656143E-2</v>
      </c>
      <c r="CB12">
        <v>4.4984206513451697E-2</v>
      </c>
      <c r="CC12">
        <v>9181</v>
      </c>
      <c r="CD12">
        <v>8401</v>
      </c>
      <c r="CE12">
        <v>569</v>
      </c>
      <c r="CF12">
        <v>75</v>
      </c>
      <c r="CG12">
        <v>1269</v>
      </c>
      <c r="CH12">
        <v>1185</v>
      </c>
      <c r="CI12">
        <v>54</v>
      </c>
      <c r="CJ12">
        <v>11</v>
      </c>
      <c r="CK12">
        <v>0.91504193442980064</v>
      </c>
      <c r="CL12">
        <v>6.197581962749156E-2</v>
      </c>
      <c r="CM12">
        <v>8.1690447663653205E-3</v>
      </c>
      <c r="CN12">
        <v>0.93380614657210403</v>
      </c>
      <c r="CO12">
        <v>4.2553191489361701E-2</v>
      </c>
      <c r="CP12">
        <v>8.6682427107959027E-3</v>
      </c>
    </row>
    <row r="13" spans="1:94" x14ac:dyDescent="0.15">
      <c r="A13" t="s">
        <v>441</v>
      </c>
      <c r="B13" t="s">
        <v>429</v>
      </c>
      <c r="C13" t="s">
        <v>442</v>
      </c>
      <c r="D13">
        <v>665</v>
      </c>
      <c r="E13">
        <v>472</v>
      </c>
      <c r="F13">
        <v>160</v>
      </c>
      <c r="G13">
        <v>148</v>
      </c>
      <c r="H13">
        <v>0.70977443609022561</v>
      </c>
      <c r="I13">
        <v>0.24060150375939848</v>
      </c>
      <c r="J13">
        <v>0.22255639097744362</v>
      </c>
      <c r="K13">
        <v>1360</v>
      </c>
      <c r="L13">
        <v>270</v>
      </c>
      <c r="M13">
        <v>238</v>
      </c>
      <c r="N13">
        <v>835</v>
      </c>
      <c r="O13">
        <v>0.19852941176470587</v>
      </c>
      <c r="P13">
        <v>0.17499999999999999</v>
      </c>
      <c r="Q13">
        <v>0.61397058823529416</v>
      </c>
      <c r="R13">
        <v>1360</v>
      </c>
      <c r="S13">
        <v>68</v>
      </c>
      <c r="T13">
        <v>24</v>
      </c>
      <c r="U13">
        <v>28</v>
      </c>
      <c r="V13">
        <v>29</v>
      </c>
      <c r="W13">
        <v>149</v>
      </c>
      <c r="X13">
        <v>678</v>
      </c>
      <c r="Y13">
        <v>35</v>
      </c>
      <c r="Z13">
        <v>12</v>
      </c>
      <c r="AA13">
        <v>13</v>
      </c>
      <c r="AB13">
        <v>26</v>
      </c>
      <c r="AC13">
        <v>86</v>
      </c>
      <c r="AD13">
        <v>682</v>
      </c>
      <c r="AE13">
        <v>33</v>
      </c>
      <c r="AF13">
        <v>12</v>
      </c>
      <c r="AG13">
        <v>15</v>
      </c>
      <c r="AH13">
        <v>3</v>
      </c>
      <c r="AI13">
        <v>63</v>
      </c>
      <c r="AJ13">
        <v>0.10955882352941176</v>
      </c>
      <c r="AK13">
        <v>0.16107382550335569</v>
      </c>
      <c r="AL13">
        <v>0.18791946308724833</v>
      </c>
      <c r="AM13">
        <v>0.19463087248322147</v>
      </c>
      <c r="AN13">
        <v>0.57718120805369133</v>
      </c>
      <c r="AO13">
        <v>0.42281879194630873</v>
      </c>
      <c r="AP13">
        <v>667</v>
      </c>
      <c r="AQ13">
        <v>16</v>
      </c>
      <c r="AR13">
        <v>198</v>
      </c>
      <c r="AS13">
        <v>0</v>
      </c>
      <c r="AT13">
        <v>38</v>
      </c>
      <c r="AU13">
        <v>129</v>
      </c>
      <c r="AV13">
        <v>0</v>
      </c>
      <c r="AW13">
        <v>3</v>
      </c>
      <c r="AX13">
        <v>42</v>
      </c>
      <c r="AY13">
        <v>49</v>
      </c>
      <c r="AZ13">
        <v>4</v>
      </c>
      <c r="BA13">
        <v>2</v>
      </c>
      <c r="BB13">
        <v>2</v>
      </c>
      <c r="BC13">
        <v>25</v>
      </c>
      <c r="BD13">
        <v>25</v>
      </c>
      <c r="BE13">
        <v>18</v>
      </c>
      <c r="BF13">
        <v>50</v>
      </c>
      <c r="BG13">
        <v>28</v>
      </c>
      <c r="BH13">
        <v>25</v>
      </c>
      <c r="BI13">
        <v>7</v>
      </c>
      <c r="BJ13">
        <v>2.3988005997001498E-2</v>
      </c>
      <c r="BK13">
        <v>0.29685157421289354</v>
      </c>
      <c r="BL13">
        <v>0</v>
      </c>
      <c r="BM13">
        <v>5.6971514242878558E-2</v>
      </c>
      <c r="BN13">
        <v>0.19340329835082459</v>
      </c>
      <c r="BO13">
        <v>0</v>
      </c>
      <c r="BP13">
        <v>4.4977511244377807E-3</v>
      </c>
      <c r="BQ13">
        <v>6.296851574212893E-2</v>
      </c>
      <c r="BR13">
        <v>7.3463268365817097E-2</v>
      </c>
      <c r="BS13">
        <v>5.9970014992503746E-3</v>
      </c>
      <c r="BT13">
        <v>2.9985007496251873E-3</v>
      </c>
      <c r="BU13">
        <v>2.9985007496251873E-3</v>
      </c>
      <c r="BV13">
        <v>3.7481259370314844E-2</v>
      </c>
      <c r="BW13">
        <v>3.7481259370314844E-2</v>
      </c>
      <c r="BX13">
        <v>2.6986506746626688E-2</v>
      </c>
      <c r="BY13">
        <v>7.4962518740629688E-2</v>
      </c>
      <c r="BZ13">
        <v>4.1979010494752625E-2</v>
      </c>
      <c r="CA13">
        <v>3.7481259370314844E-2</v>
      </c>
      <c r="CB13">
        <v>1.0494752623688156E-2</v>
      </c>
      <c r="CC13">
        <v>667</v>
      </c>
      <c r="CD13">
        <v>634</v>
      </c>
      <c r="CE13">
        <v>9</v>
      </c>
      <c r="CF13">
        <v>7</v>
      </c>
      <c r="CG13">
        <v>17</v>
      </c>
      <c r="CH13">
        <v>13</v>
      </c>
      <c r="CI13">
        <v>2</v>
      </c>
      <c r="CJ13">
        <v>1</v>
      </c>
      <c r="CK13">
        <v>0.95052473763118439</v>
      </c>
      <c r="CL13">
        <v>1.3493253373313344E-2</v>
      </c>
      <c r="CM13">
        <v>1.0494752623688156E-2</v>
      </c>
      <c r="CN13">
        <v>0.76470588235294112</v>
      </c>
      <c r="CO13">
        <v>0.11764705882352941</v>
      </c>
      <c r="CP13">
        <v>5.8823529411764705E-2</v>
      </c>
    </row>
    <row r="14" spans="1:94" x14ac:dyDescent="0.15">
      <c r="A14" t="s">
        <v>443</v>
      </c>
      <c r="B14" t="s">
        <v>429</v>
      </c>
      <c r="C14" t="s">
        <v>444</v>
      </c>
      <c r="D14">
        <v>1297</v>
      </c>
      <c r="E14">
        <v>967</v>
      </c>
      <c r="F14">
        <v>234</v>
      </c>
      <c r="G14">
        <v>258</v>
      </c>
      <c r="H14">
        <v>0.74556669236700079</v>
      </c>
      <c r="I14">
        <v>0.18041634541249035</v>
      </c>
      <c r="J14">
        <v>0.19892058596761758</v>
      </c>
      <c r="K14">
        <v>3338</v>
      </c>
      <c r="L14">
        <v>722</v>
      </c>
      <c r="M14">
        <v>713</v>
      </c>
      <c r="N14">
        <v>1886</v>
      </c>
      <c r="O14">
        <v>0.21629718394248051</v>
      </c>
      <c r="P14">
        <v>0.21360095865787898</v>
      </c>
      <c r="Q14">
        <v>0.56500898741761529</v>
      </c>
      <c r="R14">
        <v>3338</v>
      </c>
      <c r="S14">
        <v>246</v>
      </c>
      <c r="T14">
        <v>59</v>
      </c>
      <c r="U14">
        <v>49</v>
      </c>
      <c r="V14">
        <v>3</v>
      </c>
      <c r="W14">
        <v>357</v>
      </c>
      <c r="X14">
        <v>1580</v>
      </c>
      <c r="Y14">
        <v>115</v>
      </c>
      <c r="Z14">
        <v>27</v>
      </c>
      <c r="AA14">
        <v>22</v>
      </c>
      <c r="AB14">
        <v>3</v>
      </c>
      <c r="AC14">
        <v>167</v>
      </c>
      <c r="AD14">
        <v>1758</v>
      </c>
      <c r="AE14">
        <v>131</v>
      </c>
      <c r="AF14">
        <v>32</v>
      </c>
      <c r="AG14">
        <v>27</v>
      </c>
      <c r="AH14">
        <v>0</v>
      </c>
      <c r="AI14">
        <v>190</v>
      </c>
      <c r="AJ14">
        <v>0.10695026962252846</v>
      </c>
      <c r="AK14">
        <v>0.16526610644257703</v>
      </c>
      <c r="AL14">
        <v>0.13725490196078433</v>
      </c>
      <c r="AM14">
        <v>8.4033613445378148E-3</v>
      </c>
      <c r="AN14">
        <v>0.46778711484593838</v>
      </c>
      <c r="AO14">
        <v>0.53221288515406162</v>
      </c>
      <c r="AP14">
        <v>1668</v>
      </c>
      <c r="AQ14">
        <v>452</v>
      </c>
      <c r="AR14">
        <v>1</v>
      </c>
      <c r="AS14">
        <v>0</v>
      </c>
      <c r="AT14">
        <v>258</v>
      </c>
      <c r="AU14">
        <v>139</v>
      </c>
      <c r="AV14">
        <v>5</v>
      </c>
      <c r="AW14">
        <v>8</v>
      </c>
      <c r="AX14">
        <v>50</v>
      </c>
      <c r="AY14">
        <v>168</v>
      </c>
      <c r="AZ14">
        <v>8</v>
      </c>
      <c r="BA14">
        <v>12</v>
      </c>
      <c r="BB14">
        <v>17</v>
      </c>
      <c r="BC14">
        <v>64</v>
      </c>
      <c r="BD14">
        <v>43</v>
      </c>
      <c r="BE14">
        <v>26</v>
      </c>
      <c r="BF14">
        <v>238</v>
      </c>
      <c r="BG14">
        <v>21</v>
      </c>
      <c r="BH14">
        <v>102</v>
      </c>
      <c r="BI14">
        <v>43</v>
      </c>
      <c r="BJ14">
        <v>0.27098321342925658</v>
      </c>
      <c r="BK14">
        <v>5.9952038369304552E-4</v>
      </c>
      <c r="BL14">
        <v>0</v>
      </c>
      <c r="BM14">
        <v>0.15467625899280577</v>
      </c>
      <c r="BN14">
        <v>8.3333333333333329E-2</v>
      </c>
      <c r="BO14">
        <v>2.9976019184652278E-3</v>
      </c>
      <c r="BP14">
        <v>4.7961630695443642E-3</v>
      </c>
      <c r="BQ14">
        <v>2.9976019184652279E-2</v>
      </c>
      <c r="BR14">
        <v>0.10071942446043165</v>
      </c>
      <c r="BS14">
        <v>4.7961630695443642E-3</v>
      </c>
      <c r="BT14">
        <v>7.1942446043165471E-3</v>
      </c>
      <c r="BU14">
        <v>1.0191846522781775E-2</v>
      </c>
      <c r="BV14">
        <v>3.8369304556354913E-2</v>
      </c>
      <c r="BW14">
        <v>2.5779376498800959E-2</v>
      </c>
      <c r="BX14">
        <v>1.5587529976019185E-2</v>
      </c>
      <c r="BY14">
        <v>0.14268585131894485</v>
      </c>
      <c r="BZ14">
        <v>1.2589928057553957E-2</v>
      </c>
      <c r="CA14">
        <v>6.1151079136690649E-2</v>
      </c>
      <c r="CB14">
        <v>2.5779376498800959E-2</v>
      </c>
      <c r="CC14">
        <v>1668</v>
      </c>
      <c r="CD14">
        <v>1544</v>
      </c>
      <c r="CE14">
        <v>91</v>
      </c>
      <c r="CF14">
        <v>10</v>
      </c>
      <c r="CG14">
        <v>100</v>
      </c>
      <c r="CH14">
        <v>82</v>
      </c>
      <c r="CI14">
        <v>14</v>
      </c>
      <c r="CJ14">
        <v>2</v>
      </c>
      <c r="CK14">
        <v>0.92565947242206237</v>
      </c>
      <c r="CL14">
        <v>5.4556354916067147E-2</v>
      </c>
      <c r="CM14">
        <v>5.9952038369304557E-3</v>
      </c>
      <c r="CN14">
        <v>0.82</v>
      </c>
      <c r="CO14">
        <v>0.14000000000000001</v>
      </c>
      <c r="CP14">
        <v>0.02</v>
      </c>
    </row>
    <row r="15" spans="1:94" x14ac:dyDescent="0.15">
      <c r="A15" t="s">
        <v>445</v>
      </c>
      <c r="B15" t="s">
        <v>429</v>
      </c>
      <c r="C15" t="s">
        <v>446</v>
      </c>
      <c r="D15" s="202">
        <v>1291</v>
      </c>
      <c r="E15" s="202">
        <v>881</v>
      </c>
      <c r="F15" s="202">
        <v>239</v>
      </c>
      <c r="G15" s="202">
        <v>262</v>
      </c>
      <c r="H15" s="202">
        <v>0.68241673121611157</v>
      </c>
      <c r="I15" s="202">
        <v>0.18512780790085206</v>
      </c>
      <c r="J15" s="202">
        <v>0.20294345468628969</v>
      </c>
      <c r="K15" s="202">
        <v>3057</v>
      </c>
      <c r="L15" s="202">
        <v>710</v>
      </c>
      <c r="M15" s="202">
        <v>662</v>
      </c>
      <c r="N15" s="202">
        <v>1671</v>
      </c>
      <c r="O15" s="202">
        <v>0.23225384363755316</v>
      </c>
      <c r="P15" s="202">
        <v>0.21655217533529605</v>
      </c>
      <c r="Q15" s="202">
        <v>0.54661432777232577</v>
      </c>
      <c r="R15" s="202">
        <v>3057</v>
      </c>
      <c r="S15" s="202">
        <v>230</v>
      </c>
      <c r="T15" s="202">
        <v>39</v>
      </c>
      <c r="U15" s="202">
        <v>78</v>
      </c>
      <c r="V15" s="202">
        <v>48</v>
      </c>
      <c r="W15" s="202">
        <v>395</v>
      </c>
      <c r="X15" s="202">
        <v>1484</v>
      </c>
      <c r="Y15" s="202">
        <v>103</v>
      </c>
      <c r="Z15" s="202">
        <v>20</v>
      </c>
      <c r="AA15" s="202">
        <v>40</v>
      </c>
      <c r="AB15" s="202">
        <v>24</v>
      </c>
      <c r="AC15" s="202">
        <v>187</v>
      </c>
      <c r="AD15" s="202">
        <v>1573</v>
      </c>
      <c r="AE15" s="202">
        <v>127</v>
      </c>
      <c r="AF15" s="202">
        <v>19</v>
      </c>
      <c r="AG15" s="202">
        <v>38</v>
      </c>
      <c r="AH15" s="202">
        <v>24</v>
      </c>
      <c r="AI15" s="202">
        <v>208</v>
      </c>
      <c r="AJ15" s="202">
        <v>0.12921164540399083</v>
      </c>
      <c r="AK15" s="202">
        <v>9.8734177215189872E-2</v>
      </c>
      <c r="AL15" s="202">
        <v>0.19746835443037974</v>
      </c>
      <c r="AM15" s="202">
        <v>0.12151898734177215</v>
      </c>
      <c r="AN15" s="202">
        <v>0.47341772151898737</v>
      </c>
      <c r="AO15" s="202">
        <v>0.52658227848101269</v>
      </c>
      <c r="AP15" s="202">
        <v>1550</v>
      </c>
      <c r="AQ15" s="202">
        <v>195</v>
      </c>
      <c r="AR15" s="202">
        <v>316</v>
      </c>
      <c r="AS15" s="202">
        <v>0</v>
      </c>
      <c r="AT15" s="202">
        <v>146</v>
      </c>
      <c r="AU15" s="202">
        <v>195</v>
      </c>
      <c r="AV15" s="202">
        <v>3</v>
      </c>
      <c r="AW15" s="202">
        <v>1</v>
      </c>
      <c r="AX15" s="202">
        <v>40</v>
      </c>
      <c r="AY15" s="202">
        <v>153</v>
      </c>
      <c r="AZ15" s="202">
        <v>10</v>
      </c>
      <c r="BA15" s="202">
        <v>9</v>
      </c>
      <c r="BB15" s="202">
        <v>5</v>
      </c>
      <c r="BC15" s="202">
        <v>90</v>
      </c>
      <c r="BD15" s="202">
        <v>29</v>
      </c>
      <c r="BE15" s="202">
        <v>21</v>
      </c>
      <c r="BF15" s="202">
        <v>203</v>
      </c>
      <c r="BG15" s="202">
        <v>25</v>
      </c>
      <c r="BH15" s="202">
        <v>36</v>
      </c>
      <c r="BI15" s="202">
        <v>41</v>
      </c>
      <c r="BJ15" s="202">
        <v>0.12580645161290321</v>
      </c>
      <c r="BK15" s="202">
        <v>0.20387096774193547</v>
      </c>
      <c r="BL15" s="202">
        <v>0</v>
      </c>
      <c r="BM15" s="202">
        <v>9.4193548387096773E-2</v>
      </c>
      <c r="BN15" s="202">
        <v>0.12580645161290321</v>
      </c>
      <c r="BO15" s="202">
        <v>1.9354838709677419E-3</v>
      </c>
      <c r="BP15" s="202">
        <v>6.4516129032258064E-4</v>
      </c>
      <c r="BQ15" s="202">
        <v>2.5806451612903226E-2</v>
      </c>
      <c r="BR15" s="202">
        <v>9.8709677419354838E-2</v>
      </c>
      <c r="BS15" s="202">
        <v>6.4516129032258064E-3</v>
      </c>
      <c r="BT15" s="202">
        <v>5.8064516129032262E-3</v>
      </c>
      <c r="BU15" s="202">
        <v>3.2258064516129032E-3</v>
      </c>
      <c r="BV15" s="202">
        <v>5.8064516129032261E-2</v>
      </c>
      <c r="BW15" s="202">
        <v>1.870967741935484E-2</v>
      </c>
      <c r="BX15" s="202">
        <v>1.3548387096774193E-2</v>
      </c>
      <c r="BY15" s="202">
        <v>0.13096774193548388</v>
      </c>
      <c r="BZ15" s="202">
        <v>1.6129032258064516E-2</v>
      </c>
      <c r="CA15" s="202">
        <v>2.3225806451612905E-2</v>
      </c>
      <c r="CB15" s="202">
        <v>2.6451612903225806E-2</v>
      </c>
      <c r="CC15" s="202">
        <v>1550</v>
      </c>
      <c r="CD15" s="202">
        <v>1426</v>
      </c>
      <c r="CE15" s="202">
        <v>27</v>
      </c>
      <c r="CF15" s="202">
        <v>66</v>
      </c>
      <c r="CG15" s="202">
        <v>59</v>
      </c>
      <c r="CH15" s="202">
        <v>48</v>
      </c>
      <c r="CI15" s="202">
        <v>5</v>
      </c>
      <c r="CJ15" s="202">
        <v>4</v>
      </c>
      <c r="CK15" s="202">
        <v>0.92</v>
      </c>
      <c r="CL15" s="202">
        <v>1.7419354838709676E-2</v>
      </c>
      <c r="CM15" s="202">
        <v>4.2580645161290322E-2</v>
      </c>
      <c r="CN15" s="202">
        <v>0.81355932203389836</v>
      </c>
      <c r="CO15" s="202">
        <v>8.4745762711864403E-2</v>
      </c>
      <c r="CP15" s="202">
        <v>6.7796610169491525E-2</v>
      </c>
    </row>
    <row r="16" spans="1:94" x14ac:dyDescent="0.15">
      <c r="A16" t="s">
        <v>447</v>
      </c>
      <c r="B16" t="s">
        <v>429</v>
      </c>
      <c r="C16" t="s">
        <v>448</v>
      </c>
      <c r="D16">
        <v>1210</v>
      </c>
      <c r="E16">
        <v>865</v>
      </c>
      <c r="F16">
        <v>221</v>
      </c>
      <c r="G16">
        <v>251</v>
      </c>
      <c r="H16">
        <v>0.71487603305785119</v>
      </c>
      <c r="I16">
        <v>0.18264462809917356</v>
      </c>
      <c r="J16">
        <v>0.20743801652892563</v>
      </c>
      <c r="K16">
        <v>3207</v>
      </c>
      <c r="L16">
        <v>711</v>
      </c>
      <c r="M16">
        <v>798</v>
      </c>
      <c r="N16">
        <v>1696</v>
      </c>
      <c r="O16">
        <v>0.22170252572497662</v>
      </c>
      <c r="P16">
        <v>0.24883068288119739</v>
      </c>
      <c r="Q16">
        <v>0.52884315559713124</v>
      </c>
      <c r="R16">
        <v>3207</v>
      </c>
      <c r="S16">
        <v>348</v>
      </c>
      <c r="T16">
        <v>59</v>
      </c>
      <c r="U16">
        <v>46</v>
      </c>
      <c r="V16">
        <v>22</v>
      </c>
      <c r="W16">
        <v>475</v>
      </c>
      <c r="X16">
        <v>1469</v>
      </c>
      <c r="Y16">
        <v>122</v>
      </c>
      <c r="Z16">
        <v>27</v>
      </c>
      <c r="AA16">
        <v>28</v>
      </c>
      <c r="AB16">
        <v>0</v>
      </c>
      <c r="AC16">
        <v>177</v>
      </c>
      <c r="AD16">
        <v>1738</v>
      </c>
      <c r="AE16">
        <v>226</v>
      </c>
      <c r="AF16">
        <v>32</v>
      </c>
      <c r="AG16">
        <v>18</v>
      </c>
      <c r="AH16">
        <v>22</v>
      </c>
      <c r="AI16">
        <v>298</v>
      </c>
      <c r="AJ16">
        <v>0.14811350171499843</v>
      </c>
      <c r="AK16">
        <v>0.12421052631578948</v>
      </c>
      <c r="AL16">
        <v>9.6842105263157896E-2</v>
      </c>
      <c r="AM16">
        <v>4.6315789473684213E-2</v>
      </c>
      <c r="AN16">
        <v>0.37263157894736842</v>
      </c>
      <c r="AO16">
        <v>0.62736842105263158</v>
      </c>
      <c r="AP16">
        <v>1459</v>
      </c>
      <c r="AQ16">
        <v>240</v>
      </c>
      <c r="AR16">
        <v>7</v>
      </c>
      <c r="AS16">
        <v>3</v>
      </c>
      <c r="AT16">
        <v>190</v>
      </c>
      <c r="AU16">
        <v>241</v>
      </c>
      <c r="AV16">
        <v>2</v>
      </c>
      <c r="AW16">
        <v>6</v>
      </c>
      <c r="AX16">
        <v>56</v>
      </c>
      <c r="AY16">
        <v>141</v>
      </c>
      <c r="AZ16">
        <v>19</v>
      </c>
      <c r="BA16">
        <v>16</v>
      </c>
      <c r="BB16">
        <v>20</v>
      </c>
      <c r="BC16">
        <v>40</v>
      </c>
      <c r="BD16">
        <v>41</v>
      </c>
      <c r="BE16">
        <v>31</v>
      </c>
      <c r="BF16">
        <v>249</v>
      </c>
      <c r="BG16">
        <v>24</v>
      </c>
      <c r="BH16">
        <v>83</v>
      </c>
      <c r="BI16">
        <v>44</v>
      </c>
      <c r="BJ16">
        <v>0.16449623029472241</v>
      </c>
      <c r="BK16">
        <v>4.7978067169294038E-3</v>
      </c>
      <c r="BL16">
        <v>2.0562028786840301E-3</v>
      </c>
      <c r="BM16">
        <v>0.13022618231665525</v>
      </c>
      <c r="BN16">
        <v>0.16518163125428376</v>
      </c>
      <c r="BO16">
        <v>1.3708019191226869E-3</v>
      </c>
      <c r="BP16">
        <v>4.1124057573680602E-3</v>
      </c>
      <c r="BQ16">
        <v>3.838245373543523E-2</v>
      </c>
      <c r="BR16">
        <v>9.6641535298149422E-2</v>
      </c>
      <c r="BS16">
        <v>1.3022618231665525E-2</v>
      </c>
      <c r="BT16">
        <v>1.0966415352981495E-2</v>
      </c>
      <c r="BU16">
        <v>1.3708019191226868E-2</v>
      </c>
      <c r="BV16">
        <v>2.7416038382453736E-2</v>
      </c>
      <c r="BW16">
        <v>2.8101439342015078E-2</v>
      </c>
      <c r="BX16">
        <v>2.1247429746401644E-2</v>
      </c>
      <c r="BY16">
        <v>0.1706648389307745</v>
      </c>
      <c r="BZ16">
        <v>1.6449623029472241E-2</v>
      </c>
      <c r="CA16">
        <v>5.6888279643591499E-2</v>
      </c>
      <c r="CB16">
        <v>3.015764222069911E-2</v>
      </c>
      <c r="CC16">
        <v>1459</v>
      </c>
      <c r="CD16">
        <v>1367</v>
      </c>
      <c r="CE16">
        <v>47</v>
      </c>
      <c r="CF16">
        <v>30</v>
      </c>
      <c r="CG16">
        <v>69</v>
      </c>
      <c r="CH16">
        <v>61</v>
      </c>
      <c r="CI16">
        <v>6</v>
      </c>
      <c r="CJ16">
        <v>1</v>
      </c>
      <c r="CK16">
        <v>0.93694311172035638</v>
      </c>
      <c r="CL16">
        <v>3.2213845099383139E-2</v>
      </c>
      <c r="CM16">
        <v>2.0562028786840301E-2</v>
      </c>
      <c r="CN16">
        <v>0.88405797101449279</v>
      </c>
      <c r="CO16">
        <v>8.6956521739130432E-2</v>
      </c>
      <c r="CP16">
        <v>1.4492753623188406E-2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1" t="str">
        <f>管理者入力シート!B4</f>
        <v>東海地区</v>
      </c>
      <c r="C2" s="251"/>
      <c r="D2" s="251"/>
      <c r="E2" s="250" t="s">
        <v>225</v>
      </c>
      <c r="F2" s="250"/>
      <c r="G2" s="250"/>
      <c r="H2" s="250"/>
      <c r="I2" s="250"/>
    </row>
    <row r="3" spans="1:10" ht="22.5" customHeight="1" x14ac:dyDescent="0.15">
      <c r="B3" s="251"/>
      <c r="C3" s="251"/>
      <c r="D3" s="251"/>
      <c r="E3" s="250"/>
      <c r="F3" s="250"/>
      <c r="G3" s="250"/>
      <c r="H3" s="250"/>
      <c r="I3" s="250"/>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6">
        <f>管理者用グラフシート!E6</f>
        <v>15949</v>
      </c>
      <c r="F6" s="256"/>
      <c r="G6" s="20" t="s">
        <v>54</v>
      </c>
    </row>
    <row r="7" spans="1:10" ht="22.5" customHeight="1" x14ac:dyDescent="0.15">
      <c r="A7" s="249">
        <f>管理者用グラフシート!B4</f>
        <v>2010</v>
      </c>
      <c r="B7" s="249"/>
      <c r="C7" s="82" t="s">
        <v>226</v>
      </c>
      <c r="D7" s="248">
        <f>E6-管理者用グラフシート!E4</f>
        <v>-1875</v>
      </c>
      <c r="E7" s="248"/>
      <c r="F7" s="20" t="s">
        <v>356</v>
      </c>
    </row>
    <row r="8" spans="1:10" ht="22.5" customHeight="1" x14ac:dyDescent="0.15">
      <c r="A8" s="257" t="s">
        <v>380</v>
      </c>
      <c r="B8" s="257"/>
      <c r="C8" s="204">
        <f>管理者用グラフシート!C6-管理者用グラフシート!C4</f>
        <v>-811</v>
      </c>
      <c r="D8" s="207" t="s">
        <v>381</v>
      </c>
      <c r="F8" s="204">
        <f>管理者用グラフシート!D6-管理者用グラフシート!D4</f>
        <v>-1064</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3">
        <f>管理者用グラフシート!C12</f>
        <v>857</v>
      </c>
      <c r="G36" s="253"/>
      <c r="H36" s="20" t="s">
        <v>54</v>
      </c>
    </row>
    <row r="37" spans="1:9" ht="22.5" customHeight="1" x14ac:dyDescent="0.15">
      <c r="A37" s="20" t="s">
        <v>66</v>
      </c>
      <c r="F37" s="253">
        <f>管理者用グラフシート!C16</f>
        <v>492</v>
      </c>
      <c r="G37" s="253"/>
      <c r="H37" s="20" t="s">
        <v>54</v>
      </c>
    </row>
    <row r="38" spans="1:9" ht="22.5" customHeight="1" x14ac:dyDescent="0.15">
      <c r="D38" s="255"/>
      <c r="E38" s="255"/>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48">
        <f>F36-管理者用グラフシート!C10</f>
        <v>-213</v>
      </c>
      <c r="E40" s="248"/>
      <c r="F40" s="20" t="s">
        <v>60</v>
      </c>
    </row>
    <row r="41" spans="1:9" ht="22.5" customHeight="1" x14ac:dyDescent="0.15">
      <c r="B41" s="20" t="s">
        <v>69</v>
      </c>
      <c r="D41" s="248">
        <f>F37-管理者用グラフシート!C14</f>
        <v>-93</v>
      </c>
      <c r="E41" s="248"/>
      <c r="F41" s="20" t="s">
        <v>70</v>
      </c>
    </row>
    <row r="53" spans="1:13" ht="22.5" customHeight="1" x14ac:dyDescent="0.15">
      <c r="M53" s="72"/>
    </row>
    <row r="62" spans="1:13" ht="22.5" customHeight="1" thickBot="1" x14ac:dyDescent="0.2"/>
    <row r="63" spans="1:13" ht="22.5" customHeight="1" x14ac:dyDescent="0.15">
      <c r="A63" s="243"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3">
        <f>管理者用グラフシート!C22</f>
        <v>5713</v>
      </c>
      <c r="D70" s="253"/>
      <c r="E70" s="20" t="s">
        <v>76</v>
      </c>
      <c r="F70" s="37"/>
      <c r="G70" s="252">
        <f>管理者用グラフシート!C32</f>
        <v>0.36</v>
      </c>
      <c r="H70" s="252"/>
      <c r="I70" s="20" t="s">
        <v>77</v>
      </c>
    </row>
    <row r="71" spans="1:9" ht="22.5" customHeight="1" x14ac:dyDescent="0.15">
      <c r="A71" s="20" t="s">
        <v>78</v>
      </c>
      <c r="C71" s="253">
        <f>管理者用グラフシート!C26</f>
        <v>2913</v>
      </c>
      <c r="D71" s="253"/>
      <c r="E71" s="20" t="s">
        <v>76</v>
      </c>
      <c r="F71" s="37"/>
      <c r="G71" s="252">
        <f>管理者用グラフシート!C36</f>
        <v>0.18</v>
      </c>
      <c r="H71" s="252"/>
      <c r="I71" s="20" t="s">
        <v>77</v>
      </c>
    </row>
    <row r="72" spans="1:9" ht="22.5" customHeight="1" x14ac:dyDescent="0.15">
      <c r="D72" s="255"/>
      <c r="E72" s="255"/>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3"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9ポイント上昇</v>
      </c>
      <c r="F74" s="253"/>
      <c r="G74" s="253"/>
      <c r="H74" s="20" t="s">
        <v>82</v>
      </c>
    </row>
    <row r="75" spans="1:9" ht="22.5" customHeight="1" x14ac:dyDescent="0.15">
      <c r="B75" s="20" t="s">
        <v>83</v>
      </c>
      <c r="D75" s="37"/>
      <c r="E75" s="254"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4ポイント上昇</v>
      </c>
      <c r="F75" s="254"/>
      <c r="G75" s="254"/>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-346</v>
      </c>
      <c r="G135" s="208" t="s">
        <v>386</v>
      </c>
      <c r="H135" s="111"/>
    </row>
    <row r="136" spans="1:8" ht="22.5" customHeight="1" x14ac:dyDescent="0.15">
      <c r="A136" s="35" t="s">
        <v>387</v>
      </c>
      <c r="C136" s="206">
        <f>SUM(管理者用グラフシート!B95:C96)-SUM(管理者用グラフシート!B47:C48)</f>
        <v>-564</v>
      </c>
      <c r="D136" s="20" t="s">
        <v>388</v>
      </c>
      <c r="E136" s="34"/>
      <c r="F136" s="206">
        <f>SUM(管理者用グラフシート!B97:C98)-SUM(管理者用グラフシート!B49:C50)</f>
        <v>-101</v>
      </c>
      <c r="G136" s="20" t="s">
        <v>386</v>
      </c>
    </row>
    <row r="137" spans="1:8" ht="18.75" x14ac:dyDescent="0.15">
      <c r="A137" s="20" t="s">
        <v>389</v>
      </c>
      <c r="C137" s="206">
        <f>SUM(管理者用グラフシート!B99:C100)-SUM(管理者用グラフシート!B51:C52)</f>
        <v>-652</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1" t="str">
        <f>管理者入力シート!B4</f>
        <v>東海地区</v>
      </c>
      <c r="B2" s="251"/>
      <c r="C2" s="251"/>
      <c r="D2" s="250" t="s">
        <v>230</v>
      </c>
      <c r="E2" s="250"/>
      <c r="F2" s="250"/>
      <c r="G2" s="250"/>
      <c r="H2" s="250"/>
      <c r="I2" s="250"/>
    </row>
    <row r="3" spans="1:9" ht="27.75" customHeight="1" x14ac:dyDescent="0.15">
      <c r="A3" s="251"/>
      <c r="B3" s="251"/>
      <c r="C3" s="251"/>
      <c r="D3" s="250"/>
      <c r="E3" s="250"/>
      <c r="F3" s="250"/>
      <c r="G3" s="250"/>
      <c r="H3" s="250"/>
      <c r="I3" s="250"/>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3">
        <f>管理者用グラフシート!K8</f>
        <v>13375</v>
      </c>
      <c r="E6" s="253"/>
      <c r="F6" s="20" t="s">
        <v>231</v>
      </c>
      <c r="H6" s="34"/>
      <c r="I6" s="34"/>
    </row>
    <row r="7" spans="1:9" ht="22.5" customHeight="1" x14ac:dyDescent="0.15">
      <c r="A7" s="249">
        <f>管理者入力シート!B5</f>
        <v>2020</v>
      </c>
      <c r="B7" s="249"/>
      <c r="C7" s="195" t="s">
        <v>362</v>
      </c>
      <c r="D7" s="248">
        <f>D6-現況シート!E6</f>
        <v>-2574</v>
      </c>
      <c r="E7" s="248"/>
      <c r="F7" s="20" t="s">
        <v>232</v>
      </c>
      <c r="I7" s="34"/>
    </row>
    <row r="8" spans="1:9" ht="22.5" customHeight="1" x14ac:dyDescent="0.15">
      <c r="A8" s="257" t="s">
        <v>397</v>
      </c>
      <c r="B8" s="257"/>
      <c r="C8" s="206">
        <f>管理者用グラフシート!I8-管理者用グラフシート!C6</f>
        <v>-1208</v>
      </c>
      <c r="D8" s="207" t="s">
        <v>398</v>
      </c>
      <c r="F8" s="258">
        <f>管理者用グラフシート!J8-管理者用グラフシート!D6</f>
        <v>-1366</v>
      </c>
      <c r="G8" s="258"/>
      <c r="H8" s="20" t="s">
        <v>399</v>
      </c>
    </row>
    <row r="10" spans="1:9" ht="22.5" customHeight="1" x14ac:dyDescent="0.15">
      <c r="A10" s="249">
        <f>管理者入力シート!B11</f>
        <v>2040</v>
      </c>
      <c r="B10" s="249"/>
      <c r="C10" s="20" t="s">
        <v>361</v>
      </c>
      <c r="D10" s="253">
        <f>管理者用グラフシート!K10</f>
        <v>10820</v>
      </c>
      <c r="E10" s="253"/>
      <c r="F10" s="20" t="s">
        <v>231</v>
      </c>
      <c r="H10" s="34"/>
    </row>
    <row r="11" spans="1:9" ht="22.5" customHeight="1" x14ac:dyDescent="0.15">
      <c r="A11" s="249">
        <f>管理者入力シート!B5</f>
        <v>2020</v>
      </c>
      <c r="B11" s="249"/>
      <c r="C11" s="195" t="s">
        <v>362</v>
      </c>
      <c r="D11" s="248">
        <f>D10-現況シート!E6</f>
        <v>-5129</v>
      </c>
      <c r="E11" s="248"/>
      <c r="F11" s="20" t="s">
        <v>232</v>
      </c>
      <c r="H11" s="34"/>
    </row>
    <row r="12" spans="1:9" ht="22.5" customHeight="1" x14ac:dyDescent="0.15">
      <c r="A12" s="257" t="s">
        <v>397</v>
      </c>
      <c r="B12" s="257"/>
      <c r="C12" s="206">
        <f>管理者用グラフシート!I10-管理者用グラフシート!C6</f>
        <v>-2374</v>
      </c>
      <c r="D12" s="207" t="s">
        <v>398</v>
      </c>
      <c r="F12" s="258">
        <f>管理者用グラフシート!J10-管理者用グラフシート!D6</f>
        <v>-2755</v>
      </c>
      <c r="G12" s="258"/>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9" t="s">
        <v>363</v>
      </c>
      <c r="D35" s="259"/>
      <c r="F35" s="36"/>
      <c r="G35" s="36"/>
      <c r="H35" s="256"/>
      <c r="I35" s="255"/>
    </row>
    <row r="36" spans="1:9" ht="22.5" customHeight="1" x14ac:dyDescent="0.15">
      <c r="A36" s="20" t="s">
        <v>237</v>
      </c>
      <c r="F36" s="253">
        <f>管理者用グラフシート!I20</f>
        <v>461</v>
      </c>
      <c r="G36" s="253"/>
      <c r="H36" s="82" t="s">
        <v>233</v>
      </c>
      <c r="I36" s="34"/>
    </row>
    <row r="37" spans="1:9" ht="22.5" customHeight="1" x14ac:dyDescent="0.15">
      <c r="A37" s="20" t="s">
        <v>234</v>
      </c>
      <c r="F37" s="253">
        <f>管理者用グラフシート!I28</f>
        <v>259</v>
      </c>
      <c r="G37" s="253"/>
      <c r="H37" s="109" t="s">
        <v>235</v>
      </c>
      <c r="I37" s="86"/>
    </row>
    <row r="38" spans="1:9" ht="22.5" customHeight="1" x14ac:dyDescent="0.15">
      <c r="D38" s="255"/>
      <c r="E38" s="255"/>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8">
        <f>F36-現況シート!F36</f>
        <v>-396</v>
      </c>
      <c r="G40" s="248"/>
      <c r="H40" s="35" t="s">
        <v>60</v>
      </c>
    </row>
    <row r="41" spans="1:9" ht="22.5" customHeight="1" x14ac:dyDescent="0.15">
      <c r="A41" s="20" t="s">
        <v>69</v>
      </c>
      <c r="C41" s="199">
        <f>管理者入力シート!B5</f>
        <v>2020</v>
      </c>
      <c r="D41" s="20" t="s">
        <v>374</v>
      </c>
      <c r="F41" s="248">
        <f>F37-現況シート!F37</f>
        <v>-233</v>
      </c>
      <c r="G41" s="248"/>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9" t="s">
        <v>363</v>
      </c>
      <c r="D69" s="259"/>
      <c r="F69" s="34"/>
      <c r="G69" s="37"/>
      <c r="H69" s="67"/>
      <c r="I69" s="71"/>
    </row>
    <row r="70" spans="1:9" ht="22.5" customHeight="1" x14ac:dyDescent="0.15">
      <c r="A70" s="20" t="s">
        <v>238</v>
      </c>
      <c r="C70" s="253">
        <f>管理者用グラフシート!I38</f>
        <v>4497</v>
      </c>
      <c r="D70" s="253"/>
      <c r="E70" s="82" t="s">
        <v>239</v>
      </c>
      <c r="F70" s="34"/>
      <c r="G70" s="252">
        <f>管理者用グラフシート!I56</f>
        <v>0.42</v>
      </c>
      <c r="H70" s="252"/>
      <c r="I70" s="110" t="s">
        <v>240</v>
      </c>
    </row>
    <row r="71" spans="1:9" ht="22.5" customHeight="1" x14ac:dyDescent="0.15">
      <c r="A71" s="20" t="s">
        <v>241</v>
      </c>
      <c r="C71" s="253">
        <f>管理者用グラフシート!I46</f>
        <v>2793</v>
      </c>
      <c r="D71" s="253"/>
      <c r="E71" s="20" t="s">
        <v>239</v>
      </c>
      <c r="G71" s="260">
        <f>管理者用グラフシート!I64</f>
        <v>0.26</v>
      </c>
      <c r="H71" s="255"/>
      <c r="I71" s="20" t="s">
        <v>242</v>
      </c>
    </row>
    <row r="72" spans="1:9" ht="27.75" customHeight="1" x14ac:dyDescent="0.15">
      <c r="C72" s="81"/>
      <c r="D72" s="81"/>
      <c r="G72" s="261" t="s">
        <v>236</v>
      </c>
      <c r="H72" s="261"/>
      <c r="I72" s="261"/>
    </row>
    <row r="73" spans="1:9" ht="22.5" customHeight="1" x14ac:dyDescent="0.15">
      <c r="A73" s="249">
        <f>管理者入力シート!B5</f>
        <v>2020</v>
      </c>
      <c r="B73" s="249"/>
      <c r="C73" s="20" t="s">
        <v>228</v>
      </c>
      <c r="D73" s="34"/>
      <c r="E73" s="34"/>
      <c r="F73" s="35"/>
    </row>
    <row r="74" spans="1:9" ht="22.5" customHeight="1" x14ac:dyDescent="0.15">
      <c r="B74" s="20" t="s">
        <v>81</v>
      </c>
      <c r="D74" s="37"/>
      <c r="E74" s="253"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6ポイント上昇</v>
      </c>
      <c r="F74" s="253"/>
      <c r="G74" s="253"/>
      <c r="H74" s="20" t="s">
        <v>82</v>
      </c>
    </row>
    <row r="75" spans="1:9" ht="22.5" customHeight="1" x14ac:dyDescent="0.15">
      <c r="B75" s="20" t="s">
        <v>83</v>
      </c>
      <c r="D75" s="37"/>
      <c r="E75" s="254"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8ポイント上昇</v>
      </c>
      <c r="F75" s="254"/>
      <c r="G75" s="254"/>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-70</v>
      </c>
      <c r="H103" s="208" t="s">
        <v>60</v>
      </c>
    </row>
    <row r="104" spans="1:8" ht="22.5" customHeight="1" x14ac:dyDescent="0.15">
      <c r="A104" s="35" t="s">
        <v>387</v>
      </c>
      <c r="C104" s="206">
        <f>SUM(管理者用グラフシート!H99:I100)-SUM(管理者用グラフシート!B95:C96)</f>
        <v>-391</v>
      </c>
      <c r="D104" s="20" t="s">
        <v>423</v>
      </c>
      <c r="E104" s="34"/>
      <c r="G104" s="206">
        <f>SUM(管理者用グラフシート!H101:I102)-SUM(管理者用グラフシート!B97:C98)</f>
        <v>-566</v>
      </c>
      <c r="H104" s="20" t="s">
        <v>60</v>
      </c>
    </row>
    <row r="105" spans="1:8" ht="22.5" customHeight="1" x14ac:dyDescent="0.15">
      <c r="A105" s="20" t="s">
        <v>389</v>
      </c>
      <c r="C105" s="206">
        <f>SUM(管理者用グラフシート!H103:I104)-SUM(管理者用グラフシート!B99:C100)</f>
        <v>-76</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-293</v>
      </c>
      <c r="H137" s="208" t="s">
        <v>60</v>
      </c>
    </row>
    <row r="138" spans="1:8" ht="22.5" customHeight="1" x14ac:dyDescent="0.15">
      <c r="A138" s="35" t="s">
        <v>387</v>
      </c>
      <c r="C138" s="206">
        <f>SUM(管理者用グラフシート!H147:I148)-SUM(管理者用グラフシート!B95:C96)</f>
        <v>-464</v>
      </c>
      <c r="D138" s="20" t="s">
        <v>423</v>
      </c>
      <c r="E138" s="34"/>
      <c r="G138" s="206">
        <f>SUM(管理者用グラフシート!H149:I150)-SUM(管理者用グラフシート!B97:C98)</f>
        <v>-936</v>
      </c>
      <c r="H138" s="20" t="s">
        <v>60</v>
      </c>
    </row>
    <row r="139" spans="1:8" ht="22.5" customHeight="1" x14ac:dyDescent="0.15">
      <c r="A139" s="20" t="s">
        <v>389</v>
      </c>
      <c r="C139" s="206">
        <f>SUM(管理者用グラフシート!H151:I152)-SUM(管理者用グラフシート!B99:C100)</f>
        <v>-626</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2" t="str">
        <f>管理者入力シート!B4</f>
        <v>東海地区</v>
      </c>
      <c r="B2" s="262"/>
      <c r="C2" s="262"/>
      <c r="D2" s="250" t="s">
        <v>249</v>
      </c>
      <c r="E2" s="250"/>
      <c r="F2" s="250"/>
      <c r="G2" s="250"/>
      <c r="H2" s="250"/>
      <c r="I2" s="250"/>
    </row>
    <row r="3" spans="1:9" ht="31.5" customHeight="1" x14ac:dyDescent="0.15">
      <c r="A3" s="262"/>
      <c r="B3" s="262"/>
      <c r="C3" s="262"/>
      <c r="D3" s="250"/>
      <c r="E3" s="250"/>
      <c r="F3" s="250"/>
      <c r="G3" s="250"/>
      <c r="H3" s="250"/>
      <c r="I3" s="250"/>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6" t="s">
        <v>254</v>
      </c>
      <c r="B15" s="266"/>
      <c r="C15" s="266"/>
      <c r="D15" s="267" t="s">
        <v>258</v>
      </c>
      <c r="E15" s="268"/>
      <c r="F15" s="263" t="s">
        <v>257</v>
      </c>
      <c r="G15" s="264"/>
      <c r="H15" s="265"/>
    </row>
    <row r="16" spans="1:9" ht="17.25" customHeight="1" x14ac:dyDescent="0.15">
      <c r="A16" s="124" t="s">
        <v>254</v>
      </c>
      <c r="B16" s="124" t="s">
        <v>21</v>
      </c>
      <c r="C16" s="124" t="s">
        <v>22</v>
      </c>
      <c r="D16" s="267"/>
      <c r="E16" s="268"/>
      <c r="F16" s="126"/>
      <c r="G16" s="127" t="s">
        <v>21</v>
      </c>
      <c r="H16" s="128" t="s">
        <v>22</v>
      </c>
    </row>
    <row r="17" spans="1:9" ht="18.75" customHeight="1" x14ac:dyDescent="0.15">
      <c r="A17" s="125" t="s">
        <v>0</v>
      </c>
      <c r="B17" s="116">
        <v>1</v>
      </c>
      <c r="C17" s="116">
        <v>1</v>
      </c>
      <c r="D17" s="267"/>
      <c r="E17" s="268"/>
      <c r="F17" s="119" t="s">
        <v>0</v>
      </c>
      <c r="G17" s="116">
        <v>1</v>
      </c>
      <c r="H17" s="118">
        <v>1</v>
      </c>
    </row>
    <row r="18" spans="1:9" ht="18.75" customHeight="1" x14ac:dyDescent="0.15">
      <c r="A18" s="125" t="s">
        <v>1</v>
      </c>
      <c r="B18" s="116"/>
      <c r="C18" s="116"/>
      <c r="D18" s="267"/>
      <c r="E18" s="268"/>
      <c r="F18" s="119" t="s">
        <v>1</v>
      </c>
      <c r="G18" s="116"/>
      <c r="H18" s="118"/>
    </row>
    <row r="19" spans="1:9" ht="18.75" customHeight="1" x14ac:dyDescent="0.15">
      <c r="A19" s="125" t="s">
        <v>2</v>
      </c>
      <c r="B19" s="73">
        <v>1</v>
      </c>
      <c r="C19" s="73">
        <v>1</v>
      </c>
      <c r="D19" s="267"/>
      <c r="E19" s="26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77">
        <f>管理者入力シート!B5</f>
        <v>2020</v>
      </c>
      <c r="C31" s="277"/>
      <c r="D31" s="83" t="s">
        <v>412</v>
      </c>
      <c r="E31" s="131"/>
      <c r="F31" s="131"/>
      <c r="G31" s="131"/>
      <c r="H31" s="131"/>
      <c r="I31" s="237"/>
    </row>
    <row r="32" spans="1:9" s="131" customFormat="1" ht="17.25" customHeight="1" x14ac:dyDescent="0.15">
      <c r="A32" s="159" t="s">
        <v>409</v>
      </c>
      <c r="B32" s="276">
        <f>管理者入力シート!B5</f>
        <v>2020</v>
      </c>
      <c r="C32" s="276"/>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3" t="s">
        <v>257</v>
      </c>
      <c r="C35" s="274"/>
      <c r="D35" s="275"/>
      <c r="F35" s="162"/>
      <c r="G35" s="240"/>
      <c r="H35" s="278" t="s">
        <v>410</v>
      </c>
      <c r="I35" s="279"/>
    </row>
    <row r="36" spans="1:9" s="132" customFormat="1" ht="17.25" customHeight="1" x14ac:dyDescent="0.15">
      <c r="A36" s="160"/>
      <c r="B36" s="215"/>
      <c r="C36" s="127" t="s">
        <v>21</v>
      </c>
      <c r="D36" s="216" t="s">
        <v>22</v>
      </c>
      <c r="F36" s="162"/>
      <c r="G36" s="238">
        <f>管理者入力シート!B8</f>
        <v>2025</v>
      </c>
      <c r="H36" s="269">
        <f>管理者用人口入力シート!EU22</f>
        <v>15657</v>
      </c>
      <c r="I36" s="270"/>
    </row>
    <row r="37" spans="1:9" s="130" customFormat="1" ht="17.25" customHeight="1" x14ac:dyDescent="0.15">
      <c r="A37" s="165"/>
      <c r="B37" s="226" t="s">
        <v>5</v>
      </c>
      <c r="C37" s="227">
        <f>管理者用人口入力シート!DX1</f>
        <v>163</v>
      </c>
      <c r="D37" s="228">
        <f>C37</f>
        <v>163</v>
      </c>
      <c r="F37" s="162"/>
      <c r="G37" s="238">
        <f>管理者入力シート!B9</f>
        <v>2030</v>
      </c>
      <c r="H37" s="269">
        <f>管理者用人口入力シート!EU25</f>
        <v>15672</v>
      </c>
      <c r="I37" s="270"/>
    </row>
    <row r="38" spans="1:9" s="132" customFormat="1" ht="17.25" customHeight="1" x14ac:dyDescent="0.15">
      <c r="A38" s="160"/>
      <c r="B38" s="226" t="s">
        <v>6</v>
      </c>
      <c r="C38" s="227">
        <f>C37</f>
        <v>163</v>
      </c>
      <c r="D38" s="228">
        <f>C37</f>
        <v>163</v>
      </c>
      <c r="F38" s="162"/>
      <c r="G38" s="238">
        <f>管理者入力シート!B10</f>
        <v>2035</v>
      </c>
      <c r="H38" s="269">
        <f>管理者用人口入力シート!EU28</f>
        <v>15767</v>
      </c>
      <c r="I38" s="270"/>
    </row>
    <row r="39" spans="1:9" ht="17.25" customHeight="1" thickBot="1" x14ac:dyDescent="0.2">
      <c r="A39" s="166"/>
      <c r="B39" s="229" t="s">
        <v>7</v>
      </c>
      <c r="C39" s="230">
        <f>C37</f>
        <v>163</v>
      </c>
      <c r="D39" s="231">
        <f>C37</f>
        <v>163</v>
      </c>
      <c r="F39" s="162"/>
      <c r="G39" s="239">
        <f>管理者入力シート!B11</f>
        <v>2040</v>
      </c>
      <c r="H39" s="271">
        <f>管理者用人口入力シート!EU31</f>
        <v>15898</v>
      </c>
      <c r="I39" s="272"/>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3">
        <f>管理者用グラフシート!U8</f>
        <v>13395</v>
      </c>
      <c r="E43" s="253"/>
      <c r="F43" s="20" t="s">
        <v>231</v>
      </c>
      <c r="H43" s="34"/>
      <c r="I43" s="34"/>
    </row>
    <row r="44" spans="1:9" ht="22.5" customHeight="1" x14ac:dyDescent="0.15">
      <c r="A44" s="249">
        <f>管理者入力シート!B11</f>
        <v>2040</v>
      </c>
      <c r="B44" s="249"/>
      <c r="C44" s="20" t="s">
        <v>417</v>
      </c>
      <c r="D44" s="253">
        <f>管理者用グラフシート!U10</f>
        <v>10861</v>
      </c>
      <c r="E44" s="253"/>
      <c r="F44" s="20" t="s">
        <v>231</v>
      </c>
      <c r="H44" s="34"/>
      <c r="I44" s="34"/>
    </row>
    <row r="45" spans="1:9" ht="22.5" customHeight="1" x14ac:dyDescent="0.15">
      <c r="A45" s="20" t="s">
        <v>121</v>
      </c>
    </row>
    <row r="46" spans="1:9" ht="22.5" customHeight="1" x14ac:dyDescent="0.15">
      <c r="A46" s="249">
        <f>管理者入力シート!B9</f>
        <v>2030</v>
      </c>
      <c r="B46" s="249"/>
      <c r="C46" s="20" t="s">
        <v>418</v>
      </c>
      <c r="D46" s="256">
        <f>D43-将来予測シート①!D6</f>
        <v>20</v>
      </c>
      <c r="E46" s="256"/>
      <c r="F46" s="20" t="s">
        <v>122</v>
      </c>
    </row>
    <row r="47" spans="1:9" ht="22.5" customHeight="1" x14ac:dyDescent="0.15">
      <c r="A47" s="249">
        <f>管理者入力シート!B11</f>
        <v>2040</v>
      </c>
      <c r="B47" s="249"/>
      <c r="C47" s="20" t="s">
        <v>418</v>
      </c>
      <c r="D47" s="256">
        <f>D44-将来予測シート①!D10</f>
        <v>41</v>
      </c>
      <c r="E47" s="256"/>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3">
        <f>管理者用グラフシート!Q20</f>
        <v>468</v>
      </c>
      <c r="G78" s="253"/>
      <c r="H78" s="82" t="s">
        <v>264</v>
      </c>
      <c r="I78" s="34"/>
    </row>
    <row r="79" spans="1:9" ht="22.5" customHeight="1" x14ac:dyDescent="0.15">
      <c r="A79" s="20" t="s">
        <v>234</v>
      </c>
      <c r="F79" s="253">
        <f>管理者用グラフシート!Q28</f>
        <v>262</v>
      </c>
      <c r="G79" s="253"/>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8">
        <f>F78-将来予測シート①!F36</f>
        <v>7</v>
      </c>
      <c r="D82" s="248"/>
      <c r="E82" s="20" t="s">
        <v>60</v>
      </c>
    </row>
    <row r="83" spans="1:13" ht="22.5" customHeight="1" x14ac:dyDescent="0.15">
      <c r="A83" s="20" t="s">
        <v>69</v>
      </c>
      <c r="C83" s="248">
        <f>F79-将来予測シート①!F37</f>
        <v>3</v>
      </c>
      <c r="D83" s="248"/>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3">
        <f>管理者用グラフシート!Q38</f>
        <v>4497</v>
      </c>
      <c r="D112" s="253"/>
      <c r="E112" s="20" t="s">
        <v>270</v>
      </c>
      <c r="F112" s="36"/>
      <c r="G112" s="111">
        <f>管理者用グラフシート!Q56</f>
        <v>0.41</v>
      </c>
      <c r="H112" s="82" t="s">
        <v>271</v>
      </c>
      <c r="I112" s="34"/>
    </row>
    <row r="113" spans="1:9" ht="22.5" customHeight="1" x14ac:dyDescent="0.15">
      <c r="A113" s="20" t="s">
        <v>268</v>
      </c>
      <c r="C113" s="253">
        <f>管理者用グラフシート!Q46</f>
        <v>2793</v>
      </c>
      <c r="D113" s="253"/>
      <c r="E113" s="82" t="s">
        <v>270</v>
      </c>
      <c r="F113" s="34"/>
      <c r="G113" s="111">
        <f>管理者用グラフシート!Q64</f>
        <v>0.26</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3"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3"/>
      <c r="G116" s="253"/>
      <c r="H116" s="20" t="s">
        <v>82</v>
      </c>
    </row>
    <row r="117" spans="1:9" ht="22.5" customHeight="1" x14ac:dyDescent="0.15">
      <c r="B117" s="20" t="s">
        <v>83</v>
      </c>
      <c r="D117" s="37"/>
      <c r="E117" s="254"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4"/>
      <c r="G117" s="254"/>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1"/>
      <c r="F178" s="261"/>
      <c r="G178" s="261"/>
      <c r="H178" s="261"/>
      <c r="I178" s="261"/>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450</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1" t="str">
        <f>管理者入力シート!B4</f>
        <v>東海地区</v>
      </c>
      <c r="B1" s="251"/>
      <c r="C1" s="251"/>
      <c r="D1" s="250" t="s">
        <v>278</v>
      </c>
      <c r="E1" s="250"/>
      <c r="F1" s="250"/>
      <c r="G1" s="250"/>
      <c r="H1" s="250"/>
    </row>
    <row r="2" spans="1:8" ht="22.5" customHeight="1" x14ac:dyDescent="0.15">
      <c r="A2" s="251"/>
      <c r="B2" s="251"/>
      <c r="C2" s="251"/>
      <c r="D2" s="250"/>
      <c r="E2" s="250"/>
      <c r="F2" s="250"/>
      <c r="G2" s="250"/>
      <c r="H2" s="250"/>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0.5608498672082487</v>
      </c>
      <c r="G7" s="280"/>
      <c r="H7" s="20" t="s">
        <v>282</v>
      </c>
    </row>
    <row r="8" spans="1:8" ht="22.5" customHeight="1" x14ac:dyDescent="0.15">
      <c r="A8" s="34" t="str">
        <f>管理者入力シート!B3</f>
        <v>延岡市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5" t="str">
        <f>地域特徴シート!A1</f>
        <v>東海地区</v>
      </c>
      <c r="B11" s="255"/>
      <c r="C11" s="256">
        <f>管理者用地域特徴シート!D5</f>
        <v>6401</v>
      </c>
      <c r="D11" s="255"/>
      <c r="E11" s="20" t="s">
        <v>413</v>
      </c>
    </row>
    <row r="12" spans="1:8" ht="22.5" customHeight="1" x14ac:dyDescent="0.15">
      <c r="A12" s="255" t="str">
        <f>A8</f>
        <v>延岡市</v>
      </c>
      <c r="B12" s="255"/>
      <c r="C12" s="256">
        <f>管理者用地域特徴シート!D4</f>
        <v>51424</v>
      </c>
      <c r="D12" s="255"/>
      <c r="E12" s="20" t="s">
        <v>413</v>
      </c>
    </row>
    <row r="13" spans="1:8" ht="22.5" customHeight="1" x14ac:dyDescent="0.15">
      <c r="A13" s="255" t="s">
        <v>414</v>
      </c>
      <c r="B13" s="255"/>
      <c r="C13" s="256">
        <f>管理者用地域特徴シート!D3</f>
        <v>468575.00000000006</v>
      </c>
      <c r="D13" s="255"/>
      <c r="E13" s="20" t="s">
        <v>416</v>
      </c>
    </row>
    <row r="23" spans="1:8" ht="22.5" customHeight="1" x14ac:dyDescent="0.15">
      <c r="A23" s="20" t="s">
        <v>285</v>
      </c>
      <c r="G23" s="241">
        <f>管理者用地域特徴シート!J5</f>
        <v>0.1531010779565693</v>
      </c>
      <c r="H23" s="35" t="s">
        <v>286</v>
      </c>
    </row>
    <row r="24" spans="1:8" ht="22.5" customHeight="1" x14ac:dyDescent="0.15">
      <c r="A24" s="34" t="str">
        <f>管理者入力シート!B3</f>
        <v>延岡市</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同程度です。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0.30584989654523792</v>
      </c>
      <c r="G37" s="280"/>
      <c r="H37" s="20" t="s">
        <v>286</v>
      </c>
    </row>
    <row r="38" spans="1:8" ht="22.5" customHeight="1" x14ac:dyDescent="0.15">
      <c r="A38" s="34" t="str">
        <f>管理者入力シート!B3</f>
        <v>延岡市</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延岡市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2962</v>
      </c>
      <c r="F70" s="281"/>
      <c r="G70" s="20" t="s">
        <v>290</v>
      </c>
    </row>
    <row r="71" spans="1:8" ht="22.5" customHeight="1" x14ac:dyDescent="0.15">
      <c r="A71" s="20" t="s">
        <v>295</v>
      </c>
      <c r="F71" s="280">
        <f>管理者用地域特徴シート!AK5</f>
        <v>0.12761647535449022</v>
      </c>
      <c r="G71" s="280"/>
      <c r="H71" s="20" t="s">
        <v>271</v>
      </c>
    </row>
    <row r="72" spans="1:8" ht="22.5" customHeight="1" x14ac:dyDescent="0.15">
      <c r="A72" s="20" t="s">
        <v>296</v>
      </c>
      <c r="F72" s="280">
        <f>管理者用地域特徴シート!AL5</f>
        <v>0.16644159351789331</v>
      </c>
      <c r="G72" s="280"/>
      <c r="H72" s="20" t="s">
        <v>297</v>
      </c>
    </row>
    <row r="73" spans="1:8" ht="22.5" customHeight="1" x14ac:dyDescent="0.15">
      <c r="A73" s="20" t="s">
        <v>298</v>
      </c>
      <c r="E73" s="280"/>
      <c r="F73" s="280"/>
    </row>
    <row r="74" spans="1:8" ht="22.5" customHeight="1" x14ac:dyDescent="0.15">
      <c r="A74" s="20" t="s">
        <v>339</v>
      </c>
      <c r="C74" s="177">
        <f>管理者用地域特徴シート!AN5</f>
        <v>0.49662390276839974</v>
      </c>
      <c r="D74" s="156" t="s">
        <v>299</v>
      </c>
      <c r="E74" s="177">
        <f>管理者用地域特徴シート!AO5</f>
        <v>0.50337609723160026</v>
      </c>
      <c r="F74" s="20" t="s">
        <v>291</v>
      </c>
    </row>
    <row r="76" spans="1:8" ht="22.5" customHeight="1" x14ac:dyDescent="0.15">
      <c r="A76" s="34" t="str">
        <f>管理者入力シート!B3</f>
        <v>延岡市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0.92644958583261927</v>
      </c>
      <c r="D139" s="280"/>
      <c r="E139" s="20" t="s">
        <v>316</v>
      </c>
      <c r="F139" s="157" t="str">
        <f>管理者入力シート!B3</f>
        <v>延岡市</v>
      </c>
      <c r="G139" s="158" t="s">
        <v>317</v>
      </c>
    </row>
    <row r="140" spans="1:8" ht="22.5" customHeight="1" x14ac:dyDescent="0.15">
      <c r="A140" s="20" t="s">
        <v>318</v>
      </c>
    </row>
    <row r="141" spans="1:8" ht="22.5" customHeight="1" x14ac:dyDescent="0.15">
      <c r="C141" s="280">
        <f>管理者用地域特徴シート!CN5</f>
        <v>0.90322580645161288</v>
      </c>
      <c r="D141" s="280"/>
      <c r="E141" s="20" t="s">
        <v>316</v>
      </c>
      <c r="F141" s="157" t="str">
        <f>管理者入力シート!B3</f>
        <v>延岡市</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449</v>
      </c>
    </row>
    <row r="3" spans="1:3" x14ac:dyDescent="0.15">
      <c r="A3" s="203" t="s">
        <v>292</v>
      </c>
      <c r="B3" s="32" t="str">
        <f>管理者用地域特徴シート!B5</f>
        <v>延岡市</v>
      </c>
    </row>
    <row r="4" spans="1:3" x14ac:dyDescent="0.15">
      <c r="A4" s="153" t="s">
        <v>24</v>
      </c>
      <c r="B4" s="154" t="str">
        <f>管理者用地域特徴シート!C5</f>
        <v>東海地区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45203_4</v>
      </c>
      <c r="B1" s="24" t="s">
        <v>44</v>
      </c>
      <c r="C1" s="25"/>
      <c r="D1" s="303" t="s">
        <v>0</v>
      </c>
      <c r="E1" s="303" t="s">
        <v>1</v>
      </c>
      <c r="F1" s="303" t="s">
        <v>2</v>
      </c>
      <c r="G1" s="303" t="s">
        <v>3</v>
      </c>
      <c r="H1" s="303" t="s">
        <v>4</v>
      </c>
      <c r="I1" s="303" t="s">
        <v>5</v>
      </c>
      <c r="J1" s="303" t="s">
        <v>6</v>
      </c>
      <c r="K1" s="303" t="s">
        <v>7</v>
      </c>
      <c r="L1" s="303" t="s">
        <v>8</v>
      </c>
      <c r="M1" s="303" t="s">
        <v>9</v>
      </c>
      <c r="N1" s="303" t="s">
        <v>10</v>
      </c>
      <c r="O1" s="303" t="s">
        <v>11</v>
      </c>
      <c r="P1" s="303" t="s">
        <v>12</v>
      </c>
      <c r="Q1" s="303" t="s">
        <v>13</v>
      </c>
      <c r="R1" s="303" t="s">
        <v>14</v>
      </c>
      <c r="S1" s="303" t="s">
        <v>15</v>
      </c>
      <c r="T1" s="303" t="s">
        <v>16</v>
      </c>
      <c r="U1" s="303" t="s">
        <v>17</v>
      </c>
      <c r="V1" s="303" t="s">
        <v>18</v>
      </c>
      <c r="W1" s="303" t="s">
        <v>19</v>
      </c>
      <c r="X1" s="303" t="s">
        <v>20</v>
      </c>
      <c r="Y1" s="303" t="s">
        <v>23</v>
      </c>
      <c r="Z1" s="300" t="s">
        <v>50</v>
      </c>
      <c r="AA1" s="300" t="s">
        <v>51</v>
      </c>
      <c r="AB1" s="301" t="s">
        <v>79</v>
      </c>
      <c r="AC1" s="301" t="s">
        <v>80</v>
      </c>
      <c r="AD1" s="300" t="s">
        <v>48</v>
      </c>
      <c r="AE1" s="300" t="s">
        <v>49</v>
      </c>
      <c r="AF1" s="300" t="s">
        <v>97</v>
      </c>
      <c r="AH1" s="7"/>
      <c r="AI1" s="42" t="s">
        <v>25</v>
      </c>
      <c r="AJ1" s="40" t="s">
        <v>90</v>
      </c>
      <c r="AK1" s="41"/>
      <c r="AL1" s="305" t="s">
        <v>89</v>
      </c>
      <c r="AM1" s="299" t="s">
        <v>27</v>
      </c>
      <c r="AN1" s="299" t="s">
        <v>28</v>
      </c>
      <c r="AO1" s="299" t="s">
        <v>26</v>
      </c>
      <c r="AP1" s="299" t="s">
        <v>29</v>
      </c>
      <c r="AQ1" s="299" t="s">
        <v>30</v>
      </c>
      <c r="AR1" s="299" t="s">
        <v>31</v>
      </c>
      <c r="AS1" s="299" t="s">
        <v>32</v>
      </c>
      <c r="AT1" s="299" t="s">
        <v>33</v>
      </c>
      <c r="AU1" s="299" t="s">
        <v>34</v>
      </c>
      <c r="AV1" s="299" t="s">
        <v>35</v>
      </c>
      <c r="AW1" s="299" t="s">
        <v>36</v>
      </c>
      <c r="AX1" s="299" t="s">
        <v>37</v>
      </c>
      <c r="AY1" s="299" t="s">
        <v>38</v>
      </c>
      <c r="AZ1" s="299" t="s">
        <v>39</v>
      </c>
      <c r="BA1" s="299" t="s">
        <v>40</v>
      </c>
      <c r="BB1" s="299" t="s">
        <v>45</v>
      </c>
      <c r="BC1" s="299" t="s">
        <v>41</v>
      </c>
      <c r="BD1" s="299" t="s">
        <v>42</v>
      </c>
      <c r="BE1" s="299" t="s">
        <v>46</v>
      </c>
      <c r="BF1" s="299"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5" t="s">
        <v>50</v>
      </c>
      <c r="CH1" s="295" t="s">
        <v>51</v>
      </c>
      <c r="CI1" s="296" t="s">
        <v>79</v>
      </c>
      <c r="CJ1" s="296" t="s">
        <v>80</v>
      </c>
      <c r="CK1" s="295" t="s">
        <v>48</v>
      </c>
      <c r="CL1" s="295" t="s">
        <v>49</v>
      </c>
      <c r="CM1" s="295" t="s">
        <v>97</v>
      </c>
      <c r="CP1" s="74" t="s">
        <v>44</v>
      </c>
      <c r="CQ1" s="75"/>
      <c r="CR1" s="294" t="s">
        <v>0</v>
      </c>
      <c r="CS1" s="294" t="s">
        <v>1</v>
      </c>
      <c r="CT1" s="294" t="s">
        <v>2</v>
      </c>
      <c r="CU1" s="294" t="s">
        <v>3</v>
      </c>
      <c r="CV1" s="294" t="s">
        <v>4</v>
      </c>
      <c r="CW1" s="294" t="s">
        <v>5</v>
      </c>
      <c r="CX1" s="294" t="s">
        <v>6</v>
      </c>
      <c r="CY1" s="294" t="s">
        <v>7</v>
      </c>
      <c r="CZ1" s="294" t="s">
        <v>8</v>
      </c>
      <c r="DA1" s="294" t="s">
        <v>9</v>
      </c>
      <c r="DB1" s="294" t="s">
        <v>10</v>
      </c>
      <c r="DC1" s="294" t="s">
        <v>11</v>
      </c>
      <c r="DD1" s="294" t="s">
        <v>12</v>
      </c>
      <c r="DE1" s="294" t="s">
        <v>13</v>
      </c>
      <c r="DF1" s="294" t="s">
        <v>14</v>
      </c>
      <c r="DG1" s="294" t="s">
        <v>15</v>
      </c>
      <c r="DH1" s="294" t="s">
        <v>16</v>
      </c>
      <c r="DI1" s="294" t="s">
        <v>17</v>
      </c>
      <c r="DJ1" s="294" t="s">
        <v>18</v>
      </c>
      <c r="DK1" s="294" t="s">
        <v>19</v>
      </c>
      <c r="DL1" s="294" t="s">
        <v>20</v>
      </c>
      <c r="DM1" s="294" t="s">
        <v>23</v>
      </c>
      <c r="DN1" s="291" t="s">
        <v>50</v>
      </c>
      <c r="DO1" s="291" t="s">
        <v>51</v>
      </c>
      <c r="DP1" s="292" t="s">
        <v>79</v>
      </c>
      <c r="DQ1" s="292" t="s">
        <v>80</v>
      </c>
      <c r="DR1" s="291" t="s">
        <v>48</v>
      </c>
      <c r="DS1" s="291" t="s">
        <v>49</v>
      </c>
      <c r="DT1" s="291" t="s">
        <v>97</v>
      </c>
      <c r="DV1" s="311" t="s">
        <v>451</v>
      </c>
      <c r="DW1" s="312"/>
      <c r="DX1" s="307">
        <f>DW17</f>
        <v>163</v>
      </c>
      <c r="DY1" s="308"/>
      <c r="DZ1" s="304" t="s">
        <v>0</v>
      </c>
      <c r="EA1" s="304" t="s">
        <v>1</v>
      </c>
      <c r="EB1" s="304" t="s">
        <v>2</v>
      </c>
      <c r="EC1" s="304" t="s">
        <v>3</v>
      </c>
      <c r="ED1" s="304" t="s">
        <v>4</v>
      </c>
      <c r="EE1" s="304" t="s">
        <v>5</v>
      </c>
      <c r="EF1" s="304" t="s">
        <v>6</v>
      </c>
      <c r="EG1" s="304" t="s">
        <v>7</v>
      </c>
      <c r="EH1" s="304" t="s">
        <v>8</v>
      </c>
      <c r="EI1" s="304" t="s">
        <v>9</v>
      </c>
      <c r="EJ1" s="304" t="s">
        <v>10</v>
      </c>
      <c r="EK1" s="304" t="s">
        <v>11</v>
      </c>
      <c r="EL1" s="304" t="s">
        <v>12</v>
      </c>
      <c r="EM1" s="304" t="s">
        <v>13</v>
      </c>
      <c r="EN1" s="304" t="s">
        <v>14</v>
      </c>
      <c r="EO1" s="304" t="s">
        <v>15</v>
      </c>
      <c r="EP1" s="304" t="s">
        <v>16</v>
      </c>
      <c r="EQ1" s="304" t="s">
        <v>17</v>
      </c>
      <c r="ER1" s="304" t="s">
        <v>18</v>
      </c>
      <c r="ES1" s="304" t="s">
        <v>19</v>
      </c>
      <c r="ET1" s="304" t="s">
        <v>20</v>
      </c>
      <c r="EU1" s="304" t="s">
        <v>23</v>
      </c>
      <c r="EV1" s="306" t="s">
        <v>50</v>
      </c>
      <c r="EW1" s="306" t="s">
        <v>51</v>
      </c>
      <c r="EX1" s="313" t="s">
        <v>79</v>
      </c>
      <c r="EY1" s="313" t="s">
        <v>80</v>
      </c>
      <c r="EZ1" s="306" t="s">
        <v>48</v>
      </c>
      <c r="FA1" s="306" t="s">
        <v>49</v>
      </c>
      <c r="FB1" s="306" t="s">
        <v>97</v>
      </c>
    </row>
    <row r="2" spans="1:158" x14ac:dyDescent="0.15">
      <c r="A2" s="7" t="s">
        <v>56</v>
      </c>
      <c r="B2" s="26"/>
      <c r="C2" s="27"/>
      <c r="D2" s="303"/>
      <c r="E2" s="303"/>
      <c r="F2" s="303"/>
      <c r="G2" s="303"/>
      <c r="H2" s="303"/>
      <c r="I2" s="303"/>
      <c r="J2" s="303"/>
      <c r="K2" s="303"/>
      <c r="L2" s="303"/>
      <c r="M2" s="303"/>
      <c r="N2" s="303"/>
      <c r="O2" s="303"/>
      <c r="P2" s="303"/>
      <c r="Q2" s="303"/>
      <c r="R2" s="303"/>
      <c r="S2" s="303"/>
      <c r="T2" s="303"/>
      <c r="U2" s="303"/>
      <c r="V2" s="303"/>
      <c r="W2" s="303"/>
      <c r="X2" s="303"/>
      <c r="Y2" s="303"/>
      <c r="Z2" s="300"/>
      <c r="AA2" s="300"/>
      <c r="AB2" s="302"/>
      <c r="AC2" s="302"/>
      <c r="AD2" s="300"/>
      <c r="AE2" s="300"/>
      <c r="AF2" s="300"/>
      <c r="AI2" s="43"/>
      <c r="AJ2" s="44"/>
      <c r="AK2" s="45"/>
      <c r="AL2" s="305"/>
      <c r="AM2" s="299"/>
      <c r="AN2" s="299"/>
      <c r="AO2" s="299"/>
      <c r="AP2" s="299"/>
      <c r="AQ2" s="299"/>
      <c r="AR2" s="299"/>
      <c r="AS2" s="299"/>
      <c r="AT2" s="299"/>
      <c r="AU2" s="299"/>
      <c r="AV2" s="299"/>
      <c r="AW2" s="299"/>
      <c r="AX2" s="299"/>
      <c r="AY2" s="299"/>
      <c r="AZ2" s="299"/>
      <c r="BA2" s="299"/>
      <c r="BB2" s="299"/>
      <c r="BC2" s="299"/>
      <c r="BD2" s="299"/>
      <c r="BE2" s="299"/>
      <c r="BF2" s="299"/>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5"/>
      <c r="CH2" s="295"/>
      <c r="CI2" s="297"/>
      <c r="CJ2" s="297"/>
      <c r="CK2" s="295"/>
      <c r="CL2" s="295"/>
      <c r="CM2" s="295"/>
      <c r="CO2" s="7" t="s">
        <v>56</v>
      </c>
      <c r="CP2" s="76" t="s">
        <v>117</v>
      </c>
      <c r="CQ2" s="77"/>
      <c r="CR2" s="294"/>
      <c r="CS2" s="294"/>
      <c r="CT2" s="294"/>
      <c r="CU2" s="294"/>
      <c r="CV2" s="294"/>
      <c r="CW2" s="294"/>
      <c r="CX2" s="294"/>
      <c r="CY2" s="294"/>
      <c r="CZ2" s="294"/>
      <c r="DA2" s="294"/>
      <c r="DB2" s="294"/>
      <c r="DC2" s="294"/>
      <c r="DD2" s="294"/>
      <c r="DE2" s="294"/>
      <c r="DF2" s="294"/>
      <c r="DG2" s="294"/>
      <c r="DH2" s="294"/>
      <c r="DI2" s="294"/>
      <c r="DJ2" s="294"/>
      <c r="DK2" s="294"/>
      <c r="DL2" s="294"/>
      <c r="DM2" s="294"/>
      <c r="DN2" s="291"/>
      <c r="DO2" s="291"/>
      <c r="DP2" s="293"/>
      <c r="DQ2" s="293"/>
      <c r="DR2" s="291"/>
      <c r="DS2" s="291"/>
      <c r="DT2" s="291"/>
      <c r="DV2" s="311"/>
      <c r="DW2" s="312"/>
      <c r="DX2" s="309"/>
      <c r="DY2" s="310"/>
      <c r="DZ2" s="304"/>
      <c r="EA2" s="304"/>
      <c r="EB2" s="304"/>
      <c r="EC2" s="304"/>
      <c r="ED2" s="304"/>
      <c r="EE2" s="304"/>
      <c r="EF2" s="304"/>
      <c r="EG2" s="304"/>
      <c r="EH2" s="304"/>
      <c r="EI2" s="304"/>
      <c r="EJ2" s="304"/>
      <c r="EK2" s="304"/>
      <c r="EL2" s="304"/>
      <c r="EM2" s="304"/>
      <c r="EN2" s="304"/>
      <c r="EO2" s="304"/>
      <c r="EP2" s="304"/>
      <c r="EQ2" s="304"/>
      <c r="ER2" s="304"/>
      <c r="ES2" s="304"/>
      <c r="ET2" s="304"/>
      <c r="EU2" s="304"/>
      <c r="EV2" s="306"/>
      <c r="EW2" s="306"/>
      <c r="EX2" s="314"/>
      <c r="EY2" s="314"/>
      <c r="EZ2" s="306"/>
      <c r="FA2" s="306"/>
      <c r="FB2" s="306"/>
    </row>
    <row r="3" spans="1:158" x14ac:dyDescent="0.15">
      <c r="A3" s="7" t="str">
        <f>B3&amp;"_"&amp;IF(C3="男性",1,IF(C3="女性",2,IF(C3="合計",3)))</f>
        <v>2005_1</v>
      </c>
      <c r="B3" s="28">
        <v>2005</v>
      </c>
      <c r="C3" s="3" t="s">
        <v>21</v>
      </c>
      <c r="D3" s="184">
        <v>382</v>
      </c>
      <c r="E3" s="9">
        <v>508</v>
      </c>
      <c r="F3" s="9">
        <v>560</v>
      </c>
      <c r="G3" s="9">
        <v>581</v>
      </c>
      <c r="H3" s="9">
        <v>316</v>
      </c>
      <c r="I3" s="9">
        <v>406</v>
      </c>
      <c r="J3" s="9">
        <v>509</v>
      </c>
      <c r="K3" s="9">
        <v>460</v>
      </c>
      <c r="L3" s="9">
        <v>505</v>
      </c>
      <c r="M3" s="9">
        <v>539</v>
      </c>
      <c r="N3" s="9">
        <v>660</v>
      </c>
      <c r="O3" s="9">
        <v>787</v>
      </c>
      <c r="P3" s="9">
        <v>589</v>
      </c>
      <c r="Q3" s="9">
        <v>547</v>
      </c>
      <c r="R3" s="9">
        <v>571</v>
      </c>
      <c r="S3" s="9">
        <v>364</v>
      </c>
      <c r="T3" s="9">
        <v>199</v>
      </c>
      <c r="U3" s="9">
        <v>65</v>
      </c>
      <c r="V3" s="9">
        <v>26</v>
      </c>
      <c r="W3" s="9">
        <v>4</v>
      </c>
      <c r="X3" s="9">
        <v>1</v>
      </c>
      <c r="Y3" s="9">
        <f>SUM(D3:X3)</f>
        <v>8579</v>
      </c>
      <c r="Z3" s="9">
        <f>E3*3/5+F3*3/5</f>
        <v>640.79999999999995</v>
      </c>
      <c r="AA3" s="9">
        <f>F3*2/5+G3*1/5</f>
        <v>340.2</v>
      </c>
      <c r="AB3" s="9">
        <f t="shared" ref="AB3:AB20" si="0">SUM(Q3:X3)</f>
        <v>1777</v>
      </c>
      <c r="AC3" s="9">
        <f>SUM(S3:X3)</f>
        <v>659</v>
      </c>
      <c r="AD3" s="13">
        <f>AB3/Y3</f>
        <v>0.20713369856626646</v>
      </c>
      <c r="AE3" s="13">
        <f>AC3/Y3</f>
        <v>7.6815479659633992E-2</v>
      </c>
      <c r="AF3" s="9">
        <f>SUM(H3:K3)</f>
        <v>1691</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1.082150271722059</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1.067528082873862</v>
      </c>
      <c r="AO3" s="6">
        <f t="shared" si="1"/>
        <v>1.2962590198558732</v>
      </c>
      <c r="AP3" s="6">
        <f t="shared" si="1"/>
        <v>0.43706324939208352</v>
      </c>
      <c r="AQ3" s="6">
        <f t="shared" si="1"/>
        <v>1.1841590391655006</v>
      </c>
      <c r="AR3" s="6">
        <f t="shared" si="1"/>
        <v>0.8527166683059535</v>
      </c>
      <c r="AS3" s="6">
        <f t="shared" si="1"/>
        <v>1.020675173389509</v>
      </c>
      <c r="AT3" s="6">
        <f t="shared" si="1"/>
        <v>0.97747837002589177</v>
      </c>
      <c r="AU3" s="6">
        <f t="shared" si="1"/>
        <v>1.0132437036523803</v>
      </c>
      <c r="AV3" s="6">
        <f t="shared" si="1"/>
        <v>0.9713661222666139</v>
      </c>
      <c r="AW3" s="6">
        <f t="shared" si="1"/>
        <v>1.0173992932972689</v>
      </c>
      <c r="AX3" s="6">
        <f t="shared" si="1"/>
        <v>0.99126869343247892</v>
      </c>
      <c r="AY3" s="6">
        <f t="shared" si="1"/>
        <v>0.97277941294971793</v>
      </c>
      <c r="AZ3" s="6">
        <f t="shared" si="1"/>
        <v>0.89755580245261823</v>
      </c>
      <c r="BA3" s="6">
        <f t="shared" si="1"/>
        <v>0.87195254581095127</v>
      </c>
      <c r="BB3" s="6">
        <f t="shared" si="1"/>
        <v>0.76418121692841567</v>
      </c>
      <c r="BC3" s="6">
        <f t="shared" si="1"/>
        <v>0.62329036479964195</v>
      </c>
      <c r="BD3" s="6">
        <f t="shared" si="1"/>
        <v>0.40592119032574026</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0.30884258590973007</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0.15430940136197485</v>
      </c>
      <c r="BH3" s="7" t="str">
        <f>BI3&amp;"_"&amp;IF(BJ3="男性",1,IF(BJ3="女性",2,IF(BJ3="合計",3)))</f>
        <v>2025_1</v>
      </c>
      <c r="BI3" s="28">
        <f>管理者入力シート!B8</f>
        <v>2025</v>
      </c>
      <c r="BJ3" s="3" t="s">
        <v>21</v>
      </c>
      <c r="BK3" s="9">
        <f>CM4*AK$13</f>
        <v>204.2145805788472</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260.30244332852334</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345.02818560655101</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473.8863481736426</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250.28550603731756</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293.63600576510407</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269.95395568444604</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325.11130492949491</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353.99388411053798</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437.41241030938806</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493.43763038775018</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444.49473025327222</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468.22670876636062</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528.62070816854032</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562.76090566702976</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595.09255861996166</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342.89878592626411</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221.59140417893346</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101.37359687311223</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27.634592525440269</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0.1881700264814829</v>
      </c>
      <c r="CF3" s="9">
        <f t="shared" ref="CF3:CF14" si="2">SUM(BK3:CE3)</f>
        <v>7000.1444159170005</v>
      </c>
      <c r="CG3" s="9">
        <f>BL3*3/5+BM3*3/5</f>
        <v>363.19837736104461</v>
      </c>
      <c r="CH3" s="9">
        <f>BM3*2/5+BN3*1/5</f>
        <v>232.78854387734893</v>
      </c>
      <c r="CI3" s="9">
        <f t="shared" ref="CI3:CI14" si="3">SUM(BX3:CE3)</f>
        <v>2380.1607219857633</v>
      </c>
      <c r="CJ3" s="9">
        <f>SUM(BZ3:CE3)</f>
        <v>1288.7791081501932</v>
      </c>
      <c r="CK3" s="13">
        <f>CI3/CF3</f>
        <v>0.34001594546731484</v>
      </c>
      <c r="CL3" s="13">
        <f>CJ3/CF3</f>
        <v>0.18410750287090563</v>
      </c>
      <c r="CM3" s="9">
        <f>SUM(BO3:BR3)</f>
        <v>1138.9867724163626</v>
      </c>
      <c r="CO3" s="7" t="str">
        <f>CP3&amp;"_"&amp;IF(CQ3="男性",1,IF(CQ3="女性",2,IF(CQ3="合計",3)))</f>
        <v>2025_1</v>
      </c>
      <c r="CP3" s="28">
        <f>管理者入力シート!B8</f>
        <v>2025</v>
      </c>
      <c r="CQ3" s="3" t="s">
        <v>21</v>
      </c>
      <c r="CR3" s="9">
        <f>BK3+将来予測シート②!$G17</f>
        <v>205.2145805788472</v>
      </c>
      <c r="CS3" s="9">
        <f>BL3+将来予測シート②!$G18</f>
        <v>260.30244332852334</v>
      </c>
      <c r="CT3" s="9">
        <f>BM3+将来予測シート②!$G19</f>
        <v>346.02818560655101</v>
      </c>
      <c r="CU3" s="9">
        <f>BN3+将来予測シート②!$G20</f>
        <v>473.8863481736426</v>
      </c>
      <c r="CV3" s="9">
        <f>BO3+将来予測シート②!$G21</f>
        <v>250.28550603731756</v>
      </c>
      <c r="CW3" s="9">
        <f>BP3+将来予測シート②!$G22</f>
        <v>295.63600576510407</v>
      </c>
      <c r="CX3" s="9">
        <f>BQ3+将来予測シート②!$G23</f>
        <v>269.95395568444604</v>
      </c>
      <c r="CY3" s="9">
        <f>BR3+将来予測シート②!$G24</f>
        <v>325.11130492949491</v>
      </c>
      <c r="CZ3" s="9">
        <f>BS3+将来予測シート②!$G25</f>
        <v>353.99388411053798</v>
      </c>
      <c r="DA3" s="9">
        <f>BT3+将来予測シート②!$G26</f>
        <v>437.41241030938806</v>
      </c>
      <c r="DB3" s="9">
        <f>BU3+将来予測シート②!$G27</f>
        <v>493.43763038775018</v>
      </c>
      <c r="DC3" s="9">
        <f>BV3+将来予測シート②!$G28</f>
        <v>444.49473025327222</v>
      </c>
      <c r="DD3" s="9">
        <f>BW3+将来予測シート②!$G29</f>
        <v>468.22670876636062</v>
      </c>
      <c r="DE3" s="9">
        <f>BX3</f>
        <v>528.62070816854032</v>
      </c>
      <c r="DF3" s="9">
        <f t="shared" ref="DF3:DL3" si="4">BY3</f>
        <v>562.76090566702976</v>
      </c>
      <c r="DG3" s="9">
        <f t="shared" si="4"/>
        <v>595.09255861996166</v>
      </c>
      <c r="DH3" s="9">
        <f t="shared" si="4"/>
        <v>342.89878592626411</v>
      </c>
      <c r="DI3" s="9">
        <f t="shared" si="4"/>
        <v>221.59140417893346</v>
      </c>
      <c r="DJ3" s="9">
        <f t="shared" si="4"/>
        <v>101.37359687311223</v>
      </c>
      <c r="DK3" s="9">
        <f t="shared" si="4"/>
        <v>27.634592525440269</v>
      </c>
      <c r="DL3" s="9">
        <f t="shared" si="4"/>
        <v>0.1881700264814829</v>
      </c>
      <c r="DM3" s="9">
        <f t="shared" ref="DM3:DM4" si="5">SUM(CR3:DL3)</f>
        <v>7004.1444159170005</v>
      </c>
      <c r="DN3" s="9">
        <f>CS3*3/5+CT3*3/5</f>
        <v>363.79837736104457</v>
      </c>
      <c r="DO3" s="9">
        <f>CT3*2/5+CU3*1/5</f>
        <v>233.18854387734893</v>
      </c>
      <c r="DP3" s="9">
        <f t="shared" ref="DP3:DP14" si="6">SUM(DE3:DL3)</f>
        <v>2380.1607219857633</v>
      </c>
      <c r="DQ3" s="9">
        <f>SUM(DG3:DL3)</f>
        <v>1288.7791081501932</v>
      </c>
      <c r="DR3" s="13">
        <f>DP3/DM3</f>
        <v>0.33982176560734811</v>
      </c>
      <c r="DS3" s="13">
        <f>DQ3/DM3</f>
        <v>0.18400236083388394</v>
      </c>
      <c r="DT3" s="9">
        <f>SUM(CV3:CY3)</f>
        <v>1140.9867724163626</v>
      </c>
      <c r="DV3" s="311"/>
      <c r="DW3" s="312"/>
      <c r="DX3" s="28">
        <f>管理者入力シート!B8</f>
        <v>2025</v>
      </c>
      <c r="DY3" s="3" t="s">
        <v>21</v>
      </c>
      <c r="DZ3" s="9">
        <f>BK$3</f>
        <v>204.2145805788472</v>
      </c>
      <c r="EA3" s="9">
        <f>BL$3</f>
        <v>260.30244332852334</v>
      </c>
      <c r="EB3" s="9">
        <f t="shared" ref="EB3:ED3" si="7">BM$3</f>
        <v>345.02818560655101</v>
      </c>
      <c r="EC3" s="9">
        <f t="shared" si="7"/>
        <v>473.8863481736426</v>
      </c>
      <c r="ED3" s="9">
        <f t="shared" si="7"/>
        <v>250.28550603731756</v>
      </c>
      <c r="EE3" s="9">
        <f>BP$3+DX1</f>
        <v>456.63600576510407</v>
      </c>
      <c r="EF3" s="9">
        <f>BQ$3+DX1</f>
        <v>432.95395568444604</v>
      </c>
      <c r="EG3" s="9">
        <f>BR$3+DX1</f>
        <v>488.11130492949491</v>
      </c>
      <c r="EH3" s="9">
        <f t="shared" ref="EH3:ET3" si="8">BS$3</f>
        <v>353.99388411053798</v>
      </c>
      <c r="EI3" s="9">
        <f t="shared" si="8"/>
        <v>437.41241030938806</v>
      </c>
      <c r="EJ3" s="9">
        <f t="shared" si="8"/>
        <v>493.43763038775018</v>
      </c>
      <c r="EK3" s="9">
        <f t="shared" si="8"/>
        <v>444.49473025327222</v>
      </c>
      <c r="EL3" s="9">
        <f t="shared" si="8"/>
        <v>468.22670876636062</v>
      </c>
      <c r="EM3" s="9">
        <f t="shared" si="8"/>
        <v>528.62070816854032</v>
      </c>
      <c r="EN3" s="9">
        <f t="shared" si="8"/>
        <v>562.76090566702976</v>
      </c>
      <c r="EO3" s="9">
        <f t="shared" si="8"/>
        <v>595.09255861996166</v>
      </c>
      <c r="EP3" s="9">
        <f t="shared" si="8"/>
        <v>342.89878592626411</v>
      </c>
      <c r="EQ3" s="9">
        <f t="shared" si="8"/>
        <v>221.59140417893346</v>
      </c>
      <c r="ER3" s="9">
        <f t="shared" si="8"/>
        <v>101.37359687311223</v>
      </c>
      <c r="ES3" s="9">
        <f t="shared" si="8"/>
        <v>27.634592525440269</v>
      </c>
      <c r="ET3" s="9">
        <f t="shared" si="8"/>
        <v>0.1881700264814829</v>
      </c>
      <c r="EU3" s="9">
        <f t="shared" ref="EU3:EU4" si="9">SUM(DZ3:ET3)</f>
        <v>7489.1444159169996</v>
      </c>
      <c r="EV3" s="9">
        <f>EA3*3/5+EB3*3/5</f>
        <v>363.19837736104461</v>
      </c>
      <c r="EW3" s="9">
        <f>EB3*2/5+EC3*1/5</f>
        <v>232.78854387734893</v>
      </c>
      <c r="EX3" s="9">
        <f t="shared" ref="EX3:EX14" si="10">SUM(EM3:ET3)</f>
        <v>2380.1607219857633</v>
      </c>
      <c r="EY3" s="9">
        <f>SUM(EO3:ET3)</f>
        <v>1288.7791081501932</v>
      </c>
      <c r="EZ3" s="13">
        <f>EX3/EU3</f>
        <v>0.31781477159488414</v>
      </c>
      <c r="FA3" s="13">
        <f>EY3/EU3</f>
        <v>0.17208629405130654</v>
      </c>
      <c r="FB3" s="9">
        <f>SUM(ED3:EG3)</f>
        <v>1627.9867724163626</v>
      </c>
    </row>
    <row r="4" spans="1:158" x14ac:dyDescent="0.15">
      <c r="A4" s="7" t="str">
        <f t="shared" ref="A4:A14" si="11">B4&amp;"_"&amp;IF(C4="男性",1,IF(C4="女性",2,IF(C4="合計",3)))</f>
        <v>2005_2</v>
      </c>
      <c r="B4" s="29">
        <v>2005</v>
      </c>
      <c r="C4" s="4" t="s">
        <v>22</v>
      </c>
      <c r="D4" s="10">
        <v>333.04855195911415</v>
      </c>
      <c r="E4" s="10">
        <v>429.04770017035776</v>
      </c>
      <c r="F4" s="10">
        <v>456.05195911413966</v>
      </c>
      <c r="G4" s="10">
        <v>492.05366269165245</v>
      </c>
      <c r="H4" s="10">
        <v>395.04514480408858</v>
      </c>
      <c r="I4" s="10">
        <v>455.0596252129472</v>
      </c>
      <c r="J4" s="10">
        <v>508.06047700170359</v>
      </c>
      <c r="K4" s="10">
        <v>481.0587734241908</v>
      </c>
      <c r="L4" s="10">
        <v>558.07495741056221</v>
      </c>
      <c r="M4" s="10">
        <v>628.07410562180576</v>
      </c>
      <c r="N4" s="10">
        <v>739.07069846678019</v>
      </c>
      <c r="O4" s="10">
        <v>852.08177172061323</v>
      </c>
      <c r="P4" s="10">
        <v>614.06218057921637</v>
      </c>
      <c r="Q4" s="10">
        <v>684.04940374787054</v>
      </c>
      <c r="R4" s="10">
        <v>664.05962521294714</v>
      </c>
      <c r="S4" s="10">
        <v>519.04344122657585</v>
      </c>
      <c r="T4" s="10">
        <v>381.03236797274275</v>
      </c>
      <c r="U4" s="10">
        <v>203.01703577512777</v>
      </c>
      <c r="V4" s="10">
        <v>96.007666098807505</v>
      </c>
      <c r="W4" s="10">
        <v>22.000851788756389</v>
      </c>
      <c r="X4" s="10">
        <v>4</v>
      </c>
      <c r="Y4" s="10">
        <f>SUM(D4:X4)</f>
        <v>9514</v>
      </c>
      <c r="Z4" s="10">
        <f t="shared" ref="Z4:Z11" si="12">E4*3/5+F4*3/5</f>
        <v>531.0597955706985</v>
      </c>
      <c r="AA4" s="10">
        <f t="shared" ref="AA4:AA11" si="13">F4*2/5+G4*1/5</f>
        <v>280.83151618398637</v>
      </c>
      <c r="AB4" s="10">
        <f t="shared" si="0"/>
        <v>2573.2103918228277</v>
      </c>
      <c r="AC4" s="10">
        <f t="shared" ref="AC4:AC11" si="14">SUM(S4:X4)</f>
        <v>1225.1013628620103</v>
      </c>
      <c r="AD4" s="14">
        <f t="shared" ref="AD4:AD11" si="15">AB4/Y4</f>
        <v>0.27046567078230266</v>
      </c>
      <c r="AE4" s="14">
        <f t="shared" ref="AE4:AE11" si="16">AC4/Y4</f>
        <v>0.12876827442316693</v>
      </c>
      <c r="AF4" s="10">
        <f t="shared" ref="AF4:AF20" si="17">SUM(H4:K4)</f>
        <v>1839.2240204429302</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1.0051808026480977</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1.0079032727279815</v>
      </c>
      <c r="AO4" s="193">
        <f t="shared" si="18"/>
        <v>0.97768698639598184</v>
      </c>
      <c r="AP4" s="193">
        <f t="shared" si="18"/>
        <v>0.51189588248125695</v>
      </c>
      <c r="AQ4" s="193">
        <f t="shared" si="18"/>
        <v>0.96859868685950679</v>
      </c>
      <c r="AR4" s="193">
        <f t="shared" si="18"/>
        <v>0.92319955782778396</v>
      </c>
      <c r="AS4" s="193">
        <f t="shared" si="18"/>
        <v>1.009630952889921</v>
      </c>
      <c r="AT4" s="193">
        <f t="shared" si="18"/>
        <v>0.95745365655153847</v>
      </c>
      <c r="AU4" s="193">
        <f t="shared" si="18"/>
        <v>1.0389512213897827</v>
      </c>
      <c r="AV4" s="193">
        <f t="shared" si="18"/>
        <v>0.95807687698885469</v>
      </c>
      <c r="AW4" s="193">
        <f t="shared" si="18"/>
        <v>0.96631457917274899</v>
      </c>
      <c r="AX4" s="193">
        <f t="shared" si="18"/>
        <v>0.99689549141798628</v>
      </c>
      <c r="AY4" s="193">
        <f t="shared" si="18"/>
        <v>0.9758087676784849</v>
      </c>
      <c r="AZ4" s="193">
        <f t="shared" si="18"/>
        <v>0.94307270787420883</v>
      </c>
      <c r="BA4" s="193">
        <f t="shared" si="18"/>
        <v>0.94996782454654694</v>
      </c>
      <c r="BB4" s="193">
        <f t="shared" si="18"/>
        <v>0.89949152598230186</v>
      </c>
      <c r="BC4" s="193">
        <f t="shared" si="18"/>
        <v>0.76083455833895974</v>
      </c>
      <c r="BD4" s="193">
        <f t="shared" si="18"/>
        <v>0.64206061074100995</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0.36159788173612673</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0.24030322218539993</v>
      </c>
      <c r="BH4" s="7" t="str">
        <f t="shared" ref="BH4:BH20" si="19">BI4&amp;"_"&amp;IF(BJ4="男性",1,IF(BJ4="女性",2,IF(BJ4="合計",3)))</f>
        <v>2025_2</v>
      </c>
      <c r="BI4" s="29">
        <f>BI3</f>
        <v>2025</v>
      </c>
      <c r="BJ4" s="4" t="s">
        <v>22</v>
      </c>
      <c r="BK4" s="10">
        <f>CM4*AK$14</f>
        <v>229.86996875097242</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292.72670818908739</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327.73315228140012</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344.90595788159965</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194.63068244416289</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228.74886816659952</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231.40560520197226</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313.26273659360891</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382.54987460430328</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470.22965994370645</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478.19251415296429</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442.70521985422948</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541.29520844937724</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584.98303537982031</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669.18232058492106</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744.8855541715368</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477.43165878303091</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401.77433408539878</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241.89468017511055</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71.346480276741005</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9.9140279249079573</v>
      </c>
      <c r="CF4" s="10">
        <f t="shared" si="2"/>
        <v>7679.6682478954517</v>
      </c>
      <c r="CG4" s="10">
        <f t="shared" ref="CG4:CG14" si="20">BL4*3/5+BM4*3/5</f>
        <v>372.27591628229254</v>
      </c>
      <c r="CH4" s="10">
        <f t="shared" ref="CH4:CH14" si="21">BM4*2/5+BN4*1/5</f>
        <v>200.07445248887998</v>
      </c>
      <c r="CI4" s="10">
        <f t="shared" si="3"/>
        <v>3201.4120913814677</v>
      </c>
      <c r="CJ4" s="10">
        <f t="shared" ref="CJ4:CJ14" si="22">SUM(BZ4:CE4)</f>
        <v>1947.2467354167261</v>
      </c>
      <c r="CK4" s="14">
        <f t="shared" ref="CK4:CK14" si="23">CI4/CF4</f>
        <v>0.41686854015585734</v>
      </c>
      <c r="CL4" s="14">
        <f t="shared" ref="CL4:CL14" si="24">CJ4/CF4</f>
        <v>0.25355870495452099</v>
      </c>
      <c r="CM4" s="10">
        <f t="shared" ref="CM4:CM14" si="25">SUM(BO4:BR4)</f>
        <v>968.04789240634364</v>
      </c>
      <c r="CO4" s="7" t="str">
        <f t="shared" ref="CO4:CO20" si="26">CP4&amp;"_"&amp;IF(CQ4="男性",1,IF(CQ4="女性",2,IF(CQ4="合計",3)))</f>
        <v>2025_2</v>
      </c>
      <c r="CP4" s="29">
        <f>CP3</f>
        <v>2025</v>
      </c>
      <c r="CQ4" s="4" t="s">
        <v>22</v>
      </c>
      <c r="CR4" s="10">
        <f>BK4+将来予測シート②!$H17</f>
        <v>230.86996875097242</v>
      </c>
      <c r="CS4" s="10">
        <f>BL4+将来予測シート②!$H18</f>
        <v>292.72670818908739</v>
      </c>
      <c r="CT4" s="10">
        <f>BM4+将来予測シート②!$H19</f>
        <v>328.73315228140012</v>
      </c>
      <c r="CU4" s="10">
        <f>BN4+将来予測シート②!$H20</f>
        <v>344.90595788159965</v>
      </c>
      <c r="CV4" s="10">
        <f>BO4+将来予測シート②!$H21</f>
        <v>194.63068244416289</v>
      </c>
      <c r="CW4" s="10">
        <f>BP4+将来予測シート②!$H22</f>
        <v>230.74886816659952</v>
      </c>
      <c r="CX4" s="10">
        <f>BQ4+将来予測シート②!$H23</f>
        <v>231.40560520197226</v>
      </c>
      <c r="CY4" s="10">
        <f>BR4+将来予測シート②!$H24</f>
        <v>313.26273659360891</v>
      </c>
      <c r="CZ4" s="10">
        <f>BS4+将来予測シート②!$H25</f>
        <v>383.54987460430328</v>
      </c>
      <c r="DA4" s="10">
        <f>BT4+将来予測シート②!$H26</f>
        <v>470.22965994370645</v>
      </c>
      <c r="DB4" s="10">
        <f>BU4+将来予測シート②!$H27</f>
        <v>478.19251415296429</v>
      </c>
      <c r="DC4" s="10">
        <f>BV4+将来予測シート②!$H28</f>
        <v>442.70521985422948</v>
      </c>
      <c r="DD4" s="10">
        <f>BW4+将来予測シート②!$H29</f>
        <v>541.29520844937724</v>
      </c>
      <c r="DE4" s="10">
        <f>BX4</f>
        <v>584.98303537982031</v>
      </c>
      <c r="DF4" s="10">
        <f t="shared" ref="DF4" si="27">BY4</f>
        <v>669.18232058492106</v>
      </c>
      <c r="DG4" s="10">
        <f t="shared" ref="DG4" si="28">BZ4</f>
        <v>744.8855541715368</v>
      </c>
      <c r="DH4" s="10">
        <f t="shared" ref="DH4" si="29">CA4</f>
        <v>477.43165878303091</v>
      </c>
      <c r="DI4" s="10">
        <f t="shared" ref="DI4" si="30">CB4</f>
        <v>401.77433408539878</v>
      </c>
      <c r="DJ4" s="10">
        <f t="shared" ref="DJ4" si="31">CC4</f>
        <v>241.89468017511055</v>
      </c>
      <c r="DK4" s="10">
        <f t="shared" ref="DK4" si="32">CD4</f>
        <v>71.346480276741005</v>
      </c>
      <c r="DL4" s="10">
        <f t="shared" ref="DL4" si="33">CE4</f>
        <v>9.9140279249079573</v>
      </c>
      <c r="DM4" s="10">
        <f t="shared" si="5"/>
        <v>7684.6682478954517</v>
      </c>
      <c r="DN4" s="10">
        <f t="shared" ref="DN4:DN14" si="34">CS4*3/5+CT4*3/5</f>
        <v>372.87591628229251</v>
      </c>
      <c r="DO4" s="10">
        <f t="shared" ref="DO4:DO14" si="35">CT4*2/5+CU4*1/5</f>
        <v>200.47445248887999</v>
      </c>
      <c r="DP4" s="10">
        <f t="shared" si="6"/>
        <v>3201.4120913814677</v>
      </c>
      <c r="DQ4" s="10">
        <f t="shared" ref="DQ4:DQ14" si="36">SUM(DG4:DL4)</f>
        <v>1947.2467354167261</v>
      </c>
      <c r="DR4" s="14">
        <f t="shared" ref="DR4:DR14" si="37">DP4/DM4</f>
        <v>0.41659730623481589</v>
      </c>
      <c r="DS4" s="14">
        <f t="shared" ref="DS4:DS14" si="38">DQ4/DM4</f>
        <v>0.25339372795305842</v>
      </c>
      <c r="DT4" s="10">
        <f>SUM(CV4:CY4)</f>
        <v>970.04789240634364</v>
      </c>
      <c r="DV4" s="311"/>
      <c r="DW4" s="312"/>
      <c r="DX4" s="29">
        <f>DX3</f>
        <v>2025</v>
      </c>
      <c r="DY4" s="4" t="s">
        <v>22</v>
      </c>
      <c r="DZ4" s="10">
        <f>BK$4</f>
        <v>229.86996875097242</v>
      </c>
      <c r="EA4" s="10">
        <f>BL$4</f>
        <v>292.72670818908739</v>
      </c>
      <c r="EB4" s="10">
        <f t="shared" ref="EB4:ED4" si="39">BM$4</f>
        <v>327.73315228140012</v>
      </c>
      <c r="EC4" s="10">
        <f t="shared" si="39"/>
        <v>344.90595788159965</v>
      </c>
      <c r="ED4" s="10">
        <f t="shared" si="39"/>
        <v>194.63068244416289</v>
      </c>
      <c r="EE4" s="10">
        <f>BP$4+DX1</f>
        <v>391.74886816659955</v>
      </c>
      <c r="EF4" s="10">
        <f>BQ$4+DX1</f>
        <v>394.40560520197226</v>
      </c>
      <c r="EG4" s="10">
        <f>BR$4+DX1</f>
        <v>476.26273659360891</v>
      </c>
      <c r="EH4" s="10">
        <f t="shared" ref="EH4:ET4" si="40">BS$4</f>
        <v>382.54987460430328</v>
      </c>
      <c r="EI4" s="10">
        <f t="shared" si="40"/>
        <v>470.22965994370645</v>
      </c>
      <c r="EJ4" s="10">
        <f t="shared" si="40"/>
        <v>478.19251415296429</v>
      </c>
      <c r="EK4" s="10">
        <f t="shared" si="40"/>
        <v>442.70521985422948</v>
      </c>
      <c r="EL4" s="10">
        <f t="shared" si="40"/>
        <v>541.29520844937724</v>
      </c>
      <c r="EM4" s="10">
        <f t="shared" si="40"/>
        <v>584.98303537982031</v>
      </c>
      <c r="EN4" s="10">
        <f t="shared" si="40"/>
        <v>669.18232058492106</v>
      </c>
      <c r="EO4" s="10">
        <f t="shared" si="40"/>
        <v>744.8855541715368</v>
      </c>
      <c r="EP4" s="10">
        <f t="shared" si="40"/>
        <v>477.43165878303091</v>
      </c>
      <c r="EQ4" s="10">
        <f t="shared" si="40"/>
        <v>401.77433408539878</v>
      </c>
      <c r="ER4" s="10">
        <f t="shared" si="40"/>
        <v>241.89468017511055</v>
      </c>
      <c r="ES4" s="10">
        <f t="shared" si="40"/>
        <v>71.346480276741005</v>
      </c>
      <c r="ET4" s="10">
        <f t="shared" si="40"/>
        <v>9.9140279249079573</v>
      </c>
      <c r="EU4" s="10">
        <f t="shared" si="9"/>
        <v>8168.6682478954508</v>
      </c>
      <c r="EV4" s="10">
        <f t="shared" ref="EV4:EV14" si="41">EA4*3/5+EB4*3/5</f>
        <v>372.27591628229254</v>
      </c>
      <c r="EW4" s="10">
        <f t="shared" ref="EW4:EW14" si="42">EB4*2/5+EC4*1/5</f>
        <v>200.07445248887998</v>
      </c>
      <c r="EX4" s="10">
        <f t="shared" si="10"/>
        <v>3201.4120913814677</v>
      </c>
      <c r="EY4" s="10">
        <f t="shared" ref="EY4:EY14" si="43">SUM(EO4:ET4)</f>
        <v>1947.2467354167261</v>
      </c>
      <c r="EZ4" s="14">
        <f t="shared" ref="EZ4:EZ14" si="44">EX4/EU4</f>
        <v>0.39191358912222551</v>
      </c>
      <c r="FA4" s="14">
        <f t="shared" ref="FA4:FA14" si="45">EY4/EU4</f>
        <v>0.23837995084675012</v>
      </c>
      <c r="FB4" s="10">
        <f>SUM(ED4:EG4)</f>
        <v>1457.0478924063436</v>
      </c>
    </row>
    <row r="5" spans="1:158" x14ac:dyDescent="0.15">
      <c r="A5" s="7" t="str">
        <f t="shared" si="11"/>
        <v>2005_3</v>
      </c>
      <c r="B5" s="30">
        <v>2005</v>
      </c>
      <c r="C5" s="5" t="s">
        <v>23</v>
      </c>
      <c r="D5" s="11">
        <v>715.04855195911409</v>
      </c>
      <c r="E5" s="11">
        <v>937.04770017035776</v>
      </c>
      <c r="F5" s="11">
        <v>1016.0519591141397</v>
      </c>
      <c r="G5" s="11">
        <v>1073.0536626916523</v>
      </c>
      <c r="H5" s="11">
        <v>711.04514480408852</v>
      </c>
      <c r="I5" s="11">
        <v>861.05962521294714</v>
      </c>
      <c r="J5" s="11">
        <v>1017.0604770017036</v>
      </c>
      <c r="K5" s="11">
        <v>941.0587734241908</v>
      </c>
      <c r="L5" s="11">
        <v>1063.0749574105621</v>
      </c>
      <c r="M5" s="11">
        <v>1167.0741056218058</v>
      </c>
      <c r="N5" s="11">
        <v>1399.0706984667802</v>
      </c>
      <c r="O5" s="11">
        <v>1639.0817717206132</v>
      </c>
      <c r="P5" s="11">
        <v>1203.0621805792164</v>
      </c>
      <c r="Q5" s="11">
        <v>1231.0494037478707</v>
      </c>
      <c r="R5" s="11">
        <v>1235.0596252129471</v>
      </c>
      <c r="S5" s="11">
        <v>883.04344122657585</v>
      </c>
      <c r="T5" s="11">
        <v>580.0323679727428</v>
      </c>
      <c r="U5" s="11">
        <v>268.01703577512774</v>
      </c>
      <c r="V5" s="11">
        <v>122.0076660988075</v>
      </c>
      <c r="W5" s="11">
        <v>26.000851788756389</v>
      </c>
      <c r="X5" s="11">
        <v>5</v>
      </c>
      <c r="Y5" s="11">
        <f>SUM(D5:X5)</f>
        <v>18093.000000000004</v>
      </c>
      <c r="Z5" s="11">
        <f t="shared" si="12"/>
        <v>1171.8597955706985</v>
      </c>
      <c r="AA5" s="11">
        <f t="shared" si="13"/>
        <v>621.03151618398635</v>
      </c>
      <c r="AB5" s="11">
        <f t="shared" si="0"/>
        <v>4350.2103918228286</v>
      </c>
      <c r="AC5" s="11">
        <f t="shared" si="14"/>
        <v>1884.1013628620103</v>
      </c>
      <c r="AD5" s="15">
        <f t="shared" si="15"/>
        <v>0.24043610190807649</v>
      </c>
      <c r="AE5" s="15">
        <f t="shared" si="16"/>
        <v>0.1041342708706135</v>
      </c>
      <c r="AF5" s="11">
        <f t="shared" si="17"/>
        <v>3530.2240204429299</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1.0154570192183583</v>
      </c>
      <c r="AN5" s="6">
        <f t="shared" si="1"/>
        <v>0.98152360112375436</v>
      </c>
      <c r="AO5" s="6">
        <f t="shared" si="1"/>
        <v>1.0226541072335573</v>
      </c>
      <c r="AP5" s="6">
        <f t="shared" si="1"/>
        <v>0.46005671058267228</v>
      </c>
      <c r="AQ5" s="6">
        <f t="shared" si="1"/>
        <v>1.3389374055689938</v>
      </c>
      <c r="AR5" s="6">
        <f t="shared" si="1"/>
        <v>1.0464204064054181</v>
      </c>
      <c r="AS5" s="6">
        <f t="shared" si="1"/>
        <v>1.0318335991223251</v>
      </c>
      <c r="AT5" s="6">
        <f t="shared" si="1"/>
        <v>0.93083871578306387</v>
      </c>
      <c r="AU5" s="6">
        <f t="shared" si="1"/>
        <v>0.98219011143627344</v>
      </c>
      <c r="AV5" s="6">
        <f t="shared" si="1"/>
        <v>0.97050110633206654</v>
      </c>
      <c r="AW5" s="6">
        <f t="shared" si="1"/>
        <v>1.0004315179306635</v>
      </c>
      <c r="AX5" s="6">
        <f t="shared" si="1"/>
        <v>0.98606308489005634</v>
      </c>
      <c r="AY5" s="6">
        <f t="shared" si="1"/>
        <v>0.95723491810326677</v>
      </c>
      <c r="AZ5" s="6">
        <f t="shared" si="1"/>
        <v>0.89202166453521581</v>
      </c>
      <c r="BA5" s="6">
        <f t="shared" si="1"/>
        <v>0.90204274370819748</v>
      </c>
      <c r="BB5" s="6">
        <f t="shared" si="1"/>
        <v>0.79523989208918466</v>
      </c>
      <c r="BC5" s="6">
        <f t="shared" si="1"/>
        <v>0.62816973607198312</v>
      </c>
      <c r="BD5" s="6">
        <f t="shared" si="1"/>
        <v>0.42992487147036873</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0.43309403305185945</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434.08454932981965</v>
      </c>
      <c r="BL5" s="16">
        <f t="shared" ref="BL5:CE5" si="46">BL3+BL4</f>
        <v>553.02915151761067</v>
      </c>
      <c r="BM5" s="16">
        <f t="shared" si="46"/>
        <v>672.76133788795119</v>
      </c>
      <c r="BN5" s="16">
        <f t="shared" si="46"/>
        <v>818.79230605524231</v>
      </c>
      <c r="BO5" s="16">
        <f t="shared" si="46"/>
        <v>444.91618848148045</v>
      </c>
      <c r="BP5" s="16">
        <f t="shared" si="46"/>
        <v>522.38487393170362</v>
      </c>
      <c r="BQ5" s="16">
        <f t="shared" si="46"/>
        <v>501.35956088641831</v>
      </c>
      <c r="BR5" s="16">
        <f t="shared" si="46"/>
        <v>638.37404152310387</v>
      </c>
      <c r="BS5" s="16">
        <f t="shared" si="46"/>
        <v>736.54375871484126</v>
      </c>
      <c r="BT5" s="16">
        <f t="shared" si="46"/>
        <v>907.64207025309452</v>
      </c>
      <c r="BU5" s="16">
        <f t="shared" si="46"/>
        <v>971.63014454071447</v>
      </c>
      <c r="BV5" s="16">
        <f t="shared" si="46"/>
        <v>887.19995010750176</v>
      </c>
      <c r="BW5" s="16">
        <f t="shared" si="46"/>
        <v>1009.5219172157379</v>
      </c>
      <c r="BX5" s="16">
        <f t="shared" si="46"/>
        <v>1113.6037435483606</v>
      </c>
      <c r="BY5" s="16">
        <f t="shared" si="46"/>
        <v>1231.9432262519508</v>
      </c>
      <c r="BZ5" s="16">
        <f t="shared" si="46"/>
        <v>1339.9781127914985</v>
      </c>
      <c r="CA5" s="16">
        <f t="shared" si="46"/>
        <v>820.33044470929508</v>
      </c>
      <c r="CB5" s="16">
        <f t="shared" si="46"/>
        <v>623.36573826433221</v>
      </c>
      <c r="CC5" s="16">
        <f t="shared" si="46"/>
        <v>343.26827704822279</v>
      </c>
      <c r="CD5" s="16">
        <f t="shared" si="46"/>
        <v>98.981072802181274</v>
      </c>
      <c r="CE5" s="16">
        <f t="shared" si="46"/>
        <v>10.10219795138944</v>
      </c>
      <c r="CF5" s="11">
        <f>SUM(BK5:CE5)</f>
        <v>14679.812663812452</v>
      </c>
      <c r="CG5" s="11">
        <f t="shared" si="20"/>
        <v>735.47429364333709</v>
      </c>
      <c r="CH5" s="11">
        <f t="shared" si="21"/>
        <v>432.86299636622891</v>
      </c>
      <c r="CI5" s="11">
        <f t="shared" si="3"/>
        <v>5581.572813367231</v>
      </c>
      <c r="CJ5" s="11">
        <f t="shared" si="22"/>
        <v>3236.0258435669193</v>
      </c>
      <c r="CK5" s="15">
        <f t="shared" si="23"/>
        <v>0.380220983822668</v>
      </c>
      <c r="CL5" s="15">
        <f t="shared" si="24"/>
        <v>0.22044054087584658</v>
      </c>
      <c r="CM5" s="11">
        <f t="shared" si="25"/>
        <v>2107.034664822706</v>
      </c>
      <c r="CO5" s="7" t="str">
        <f t="shared" si="26"/>
        <v>2025_3</v>
      </c>
      <c r="CP5" s="30">
        <f>CP4</f>
        <v>2025</v>
      </c>
      <c r="CQ5" s="5" t="s">
        <v>23</v>
      </c>
      <c r="CR5" s="16">
        <f>CR3+CR4</f>
        <v>436.08454932981965</v>
      </c>
      <c r="CS5" s="16">
        <f t="shared" ref="CS5" si="47">CS3+CS4</f>
        <v>553.02915151761067</v>
      </c>
      <c r="CT5" s="16">
        <f t="shared" ref="CT5" si="48">CT3+CT4</f>
        <v>674.76133788795119</v>
      </c>
      <c r="CU5" s="16">
        <f t="shared" ref="CU5" si="49">CU3+CU4</f>
        <v>818.79230605524231</v>
      </c>
      <c r="CV5" s="16">
        <f t="shared" ref="CV5" si="50">CV3+CV4</f>
        <v>444.91618848148045</v>
      </c>
      <c r="CW5" s="16">
        <f t="shared" ref="CW5" si="51">CW3+CW4</f>
        <v>526.38487393170362</v>
      </c>
      <c r="CX5" s="16">
        <f t="shared" ref="CX5" si="52">CX3+CX4</f>
        <v>501.35956088641831</v>
      </c>
      <c r="CY5" s="16">
        <f t="shared" ref="CY5" si="53">CY3+CY4</f>
        <v>638.37404152310387</v>
      </c>
      <c r="CZ5" s="16">
        <f t="shared" ref="CZ5" si="54">CZ3+CZ4</f>
        <v>737.54375871484126</v>
      </c>
      <c r="DA5" s="16">
        <f t="shared" ref="DA5" si="55">DA3+DA4</f>
        <v>907.64207025309452</v>
      </c>
      <c r="DB5" s="16">
        <f t="shared" ref="DB5" si="56">DB3+DB4</f>
        <v>971.63014454071447</v>
      </c>
      <c r="DC5" s="16">
        <f t="shared" ref="DC5" si="57">DC3+DC4</f>
        <v>887.19995010750176</v>
      </c>
      <c r="DD5" s="16">
        <f t="shared" ref="DD5" si="58">DD3+DD4</f>
        <v>1009.5219172157379</v>
      </c>
      <c r="DE5" s="16">
        <f t="shared" ref="DE5" si="59">DE3+DE4</f>
        <v>1113.6037435483606</v>
      </c>
      <c r="DF5" s="16">
        <f t="shared" ref="DF5" si="60">DF3+DF4</f>
        <v>1231.9432262519508</v>
      </c>
      <c r="DG5" s="16">
        <f t="shared" ref="DG5" si="61">DG3+DG4</f>
        <v>1339.9781127914985</v>
      </c>
      <c r="DH5" s="16">
        <f t="shared" ref="DH5" si="62">DH3+DH4</f>
        <v>820.33044470929508</v>
      </c>
      <c r="DI5" s="16">
        <f t="shared" ref="DI5" si="63">DI3+DI4</f>
        <v>623.36573826433221</v>
      </c>
      <c r="DJ5" s="16">
        <f t="shared" ref="DJ5" si="64">DJ3+DJ4</f>
        <v>343.26827704822279</v>
      </c>
      <c r="DK5" s="16">
        <f t="shared" ref="DK5" si="65">DK3+DK4</f>
        <v>98.981072802181274</v>
      </c>
      <c r="DL5" s="16">
        <f t="shared" ref="DL5" si="66">DL3+DL4</f>
        <v>10.10219795138944</v>
      </c>
      <c r="DM5" s="11">
        <f>SUM(CR5:DL5)</f>
        <v>14688.812663812452</v>
      </c>
      <c r="DN5" s="11">
        <f t="shared" si="34"/>
        <v>736.67429364333702</v>
      </c>
      <c r="DO5" s="11">
        <f t="shared" si="35"/>
        <v>433.66299636622898</v>
      </c>
      <c r="DP5" s="11">
        <f t="shared" si="6"/>
        <v>5581.572813367231</v>
      </c>
      <c r="DQ5" s="11">
        <f t="shared" si="36"/>
        <v>3236.0258435669193</v>
      </c>
      <c r="DR5" s="15">
        <f t="shared" si="37"/>
        <v>0.37998801816828026</v>
      </c>
      <c r="DS5" s="15">
        <f t="shared" si="38"/>
        <v>0.22030547448802545</v>
      </c>
      <c r="DT5" s="11">
        <f>SUM(CV5:CY5)</f>
        <v>2111.034664822706</v>
      </c>
      <c r="DV5" s="311"/>
      <c r="DW5" s="312"/>
      <c r="DX5" s="30">
        <f>DX4</f>
        <v>2025</v>
      </c>
      <c r="DY5" s="5" t="s">
        <v>23</v>
      </c>
      <c r="DZ5" s="16">
        <f>DZ3+DZ4</f>
        <v>434.08454932981965</v>
      </c>
      <c r="EA5" s="16">
        <f t="shared" ref="EA5:ET5" si="67">EA3+EA4</f>
        <v>553.02915151761067</v>
      </c>
      <c r="EB5" s="16">
        <f t="shared" si="67"/>
        <v>672.76133788795119</v>
      </c>
      <c r="EC5" s="16">
        <f t="shared" si="67"/>
        <v>818.79230605524231</v>
      </c>
      <c r="ED5" s="16">
        <f t="shared" si="67"/>
        <v>444.91618848148045</v>
      </c>
      <c r="EE5" s="16">
        <f t="shared" si="67"/>
        <v>848.38487393170362</v>
      </c>
      <c r="EF5" s="16">
        <f t="shared" si="67"/>
        <v>827.35956088641831</v>
      </c>
      <c r="EG5" s="16">
        <f t="shared" si="67"/>
        <v>964.37404152310387</v>
      </c>
      <c r="EH5" s="16">
        <f t="shared" si="67"/>
        <v>736.54375871484126</v>
      </c>
      <c r="EI5" s="16">
        <f t="shared" si="67"/>
        <v>907.64207025309452</v>
      </c>
      <c r="EJ5" s="16">
        <f t="shared" si="67"/>
        <v>971.63014454071447</v>
      </c>
      <c r="EK5" s="16">
        <f t="shared" si="67"/>
        <v>887.19995010750176</v>
      </c>
      <c r="EL5" s="16">
        <f t="shared" si="67"/>
        <v>1009.5219172157379</v>
      </c>
      <c r="EM5" s="16">
        <f t="shared" si="67"/>
        <v>1113.6037435483606</v>
      </c>
      <c r="EN5" s="16">
        <f t="shared" si="67"/>
        <v>1231.9432262519508</v>
      </c>
      <c r="EO5" s="16">
        <f t="shared" si="67"/>
        <v>1339.9781127914985</v>
      </c>
      <c r="EP5" s="16">
        <f t="shared" si="67"/>
        <v>820.33044470929508</v>
      </c>
      <c r="EQ5" s="16">
        <f t="shared" si="67"/>
        <v>623.36573826433221</v>
      </c>
      <c r="ER5" s="16">
        <f t="shared" si="67"/>
        <v>343.26827704822279</v>
      </c>
      <c r="ES5" s="16">
        <f t="shared" si="67"/>
        <v>98.981072802181274</v>
      </c>
      <c r="ET5" s="16">
        <f t="shared" si="67"/>
        <v>10.10219795138944</v>
      </c>
      <c r="EU5" s="11">
        <f>SUM(DZ5:ET5)</f>
        <v>15657.812663812452</v>
      </c>
      <c r="EV5" s="11">
        <f t="shared" si="41"/>
        <v>735.47429364333709</v>
      </c>
      <c r="EW5" s="11">
        <f t="shared" si="42"/>
        <v>432.86299636622891</v>
      </c>
      <c r="EX5" s="11">
        <f t="shared" si="10"/>
        <v>5581.572813367231</v>
      </c>
      <c r="EY5" s="11">
        <f t="shared" si="43"/>
        <v>3236.0258435669193</v>
      </c>
      <c r="EZ5" s="15">
        <f t="shared" si="44"/>
        <v>0.35647206498178896</v>
      </c>
      <c r="FA5" s="15">
        <f t="shared" si="45"/>
        <v>0.20667164137465122</v>
      </c>
      <c r="FB5" s="11">
        <f>SUM(ED5:EG5)</f>
        <v>3085.034664822706</v>
      </c>
    </row>
    <row r="6" spans="1:158" x14ac:dyDescent="0.15">
      <c r="A6" s="7" t="str">
        <f t="shared" si="11"/>
        <v>2010_1</v>
      </c>
      <c r="B6" s="28">
        <v>2010</v>
      </c>
      <c r="C6" s="3" t="s">
        <v>21</v>
      </c>
      <c r="D6" s="9">
        <v>379.68467116779192</v>
      </c>
      <c r="E6" s="9">
        <v>438.69767441860466</v>
      </c>
      <c r="F6" s="9">
        <v>521.73635075435527</v>
      </c>
      <c r="G6" s="9">
        <v>524.58131199466538</v>
      </c>
      <c r="H6" s="9">
        <v>277.47153455030423</v>
      </c>
      <c r="I6" s="9">
        <v>347.46511627906978</v>
      </c>
      <c r="J6" s="9">
        <v>434.72993248312082</v>
      </c>
      <c r="K6" s="9">
        <v>538.83329165624741</v>
      </c>
      <c r="L6" s="9">
        <v>461.79444861215308</v>
      </c>
      <c r="M6" s="9">
        <v>479.64582812369758</v>
      </c>
      <c r="N6" s="9">
        <v>552.3940151704594</v>
      </c>
      <c r="O6" s="9">
        <v>655.67166791697923</v>
      </c>
      <c r="P6" s="9">
        <v>780.9883304159373</v>
      </c>
      <c r="Q6" s="9">
        <v>565.52321413686764</v>
      </c>
      <c r="R6" s="9">
        <v>513.74276902558972</v>
      </c>
      <c r="S6" s="9">
        <v>489.57489372343088</v>
      </c>
      <c r="T6" s="9">
        <v>296.32933233308324</v>
      </c>
      <c r="U6" s="9">
        <v>114.08393765107944</v>
      </c>
      <c r="V6" s="9">
        <v>30.051679586563306</v>
      </c>
      <c r="W6" s="9">
        <v>7</v>
      </c>
      <c r="X6" s="9">
        <v>0</v>
      </c>
      <c r="Y6" s="9">
        <f t="shared" ref="Y6:Y11" si="68">SUM(D6:X6)</f>
        <v>8410.0000000000018</v>
      </c>
      <c r="Z6" s="9">
        <f t="shared" si="12"/>
        <v>576.26041510377593</v>
      </c>
      <c r="AA6" s="9">
        <f t="shared" si="13"/>
        <v>313.61080270067521</v>
      </c>
      <c r="AB6" s="9">
        <f t="shared" si="0"/>
        <v>2016.3058264566143</v>
      </c>
      <c r="AC6" s="9">
        <f t="shared" si="14"/>
        <v>937.03984329415675</v>
      </c>
      <c r="AD6" s="13">
        <f t="shared" si="15"/>
        <v>0.23975099006618478</v>
      </c>
      <c r="AE6" s="13">
        <f t="shared" si="16"/>
        <v>0.11141971977338366</v>
      </c>
      <c r="AF6" s="9">
        <f t="shared" si="17"/>
        <v>1598.4998749687422</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1.0911442332635706</v>
      </c>
      <c r="AN6" s="193">
        <f t="shared" si="18"/>
        <v>1.0230427335302354</v>
      </c>
      <c r="AO6" s="193">
        <f t="shared" si="18"/>
        <v>0.95538480211597077</v>
      </c>
      <c r="AP6" s="193">
        <f t="shared" si="18"/>
        <v>0.55024139641723313</v>
      </c>
      <c r="AQ6" s="193">
        <f t="shared" si="18"/>
        <v>1.0840459365246327</v>
      </c>
      <c r="AR6" s="193">
        <f t="shared" si="18"/>
        <v>1.0294309086266153</v>
      </c>
      <c r="AS6" s="193">
        <f t="shared" si="18"/>
        <v>1.0279933206713194</v>
      </c>
      <c r="AT6" s="193">
        <f t="shared" si="18"/>
        <v>0.91369970483190155</v>
      </c>
      <c r="AU6" s="193">
        <f t="shared" si="18"/>
        <v>0.96657197036034515</v>
      </c>
      <c r="AV6" s="193">
        <f t="shared" si="18"/>
        <v>0.99204248007562212</v>
      </c>
      <c r="AW6" s="193">
        <f t="shared" si="18"/>
        <v>0.96260277118649373</v>
      </c>
      <c r="AX6" s="193">
        <f t="shared" si="18"/>
        <v>0.99258863949594489</v>
      </c>
      <c r="AY6" s="193">
        <f t="shared" si="18"/>
        <v>0.97339137217582861</v>
      </c>
      <c r="AZ6" s="193">
        <f t="shared" si="18"/>
        <v>0.93286302025190482</v>
      </c>
      <c r="BA6" s="193">
        <f t="shared" si="18"/>
        <v>0.94374457594969396</v>
      </c>
      <c r="BB6" s="193">
        <f t="shared" si="18"/>
        <v>0.88540180014808745</v>
      </c>
      <c r="BC6" s="193">
        <f t="shared" si="18"/>
        <v>0.70429929721593787</v>
      </c>
      <c r="BD6" s="193">
        <f t="shared" si="18"/>
        <v>0.5202083872807477</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0.31924676478730807</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0.11627389359475719</v>
      </c>
      <c r="BH6" s="7" t="str">
        <f t="shared" si="19"/>
        <v>2030_1</v>
      </c>
      <c r="BI6" s="28">
        <f>管理者入力シート!B9</f>
        <v>2030</v>
      </c>
      <c r="BJ6" s="3" t="s">
        <v>21</v>
      </c>
      <c r="BK6" s="9">
        <f>CM7*$AK$13</f>
        <v>177.46307162237096</v>
      </c>
      <c r="BL6" s="9">
        <f>IF(管理者入力シート!$B$14=1,BK3*管理者用人口入力シート!AM$3,IF(管理者入力シート!$B$14=2,BK3*管理者用人口入力シート!AM$7))</f>
        <v>214.07270960784558</v>
      </c>
      <c r="BM6" s="9">
        <f>IF(管理者入力シート!$B$14=1,BL3*管理者用人口入力シート!AN$3,IF(管理者入力シート!$B$14=2,BL3*管理者用人口入力シート!AN$7))</f>
        <v>266.45156312508414</v>
      </c>
      <c r="BN6" s="9">
        <f>IF(管理者入力シート!$B$14=1,BM3*管理者用人口入力シート!AO$3,IF(管理者入力シート!$B$14=2,BM3*管理者用人口入力シート!AO$7))</f>
        <v>397.25086680741975</v>
      </c>
      <c r="BO6" s="9">
        <f>IF(管理者入力シート!$B$14=1,BN3*管理者用人口入力シート!AP$3,IF(管理者入力シート!$B$14=2,BN3*管理者用人口入力シート!AP$7))</f>
        <v>212.49662058191274</v>
      </c>
      <c r="BP6" s="9">
        <f>IF(管理者入力シート!$B$14=1,BO3*管理者用人口入力シート!AQ$3,IF(管理者入力シート!$B$14=2,BO3*管理者用人口入力シート!AQ$7))</f>
        <v>315.15257138346482</v>
      </c>
      <c r="BQ6" s="9">
        <f>IF(管理者入力シート!$B$14=1,BP3*管理者用人口入力シート!AR$3,IF(管理者入力シート!$B$14=2,BP3*管理者用人口入力シート!AR$7))</f>
        <v>277.37338348196232</v>
      </c>
      <c r="BR6" s="9">
        <f>IF(管理者入力シート!$B$14=1,BQ3*管理者用人口入力シート!AS$3,IF(管理者入力シート!$B$14=2,BQ3*管理者用人口入力シート!AS$7))</f>
        <v>277.03733705260959</v>
      </c>
      <c r="BS6" s="9">
        <f>IF(管理者入力シート!$B$14=1,BR3*管理者用人口入力シート!AT$3,IF(管理者入力シート!$B$14=2,BR3*管理者用人口入力シート!AT$7))</f>
        <v>310.11506797817839</v>
      </c>
      <c r="BT6" s="9">
        <f>IF(管理者入力シート!$B$14=1,BS3*管理者用人口入力シート!AU$3,IF(管理者入力シート!$B$14=2,BS3*管理者用人口入力シート!AU$7))</f>
        <v>353.14291244044722</v>
      </c>
      <c r="BU6" s="9">
        <f>IF(管理者入力シート!$B$14=1,BT3*管理者用人口入力シート!AV$3,IF(管理者入力シート!$B$14=2,BT3*管理者用人口入力シート!AV$7))</f>
        <v>424.69837034444868</v>
      </c>
      <c r="BV6" s="9">
        <f>IF(管理者入力シート!$B$14=1,BU3*管理者用人口入力シート!AW$3,IF(管理者入力シート!$B$14=2,BU3*管理者用人口入力シート!AW$7))</f>
        <v>497.81922569690238</v>
      </c>
      <c r="BW6" s="9">
        <f>IF(管理者入力シート!$B$14=1,BV3*管理者用人口入力シート!AX$3,IF(管理者入力シート!$B$14=2,BV3*管理者用人口入力シート!AX$7))</f>
        <v>439.45525481525073</v>
      </c>
      <c r="BX6" s="9">
        <f>IF(管理者入力シート!$B$14=1,BW3*管理者用人口入力シート!AY$3,IF(管理者入力シート!$B$14=2,BW3*管理者用人口入力シート!AY$7))</f>
        <v>451.82747370943486</v>
      </c>
      <c r="BY6" s="9">
        <f>IF(管理者入力シート!$B$14=1,BX3*管理者用人口入力シート!AZ$3,IF(管理者入力シート!$B$14=2,BX3*管理者用人口入力シート!AZ$7))</f>
        <v>473.00159226248104</v>
      </c>
      <c r="BZ6" s="9">
        <f>IF(管理者入力シート!$B$14=1,BY3*管理者用人口入力シート!BA$3,IF(管理者入力シート!$B$14=2,BY3*管理者用人口入力シート!BA$7))</f>
        <v>499.09578658845652</v>
      </c>
      <c r="CA6" s="9">
        <f>IF(管理者入力シート!$B$14=1,BZ3*管理者用人口入力シート!BB$3,IF(管理者入力シート!$B$14=2,BZ3*管理者用人口入力シート!BB$7))</f>
        <v>463.90791025633052</v>
      </c>
      <c r="CB6" s="9">
        <f>IF(管理者入力シート!$B$14=1,CA3*管理者用人口入力シート!BC$3,IF(管理者入力シート!$B$14=2,CA3*管理者用人口入力シート!BC$7))</f>
        <v>214.56044374583311</v>
      </c>
      <c r="CC6" s="9">
        <f>IF(管理者入力シート!$B$14=1,CB3*管理者用人口入力シート!BD$3,IF(管理者入力シート!$B$14=2,CB3*管理者用人口入力シート!BD$7))</f>
        <v>92.56995578301435</v>
      </c>
      <c r="CD6" s="9">
        <f>IF(管理者入力シート!$B$14=1,CC3*管理者用人口入力シート!BE$3,IF(管理者入力シート!$B$14=2,CC3*管理者用人口入力シート!BE$7))</f>
        <v>37.075289111303057</v>
      </c>
      <c r="CE6" s="9">
        <f>IF(管理者入力シート!$B$14=1,CD3*管理者用人口入力シート!BF$3,IF(管理者入力シート!$B$14=2,CD3*管理者用人口入力シート!BF$7))</f>
        <v>0.34328059831454039</v>
      </c>
      <c r="CF6" s="9">
        <f t="shared" si="2"/>
        <v>6394.9106869930656</v>
      </c>
      <c r="CG6" s="9">
        <f t="shared" si="20"/>
        <v>288.31456363975781</v>
      </c>
      <c r="CH6" s="9">
        <f t="shared" si="21"/>
        <v>186.03079861151758</v>
      </c>
      <c r="CI6" s="9">
        <f t="shared" si="3"/>
        <v>2232.381732055168</v>
      </c>
      <c r="CJ6" s="9">
        <f t="shared" si="22"/>
        <v>1307.5526660832522</v>
      </c>
      <c r="CK6" s="13">
        <f t="shared" si="23"/>
        <v>0.3490872416085064</v>
      </c>
      <c r="CL6" s="13">
        <f t="shared" si="24"/>
        <v>0.20446769784334129</v>
      </c>
      <c r="CM6" s="9">
        <f t="shared" si="25"/>
        <v>1082.0599124999494</v>
      </c>
      <c r="CO6" s="7" t="str">
        <f t="shared" si="26"/>
        <v>2030_1</v>
      </c>
      <c r="CP6" s="28">
        <f>管理者入力シート!B9</f>
        <v>2030</v>
      </c>
      <c r="CQ6" s="3" t="s">
        <v>21</v>
      </c>
      <c r="CR6" s="9">
        <f>DT7*$AK$13+将来予測シート②!$G17</f>
        <v>179.29628888311728</v>
      </c>
      <c r="CS6" s="9">
        <f>IF(管理者入力シート!$B$14=1,CR3*管理者用人口入力シート!AM$3,IF(管理者入力シート!$B$14=2,CR3*管理者用人口入力シート!AM$7))+将来予測シート②!$G18</f>
        <v>215.12098299264042</v>
      </c>
      <c r="CT6" s="9">
        <f>IF(管理者入力シート!$B$14=1,CS3*管理者用人口入力シート!AN$3,IF(管理者入力シート!$B$14=2,CS3*管理者用人口入力シート!AN$7))+将来予測シート②!$G19</f>
        <v>267.45156312508414</v>
      </c>
      <c r="CU6" s="9">
        <f>IF(管理者入力シート!$B$14=1,CT3*管理者用人口入力シート!AO$3,IF(管理者入力シート!$B$14=2,CT3*管理者用人口入力シート!AO$7))+将来予測シート②!$G20</f>
        <v>398.40222453232292</v>
      </c>
      <c r="CV6" s="9">
        <f>IF(管理者入力シート!$B$14=1,CU3*管理者用人口入力シート!AP$3,IF(管理者入力シート!$B$14=2,CU3*管理者用人口入力シート!AP$7))+将来予測シート②!$G21</f>
        <v>212.49662058191274</v>
      </c>
      <c r="CW6" s="9">
        <f>IF(管理者入力シート!$B$14=1,CV3*管理者用人口入力シート!AQ$3,IF(管理者入力シート!$B$14=2,CV3*管理者用人口入力シート!AQ$7))+将来予測シート②!$G22</f>
        <v>317.15257138346482</v>
      </c>
      <c r="CX6" s="9">
        <f>IF(管理者入力シート!$B$14=1,CW3*管理者用人口入力シート!AR$3,IF(管理者入力シート!$B$14=2,CW3*管理者用人口入力シート!AR$7))+将来予測シート②!$G23</f>
        <v>279.26261626020579</v>
      </c>
      <c r="CY6" s="9">
        <f>IF(管理者入力シート!$B$14=1,CX3*管理者用人口入力シート!AS$3,IF(管理者入力シート!$B$14=2,CX3*管理者用人口入力シート!AS$7))+将来予測シート②!$G24</f>
        <v>277.03733705260959</v>
      </c>
      <c r="CZ6" s="9">
        <f>IF(管理者入力シート!$B$14=1,CY3*管理者用人口入力シート!AT$3,IF(管理者入力シート!$B$14=2,CY3*管理者用人口入力シート!AT$7))+将来予測シート②!$G25</f>
        <v>310.11506797817839</v>
      </c>
      <c r="DA6" s="9">
        <f>IF(管理者入力シート!$B$14=1,CZ3*管理者用人口入力シート!AU$3,IF(管理者入力シート!$B$14=2,CZ3*管理者用人口入力シート!AU$7))+将来予測シート②!$G26</f>
        <v>353.14291244044722</v>
      </c>
      <c r="DB6" s="9">
        <f>IF(管理者入力シート!$B$14=1,DA3*管理者用人口入力シート!AV$3,IF(管理者入力シート!$B$14=2,DA3*管理者用人口入力シート!AV$7))+将来予測シート②!$G27</f>
        <v>424.69837034444868</v>
      </c>
      <c r="DC6" s="9">
        <f>IF(管理者入力シート!$B$14=1,DB3*管理者用人口入力シート!AW$3,IF(管理者入力シート!$B$14=2,DB3*管理者用人口入力シート!AW$7))+将来予測シート②!$G28</f>
        <v>497.81922569690238</v>
      </c>
      <c r="DD6" s="9">
        <f>IF(管理者入力シート!$B$14=1,DC3*管理者用人口入力シート!AX$3,IF(管理者入力シート!$B$14=2,DC3*管理者用人口入力シート!AX$7))+将来予測シート②!$G29</f>
        <v>439.45525481525073</v>
      </c>
      <c r="DE6" s="9">
        <f>IF(管理者入力シート!$B$14=1,DD3*管理者用人口入力シート!AY$3,IF(管理者入力シート!$B$14=2,DD3*管理者用人口入力シート!AY$7))</f>
        <v>451.82747370943486</v>
      </c>
      <c r="DF6" s="9">
        <f>IF(管理者入力シート!$B$14=1,DE3*管理者用人口入力シート!AZ$3,IF(管理者入力シート!$B$14=2,DE3*管理者用人口入力シート!AZ$7))</f>
        <v>473.00159226248104</v>
      </c>
      <c r="DG6" s="9">
        <f>IF(管理者入力シート!$B$14=1,DF3*管理者用人口入力シート!BA$3,IF(管理者入力シート!$B$14=2,DF3*管理者用人口入力シート!BA$7))</f>
        <v>499.09578658845652</v>
      </c>
      <c r="DH6" s="9">
        <f>IF(管理者入力シート!$B$14=1,DG3*管理者用人口入力シート!BB$3,IF(管理者入力シート!$B$14=2,DG3*管理者用人口入力シート!BB$7))</f>
        <v>463.90791025633052</v>
      </c>
      <c r="DI6" s="9">
        <f>IF(管理者入力シート!$B$14=1,DH3*管理者用人口入力シート!BC$3,IF(管理者入力シート!$B$14=2,DH3*管理者用人口入力シート!BC$7))</f>
        <v>214.56044374583311</v>
      </c>
      <c r="DJ6" s="9">
        <f>IF(管理者入力シート!$B$14=1,DI3*管理者用人口入力シート!BD$3,IF(管理者入力シート!$B$14=2,DI3*管理者用人口入力シート!BD$7))</f>
        <v>92.56995578301435</v>
      </c>
      <c r="DK6" s="9">
        <f>IF(管理者入力シート!$B$14=1,DJ3*管理者用人口入力シート!BE$3,IF(管理者入力シート!$B$14=2,DJ3*管理者用人口入力シート!BE$7))</f>
        <v>37.075289111303057</v>
      </c>
      <c r="DL6" s="9">
        <f>IF(管理者入力シート!$B$14=1,DK3*管理者用人口入力シート!BF$3,IF(管理者入力シート!$B$14=2,DK3*管理者用人口入力シート!BF$7))</f>
        <v>0.34328059831454039</v>
      </c>
      <c r="DM6" s="9">
        <f t="shared" ref="DM6:DM14" si="69">SUM(CR6:DL6)</f>
        <v>6403.8327681417541</v>
      </c>
      <c r="DN6" s="9">
        <f t="shared" si="34"/>
        <v>289.54352767063472</v>
      </c>
      <c r="DO6" s="9">
        <f t="shared" si="35"/>
        <v>186.66107015649823</v>
      </c>
      <c r="DP6" s="9">
        <f t="shared" si="6"/>
        <v>2232.381732055168</v>
      </c>
      <c r="DQ6" s="9">
        <f t="shared" si="36"/>
        <v>1307.5526660832522</v>
      </c>
      <c r="DR6" s="13">
        <f t="shared" si="37"/>
        <v>0.3486008790174816</v>
      </c>
      <c r="DS6" s="13">
        <f t="shared" si="38"/>
        <v>0.20418282510251656</v>
      </c>
      <c r="DT6" s="9">
        <f t="shared" ref="DT6:DT14" si="70">SUM(CV6:CY6)</f>
        <v>1085.9491452781931</v>
      </c>
      <c r="DV6" s="7" t="s">
        <v>400</v>
      </c>
      <c r="DX6" s="28">
        <f>管理者入力シート!B9</f>
        <v>2030</v>
      </c>
      <c r="DY6" s="3" t="s">
        <v>21</v>
      </c>
      <c r="DZ6" s="9">
        <f>FB7*$AK$13</f>
        <v>349.17273771165463</v>
      </c>
      <c r="EA6" s="129">
        <f>IF(管理者入力シート!$B$14=1,DZ3*管理者用人口入力シート!AM$3,IF(管理者入力シート!$B$14=2,DZ3*管理者用人口入力シート!AM$7))</f>
        <v>214.07270960784558</v>
      </c>
      <c r="EB6" s="9">
        <f>IF(管理者入力シート!$B$14=1,EA3*管理者用人口入力シート!AN$3,IF(管理者入力シート!$B$14=2,EA3*管理者用人口入力シート!AN$7))</f>
        <v>266.45156312508414</v>
      </c>
      <c r="EC6" s="9">
        <f>IF(管理者入力シート!$B$14=1,EB3*管理者用人口入力シート!AO$3,IF(管理者入力シート!$B$14=2,EB3*管理者用人口入力シート!AO$7))</f>
        <v>397.25086680741975</v>
      </c>
      <c r="ED6" s="9">
        <f>IF(管理者入力シート!$B$14=1,EC3*管理者用人口入力シート!AP$3,IF(管理者入力シート!$B$14=2,EC3*管理者用人口入力シート!AP$7))</f>
        <v>212.49662058191274</v>
      </c>
      <c r="EE6" s="9">
        <f>IF(管理者入力シート!$B$14=1,ED3*管理者用人口入力シート!AQ$3,IF(管理者入力シート!$B$14=2,ED3*管理者用人口入力シート!AQ$7))+DX1</f>
        <v>478.15257138346482</v>
      </c>
      <c r="EF6" s="9">
        <f>IF(管理者入力シート!$B$14=1,EE3*管理者用人口入力シート!AR$3,IF(管理者入力シート!$B$14=2,EE3*管理者用人口入力シート!AR$7))+DX1</f>
        <v>594.34585490880556</v>
      </c>
      <c r="EG6" s="9">
        <f>IF(管理者入力シート!$B$14=1,EF3*管理者用人口入力シート!AS$3,IF(管理者入力シート!$B$14=2,EF3*管理者用人口入力シート!AS$7))+DX1</f>
        <v>607.31432999417734</v>
      </c>
      <c r="EH6" s="9">
        <f>IF(管理者入力シート!$B$14=1,EG3*管理者用人口入力シート!AT$3,IF(管理者入力シート!$B$14=2,EG3*管理者用人口入力シート!AT$7))</f>
        <v>465.59645331913197</v>
      </c>
      <c r="EI6" s="9">
        <f>IF(管理者入力シート!$B$14=1,EH3*管理者用人口入力シート!AU$3,IF(管理者入力シート!$B$14=2,EH3*管理者用人口入力シート!AU$7))</f>
        <v>353.14291244044722</v>
      </c>
      <c r="EJ6" s="9">
        <f>IF(管理者入力シート!$B$14=1,EI3*管理者用人口入力シート!AV$3,IF(管理者入力シート!$B$14=2,EI3*管理者用人口入力シート!AV$7))</f>
        <v>424.69837034444868</v>
      </c>
      <c r="EK6" s="9">
        <f>IF(管理者入力シート!$B$14=1,EJ3*管理者用人口入力シート!AW$3,IF(管理者入力シート!$B$14=2,EJ3*管理者用人口入力シート!AW$7))</f>
        <v>497.81922569690238</v>
      </c>
      <c r="EL6" s="9">
        <f>IF(管理者入力シート!$B$14=1,EK3*管理者用人口入力シート!AX$3,IF(管理者入力シート!$B$14=2,EK3*管理者用人口入力シート!AX$7))</f>
        <v>439.45525481525073</v>
      </c>
      <c r="EM6" s="9">
        <f>IF(管理者入力シート!$B$14=1,EL3*管理者用人口入力シート!AY$3,IF(管理者入力シート!$B$14=2,EL3*管理者用人口入力シート!AY$7))</f>
        <v>451.82747370943486</v>
      </c>
      <c r="EN6" s="9">
        <f>IF(管理者入力シート!$B$14=1,EM3*管理者用人口入力シート!AZ$3,IF(管理者入力シート!$B$14=2,EM3*管理者用人口入力シート!AZ$7))</f>
        <v>473.00159226248104</v>
      </c>
      <c r="EO6" s="9">
        <f>IF(管理者入力シート!$B$14=1,EN3*管理者用人口入力シート!BA$3,IF(管理者入力シート!$B$14=2,EN3*管理者用人口入力シート!BA$7))</f>
        <v>499.09578658845652</v>
      </c>
      <c r="EP6" s="9">
        <f>IF(管理者入力シート!$B$14=1,EO3*管理者用人口入力シート!BB$3,IF(管理者入力シート!$B$14=2,EO3*管理者用人口入力シート!BB$7))</f>
        <v>463.90791025633052</v>
      </c>
      <c r="EQ6" s="9">
        <f>IF(管理者入力シート!$B$14=1,EP3*管理者用人口入力シート!BC$3,IF(管理者入力シート!$B$14=2,EP3*管理者用人口入力シート!BC$7))</f>
        <v>214.56044374583311</v>
      </c>
      <c r="ER6" s="9">
        <f>IF(管理者入力シート!$B$14=1,EQ3*管理者用人口入力シート!BD$3,IF(管理者入力シート!$B$14=2,EQ3*管理者用人口入力シート!BD$7))</f>
        <v>92.56995578301435</v>
      </c>
      <c r="ES6" s="9">
        <f>IF(管理者入力シート!$B$14=1,ER3*管理者用人口入力シート!BE$3,IF(管理者入力シート!$B$14=2,ER3*管理者用人口入力シート!BE$7))</f>
        <v>37.075289111303057</v>
      </c>
      <c r="ET6" s="9">
        <f>IF(管理者入力シート!$B$14=1,ES3*管理者用人口入力シート!BF$3,IF(管理者入力シート!$B$14=2,ES3*管理者用人口入力シート!BF$7))</f>
        <v>0.34328059831454039</v>
      </c>
      <c r="EU6" s="9">
        <f t="shared" ref="EU6:EU14" si="71">SUM(DZ6:ET6)</f>
        <v>7532.3512027917131</v>
      </c>
      <c r="EV6" s="9">
        <f t="shared" si="41"/>
        <v>288.31456363975781</v>
      </c>
      <c r="EW6" s="9">
        <f t="shared" si="42"/>
        <v>186.03079861151758</v>
      </c>
      <c r="EX6" s="9">
        <f t="shared" si="10"/>
        <v>2232.381732055168</v>
      </c>
      <c r="EY6" s="9">
        <f t="shared" si="43"/>
        <v>1307.5526660832522</v>
      </c>
      <c r="EZ6" s="13">
        <f t="shared" si="44"/>
        <v>0.29637249670830285</v>
      </c>
      <c r="FA6" s="13">
        <f t="shared" si="45"/>
        <v>0.17359156933609712</v>
      </c>
      <c r="FB6" s="9">
        <f t="shared" ref="FB6:FB14" si="72">SUM(ED6:EG6)</f>
        <v>1892.3093768683605</v>
      </c>
    </row>
    <row r="7" spans="1:158" x14ac:dyDescent="0.15">
      <c r="A7" s="7" t="str">
        <f t="shared" si="11"/>
        <v>2010_2</v>
      </c>
      <c r="B7" s="29">
        <v>2010</v>
      </c>
      <c r="C7" s="4" t="s">
        <v>22</v>
      </c>
      <c r="D7" s="10">
        <v>324.49693405840469</v>
      </c>
      <c r="E7" s="10">
        <v>366.64878273011908</v>
      </c>
      <c r="F7" s="10">
        <v>456.46050702954926</v>
      </c>
      <c r="G7" s="10">
        <v>445.37962167928606</v>
      </c>
      <c r="H7" s="10">
        <v>307.24794664307581</v>
      </c>
      <c r="I7" s="10">
        <v>393.52069835818179</v>
      </c>
      <c r="J7" s="10">
        <v>476.74625105161363</v>
      </c>
      <c r="K7" s="10">
        <v>516.70042238007272</v>
      </c>
      <c r="L7" s="10">
        <v>495.67528773016244</v>
      </c>
      <c r="M7" s="10">
        <v>567.6438217157131</v>
      </c>
      <c r="N7" s="10">
        <v>625.49008230773904</v>
      </c>
      <c r="O7" s="10">
        <v>736.59525234390583</v>
      </c>
      <c r="P7" s="10">
        <v>856.98890710240335</v>
      </c>
      <c r="Q7" s="10">
        <v>603.69239108752026</v>
      </c>
      <c r="R7" s="10">
        <v>646.55712538703722</v>
      </c>
      <c r="S7" s="10">
        <v>621.3252413290661</v>
      </c>
      <c r="T7" s="10">
        <v>464.36884968646734</v>
      </c>
      <c r="U7" s="10">
        <v>315.30147702928906</v>
      </c>
      <c r="V7" s="10">
        <v>144.0952480073548</v>
      </c>
      <c r="W7" s="10">
        <v>43.065152343038534</v>
      </c>
      <c r="X7" s="10">
        <v>4</v>
      </c>
      <c r="Y7" s="10">
        <f t="shared" si="68"/>
        <v>9412</v>
      </c>
      <c r="Z7" s="10">
        <f t="shared" si="12"/>
        <v>493.86557385580102</v>
      </c>
      <c r="AA7" s="10">
        <f t="shared" si="13"/>
        <v>271.66012714767692</v>
      </c>
      <c r="AB7" s="10">
        <f t="shared" si="0"/>
        <v>2842.4054848697729</v>
      </c>
      <c r="AC7" s="10">
        <f t="shared" si="14"/>
        <v>1592.155968395216</v>
      </c>
      <c r="AD7" s="14">
        <f t="shared" si="15"/>
        <v>0.30199803281659293</v>
      </c>
      <c r="AE7" s="14">
        <f t="shared" si="16"/>
        <v>0.16916234258342711</v>
      </c>
      <c r="AF7" s="10">
        <f t="shared" si="17"/>
        <v>1694.2153184329441</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1.0482733847948342</v>
      </c>
      <c r="AN7" s="48">
        <f t="shared" si="73"/>
        <v>1.0236229814746691</v>
      </c>
      <c r="AO7" s="48">
        <f t="shared" si="73"/>
        <v>1.1513577249031484</v>
      </c>
      <c r="AP7" s="48">
        <f t="shared" si="73"/>
        <v>0.44841262340828014</v>
      </c>
      <c r="AQ7" s="48">
        <f t="shared" si="73"/>
        <v>1.2591722803815719</v>
      </c>
      <c r="AR7" s="48">
        <f t="shared" si="73"/>
        <v>0.94461638912173762</v>
      </c>
      <c r="AS7" s="48">
        <f t="shared" si="73"/>
        <v>1.0262392205004154</v>
      </c>
      <c r="AT7" s="48">
        <f t="shared" si="73"/>
        <v>0.953873529699102</v>
      </c>
      <c r="AU7" s="48">
        <f t="shared" si="73"/>
        <v>0.99759608369441477</v>
      </c>
      <c r="AV7" s="48">
        <f t="shared" si="73"/>
        <v>0.97093351796775362</v>
      </c>
      <c r="AW7" s="48">
        <f t="shared" si="73"/>
        <v>1.0088797348222289</v>
      </c>
      <c r="AX7" s="48">
        <f t="shared" si="73"/>
        <v>0.98866246302818928</v>
      </c>
      <c r="AY7" s="48">
        <f t="shared" si="73"/>
        <v>0.96497586585751827</v>
      </c>
      <c r="AZ7" s="48">
        <f t="shared" si="73"/>
        <v>0.89478445500412329</v>
      </c>
      <c r="BA7" s="48">
        <f t="shared" si="73"/>
        <v>0.88687003941200893</v>
      </c>
      <c r="BB7" s="48">
        <f t="shared" si="73"/>
        <v>0.77955589182991558</v>
      </c>
      <c r="BC7" s="48">
        <f t="shared" si="73"/>
        <v>0.62572529432043988</v>
      </c>
      <c r="BD7" s="48">
        <f t="shared" si="73"/>
        <v>0.41775066197181898</v>
      </c>
      <c r="BE7" s="48">
        <f t="shared" si="73"/>
        <v>0.36572924563098641</v>
      </c>
      <c r="BF7" s="48">
        <f t="shared" si="73"/>
        <v>1.2422133526974135E-2</v>
      </c>
      <c r="BH7" s="7" t="str">
        <f t="shared" si="19"/>
        <v>2030_2</v>
      </c>
      <c r="BI7" s="29">
        <f>BI6</f>
        <v>2030</v>
      </c>
      <c r="BJ7" s="4" t="s">
        <v>22</v>
      </c>
      <c r="BK7" s="10">
        <f>CM7*$AK$14</f>
        <v>199.75767945979578</v>
      </c>
      <c r="BL7" s="10">
        <f>IF(管理者入力シート!$B$14=1,BK4*管理者用人口入力シート!AM$4,IF(管理者入力シート!$B$14=2,BK4*管理者用人口入力シート!AM$8))</f>
        <v>240.73842256461216</v>
      </c>
      <c r="BM7" s="10">
        <f>IF(管理者入力シート!$B$14=1,BL4*管理者用人口入力シート!AN$4,IF(管理者入力シート!$B$14=2,BL4*管理者用人口入力シート!AN$8))</f>
        <v>297.24781039691612</v>
      </c>
      <c r="BN7" s="10">
        <f>IF(管理者入力シート!$B$14=1,BM4*管理者用人口入力シート!AO$4,IF(管理者入力シート!$B$14=2,BM4*管理者用人口入力シート!AO$8))</f>
        <v>316.74477293973194</v>
      </c>
      <c r="BO7" s="10">
        <f>IF(管理者入力シート!$B$14=1,BN4*管理者用人口入力シート!AP$4,IF(管理者入力シート!$B$14=2,BN4*管理者用人口入力シート!AP$8))</f>
        <v>183.04933052272565</v>
      </c>
      <c r="BP7" s="10">
        <f>IF(管理者入力シート!$B$14=1,BO4*管理者用人口入力シート!AQ$4,IF(管理者入力シート!$B$14=2,BO4*管理者用人口入力シート!AQ$8))</f>
        <v>199.43762159876479</v>
      </c>
      <c r="BQ7" s="10">
        <f>IF(管理者入力シート!$B$14=1,BP4*管理者用人口入力シート!AR$4,IF(管理者入力シート!$B$14=2,BP4*管理者用人口入力シート!AR$8))</f>
        <v>223.00024987418601</v>
      </c>
      <c r="BR7" s="10">
        <f>IF(管理者入力シート!$B$14=1,BQ4*管理者用人口入力シート!AS$4,IF(管理者入力シート!$B$14=2,BQ4*管理者用人口入力シート!AS$8))</f>
        <v>235.74926592470834</v>
      </c>
      <c r="BS7" s="10">
        <f>IF(管理者入力シート!$B$14=1,BR4*管理者用人口入力シート!AT$4,IF(管理者入力シート!$B$14=2,BR4*管理者用人口入力シート!AT$8))</f>
        <v>293.00117424479458</v>
      </c>
      <c r="BT7" s="10">
        <f>IF(管理者入力シート!$B$14=1,BS4*管理者用人口入力シート!AU$4,IF(管理者入力シート!$B$14=2,BS4*管理者用人口入力シート!AU$8))</f>
        <v>383.35642058367335</v>
      </c>
      <c r="BU7" s="10">
        <f>IF(管理者入力シート!$B$14=1,BT4*管理者用人口入力シート!AV$4,IF(管理者入力シート!$B$14=2,BT4*管理者用人口入力シート!AV$8))</f>
        <v>458.43243053237529</v>
      </c>
      <c r="BV7" s="10">
        <f>IF(管理者入力シート!$B$14=1,BU4*管理者用人口入力シート!AW$4,IF(管理者入力シート!$B$14=2,BU4*管理者用人口入力シート!AW$8))</f>
        <v>461.19606479345316</v>
      </c>
      <c r="BW7" s="10">
        <f>IF(管理者入力シート!$B$14=1,BV4*管理者用人口入力シート!AX$4,IF(管理者入力シート!$B$14=2,BV4*管理者用人口入力シート!AX$8))</f>
        <v>440.37647289362644</v>
      </c>
      <c r="BX7" s="10">
        <f>IF(管理者入力シート!$B$14=1,BW4*管理者用人口入力シート!AY$4,IF(管理者入力シート!$B$14=2,BW4*管理者用人口入力シート!AY$8))</f>
        <v>527.54594229821032</v>
      </c>
      <c r="BY7" s="10">
        <f>IF(管理者入力シート!$B$14=1,BX4*管理者用人口入力シート!AZ$4,IF(管理者入力シート!$B$14=2,BX4*管理者用人口入力シート!AZ$8))</f>
        <v>548.68716189711904</v>
      </c>
      <c r="BZ7" s="10">
        <f>IF(管理者入力シート!$B$14=1,BY4*管理者用人口入力シート!BA$4,IF(管理者入力シート!$B$14=2,BY4*管理者用人口入力シート!BA$8))</f>
        <v>633.61600792598585</v>
      </c>
      <c r="CA7" s="10">
        <f>IF(管理者入力シート!$B$14=1,BZ4*管理者用人口入力シート!BB$4,IF(管理者入力シート!$B$14=2,BZ4*管理者用人口入力シート!BB$8))</f>
        <v>664.74991484685916</v>
      </c>
      <c r="CB7" s="10">
        <f>IF(管理者入力シート!$B$14=1,CA4*管理者用人口入力シート!BC$4,IF(管理者入力シート!$B$14=2,CA4*管理者用人口入力シート!BC$8))</f>
        <v>349.49016344267005</v>
      </c>
      <c r="CC7" s="10">
        <f>IF(管理者入力シート!$B$14=1,CB4*管理者用人口入力シート!BD$4,IF(管理者入力シート!$B$14=2,CB4*管理者用人口入力シート!BD$8))</f>
        <v>232.19821602230624</v>
      </c>
      <c r="CD7" s="10">
        <f>IF(管理者入力シート!$B$14=1,CC4*管理者用人口入力シート!BE$4,IF(管理者入力シート!$B$14=2,CC4*管理者用人口入力シート!BE$8))</f>
        <v>82.186882770521251</v>
      </c>
      <c r="CE7" s="10">
        <f>IF(管理者入力シート!$B$14=1,CD4*管理者用人口入力シート!BF$4,IF(管理者入力シート!$B$14=2,CD4*管理者用人口入力シート!BF$8))</f>
        <v>11.925963009054565</v>
      </c>
      <c r="CF7" s="10">
        <f t="shared" si="2"/>
        <v>6982.4879685420892</v>
      </c>
      <c r="CG7" s="10">
        <f t="shared" si="20"/>
        <v>322.79173977691698</v>
      </c>
      <c r="CH7" s="10">
        <f t="shared" si="21"/>
        <v>182.24807874671285</v>
      </c>
      <c r="CI7" s="10">
        <f t="shared" si="3"/>
        <v>3050.4002522127262</v>
      </c>
      <c r="CJ7" s="10">
        <f t="shared" si="22"/>
        <v>1974.167148017397</v>
      </c>
      <c r="CK7" s="14">
        <f t="shared" si="23"/>
        <v>0.43686437641648174</v>
      </c>
      <c r="CL7" s="14">
        <f t="shared" si="24"/>
        <v>0.28273119222138721</v>
      </c>
      <c r="CM7" s="10">
        <f t="shared" si="25"/>
        <v>841.23646792038483</v>
      </c>
      <c r="CO7" s="7" t="str">
        <f t="shared" si="26"/>
        <v>2030_2</v>
      </c>
      <c r="CP7" s="29">
        <f>CP6</f>
        <v>2030</v>
      </c>
      <c r="CQ7" s="4" t="s">
        <v>22</v>
      </c>
      <c r="CR7" s="10">
        <f>DT7*$AK$14+将来予測シート②!$H17</f>
        <v>201.69557343948924</v>
      </c>
      <c r="CS7" s="10">
        <f>IF(管理者入力シート!$B$14=1,CR4*管理者用人口入力シート!AM$4,IF(管理者入力シート!$B$14=2,CR4*管理者用人口入力シート!AM$8))+将来予測シート②!$H18</f>
        <v>241.785703442026</v>
      </c>
      <c r="CT7" s="10">
        <f>IF(管理者入力シート!$B$14=1,CS4*管理者用人口入力シート!AN$4,IF(管理者入力シート!$B$14=2,CS4*管理者用人口入力シート!AN$8))+将来予測シート②!$H19</f>
        <v>298.24781039691612</v>
      </c>
      <c r="CU7" s="10">
        <f>IF(管理者入力シート!$B$14=1,CT4*管理者用人口入力シート!AO$4,IF(管理者入力シート!$B$14=2,CT4*管理者用人口入力シート!AO$8))+将来予測シート②!$H20</f>
        <v>317.71124450580584</v>
      </c>
      <c r="CV7" s="10">
        <f>IF(管理者入力シート!$B$14=1,CU4*管理者用人口入力シート!AP$4,IF(管理者入力シート!$B$14=2,CU4*管理者用人口入力シート!AP$8))+将来予測シート②!$H21</f>
        <v>183.04933052272565</v>
      </c>
      <c r="CW7" s="10">
        <f>IF(管理者入力シート!$B$14=1,CV4*管理者用人口入力シート!AQ$4,IF(管理者入力シート!$B$14=2,CV4*管理者用人口入力シート!AQ$8))+将来予測シート②!$H22</f>
        <v>201.43762159876479</v>
      </c>
      <c r="CX7" s="10">
        <f>IF(管理者入力シート!$B$14=1,CW4*管理者用人口入力シート!AR$4,IF(管理者入力シート!$B$14=2,CW4*管理者用人口入力シート!AR$8))+将来予測シート②!$H23</f>
        <v>224.94998848195715</v>
      </c>
      <c r="CY7" s="10">
        <f>IF(管理者入力シート!$B$14=1,CX4*管理者用人口入力シート!AS$4,IF(管理者入力シート!$B$14=2,CX4*管理者用人口入力シート!AS$8))+将来予測シート②!$H24</f>
        <v>235.74926592470834</v>
      </c>
      <c r="CZ7" s="10">
        <f>IF(管理者入力シート!$B$14=1,CY4*管理者用人口入力シート!AT$4,IF(管理者入力シート!$B$14=2,CY4*管理者用人口入力シート!AT$8))+将来予測シート②!$H25</f>
        <v>294.00117424479458</v>
      </c>
      <c r="DA7" s="10">
        <f>IF(管理者入力シート!$B$14=1,CZ4*管理者用人口入力シート!AU$4,IF(管理者入力シート!$B$14=2,CZ4*管理者用人口入力シート!AU$8))+将来予測シート②!$H26</f>
        <v>384.35852892570381</v>
      </c>
      <c r="DB7" s="10">
        <f>IF(管理者入力シート!$B$14=1,DA4*管理者用人口入力シート!AV$4,IF(管理者入力シート!$B$14=2,DA4*管理者用人口入力シート!AV$8))+将来予測シート②!$H27</f>
        <v>458.43243053237529</v>
      </c>
      <c r="DC7" s="10">
        <f>IF(管理者入力シート!$B$14=1,DB4*管理者用人口入力シート!AW$4,IF(管理者入力シート!$B$14=2,DB4*管理者用人口入力シート!AW$8))+将来予測シート②!$H28</f>
        <v>461.19606479345316</v>
      </c>
      <c r="DD7" s="10">
        <f>IF(管理者入力シート!$B$14=1,DC4*管理者用人口入力シート!AX$4,IF(管理者入力シート!$B$14=2,DC4*管理者用人口入力シート!AX$8))+将来予測シート②!$H29</f>
        <v>440.37647289362644</v>
      </c>
      <c r="DE7" s="10">
        <f>IF(管理者入力シート!$B$14=1,DD4*管理者用人口入力シート!AY$4,IF(管理者入力シート!$B$14=2,DD4*管理者用人口入力シート!AY$8))</f>
        <v>527.54594229821032</v>
      </c>
      <c r="DF7" s="10">
        <f>IF(管理者入力シート!$B$14=1,DE4*管理者用人口入力シート!AZ$4,IF(管理者入力シート!$B$14=2,DE4*管理者用人口入力シート!AZ$8))</f>
        <v>548.68716189711904</v>
      </c>
      <c r="DG7" s="10">
        <f>IF(管理者入力シート!$B$14=1,DF4*管理者用人口入力シート!BA$4,IF(管理者入力シート!$B$14=2,DF4*管理者用人口入力シート!BA$8))</f>
        <v>633.61600792598585</v>
      </c>
      <c r="DH7" s="10">
        <f>IF(管理者入力シート!$B$14=1,DG4*管理者用人口入力シート!BB$4,IF(管理者入力シート!$B$14=2,DG4*管理者用人口入力シート!BB$8))</f>
        <v>664.74991484685916</v>
      </c>
      <c r="DI7" s="10">
        <f>IF(管理者入力シート!$B$14=1,DH4*管理者用人口入力シート!BC$4,IF(管理者入力シート!$B$14=2,DH4*管理者用人口入力シート!BC$8))</f>
        <v>349.49016344267005</v>
      </c>
      <c r="DJ7" s="10">
        <f>IF(管理者入力シート!$B$14=1,DI4*管理者用人口入力シート!BD$4,IF(管理者入力シート!$B$14=2,DI4*管理者用人口入力シート!BD$8))</f>
        <v>232.19821602230624</v>
      </c>
      <c r="DK7" s="10">
        <f>IF(管理者入力シート!$B$14=1,DJ4*管理者用人口入力シート!BE$4,IF(管理者入力シート!$B$14=2,DJ4*管理者用人口入力シート!BE$8))</f>
        <v>82.186882770521251</v>
      </c>
      <c r="DL7" s="10">
        <f>IF(管理者入力シート!$B$14=1,DK4*管理者用人口入力シート!BF$4,IF(管理者入力シート!$B$14=2,DK4*管理者用人口入力シート!BF$8))</f>
        <v>11.925963009054565</v>
      </c>
      <c r="DM7" s="10">
        <f t="shared" si="69"/>
        <v>6993.3914619150728</v>
      </c>
      <c r="DN7" s="10">
        <f t="shared" si="34"/>
        <v>324.0201083033653</v>
      </c>
      <c r="DO7" s="10">
        <f t="shared" si="35"/>
        <v>182.84137305992761</v>
      </c>
      <c r="DP7" s="10">
        <f t="shared" si="6"/>
        <v>3050.4002522127262</v>
      </c>
      <c r="DQ7" s="10">
        <f t="shared" si="36"/>
        <v>1974.167148017397</v>
      </c>
      <c r="DR7" s="14">
        <f t="shared" si="37"/>
        <v>0.43618325512374556</v>
      </c>
      <c r="DS7" s="14">
        <f t="shared" si="38"/>
        <v>0.28229038210836699</v>
      </c>
      <c r="DT7" s="10">
        <f t="shared" si="70"/>
        <v>845.18620652815594</v>
      </c>
      <c r="DV7" s="7" t="s">
        <v>401</v>
      </c>
      <c r="DW7" s="210">
        <f>(SUM(BK12:BW12)-SUM(D12:P12))/4</f>
        <v>-470.50739373791123</v>
      </c>
      <c r="DX7" s="29">
        <f>DX6</f>
        <v>2030</v>
      </c>
      <c r="DY7" s="4" t="s">
        <v>22</v>
      </c>
      <c r="DZ7" s="10">
        <f>FB7*$AK$14</f>
        <v>393.03915557331862</v>
      </c>
      <c r="EA7" s="10">
        <f>IF(管理者入力シート!$B$14=1,DZ4*管理者用人口入力シート!AM$4,IF(管理者入力シート!$B$14=2,DZ4*管理者用人口入力シート!AM$8))</f>
        <v>240.73842256461216</v>
      </c>
      <c r="EB7" s="10">
        <f>IF(管理者入力シート!$B$14=1,EA4*管理者用人口入力シート!AN$4,IF(管理者入力シート!$B$14=2,EA4*管理者用人口入力シート!AN$8))</f>
        <v>297.24781039691612</v>
      </c>
      <c r="EC7" s="10">
        <f>IF(管理者入力シート!$B$14=1,EB4*管理者用人口入力シート!AO$4,IF(管理者入力シート!$B$14=2,EB4*管理者用人口入力シート!AO$8))</f>
        <v>316.74477293973194</v>
      </c>
      <c r="ED7" s="10">
        <f>IF(管理者入力シート!$B$14=1,EC4*管理者用人口入力シート!AP$4,IF(管理者入力シート!$B$14=2,EC4*管理者用人口入力シート!AP$8))</f>
        <v>183.04933052272565</v>
      </c>
      <c r="EE7" s="10">
        <f>IF(管理者入力シート!$B$14=1,ED4*管理者用人口入力シート!AQ$4,IF(管理者入力シート!$B$14=2,ED4*管理者用人口入力シート!AQ$8))+DX1</f>
        <v>362.43762159876479</v>
      </c>
      <c r="EF7" s="10">
        <f>IF(管理者入力シート!$B$14=1,EE4*管理者用人口入力シート!AR$4,IF(管理者入力シート!$B$14=2,EE4*管理者用人口入力シート!AR$8))+DX1</f>
        <v>544.9039464075347</v>
      </c>
      <c r="EG7" s="10">
        <f>IF(管理者入力シート!$B$14=1,EF4*管理者用人口入力シート!AS$4,IF(管理者入力シート!$B$14=2,EF4*管理者用人口入力シート!AS$8))+DX1</f>
        <v>564.80890096331518</v>
      </c>
      <c r="EH7" s="10">
        <f>IF(管理者入力シート!$B$14=1,EG4*管理者用人口入力シート!AT$4,IF(管理者入力シート!$B$14=2,EG4*管理者用人口入力シート!AT$8))</f>
        <v>445.45847549048597</v>
      </c>
      <c r="EI7" s="10">
        <f>IF(管理者入力シート!$B$14=1,EH4*管理者用人口入力シート!AU$4,IF(管理者入力シート!$B$14=2,EH4*管理者用人口入力シート!AU$8))</f>
        <v>383.35642058367335</v>
      </c>
      <c r="EJ7" s="10">
        <f>IF(管理者入力シート!$B$14=1,EI4*管理者用人口入力シート!AV$4,IF(管理者入力シート!$B$14=2,EI4*管理者用人口入力シート!AV$8))</f>
        <v>458.43243053237529</v>
      </c>
      <c r="EK7" s="10">
        <f>IF(管理者入力シート!$B$14=1,EJ4*管理者用人口入力シート!AW$4,IF(管理者入力シート!$B$14=2,EJ4*管理者用人口入力シート!AW$8))</f>
        <v>461.19606479345316</v>
      </c>
      <c r="EL7" s="10">
        <f>IF(管理者入力シート!$B$14=1,EK4*管理者用人口入力シート!AX$4,IF(管理者入力シート!$B$14=2,EK4*管理者用人口入力シート!AX$8))</f>
        <v>440.37647289362644</v>
      </c>
      <c r="EM7" s="10">
        <f>IF(管理者入力シート!$B$14=1,EL4*管理者用人口入力シート!AY$4,IF(管理者入力シート!$B$14=2,EL4*管理者用人口入力シート!AY$8))</f>
        <v>527.54594229821032</v>
      </c>
      <c r="EN7" s="10">
        <f>IF(管理者入力シート!$B$14=1,EM4*管理者用人口入力シート!AZ$4,IF(管理者入力シート!$B$14=2,EM4*管理者用人口入力シート!AZ$8))</f>
        <v>548.68716189711904</v>
      </c>
      <c r="EO7" s="10">
        <f>IF(管理者入力シート!$B$14=1,EN4*管理者用人口入力シート!BA$4,IF(管理者入力シート!$B$14=2,EN4*管理者用人口入力シート!BA$8))</f>
        <v>633.61600792598585</v>
      </c>
      <c r="EP7" s="10">
        <f>IF(管理者入力シート!$B$14=1,EO4*管理者用人口入力シート!BB$4,IF(管理者入力シート!$B$14=2,EO4*管理者用人口入力シート!BB$8))</f>
        <v>664.74991484685916</v>
      </c>
      <c r="EQ7" s="10">
        <f>IF(管理者入力シート!$B$14=1,EP4*管理者用人口入力シート!BC$4,IF(管理者入力シート!$B$14=2,EP4*管理者用人口入力シート!BC$8))</f>
        <v>349.49016344267005</v>
      </c>
      <c r="ER7" s="10">
        <f>IF(管理者入力シート!$B$14=1,EQ4*管理者用人口入力シート!BD$4,IF(管理者入力シート!$B$14=2,EQ4*管理者用人口入力シート!BD$8))</f>
        <v>232.19821602230624</v>
      </c>
      <c r="ES7" s="10">
        <f>IF(管理者入力シート!$B$14=1,ER4*管理者用人口入力シート!BE$4,IF(管理者入力シート!$B$14=2,ER4*管理者用人口入力シート!BE$8))</f>
        <v>82.186882770521251</v>
      </c>
      <c r="ET7" s="10">
        <f>IF(管理者入力シート!$B$14=1,ES4*管理者用人口入力シート!BF$4,IF(管理者入力シート!$B$14=2,ES4*管理者用人口入力シート!BF$8))</f>
        <v>11.925963009054565</v>
      </c>
      <c r="EU7" s="10">
        <f t="shared" si="71"/>
        <v>8142.1900774732585</v>
      </c>
      <c r="EV7" s="10">
        <f t="shared" si="41"/>
        <v>322.79173977691698</v>
      </c>
      <c r="EW7" s="10">
        <f t="shared" si="42"/>
        <v>182.24807874671285</v>
      </c>
      <c r="EX7" s="10">
        <f t="shared" si="10"/>
        <v>3050.4002522127262</v>
      </c>
      <c r="EY7" s="10">
        <f t="shared" si="43"/>
        <v>1974.167148017397</v>
      </c>
      <c r="EZ7" s="14">
        <f t="shared" si="44"/>
        <v>0.37464124801657145</v>
      </c>
      <c r="FA7" s="14">
        <f t="shared" si="45"/>
        <v>0.24246144209765666</v>
      </c>
      <c r="FB7" s="10">
        <f t="shared" si="72"/>
        <v>1655.1997994923404</v>
      </c>
    </row>
    <row r="8" spans="1:158" x14ac:dyDescent="0.15">
      <c r="A8" s="7" t="str">
        <f t="shared" si="11"/>
        <v>2010_3</v>
      </c>
      <c r="B8" s="30">
        <v>2010</v>
      </c>
      <c r="C8" s="5" t="s">
        <v>23</v>
      </c>
      <c r="D8" s="11">
        <v>704.18160522619655</v>
      </c>
      <c r="E8" s="11">
        <v>805.34645714872374</v>
      </c>
      <c r="F8" s="11">
        <v>978.19685778390453</v>
      </c>
      <c r="G8" s="11">
        <v>969.96093367395144</v>
      </c>
      <c r="H8" s="11">
        <v>584.71948119338003</v>
      </c>
      <c r="I8" s="11">
        <v>740.98581463725156</v>
      </c>
      <c r="J8" s="11">
        <v>911.47618353473445</v>
      </c>
      <c r="K8" s="11">
        <v>1055.5337140363201</v>
      </c>
      <c r="L8" s="11">
        <v>957.46973634231551</v>
      </c>
      <c r="M8" s="11">
        <v>1047.2896498394107</v>
      </c>
      <c r="N8" s="11">
        <v>1177.8840974781983</v>
      </c>
      <c r="O8" s="11">
        <v>1392.2669202608849</v>
      </c>
      <c r="P8" s="11">
        <v>1637.9772375183406</v>
      </c>
      <c r="Q8" s="11">
        <v>1169.2156052243879</v>
      </c>
      <c r="R8" s="11">
        <v>1160.2998944126271</v>
      </c>
      <c r="S8" s="11">
        <v>1110.900135052497</v>
      </c>
      <c r="T8" s="11">
        <v>760.69818201955059</v>
      </c>
      <c r="U8" s="11">
        <v>429.38541468036851</v>
      </c>
      <c r="V8" s="11">
        <v>174.14692759391809</v>
      </c>
      <c r="W8" s="11">
        <v>50.065152343038534</v>
      </c>
      <c r="X8" s="11">
        <v>4</v>
      </c>
      <c r="Y8" s="11">
        <f t="shared" si="68"/>
        <v>17822</v>
      </c>
      <c r="Z8" s="11">
        <f t="shared" si="12"/>
        <v>1070.1259889595769</v>
      </c>
      <c r="AA8" s="11">
        <f t="shared" si="13"/>
        <v>585.27092984835213</v>
      </c>
      <c r="AB8" s="11">
        <f t="shared" si="0"/>
        <v>4858.7113113263877</v>
      </c>
      <c r="AC8" s="11">
        <f t="shared" si="14"/>
        <v>2529.1958116893725</v>
      </c>
      <c r="AD8" s="15">
        <f t="shared" si="15"/>
        <v>0.27262435817115854</v>
      </c>
      <c r="AE8" s="15">
        <f t="shared" si="16"/>
        <v>0.14191425270392619</v>
      </c>
      <c r="AF8" s="11">
        <f t="shared" si="17"/>
        <v>3292.7151934016865</v>
      </c>
      <c r="AH8" s="7"/>
      <c r="AI8" s="30" t="s">
        <v>88</v>
      </c>
      <c r="AJ8" s="5">
        <f>AJ7</f>
        <v>2010</v>
      </c>
      <c r="AK8" s="5">
        <f>AK7</f>
        <v>2020</v>
      </c>
      <c r="AL8" s="33" t="s">
        <v>22</v>
      </c>
      <c r="AM8" s="47">
        <f t="shared" si="73"/>
        <v>1.0472808774138478</v>
      </c>
      <c r="AN8" s="47">
        <f t="shared" si="73"/>
        <v>1.015444788881062</v>
      </c>
      <c r="AO8" s="47">
        <f t="shared" si="73"/>
        <v>0.96647156607387319</v>
      </c>
      <c r="AP8" s="47">
        <f t="shared" si="73"/>
        <v>0.53072243705793964</v>
      </c>
      <c r="AQ8" s="47">
        <f t="shared" si="73"/>
        <v>1.0246977459783657</v>
      </c>
      <c r="AR8" s="47">
        <f t="shared" si="73"/>
        <v>0.9748693038855748</v>
      </c>
      <c r="AS8" s="47">
        <f t="shared" si="73"/>
        <v>1.0187707671080175</v>
      </c>
      <c r="AT8" s="47">
        <f t="shared" si="73"/>
        <v>0.93532086653798419</v>
      </c>
      <c r="AU8" s="47">
        <f t="shared" si="73"/>
        <v>1.002108342030446</v>
      </c>
      <c r="AV8" s="47">
        <f t="shared" si="73"/>
        <v>0.97491177095731596</v>
      </c>
      <c r="AW8" s="47">
        <f t="shared" si="73"/>
        <v>0.96445688952363173</v>
      </c>
      <c r="AX8" s="47">
        <f t="shared" si="73"/>
        <v>0.99473973457694975</v>
      </c>
      <c r="AY8" s="47">
        <f t="shared" si="73"/>
        <v>0.97459932041417141</v>
      </c>
      <c r="AZ8" s="47">
        <f t="shared" si="73"/>
        <v>0.93795397252993007</v>
      </c>
      <c r="BA8" s="47">
        <f t="shared" si="73"/>
        <v>0.94685108741688317</v>
      </c>
      <c r="BB8" s="47">
        <f t="shared" si="73"/>
        <v>0.8924188569963547</v>
      </c>
      <c r="BC8" s="47">
        <f t="shared" si="73"/>
        <v>0.73202134172148825</v>
      </c>
      <c r="BD8" s="47">
        <f t="shared" si="73"/>
        <v>0.57793192925298098</v>
      </c>
      <c r="BE8" s="47">
        <f t="shared" si="73"/>
        <v>0.3397630849550935</v>
      </c>
      <c r="BF8" s="47">
        <f t="shared" si="73"/>
        <v>0.16715559005567981</v>
      </c>
      <c r="BH8" s="7" t="str">
        <f t="shared" si="19"/>
        <v>2030_3</v>
      </c>
      <c r="BI8" s="30">
        <f>BI7</f>
        <v>2030</v>
      </c>
      <c r="BJ8" s="5" t="s">
        <v>23</v>
      </c>
      <c r="BK8" s="16">
        <f>BK6+BK7</f>
        <v>377.22075108216677</v>
      </c>
      <c r="BL8" s="16">
        <f t="shared" ref="BL8" si="74">BL6+BL7</f>
        <v>454.81113217245775</v>
      </c>
      <c r="BM8" s="16">
        <f t="shared" ref="BM8" si="75">BM6+BM7</f>
        <v>563.69937352200031</v>
      </c>
      <c r="BN8" s="16">
        <f t="shared" ref="BN8" si="76">BN6+BN7</f>
        <v>713.9956397471517</v>
      </c>
      <c r="BO8" s="16">
        <f t="shared" ref="BO8" si="77">BO6+BO7</f>
        <v>395.54595110463839</v>
      </c>
      <c r="BP8" s="16">
        <f t="shared" ref="BP8" si="78">BP6+BP7</f>
        <v>514.59019298222961</v>
      </c>
      <c r="BQ8" s="16">
        <f t="shared" ref="BQ8" si="79">BQ6+BQ7</f>
        <v>500.37363335614833</v>
      </c>
      <c r="BR8" s="16">
        <f t="shared" ref="BR8" si="80">BR6+BR7</f>
        <v>512.7866029773179</v>
      </c>
      <c r="BS8" s="16">
        <f t="shared" ref="BS8" si="81">BS6+BS7</f>
        <v>603.11624222297291</v>
      </c>
      <c r="BT8" s="16">
        <f t="shared" ref="BT8" si="82">BT6+BT7</f>
        <v>736.49933302412057</v>
      </c>
      <c r="BU8" s="16">
        <f t="shared" ref="BU8" si="83">BU6+BU7</f>
        <v>883.13080087682397</v>
      </c>
      <c r="BV8" s="16">
        <f t="shared" ref="BV8" si="84">BV6+BV7</f>
        <v>959.01529049035548</v>
      </c>
      <c r="BW8" s="16">
        <f t="shared" ref="BW8" si="85">BW6+BW7</f>
        <v>879.83172770887722</v>
      </c>
      <c r="BX8" s="16">
        <f t="shared" ref="BX8" si="86">BX6+BX7</f>
        <v>979.37341600764512</v>
      </c>
      <c r="BY8" s="16">
        <f t="shared" ref="BY8" si="87">BY6+BY7</f>
        <v>1021.6887541596001</v>
      </c>
      <c r="BZ8" s="16">
        <f t="shared" ref="BZ8" si="88">BZ6+BZ7</f>
        <v>1132.7117945144423</v>
      </c>
      <c r="CA8" s="16">
        <f t="shared" ref="CA8" si="89">CA6+CA7</f>
        <v>1128.6578251031897</v>
      </c>
      <c r="CB8" s="16">
        <f t="shared" ref="CB8" si="90">CB6+CB7</f>
        <v>564.05060718850314</v>
      </c>
      <c r="CC8" s="16">
        <f t="shared" ref="CC8" si="91">CC6+CC7</f>
        <v>324.76817180532061</v>
      </c>
      <c r="CD8" s="16">
        <f t="shared" ref="CD8" si="92">CD6+CD7</f>
        <v>119.26217188182432</v>
      </c>
      <c r="CE8" s="16">
        <f t="shared" ref="CE8" si="93">CE6+CE7</f>
        <v>12.269243607369106</v>
      </c>
      <c r="CF8" s="11">
        <f t="shared" si="2"/>
        <v>13377.398655535153</v>
      </c>
      <c r="CG8" s="11">
        <f t="shared" si="20"/>
        <v>611.10630341667479</v>
      </c>
      <c r="CH8" s="11">
        <f t="shared" si="21"/>
        <v>368.27887735823049</v>
      </c>
      <c r="CI8" s="11">
        <f t="shared" si="3"/>
        <v>5282.7819842678955</v>
      </c>
      <c r="CJ8" s="11">
        <f t="shared" si="22"/>
        <v>3281.7198141006488</v>
      </c>
      <c r="CK8" s="15">
        <f t="shared" si="23"/>
        <v>0.39490353246533805</v>
      </c>
      <c r="CL8" s="15">
        <f t="shared" si="24"/>
        <v>0.24531823403070782</v>
      </c>
      <c r="CM8" s="11">
        <f t="shared" si="25"/>
        <v>1923.2963804203341</v>
      </c>
      <c r="CO8" s="7" t="str">
        <f t="shared" si="26"/>
        <v>2030_3</v>
      </c>
      <c r="CP8" s="30">
        <f>CP7</f>
        <v>2030</v>
      </c>
      <c r="CQ8" s="5" t="s">
        <v>23</v>
      </c>
      <c r="CR8" s="16">
        <f>CR6+CR7</f>
        <v>380.99186232260649</v>
      </c>
      <c r="CS8" s="16">
        <f t="shared" ref="CS8" si="94">CS6+CS7</f>
        <v>456.90668643466643</v>
      </c>
      <c r="CT8" s="16">
        <f t="shared" ref="CT8" si="95">CT6+CT7</f>
        <v>565.69937352200031</v>
      </c>
      <c r="CU8" s="16">
        <f t="shared" ref="CU8" si="96">CU6+CU7</f>
        <v>716.11346903812876</v>
      </c>
      <c r="CV8" s="16">
        <f t="shared" ref="CV8" si="97">CV6+CV7</f>
        <v>395.54595110463839</v>
      </c>
      <c r="CW8" s="16">
        <f t="shared" ref="CW8" si="98">CW6+CW7</f>
        <v>518.59019298222961</v>
      </c>
      <c r="CX8" s="16">
        <f t="shared" ref="CX8" si="99">CX6+CX7</f>
        <v>504.21260474216297</v>
      </c>
      <c r="CY8" s="16">
        <f t="shared" ref="CY8" si="100">CY6+CY7</f>
        <v>512.7866029773179</v>
      </c>
      <c r="CZ8" s="16">
        <f t="shared" ref="CZ8" si="101">CZ6+CZ7</f>
        <v>604.11624222297291</v>
      </c>
      <c r="DA8" s="16">
        <f t="shared" ref="DA8" si="102">DA6+DA7</f>
        <v>737.50144136615108</v>
      </c>
      <c r="DB8" s="16">
        <f t="shared" ref="DB8" si="103">DB6+DB7</f>
        <v>883.13080087682397</v>
      </c>
      <c r="DC8" s="16">
        <f t="shared" ref="DC8" si="104">DC6+DC7</f>
        <v>959.01529049035548</v>
      </c>
      <c r="DD8" s="16">
        <f t="shared" ref="DD8" si="105">DD6+DD7</f>
        <v>879.83172770887722</v>
      </c>
      <c r="DE8" s="16">
        <f t="shared" ref="DE8" si="106">DE6+DE7</f>
        <v>979.37341600764512</v>
      </c>
      <c r="DF8" s="16">
        <f t="shared" ref="DF8" si="107">DF6+DF7</f>
        <v>1021.6887541596001</v>
      </c>
      <c r="DG8" s="16">
        <f t="shared" ref="DG8" si="108">DG6+DG7</f>
        <v>1132.7117945144423</v>
      </c>
      <c r="DH8" s="16">
        <f t="shared" ref="DH8" si="109">DH6+DH7</f>
        <v>1128.6578251031897</v>
      </c>
      <c r="DI8" s="16">
        <f t="shared" ref="DI8" si="110">DI6+DI7</f>
        <v>564.05060718850314</v>
      </c>
      <c r="DJ8" s="16">
        <f t="shared" ref="DJ8" si="111">DJ6+DJ7</f>
        <v>324.76817180532061</v>
      </c>
      <c r="DK8" s="16">
        <f t="shared" ref="DK8" si="112">DK6+DK7</f>
        <v>119.26217188182432</v>
      </c>
      <c r="DL8" s="16">
        <f t="shared" ref="DL8" si="113">DL6+DL7</f>
        <v>12.269243607369106</v>
      </c>
      <c r="DM8" s="11">
        <f t="shared" si="69"/>
        <v>13397.224230056825</v>
      </c>
      <c r="DN8" s="11">
        <f t="shared" si="34"/>
        <v>613.56363597400014</v>
      </c>
      <c r="DO8" s="11">
        <f t="shared" si="35"/>
        <v>369.50244321642583</v>
      </c>
      <c r="DP8" s="11">
        <f t="shared" si="6"/>
        <v>5282.7819842678955</v>
      </c>
      <c r="DQ8" s="11">
        <f t="shared" si="36"/>
        <v>3281.7198141006488</v>
      </c>
      <c r="DR8" s="15">
        <f t="shared" si="37"/>
        <v>0.39431914354437048</v>
      </c>
      <c r="DS8" s="15">
        <f t="shared" si="38"/>
        <v>0.2449552054774207</v>
      </c>
      <c r="DT8" s="11">
        <f t="shared" si="70"/>
        <v>1931.1353518063488</v>
      </c>
      <c r="DV8" s="7" t="s">
        <v>402</v>
      </c>
      <c r="DW8" s="210">
        <f>(SUM(BK13:BW13)-SUM(D13:P13))/4</f>
        <v>-507.72965970400855</v>
      </c>
      <c r="DX8" s="30">
        <f>DX7</f>
        <v>2030</v>
      </c>
      <c r="DY8" s="5" t="s">
        <v>23</v>
      </c>
      <c r="DZ8" s="16">
        <f>DZ6+DZ7</f>
        <v>742.21189328497326</v>
      </c>
      <c r="EA8" s="16">
        <f t="shared" ref="EA8:ET8" si="114">EA6+EA7</f>
        <v>454.81113217245775</v>
      </c>
      <c r="EB8" s="16">
        <f t="shared" si="114"/>
        <v>563.69937352200031</v>
      </c>
      <c r="EC8" s="16">
        <f t="shared" si="114"/>
        <v>713.9956397471517</v>
      </c>
      <c r="ED8" s="16">
        <f t="shared" si="114"/>
        <v>395.54595110463839</v>
      </c>
      <c r="EE8" s="16">
        <f t="shared" si="114"/>
        <v>840.59019298222961</v>
      </c>
      <c r="EF8" s="16">
        <f t="shared" si="114"/>
        <v>1139.2498013163404</v>
      </c>
      <c r="EG8" s="16">
        <f t="shared" si="114"/>
        <v>1172.1232309574925</v>
      </c>
      <c r="EH8" s="16">
        <f t="shared" si="114"/>
        <v>911.05492880961788</v>
      </c>
      <c r="EI8" s="16">
        <f t="shared" si="114"/>
        <v>736.49933302412057</v>
      </c>
      <c r="EJ8" s="16">
        <f t="shared" si="114"/>
        <v>883.13080087682397</v>
      </c>
      <c r="EK8" s="16">
        <f t="shared" si="114"/>
        <v>959.01529049035548</v>
      </c>
      <c r="EL8" s="16">
        <f t="shared" si="114"/>
        <v>879.83172770887722</v>
      </c>
      <c r="EM8" s="16">
        <f t="shared" si="114"/>
        <v>979.37341600764512</v>
      </c>
      <c r="EN8" s="16">
        <f t="shared" si="114"/>
        <v>1021.6887541596001</v>
      </c>
      <c r="EO8" s="16">
        <f t="shared" si="114"/>
        <v>1132.7117945144423</v>
      </c>
      <c r="EP8" s="16">
        <f t="shared" si="114"/>
        <v>1128.6578251031897</v>
      </c>
      <c r="EQ8" s="16">
        <f t="shared" si="114"/>
        <v>564.05060718850314</v>
      </c>
      <c r="ER8" s="16">
        <f t="shared" si="114"/>
        <v>324.76817180532061</v>
      </c>
      <c r="ES8" s="16">
        <f t="shared" si="114"/>
        <v>119.26217188182432</v>
      </c>
      <c r="ET8" s="16">
        <f t="shared" si="114"/>
        <v>12.269243607369106</v>
      </c>
      <c r="EU8" s="11">
        <f t="shared" si="71"/>
        <v>15674.541280264973</v>
      </c>
      <c r="EV8" s="11">
        <f t="shared" si="41"/>
        <v>611.10630341667479</v>
      </c>
      <c r="EW8" s="11">
        <f t="shared" si="42"/>
        <v>368.27887735823049</v>
      </c>
      <c r="EX8" s="11">
        <f t="shared" si="10"/>
        <v>5282.7819842678955</v>
      </c>
      <c r="EY8" s="11">
        <f t="shared" si="43"/>
        <v>3281.7198141006488</v>
      </c>
      <c r="EZ8" s="15">
        <f t="shared" si="44"/>
        <v>0.33702944729356643</v>
      </c>
      <c r="FA8" s="15">
        <f t="shared" si="45"/>
        <v>0.20936624271311194</v>
      </c>
      <c r="FB8" s="11">
        <f t="shared" si="72"/>
        <v>3547.5091763607006</v>
      </c>
    </row>
    <row r="9" spans="1:158" x14ac:dyDescent="0.15">
      <c r="A9" s="7" t="str">
        <f t="shared" si="11"/>
        <v>2015_1</v>
      </c>
      <c r="B9" s="28">
        <v>2015</v>
      </c>
      <c r="C9" s="3" t="s">
        <v>21</v>
      </c>
      <c r="D9" s="9">
        <v>311.47771052290028</v>
      </c>
      <c r="E9" s="9">
        <v>385.55346442694849</v>
      </c>
      <c r="F9" s="9">
        <v>430.59212119996516</v>
      </c>
      <c r="G9" s="9">
        <v>533.55582199198932</v>
      </c>
      <c r="H9" s="9">
        <v>241.3371528294083</v>
      </c>
      <c r="I9" s="9">
        <v>371.51701659003174</v>
      </c>
      <c r="J9" s="9">
        <v>363.59458818845002</v>
      </c>
      <c r="K9" s="9">
        <v>448.56895088026397</v>
      </c>
      <c r="L9" s="9">
        <v>501.56688922646242</v>
      </c>
      <c r="M9" s="9">
        <v>453.56994094302308</v>
      </c>
      <c r="N9" s="9">
        <v>465.49680684160876</v>
      </c>
      <c r="O9" s="9">
        <v>552.63238309279666</v>
      </c>
      <c r="P9" s="9">
        <v>646.53362754122509</v>
      </c>
      <c r="Q9" s="9">
        <v>747.58930050530682</v>
      </c>
      <c r="R9" s="9">
        <v>504.45895880767398</v>
      </c>
      <c r="S9" s="9">
        <v>463.41793693208973</v>
      </c>
      <c r="T9" s="9">
        <v>389.3294856541952</v>
      </c>
      <c r="U9" s="9">
        <v>186.14511848205987</v>
      </c>
      <c r="V9" s="9">
        <v>49.047522231473884</v>
      </c>
      <c r="W9" s="9">
        <v>13.015203112126938</v>
      </c>
      <c r="X9" s="9">
        <v>0</v>
      </c>
      <c r="Y9" s="9">
        <f t="shared" si="68"/>
        <v>8059.0000000000009</v>
      </c>
      <c r="Z9" s="9">
        <f t="shared" si="12"/>
        <v>489.68735137614817</v>
      </c>
      <c r="AA9" s="9">
        <f t="shared" si="13"/>
        <v>278.94801287838391</v>
      </c>
      <c r="AB9" s="9">
        <f t="shared" si="0"/>
        <v>2353.0035257249269</v>
      </c>
      <c r="AC9" s="9">
        <f t="shared" si="14"/>
        <v>1100.9552664119458</v>
      </c>
      <c r="AD9" s="13">
        <f t="shared" si="15"/>
        <v>0.29197214613784922</v>
      </c>
      <c r="AE9" s="13">
        <f t="shared" si="16"/>
        <v>0.13661189557165226</v>
      </c>
      <c r="AF9" s="9">
        <f t="shared" si="17"/>
        <v>1425.0177084881539</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163.97230224164241</v>
      </c>
      <c r="BL9" s="9">
        <f>IF(管理者入力シート!$B$14=1,BK6*管理者用人口入力シート!AM$3,IF(管理者入力シート!$B$14=2,BK6*管理者用人口入力シート!AM$7))</f>
        <v>186.02981476567089</v>
      </c>
      <c r="BM9" s="9">
        <f>IF(管理者入力シート!$B$14=1,BL6*管理者用人口入力シート!AN$3,IF(管理者入力シート!$B$14=2,BL6*管理者用人口入力シート!AN$7))</f>
        <v>219.12974526114394</v>
      </c>
      <c r="BN9" s="9">
        <f>IF(管理者入力シート!$B$14=1,BM6*管理者用人口入力シート!AO$3,IF(管理者入力シート!$B$14=2,BM6*管理者用人口入力シート!AO$7))</f>
        <v>306.78106551658448</v>
      </c>
      <c r="BO9" s="9">
        <f>IF(管理者入力シート!$B$14=1,BN6*管理者用人口入力シート!AP$3,IF(管理者入力シート!$B$14=2,BN6*管理者用人口入力シート!AP$7))</f>
        <v>178.13230333632836</v>
      </c>
      <c r="BP9" s="9">
        <f>IF(管理者入力シート!$B$14=1,BO6*管理者用人口入力シート!AQ$3,IF(管理者入力シート!$B$14=2,BO6*管理者用人口入力シート!AQ$7))</f>
        <v>267.56985431150474</v>
      </c>
      <c r="BQ9" s="9">
        <f>IF(管理者入力シート!$B$14=1,BP6*管理者用人口入力シート!AR$3,IF(管理者入力シート!$B$14=2,BP6*管理者用人口入力シート!AR$7))</f>
        <v>297.6982840026792</v>
      </c>
      <c r="BR9" s="9">
        <f>IF(管理者入力シート!$B$14=1,BQ6*管理者用人口入力シート!AS$3,IF(管理者入力シート!$B$14=2,BQ6*管理者用人口入力シート!AS$7))</f>
        <v>284.6514448520918</v>
      </c>
      <c r="BS9" s="9">
        <f>IF(管理者入力シート!$B$14=1,BR6*管理者用人口入力シート!AT$3,IF(管理者入力シート!$B$14=2,BR6*管理者用人口入力シート!AT$7))</f>
        <v>264.25858255281253</v>
      </c>
      <c r="BT9" s="9">
        <f>IF(管理者入力シート!$B$14=1,BS6*管理者用人口入力シート!AU$3,IF(管理者入力シート!$B$14=2,BS6*管理者用人口入力シート!AU$7))</f>
        <v>309.36957730965798</v>
      </c>
      <c r="BU9" s="9">
        <f>IF(管理者入力シート!$B$14=1,BT6*管理者用人口入力シート!AV$3,IF(管理者入力シート!$B$14=2,BT6*管理者用人口入力シート!AV$7))</f>
        <v>342.87829032118179</v>
      </c>
      <c r="BV9" s="9">
        <f>IF(管理者入力シート!$B$14=1,BU6*管理者用人口入力シート!AW$3,IF(管理者入力シート!$B$14=2,BU6*管理者用人口入力シート!AW$7))</f>
        <v>428.46957925254014</v>
      </c>
      <c r="BW9" s="9">
        <f>IF(管理者入力シート!$B$14=1,BV6*管理者用人口入力シート!AX$3,IF(管理者入力シート!$B$14=2,BV6*管理者用人口入力シート!AX$7))</f>
        <v>492.17518182028556</v>
      </c>
      <c r="BX9" s="9">
        <f>IF(管理者入力シート!$B$14=1,BW6*管理者用人口入力シート!AY$3,IF(管理者入力シート!$B$14=2,BW6*管理者用人口入力シート!AY$7))</f>
        <v>424.0637150209829</v>
      </c>
      <c r="BY9" s="9">
        <f>IF(管理者入力シート!$B$14=1,BX6*管理者用人口入力シート!AZ$3,IF(管理者入力シート!$B$14=2,BX6*管理者用人口入力シート!AZ$7))</f>
        <v>404.28819981898653</v>
      </c>
      <c r="BZ9" s="9">
        <f>IF(管理者入力シート!$B$14=1,BY6*管理者用人口入力シート!BA$3,IF(管理者入力シート!$B$14=2,BY6*管理者用人口入力シート!BA$7))</f>
        <v>419.49094077176954</v>
      </c>
      <c r="CA9" s="9">
        <f>IF(管理者入力シート!$B$14=1,BZ6*管理者用人口入力シート!BB$3,IF(管理者入力シート!$B$14=2,BZ6*管理者用人口入力シート!BB$7))</f>
        <v>389.07306102251744</v>
      </c>
      <c r="CB9" s="9">
        <f>IF(管理者入力シート!$B$14=1,CA6*管理者用人口入力シート!BC$3,IF(管理者入力シート!$B$14=2,CA6*管理者用人口入力シート!BC$7))</f>
        <v>290.27891368272265</v>
      </c>
      <c r="CC9" s="9">
        <f>IF(管理者入力シート!$B$14=1,CB6*管理者用人口入力シート!BD$3,IF(管理者入力シート!$B$14=2,CB6*管理者用人口入力シート!BD$7))</f>
        <v>89.632767407789004</v>
      </c>
      <c r="CD9" s="9">
        <f>IF(管理者入力シート!$B$14=1,CC6*管理者用人口入力シート!BE$3,IF(管理者入力シート!$B$14=2,CC6*管理者用人口入力シート!BE$7))</f>
        <v>33.855540096615606</v>
      </c>
      <c r="CE9" s="9">
        <f>IF(管理者入力シート!$B$14=1,CD6*管理者用人口入力シート!BF$3,IF(管理者入力シート!$B$14=2,CD6*管理者用人口入力シート!BF$7))</f>
        <v>0.46055419189177677</v>
      </c>
      <c r="CF9" s="9">
        <f t="shared" si="2"/>
        <v>5792.2597175573992</v>
      </c>
      <c r="CG9" s="9">
        <f t="shared" si="20"/>
        <v>243.09573601608889</v>
      </c>
      <c r="CH9" s="9">
        <f t="shared" si="21"/>
        <v>149.00811120777448</v>
      </c>
      <c r="CI9" s="9">
        <f t="shared" si="3"/>
        <v>2051.1436920132755</v>
      </c>
      <c r="CJ9" s="9">
        <f t="shared" si="22"/>
        <v>1222.7917771733062</v>
      </c>
      <c r="CK9" s="13">
        <f t="shared" si="23"/>
        <v>0.35411804581135814</v>
      </c>
      <c r="CL9" s="13">
        <f t="shared" si="24"/>
        <v>0.21110789860938048</v>
      </c>
      <c r="CM9" s="9">
        <f t="shared" si="25"/>
        <v>1028.0518865026042</v>
      </c>
      <c r="CO9" s="7" t="str">
        <f t="shared" si="26"/>
        <v>2035_1</v>
      </c>
      <c r="CP9" s="28">
        <f>管理者入力シート!B10</f>
        <v>2035</v>
      </c>
      <c r="CQ9" s="3" t="s">
        <v>21</v>
      </c>
      <c r="CR9" s="9">
        <f>DT10*$AK$13+将来予測シート②!$G17</f>
        <v>166.33275201378274</v>
      </c>
      <c r="CS9" s="9">
        <f>IF(管理者入力シート!$B$14=1,CR6*管理者用人口入力シート!AM$3,IF(管理者入力シート!$B$14=2,CR6*管理者用人口入力シート!AM$7))+将来予測シート②!$G18</f>
        <v>187.95152762865777</v>
      </c>
      <c r="CT9" s="9">
        <f>IF(管理者入力シート!$B$14=1,CS6*管理者用人口入力シート!AN$3,IF(管理者入力シート!$B$14=2,CS6*管理者用人口入力シート!AN$7))+将来予測シート②!$G19</f>
        <v>221.20278198868817</v>
      </c>
      <c r="CU9" s="9">
        <f>IF(管理者入力シート!$B$14=1,CT6*管理者用人口入力シート!AO$3,IF(管理者入力シート!$B$14=2,CT6*管理者用人口入力シート!AO$7))+将来予測シート②!$G20</f>
        <v>307.93242324148764</v>
      </c>
      <c r="CV9" s="9">
        <f>IF(管理者入力シート!$B$14=1,CU6*管理者用人口入力シート!AP$3,IF(管理者入力シート!$B$14=2,CU6*管理者用人口入力シート!AP$7))+将来予測シート②!$G21</f>
        <v>178.6485866742336</v>
      </c>
      <c r="CW9" s="9">
        <f>IF(管理者入力シート!$B$14=1,CV6*管理者用人口入力シート!AQ$3,IF(管理者入力シート!$B$14=2,CV6*管理者用人口入力シート!AQ$7))+将来予測シート②!$G22</f>
        <v>269.56985431150474</v>
      </c>
      <c r="CX9" s="9">
        <f>IF(管理者入力シート!$B$14=1,CW6*管理者用人口入力シート!AR$3,IF(管理者入力シート!$B$14=2,CW6*管理者用人口入力シート!AR$7))+将来予測シート②!$G23</f>
        <v>299.58751678092267</v>
      </c>
      <c r="CY9" s="9">
        <f>IF(管理者入力シート!$B$14=1,CX6*管理者用人口入力シート!AS$3,IF(管理者入力シート!$B$14=2,CX6*管理者用人口入力シート!AS$7))+将来予測シート②!$G24</f>
        <v>286.59024962578019</v>
      </c>
      <c r="CZ9" s="9">
        <f>IF(管理者入力シート!$B$14=1,CY6*管理者用人口入力シート!AT$3,IF(管理者入力シート!$B$14=2,CY6*管理者用人口入力シート!AT$7))+将来予測シート②!$G25</f>
        <v>264.25858255281253</v>
      </c>
      <c r="DA9" s="9">
        <f>IF(管理者入力シート!$B$14=1,CZ6*管理者用人口入力シート!AU$3,IF(管理者入力シート!$B$14=2,CZ6*管理者用人口入力シート!AU$7))+将来予測シート②!$G26</f>
        <v>309.36957730965798</v>
      </c>
      <c r="DB9" s="9">
        <f>IF(管理者入力シート!$B$14=1,DA6*管理者用人口入力シート!AV$3,IF(管理者入力シート!$B$14=2,DA6*管理者用人口入力シート!AV$7))+将来予測シート②!$G27</f>
        <v>342.87829032118179</v>
      </c>
      <c r="DC9" s="9">
        <f>IF(管理者入力シート!$B$14=1,DB6*管理者用人口入力シート!AW$3,IF(管理者入力シート!$B$14=2,DB6*管理者用人口入力シート!AW$7))+将来予測シート②!$G28</f>
        <v>428.46957925254014</v>
      </c>
      <c r="DD9" s="9">
        <f>IF(管理者入力シート!$B$14=1,DC6*管理者用人口入力シート!AX$3,IF(管理者入力シート!$B$14=2,DC6*管理者用人口入力シート!AX$7))+将来予測シート②!$G29</f>
        <v>492.17518182028556</v>
      </c>
      <c r="DE9" s="9">
        <f>IF(管理者入力シート!$B$14=1,DD6*管理者用人口入力シート!AY$3,IF(管理者入力シート!$B$14=2,DD6*管理者用人口入力シート!AY$7))</f>
        <v>424.0637150209829</v>
      </c>
      <c r="DF9" s="9">
        <f>IF(管理者入力シート!$B$14=1,DE6*管理者用人口入力シート!AZ$3,IF(管理者入力シート!$B$14=2,DE6*管理者用人口入力シート!AZ$7))</f>
        <v>404.28819981898653</v>
      </c>
      <c r="DG9" s="9">
        <f>IF(管理者入力シート!$B$14=1,DF6*管理者用人口入力シート!BA$3,IF(管理者入力シート!$B$14=2,DF6*管理者用人口入力シート!BA$7))</f>
        <v>419.49094077176954</v>
      </c>
      <c r="DH9" s="9">
        <f>IF(管理者入力シート!$B$14=1,DG6*管理者用人口入力シート!BB$3,IF(管理者入力シート!$B$14=2,DG6*管理者用人口入力シート!BB$7))</f>
        <v>389.07306102251744</v>
      </c>
      <c r="DI9" s="9">
        <f>IF(管理者入力シート!$B$14=1,DH6*管理者用人口入力シート!BC$3,IF(管理者入力シート!$B$14=2,DH6*管理者用人口入力シート!BC$7))</f>
        <v>290.27891368272265</v>
      </c>
      <c r="DJ9" s="9">
        <f>IF(管理者入力シート!$B$14=1,DI6*管理者用人口入力シート!BD$3,IF(管理者入力シート!$B$14=2,DI6*管理者用人口入力シート!BD$7))</f>
        <v>89.632767407789004</v>
      </c>
      <c r="DK9" s="9">
        <f>IF(管理者入力シート!$B$14=1,DJ6*管理者用人口入力シート!BE$3,IF(管理者入力シート!$B$14=2,DJ6*管理者用人口入力シート!BE$7))</f>
        <v>33.855540096615606</v>
      </c>
      <c r="DL9" s="9">
        <f>IF(管理者入力シート!$B$14=1,DK6*管理者用人口入力シート!BF$3,IF(管理者入力シート!$B$14=2,DK6*管理者用人口入力シート!BF$7))</f>
        <v>0.46055419189177677</v>
      </c>
      <c r="DM9" s="9">
        <f t="shared" si="69"/>
        <v>5806.1105955348112</v>
      </c>
      <c r="DN9" s="9">
        <f t="shared" si="34"/>
        <v>245.49258577040757</v>
      </c>
      <c r="DO9" s="9">
        <f t="shared" si="35"/>
        <v>150.0675974437728</v>
      </c>
      <c r="DP9" s="9">
        <f t="shared" si="6"/>
        <v>2051.1436920132755</v>
      </c>
      <c r="DQ9" s="9">
        <f t="shared" si="36"/>
        <v>1222.7917771733062</v>
      </c>
      <c r="DR9" s="13">
        <f t="shared" si="37"/>
        <v>0.35327327274659692</v>
      </c>
      <c r="DS9" s="13">
        <f t="shared" si="38"/>
        <v>0.21060428613152737</v>
      </c>
      <c r="DT9" s="9">
        <f t="shared" si="70"/>
        <v>1034.3962073924413</v>
      </c>
      <c r="DV9" s="7" t="s">
        <v>403</v>
      </c>
      <c r="DW9" s="210">
        <f>DW7+DW8</f>
        <v>-978.23705344191978</v>
      </c>
      <c r="DX9" s="28">
        <f>管理者入力シート!B10</f>
        <v>2035</v>
      </c>
      <c r="DY9" s="3" t="s">
        <v>21</v>
      </c>
      <c r="DZ9" s="9">
        <f>FB10*$AK$13</f>
        <v>369.83272871321356</v>
      </c>
      <c r="EA9" s="129">
        <f>IF(管理者入力シート!$B$14=1,DZ6*管理者用人口入力シート!AM$3,IF(管理者入力シート!$B$14=2,DZ6*管理者用人口入力シート!AM$7))</f>
        <v>366.02848763907508</v>
      </c>
      <c r="EB9" s="9">
        <f>IF(管理者入力シート!$B$14=1,EA6*管理者用人口入力シート!AN$3,IF(管理者入力シート!$B$14=2,EA6*管理者用人口入力シート!AN$7))</f>
        <v>219.12974526114394</v>
      </c>
      <c r="EC9" s="9">
        <f>IF(管理者入力シート!$B$14=1,EB6*管理者用人口入力シート!AO$3,IF(管理者入力シート!$B$14=2,EB6*管理者用人口入力シート!AO$7))</f>
        <v>306.78106551658448</v>
      </c>
      <c r="ED9" s="9">
        <f>IF(管理者入力シート!$B$14=1,EC6*管理者用人口入力シート!AP$3,IF(管理者入力シート!$B$14=2,EC6*管理者用人口入力シート!AP$7))</f>
        <v>178.13230333632836</v>
      </c>
      <c r="EE9" s="9">
        <f>IF(管理者入力シート!$B$14=1,ED6*管理者用人口入力シート!AQ$3,IF(管理者入力シート!$B$14=2,ED6*管理者用人口入力シート!AQ$7))+DX1</f>
        <v>430.56985431150474</v>
      </c>
      <c r="EF9" s="9">
        <f>IF(管理者入力シート!$B$14=1,EE6*管理者用人口入力シート!AR$3,IF(管理者入力シート!$B$14=2,EE6*管理者用人口入力シート!AR$7))+DX1</f>
        <v>614.67075542952239</v>
      </c>
      <c r="EG9" s="9">
        <f>IF(管理者入力シート!$B$14=1,EF6*管理者用人口入力シート!AS$3,IF(管理者入力シート!$B$14=2,EF6*管理者用人口入力シート!AS$7))+DX1</f>
        <v>772.94102684926565</v>
      </c>
      <c r="EH9" s="9">
        <f>IF(管理者入力シート!$B$14=1,EG6*管理者用人口入力シート!AT$3,IF(管理者入力シート!$B$14=2,EG6*管理者用人口入力シート!AT$7))</f>
        <v>579.30106358839112</v>
      </c>
      <c r="EI9" s="9">
        <f>IF(管理者入力シート!$B$14=1,EH6*管理者用人口入力シート!AU$3,IF(管理者入力シート!$B$14=2,EH6*管理者用人口入力シート!AU$7))</f>
        <v>464.47719841317547</v>
      </c>
      <c r="EJ9" s="9">
        <f>IF(管理者入力シート!$B$14=1,EI6*管理者用人口入力シート!AV$3,IF(管理者入力シート!$B$14=2,EI6*管理者用人口入力シート!AV$7))</f>
        <v>342.87829032118179</v>
      </c>
      <c r="EK9" s="9">
        <f>IF(管理者入力シート!$B$14=1,EJ6*管理者用人口入力シート!AW$3,IF(管理者入力シート!$B$14=2,EJ6*管理者用人口入力シート!AW$7))</f>
        <v>428.46957925254014</v>
      </c>
      <c r="EL9" s="9">
        <f>IF(管理者入力シート!$B$14=1,EK6*管理者用人口入力シート!AX$3,IF(管理者入力シート!$B$14=2,EK6*管理者用人口入力シート!AX$7))</f>
        <v>492.17518182028556</v>
      </c>
      <c r="EM9" s="9">
        <f>IF(管理者入力シート!$B$14=1,EL6*管理者用人口入力シート!AY$3,IF(管理者入力シート!$B$14=2,EL6*管理者用人口入力シート!AY$7))</f>
        <v>424.0637150209829</v>
      </c>
      <c r="EN9" s="9">
        <f>IF(管理者入力シート!$B$14=1,EM6*管理者用人口入力シート!AZ$3,IF(管理者入力シート!$B$14=2,EM6*管理者用人口入力シート!AZ$7))</f>
        <v>404.28819981898653</v>
      </c>
      <c r="EO9" s="9">
        <f>IF(管理者入力シート!$B$14=1,EN6*管理者用人口入力シート!BA$3,IF(管理者入力シート!$B$14=2,EN6*管理者用人口入力シート!BA$7))</f>
        <v>419.49094077176954</v>
      </c>
      <c r="EP9" s="9">
        <f>IF(管理者入力シート!$B$14=1,EO6*管理者用人口入力シート!BB$3,IF(管理者入力シート!$B$14=2,EO6*管理者用人口入力シート!BB$7))</f>
        <v>389.07306102251744</v>
      </c>
      <c r="EQ9" s="9">
        <f>IF(管理者入力シート!$B$14=1,EP6*管理者用人口入力シート!BC$3,IF(管理者入力シート!$B$14=2,EP6*管理者用人口入力シート!BC$7))</f>
        <v>290.27891368272265</v>
      </c>
      <c r="ER9" s="9">
        <f>IF(管理者入力シート!$B$14=1,EQ6*管理者用人口入力シート!BD$3,IF(管理者入力シート!$B$14=2,EQ6*管理者用人口入力シート!BD$7))</f>
        <v>89.632767407789004</v>
      </c>
      <c r="ES9" s="9">
        <f>IF(管理者入力シート!$B$14=1,ER6*管理者用人口入力シート!BE$3,IF(管理者入力シート!$B$14=2,ER6*管理者用人口入力シート!BE$7))</f>
        <v>33.855540096615606</v>
      </c>
      <c r="ET9" s="9">
        <f>IF(管理者入力シート!$B$14=1,ES6*管理者用人口入力シート!BF$3,IF(管理者入力シート!$B$14=2,ES6*管理者用人口入力シート!BF$7))</f>
        <v>0.46055419189177677</v>
      </c>
      <c r="EU9" s="9">
        <f t="shared" si="71"/>
        <v>7616.5309724654871</v>
      </c>
      <c r="EV9" s="9">
        <f t="shared" si="41"/>
        <v>351.09493974013139</v>
      </c>
      <c r="EW9" s="9">
        <f t="shared" si="42"/>
        <v>149.00811120777448</v>
      </c>
      <c r="EX9" s="9">
        <f t="shared" si="10"/>
        <v>2051.1436920132755</v>
      </c>
      <c r="EY9" s="9">
        <f t="shared" si="43"/>
        <v>1222.7917771733062</v>
      </c>
      <c r="EZ9" s="13">
        <f t="shared" si="44"/>
        <v>0.26930156253921411</v>
      </c>
      <c r="FA9" s="13">
        <f t="shared" si="45"/>
        <v>0.1605444501694826</v>
      </c>
      <c r="FB9" s="9">
        <f t="shared" si="72"/>
        <v>1996.3139399266211</v>
      </c>
    </row>
    <row r="10" spans="1:158" x14ac:dyDescent="0.15">
      <c r="A10" s="7" t="str">
        <f t="shared" si="11"/>
        <v>2015_2</v>
      </c>
      <c r="B10" s="29">
        <v>2015</v>
      </c>
      <c r="C10" s="4" t="s">
        <v>22</v>
      </c>
      <c r="D10" s="10">
        <v>321.08489434608799</v>
      </c>
      <c r="E10" s="10">
        <v>354.0729583095374</v>
      </c>
      <c r="F10" s="10">
        <v>375.09737292975439</v>
      </c>
      <c r="G10" s="10">
        <v>436.09543118218158</v>
      </c>
      <c r="H10" s="10">
        <v>245.06630496858938</v>
      </c>
      <c r="I10" s="10">
        <v>333.07088806396348</v>
      </c>
      <c r="J10" s="10">
        <v>405.10237007424331</v>
      </c>
      <c r="K10" s="10">
        <v>490.09196173615078</v>
      </c>
      <c r="L10" s="10">
        <v>472.1090234151913</v>
      </c>
      <c r="M10" s="10">
        <v>479.10583952027412</v>
      </c>
      <c r="N10" s="10">
        <v>563.1267846944603</v>
      </c>
      <c r="O10" s="10">
        <v>602.09848657909765</v>
      </c>
      <c r="P10" s="10">
        <v>731.13607938320968</v>
      </c>
      <c r="Q10" s="10">
        <v>834.18560822387212</v>
      </c>
      <c r="R10" s="10">
        <v>563.16230725299829</v>
      </c>
      <c r="S10" s="10">
        <v>610.18478012564253</v>
      </c>
      <c r="T10" s="10">
        <v>550.12248715019996</v>
      </c>
      <c r="U10" s="10">
        <v>327.05465448315243</v>
      </c>
      <c r="V10" s="10">
        <v>164.02247287264419</v>
      </c>
      <c r="W10" s="10">
        <v>46.001941747572815</v>
      </c>
      <c r="X10" s="10">
        <v>5.007352941176471</v>
      </c>
      <c r="Y10" s="10">
        <f t="shared" si="68"/>
        <v>8907</v>
      </c>
      <c r="Z10" s="10">
        <f t="shared" si="12"/>
        <v>437.50219874357504</v>
      </c>
      <c r="AA10" s="10">
        <f t="shared" si="13"/>
        <v>237.25803540833806</v>
      </c>
      <c r="AB10" s="10">
        <f t="shared" si="0"/>
        <v>3099.7416047972588</v>
      </c>
      <c r="AC10" s="10">
        <f t="shared" si="14"/>
        <v>1702.3936893203886</v>
      </c>
      <c r="AD10" s="14">
        <f t="shared" si="15"/>
        <v>0.34801185638231263</v>
      </c>
      <c r="AE10" s="14">
        <f t="shared" si="16"/>
        <v>0.19112986295277742</v>
      </c>
      <c r="AF10" s="10">
        <f t="shared" si="17"/>
        <v>1473.3315248429469</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184.57207063997251</v>
      </c>
      <c r="BL10" s="10">
        <f>IF(管理者入力シート!$B$14=1,BK7*管理者用人口入力シート!AM$4,IF(管理者入力シート!$B$14=2,BK7*管理者用人口入力シート!AM$8))</f>
        <v>209.20239781480907</v>
      </c>
      <c r="BM10" s="10">
        <f>IF(管理者入力シート!$B$14=1,BL7*管理者用人口入力シート!AN$4,IF(管理者入力シート!$B$14=2,BL7*管理者用人口入力シート!AN$8))</f>
        <v>244.45657667668252</v>
      </c>
      <c r="BN10" s="10">
        <f>IF(管理者入力シート!$B$14=1,BM7*管理者用人口入力シート!AO$4,IF(管理者入力シート!$B$14=2,BM7*管理者用人口入力シート!AO$8))</f>
        <v>287.28155682633724</v>
      </c>
      <c r="BO10" s="10">
        <f>IF(管理者入力シート!$B$14=1,BN7*管理者用人口入力シート!AP$4,IF(管理者入力シート!$B$14=2,BN7*管理者用人口入力シート!AP$8))</f>
        <v>168.10355781993826</v>
      </c>
      <c r="BP10" s="10">
        <f>IF(管理者入力シート!$B$14=1,BO7*管理者用人口入力シート!AQ$4,IF(管理者入力シート!$B$14=2,BO7*管理者用人口入力シート!AQ$8))</f>
        <v>187.57023638948584</v>
      </c>
      <c r="BQ10" s="10">
        <f>IF(管理者入力シート!$B$14=1,BP7*管理者用人口入力シート!AR$4,IF(管理者入力シート!$B$14=2,BP7*管理者用人口入力シート!AR$8))</f>
        <v>194.42561533658252</v>
      </c>
      <c r="BR10" s="10">
        <f>IF(管理者入力シート!$B$14=1,BQ7*管理者用人口入力シート!AS$4,IF(管理者入力シート!$B$14=2,BQ7*管理者用人口入力シート!AS$8))</f>
        <v>227.18613562960405</v>
      </c>
      <c r="BS10" s="10">
        <f>IF(管理者入力シート!$B$14=1,BR7*管理者用人口入力シート!AT$4,IF(管理者入力シート!$B$14=2,BR7*管理者用人口入力シート!AT$8))</f>
        <v>220.50120769039188</v>
      </c>
      <c r="BT10" s="10">
        <f>IF(管理者入力シート!$B$14=1,BS7*管理者用人口入力シート!AU$4,IF(管理者入力シート!$B$14=2,BS7*管理者用人口入力シート!AU$8))</f>
        <v>293.61892093542491</v>
      </c>
      <c r="BU10" s="10">
        <f>IF(管理者入力シート!$B$14=1,BT7*管理者用人口入力シート!AV$4,IF(管理者入力シート!$B$14=2,BT7*管理者用人口入力シート!AV$8))</f>
        <v>373.73868689908664</v>
      </c>
      <c r="BV10" s="10">
        <f>IF(管理者入力シート!$B$14=1,BU7*管理者用人口入力シート!AW$4,IF(管理者入力シート!$B$14=2,BU7*管理者用人口入力シート!AW$8))</f>
        <v>442.13831600801308</v>
      </c>
      <c r="BW10" s="10">
        <f>IF(管理者入力シート!$B$14=1,BV7*管理者用人口入力シート!AX$4,IF(管理者入力シート!$B$14=2,BV7*管理者用人口入力シート!AX$8))</f>
        <v>458.7700510805733</v>
      </c>
      <c r="BX10" s="10">
        <f>IF(管理者入力シート!$B$14=1,BW7*管理者用人口入力シート!AY$4,IF(管理者入力シート!$B$14=2,BW7*管理者用人口入力シート!AY$8))</f>
        <v>429.19061120851813</v>
      </c>
      <c r="BY10" s="10">
        <f>IF(管理者入力シート!$B$14=1,BX7*管理者用人口入力シート!AZ$4,IF(管理者入力シート!$B$14=2,BX7*管理者用人口入力シート!AZ$8))</f>
        <v>494.81381227065162</v>
      </c>
      <c r="BZ10" s="10">
        <f>IF(管理者入力シート!$B$14=1,BY7*管理者用人口入力シート!BA$4,IF(管理者入力シート!$B$14=2,BY7*管理者用人口入力シート!BA$8))</f>
        <v>519.52503589397054</v>
      </c>
      <c r="CA10" s="10">
        <f>IF(管理者入力シート!$B$14=1,BZ7*管理者用人口入力シート!BB$4,IF(管理者入力シート!$B$14=2,BZ7*管理者用人口入力シート!BB$8))</f>
        <v>565.45087356790157</v>
      </c>
      <c r="CB10" s="10">
        <f>IF(管理者入力シート!$B$14=1,CA7*管理者用人口入力シート!BC$4,IF(管理者入力シート!$B$14=2,CA7*管理者用人口入力シート!BC$8))</f>
        <v>486.61112457544289</v>
      </c>
      <c r="CC10" s="10">
        <f>IF(管理者入力シート!$B$14=1,CB7*管理者用人口入力シート!BD$4,IF(管理者入力シート!$B$14=2,CB7*管理者用人口入力シート!BD$8))</f>
        <v>201.98152441336194</v>
      </c>
      <c r="CD10" s="10">
        <f>IF(管理者入力シート!$B$14=1,CC7*管理者用人口入力シート!BE$4,IF(管理者入力シート!$B$14=2,CC7*管理者用人口入力シート!BE$8))</f>
        <v>78.892382196807986</v>
      </c>
      <c r="CE10" s="10">
        <f>IF(管理者入力シート!$B$14=1,CD7*管理者用人口入力シート!BF$4,IF(管理者入力シート!$B$14=2,CD7*管理者用人口入力シート!BF$8))</f>
        <v>13.737996884343465</v>
      </c>
      <c r="CF10" s="10">
        <f t="shared" si="2"/>
        <v>6281.7686907578991</v>
      </c>
      <c r="CG10" s="10">
        <f t="shared" si="20"/>
        <v>272.19538469489498</v>
      </c>
      <c r="CH10" s="10">
        <f t="shared" si="21"/>
        <v>155.23894203594045</v>
      </c>
      <c r="CI10" s="10">
        <f t="shared" si="3"/>
        <v>2790.2033610109979</v>
      </c>
      <c r="CJ10" s="10">
        <f t="shared" si="22"/>
        <v>1866.1989375318283</v>
      </c>
      <c r="CK10" s="14">
        <f t="shared" si="23"/>
        <v>0.44417480145617366</v>
      </c>
      <c r="CL10" s="14">
        <f t="shared" si="24"/>
        <v>0.29708176620344012</v>
      </c>
      <c r="CM10" s="10">
        <f t="shared" si="25"/>
        <v>777.28554517561065</v>
      </c>
      <c r="CO10" s="7" t="str">
        <f t="shared" si="26"/>
        <v>2035_2</v>
      </c>
      <c r="CP10" s="29">
        <f>CP9</f>
        <v>2035</v>
      </c>
      <c r="CQ10" s="4" t="s">
        <v>22</v>
      </c>
      <c r="CR10" s="10">
        <f>DT10*$AK$14+将来予測シート②!$H17</f>
        <v>187.1034331201771</v>
      </c>
      <c r="CS10" s="10">
        <f>IF(管理者入力シート!$B$14=1,CR7*管理者用人口入力シート!AM$4,IF(管理者入力シート!$B$14=2,CR7*管理者用人口入力シート!AM$8))+将来予測シート②!$H18</f>
        <v>211.23191712219747</v>
      </c>
      <c r="CT10" s="10">
        <f>IF(管理者入力シート!$B$14=1,CS7*管理者用人口入力シート!AN$4,IF(管理者入力シート!$B$14=2,CS7*管理者用人口入力シート!AN$8))+将来予測シート②!$H19</f>
        <v>246.52003258614718</v>
      </c>
      <c r="CU10" s="10">
        <f>IF(管理者入力シート!$B$14=1,CT7*管理者用人口入力シート!AO$4,IF(管理者入力シート!$B$14=2,CT7*管理者用人口入力シート!AO$8))+将来予測シート②!$H20</f>
        <v>288.24802839241113</v>
      </c>
      <c r="CV10" s="10">
        <f>IF(管理者入力シート!$B$14=1,CU7*管理者用人口入力シート!AP$4,IF(管理者入力シート!$B$14=2,CU7*管理者用人口入力シート!AP$8))+将来予測シート②!$H21</f>
        <v>168.61648596483221</v>
      </c>
      <c r="CW10" s="10">
        <f>IF(管理者入力シート!$B$14=1,CV7*管理者用人口入力シート!AQ$4,IF(管理者入力シート!$B$14=2,CV7*管理者用人口入力シート!AQ$8))+将来予測シート②!$H22</f>
        <v>189.57023638948584</v>
      </c>
      <c r="CX10" s="10">
        <f>IF(管理者入力シート!$B$14=1,CW7*管理者用人口入力シート!AR$4,IF(管理者入力シート!$B$14=2,CW7*管理者用人口入力シート!AR$8))+将来予測シート②!$H23</f>
        <v>196.37535394435366</v>
      </c>
      <c r="CY10" s="10">
        <f>IF(管理者入力シート!$B$14=1,CX7*管理者用人口入力シート!AS$4,IF(管理者入力シート!$B$14=2,CX7*管理者用人口入力シート!AS$8))+将来予測シート②!$H24</f>
        <v>229.1724723267032</v>
      </c>
      <c r="CZ10" s="10">
        <f>IF(管理者入力シート!$B$14=1,CY7*管理者用人口入力シート!AT$4,IF(管理者入力シート!$B$14=2,CY7*管理者用人口入力シート!AT$8))+将来予測シート②!$H25</f>
        <v>221.50120769039188</v>
      </c>
      <c r="DA10" s="10">
        <f>IF(管理者入力シート!$B$14=1,CZ7*管理者用人口入力シート!AU$4,IF(管理者入力シート!$B$14=2,CZ7*管理者用人口入力シート!AU$8))+将来予測シート②!$H26</f>
        <v>294.62102927745536</v>
      </c>
      <c r="DB10" s="10">
        <f>IF(管理者入力シート!$B$14=1,DA7*管理者用人口入力シート!AV$4,IF(管理者入力シート!$B$14=2,DA7*管理者用人口入力シート!AV$8))+将来予測シート②!$H27</f>
        <v>374.71565411750663</v>
      </c>
      <c r="DC10" s="10">
        <f>IF(管理者入力シート!$B$14=1,DB7*管理者用人口入力シート!AW$4,IF(管理者入力シート!$B$14=2,DB7*管理者用人口入力シート!AW$8))+将来予測シート②!$H28</f>
        <v>442.13831600801308</v>
      </c>
      <c r="DD10" s="10">
        <f>IF(管理者入力シート!$B$14=1,DC7*管理者用人口入力シート!AX$4,IF(管理者入力シート!$B$14=2,DC7*管理者用人口入力シート!AX$8))+将来予測シート②!$H29</f>
        <v>458.7700510805733</v>
      </c>
      <c r="DE10" s="10">
        <f>IF(管理者入力シート!$B$14=1,DD7*管理者用人口入力シート!AY$4,IF(管理者入力シート!$B$14=2,DD7*管理者用人口入力シート!AY$8))</f>
        <v>429.19061120851813</v>
      </c>
      <c r="DF10" s="10">
        <f>IF(管理者入力シート!$B$14=1,DE7*管理者用人口入力シート!AZ$4,IF(管理者入力シート!$B$14=2,DE7*管理者用人口入力シート!AZ$8))</f>
        <v>494.81381227065162</v>
      </c>
      <c r="DG10" s="10">
        <f>IF(管理者入力シート!$B$14=1,DF7*管理者用人口入力シート!BA$4,IF(管理者入力シート!$B$14=2,DF7*管理者用人口入力シート!BA$8))</f>
        <v>519.52503589397054</v>
      </c>
      <c r="DH10" s="10">
        <f>IF(管理者入力シート!$B$14=1,DG7*管理者用人口入力シート!BB$4,IF(管理者入力シート!$B$14=2,DG7*管理者用人口入力シート!BB$8))</f>
        <v>565.45087356790157</v>
      </c>
      <c r="DI10" s="10">
        <f>IF(管理者入力シート!$B$14=1,DH7*管理者用人口入力シート!BC$4,IF(管理者入力シート!$B$14=2,DH7*管理者用人口入力シート!BC$8))</f>
        <v>486.61112457544289</v>
      </c>
      <c r="DJ10" s="10">
        <f>IF(管理者入力シート!$B$14=1,DI7*管理者用人口入力シート!BD$4,IF(管理者入力シート!$B$14=2,DI7*管理者用人口入力シート!BD$8))</f>
        <v>201.98152441336194</v>
      </c>
      <c r="DK10" s="10">
        <f>IF(管理者入力シート!$B$14=1,DJ7*管理者用人口入力シート!BE$4,IF(管理者入力シート!$B$14=2,DJ7*管理者用人口入力シート!BE$8))</f>
        <v>78.892382196807986</v>
      </c>
      <c r="DL10" s="10">
        <f>IF(管理者入力シート!$B$14=1,DK7*管理者用人口入力シート!BF$4,IF(管理者入力シート!$B$14=2,DK7*管理者用人口入力シート!BF$8))</f>
        <v>13.737996884343465</v>
      </c>
      <c r="DM10" s="10">
        <f t="shared" si="69"/>
        <v>6298.7875790312464</v>
      </c>
      <c r="DN10" s="10">
        <f t="shared" si="34"/>
        <v>274.65116982500678</v>
      </c>
      <c r="DO10" s="10">
        <f t="shared" si="35"/>
        <v>156.25761871294111</v>
      </c>
      <c r="DP10" s="10">
        <f t="shared" si="6"/>
        <v>2790.2033610109979</v>
      </c>
      <c r="DQ10" s="10">
        <f t="shared" si="36"/>
        <v>1866.1989375318283</v>
      </c>
      <c r="DR10" s="14">
        <f t="shared" si="37"/>
        <v>0.44297467187171458</v>
      </c>
      <c r="DS10" s="14">
        <f t="shared" si="38"/>
        <v>0.29627907182398577</v>
      </c>
      <c r="DT10" s="10">
        <f t="shared" si="70"/>
        <v>783.73454862537483</v>
      </c>
      <c r="DV10" s="62" t="s">
        <v>405</v>
      </c>
      <c r="DW10" s="210">
        <f>((SUM(BL12:BL13)*3/5+SUM(BM12:BM13)+SUM(BN12:BN13)*1/5)-(SUM(E12:E13)*3/5+SUM(F12:F13)+SUM(G12:G13)*1/5))/4</f>
        <v>-157.41124483065343</v>
      </c>
      <c r="DX10" s="29">
        <f>DX9</f>
        <v>2035</v>
      </c>
      <c r="DY10" s="4" t="s">
        <v>22</v>
      </c>
      <c r="DZ10" s="10">
        <f>FB10*$AK$14</f>
        <v>416.29465218116286</v>
      </c>
      <c r="EA10" s="10">
        <f>IF(管理者入力シート!$B$14=1,DZ7*管理者用人口入力シート!AM$4,IF(管理者入力シート!$B$14=2,DZ7*管理者用人口入力シート!AM$8))</f>
        <v>411.62239170682295</v>
      </c>
      <c r="EB10" s="10">
        <f>IF(管理者入力シート!$B$14=1,EA7*管理者用人口入力シート!AN$4,IF(管理者入力シート!$B$14=2,EA7*管理者用人口入力シート!AN$8))</f>
        <v>244.45657667668252</v>
      </c>
      <c r="EC10" s="10">
        <f>IF(管理者入力シート!$B$14=1,EB7*管理者用人口入力シート!AO$4,IF(管理者入力シート!$B$14=2,EB7*管理者用人口入力シート!AO$8))</f>
        <v>287.28155682633724</v>
      </c>
      <c r="ED10" s="10">
        <f>IF(管理者入力シート!$B$14=1,EC7*管理者用人口入力シート!AP$4,IF(管理者入力シート!$B$14=2,EC7*管理者用人口入力シート!AP$8))</f>
        <v>168.10355781993826</v>
      </c>
      <c r="EE10" s="10">
        <f>IF(管理者入力シート!$B$14=1,ED7*管理者用人口入力シート!AQ$4,IF(管理者入力シート!$B$14=2,ED7*管理者用人口入力シート!AQ$8))+DX1</f>
        <v>350.57023638948584</v>
      </c>
      <c r="EF10" s="10">
        <f>IF(管理者入力シート!$B$14=1,EE7*管理者用人口入力シート!AR$4,IF(管理者入力シート!$B$14=2,EE7*管理者用人口入力シート!AR$8))+DX1</f>
        <v>516.32931186993119</v>
      </c>
      <c r="EG10" s="10">
        <f>IF(管理者入力シート!$B$14=1,EF7*管理者用人口入力シート!AS$4,IF(管理者入力シート!$B$14=2,EF7*管理者用人口入力シート!AS$8))+DX1</f>
        <v>718.13221148179014</v>
      </c>
      <c r="EH10" s="10">
        <f>IF(管理者入力シート!$B$14=1,EG7*管理者用人口入力シート!AT$4,IF(管理者入力シート!$B$14=2,EG7*管理者用人口入力シート!AT$8))</f>
        <v>528.27755067737439</v>
      </c>
      <c r="EI10" s="10">
        <f>IF(管理者入力シート!$B$14=1,EH7*管理者用人口入力シート!AU$4,IF(管理者入力シート!$B$14=2,EH7*管理者用人口入力シート!AU$8))</f>
        <v>446.39765431718092</v>
      </c>
      <c r="EJ10" s="10">
        <f>IF(管理者入力シート!$B$14=1,EI7*管理者用人口入力シート!AV$4,IF(管理者入力シート!$B$14=2,EI7*管理者用人口入力シート!AV$8))</f>
        <v>373.73868689908664</v>
      </c>
      <c r="EK10" s="10">
        <f>IF(管理者入力シート!$B$14=1,EJ7*管理者用人口入力シート!AW$4,IF(管理者入力シート!$B$14=2,EJ7*管理者用人口入力シート!AW$8))</f>
        <v>442.13831600801308</v>
      </c>
      <c r="EL10" s="10">
        <f>IF(管理者入力シート!$B$14=1,EK7*管理者用人口入力シート!AX$4,IF(管理者入力シート!$B$14=2,EK7*管理者用人口入力シート!AX$8))</f>
        <v>458.7700510805733</v>
      </c>
      <c r="EM10" s="10">
        <f>IF(管理者入力シート!$B$14=1,EL7*管理者用人口入力シート!AY$4,IF(管理者入力シート!$B$14=2,EL7*管理者用人口入力シート!AY$8))</f>
        <v>429.19061120851813</v>
      </c>
      <c r="EN10" s="10">
        <f>IF(管理者入力シート!$B$14=1,EM7*管理者用人口入力シート!AZ$4,IF(管理者入力シート!$B$14=2,EM7*管理者用人口入力シート!AZ$8))</f>
        <v>494.81381227065162</v>
      </c>
      <c r="EO10" s="10">
        <f>IF(管理者入力シート!$B$14=1,EN7*管理者用人口入力シート!BA$4,IF(管理者入力シート!$B$14=2,EN7*管理者用人口入力シート!BA$8))</f>
        <v>519.52503589397054</v>
      </c>
      <c r="EP10" s="10">
        <f>IF(管理者入力シート!$B$14=1,EO7*管理者用人口入力シート!BB$4,IF(管理者入力シート!$B$14=2,EO7*管理者用人口入力シート!BB$8))</f>
        <v>565.45087356790157</v>
      </c>
      <c r="EQ10" s="10">
        <f>IF(管理者入力シート!$B$14=1,EP7*管理者用人口入力シート!BC$4,IF(管理者入力シート!$B$14=2,EP7*管理者用人口入力シート!BC$8))</f>
        <v>486.61112457544289</v>
      </c>
      <c r="ER10" s="10">
        <f>IF(管理者入力シート!$B$14=1,EQ7*管理者用人口入力シート!BD$4,IF(管理者入力シート!$B$14=2,EQ7*管理者用人口入力シート!BD$8))</f>
        <v>201.98152441336194</v>
      </c>
      <c r="ES10" s="10">
        <f>IF(管理者入力シート!$B$14=1,ER7*管理者用人口入力シート!BE$4,IF(管理者入力シート!$B$14=2,ER7*管理者用人口入力シート!BE$8))</f>
        <v>78.892382196807986</v>
      </c>
      <c r="ET10" s="10">
        <f>IF(管理者入力シート!$B$14=1,ES7*管理者用人口入力シート!BF$4,IF(管理者入力シート!$B$14=2,ES7*管理者用人口入力シート!BF$8))</f>
        <v>13.737996884343465</v>
      </c>
      <c r="EU10" s="10">
        <f t="shared" si="71"/>
        <v>8152.3161149453772</v>
      </c>
      <c r="EV10" s="10">
        <f t="shared" si="41"/>
        <v>393.64738103010325</v>
      </c>
      <c r="EW10" s="10">
        <f t="shared" si="42"/>
        <v>155.23894203594045</v>
      </c>
      <c r="EX10" s="10">
        <f t="shared" si="10"/>
        <v>2790.2033610109979</v>
      </c>
      <c r="EY10" s="10">
        <f t="shared" si="43"/>
        <v>1866.1989375318283</v>
      </c>
      <c r="EZ10" s="14">
        <f t="shared" si="44"/>
        <v>0.34225897544573969</v>
      </c>
      <c r="FA10" s="14">
        <f t="shared" si="45"/>
        <v>0.22891640991577672</v>
      </c>
      <c r="FB10" s="10">
        <f t="shared" si="72"/>
        <v>1753.1353175611455</v>
      </c>
    </row>
    <row r="11" spans="1:158" x14ac:dyDescent="0.15">
      <c r="A11" s="7" t="str">
        <f t="shared" si="11"/>
        <v>2015_3</v>
      </c>
      <c r="B11" s="30">
        <v>2015</v>
      </c>
      <c r="C11" s="5" t="s">
        <v>23</v>
      </c>
      <c r="D11" s="11">
        <v>632.56260486898827</v>
      </c>
      <c r="E11" s="11">
        <v>739.62642273648589</v>
      </c>
      <c r="F11" s="11">
        <v>805.68949412971961</v>
      </c>
      <c r="G11" s="11">
        <v>969.65125317417096</v>
      </c>
      <c r="H11" s="11">
        <v>486.4034577979977</v>
      </c>
      <c r="I11" s="11">
        <v>704.58790465399522</v>
      </c>
      <c r="J11" s="11">
        <v>768.69695826269333</v>
      </c>
      <c r="K11" s="11">
        <v>938.66091261641475</v>
      </c>
      <c r="L11" s="11">
        <v>973.67591264165367</v>
      </c>
      <c r="M11" s="11">
        <v>932.6757804632972</v>
      </c>
      <c r="N11" s="11">
        <v>1028.6235915360689</v>
      </c>
      <c r="O11" s="11">
        <v>1154.7308696718942</v>
      </c>
      <c r="P11" s="11">
        <v>1377.6697069244346</v>
      </c>
      <c r="Q11" s="11">
        <v>1581.7749087291791</v>
      </c>
      <c r="R11" s="11">
        <v>1067.6212660606723</v>
      </c>
      <c r="S11" s="11">
        <v>1073.6027170577322</v>
      </c>
      <c r="T11" s="11">
        <v>939.45197280439515</v>
      </c>
      <c r="U11" s="11">
        <v>513.19977296521233</v>
      </c>
      <c r="V11" s="11">
        <v>213.06999510411808</v>
      </c>
      <c r="W11" s="11">
        <v>59.017144859699755</v>
      </c>
      <c r="X11" s="11">
        <v>5.007352941176471</v>
      </c>
      <c r="Y11" s="11">
        <f t="shared" si="68"/>
        <v>16966</v>
      </c>
      <c r="Z11" s="11">
        <f t="shared" si="12"/>
        <v>927.18955011972332</v>
      </c>
      <c r="AA11" s="11">
        <f t="shared" si="13"/>
        <v>516.20604828672208</v>
      </c>
      <c r="AB11" s="11">
        <f t="shared" si="0"/>
        <v>5452.7451305221848</v>
      </c>
      <c r="AC11" s="11">
        <f t="shared" si="14"/>
        <v>2803.3489557323342</v>
      </c>
      <c r="AD11" s="15">
        <f t="shared" si="15"/>
        <v>0.321392498557243</v>
      </c>
      <c r="AE11" s="15">
        <f t="shared" si="16"/>
        <v>0.16523334644184451</v>
      </c>
      <c r="AF11" s="11">
        <f t="shared" si="17"/>
        <v>2898.349233331101</v>
      </c>
      <c r="BH11" s="7" t="str">
        <f t="shared" si="19"/>
        <v>2035_3</v>
      </c>
      <c r="BI11" s="30">
        <f>BI10</f>
        <v>2035</v>
      </c>
      <c r="BJ11" s="5" t="s">
        <v>23</v>
      </c>
      <c r="BK11" s="16">
        <f>BK9+BK10</f>
        <v>348.54437288161489</v>
      </c>
      <c r="BL11" s="16">
        <f t="shared" ref="BL11" si="117">BL9+BL10</f>
        <v>395.23221258048</v>
      </c>
      <c r="BM11" s="16">
        <f t="shared" ref="BM11" si="118">BM9+BM10</f>
        <v>463.58632193782648</v>
      </c>
      <c r="BN11" s="16">
        <f t="shared" ref="BN11" si="119">BN9+BN10</f>
        <v>594.06262234292171</v>
      </c>
      <c r="BO11" s="16">
        <f t="shared" ref="BO11" si="120">BO9+BO10</f>
        <v>346.23586115626665</v>
      </c>
      <c r="BP11" s="16">
        <f t="shared" ref="BP11" si="121">BP9+BP10</f>
        <v>455.14009070099058</v>
      </c>
      <c r="BQ11" s="16">
        <f t="shared" ref="BQ11" si="122">BQ9+BQ10</f>
        <v>492.1238993392617</v>
      </c>
      <c r="BR11" s="16">
        <f t="shared" ref="BR11" si="123">BR9+BR10</f>
        <v>511.83758048169585</v>
      </c>
      <c r="BS11" s="16">
        <f t="shared" ref="BS11" si="124">BS9+BS10</f>
        <v>484.75979024320441</v>
      </c>
      <c r="BT11" s="16">
        <f t="shared" ref="BT11" si="125">BT9+BT10</f>
        <v>602.98849824508284</v>
      </c>
      <c r="BU11" s="16">
        <f t="shared" ref="BU11" si="126">BU9+BU10</f>
        <v>716.61697722026838</v>
      </c>
      <c r="BV11" s="16">
        <f t="shared" ref="BV11" si="127">BV9+BV10</f>
        <v>870.60789526055328</v>
      </c>
      <c r="BW11" s="16">
        <f t="shared" ref="BW11" si="128">BW9+BW10</f>
        <v>950.94523290085885</v>
      </c>
      <c r="BX11" s="16">
        <f t="shared" ref="BX11" si="129">BX9+BX10</f>
        <v>853.25432622950098</v>
      </c>
      <c r="BY11" s="16">
        <f t="shared" ref="BY11" si="130">BY9+BY10</f>
        <v>899.10201208963815</v>
      </c>
      <c r="BZ11" s="16">
        <f t="shared" ref="BZ11" si="131">BZ9+BZ10</f>
        <v>939.01597666574003</v>
      </c>
      <c r="CA11" s="16">
        <f t="shared" ref="CA11" si="132">CA9+CA10</f>
        <v>954.523934590419</v>
      </c>
      <c r="CB11" s="16">
        <f t="shared" ref="CB11" si="133">CB9+CB10</f>
        <v>776.89003825816553</v>
      </c>
      <c r="CC11" s="16">
        <f t="shared" ref="CC11" si="134">CC9+CC10</f>
        <v>291.61429182115091</v>
      </c>
      <c r="CD11" s="16">
        <f t="shared" ref="CD11" si="135">CD9+CD10</f>
        <v>112.74792229342358</v>
      </c>
      <c r="CE11" s="16">
        <f t="shared" ref="CE11" si="136">CE9+CE10</f>
        <v>14.198551076235242</v>
      </c>
      <c r="CF11" s="11">
        <f t="shared" si="2"/>
        <v>12074.0284083153</v>
      </c>
      <c r="CG11" s="11">
        <f t="shared" si="20"/>
        <v>515.29112071098393</v>
      </c>
      <c r="CH11" s="11">
        <f t="shared" si="21"/>
        <v>304.24705324371496</v>
      </c>
      <c r="CI11" s="11">
        <f t="shared" si="3"/>
        <v>4841.347053024273</v>
      </c>
      <c r="CJ11" s="11">
        <f t="shared" si="22"/>
        <v>3088.990714705134</v>
      </c>
      <c r="CK11" s="15">
        <f t="shared" si="23"/>
        <v>0.40097197797630413</v>
      </c>
      <c r="CL11" s="15">
        <f t="shared" si="24"/>
        <v>0.25583762189740811</v>
      </c>
      <c r="CM11" s="11">
        <f t="shared" si="25"/>
        <v>1805.3374316782147</v>
      </c>
      <c r="CO11" s="7" t="str">
        <f t="shared" si="26"/>
        <v>2035_3</v>
      </c>
      <c r="CP11" s="30">
        <f>CP10</f>
        <v>2035</v>
      </c>
      <c r="CQ11" s="5" t="s">
        <v>23</v>
      </c>
      <c r="CR11" s="16">
        <f>CR9+CR10</f>
        <v>353.43618513395984</v>
      </c>
      <c r="CS11" s="16">
        <f t="shared" ref="CS11" si="137">CS9+CS10</f>
        <v>399.18344475085524</v>
      </c>
      <c r="CT11" s="16">
        <f t="shared" ref="CT11" si="138">CT9+CT10</f>
        <v>467.72281457483535</v>
      </c>
      <c r="CU11" s="16">
        <f t="shared" ref="CU11" si="139">CU9+CU10</f>
        <v>596.18045163389877</v>
      </c>
      <c r="CV11" s="16">
        <f t="shared" ref="CV11" si="140">CV9+CV10</f>
        <v>347.26507263906581</v>
      </c>
      <c r="CW11" s="16">
        <f t="shared" ref="CW11" si="141">CW9+CW10</f>
        <v>459.14009070099058</v>
      </c>
      <c r="CX11" s="16">
        <f t="shared" ref="CX11" si="142">CX9+CX10</f>
        <v>495.96287072527633</v>
      </c>
      <c r="CY11" s="16">
        <f t="shared" ref="CY11" si="143">CY9+CY10</f>
        <v>515.76272195248339</v>
      </c>
      <c r="CZ11" s="16">
        <f t="shared" ref="CZ11" si="144">CZ9+CZ10</f>
        <v>485.75979024320441</v>
      </c>
      <c r="DA11" s="16">
        <f t="shared" ref="DA11" si="145">DA9+DA10</f>
        <v>603.99060658711335</v>
      </c>
      <c r="DB11" s="16">
        <f t="shared" ref="DB11" si="146">DB9+DB10</f>
        <v>717.59394443868837</v>
      </c>
      <c r="DC11" s="16">
        <f t="shared" ref="DC11" si="147">DC9+DC10</f>
        <v>870.60789526055328</v>
      </c>
      <c r="DD11" s="16">
        <f t="shared" ref="DD11" si="148">DD9+DD10</f>
        <v>950.94523290085885</v>
      </c>
      <c r="DE11" s="16">
        <f t="shared" ref="DE11" si="149">DE9+DE10</f>
        <v>853.25432622950098</v>
      </c>
      <c r="DF11" s="16">
        <f t="shared" ref="DF11" si="150">DF9+DF10</f>
        <v>899.10201208963815</v>
      </c>
      <c r="DG11" s="16">
        <f t="shared" ref="DG11" si="151">DG9+DG10</f>
        <v>939.01597666574003</v>
      </c>
      <c r="DH11" s="16">
        <f t="shared" ref="DH11" si="152">DH9+DH10</f>
        <v>954.523934590419</v>
      </c>
      <c r="DI11" s="16">
        <f t="shared" ref="DI11" si="153">DI9+DI10</f>
        <v>776.89003825816553</v>
      </c>
      <c r="DJ11" s="16">
        <f t="shared" ref="DJ11" si="154">DJ9+DJ10</f>
        <v>291.61429182115091</v>
      </c>
      <c r="DK11" s="16">
        <f t="shared" ref="DK11" si="155">DK9+DK10</f>
        <v>112.74792229342358</v>
      </c>
      <c r="DL11" s="16">
        <f t="shared" ref="DL11" si="156">DL9+DL10</f>
        <v>14.198551076235242</v>
      </c>
      <c r="DM11" s="11">
        <f t="shared" si="69"/>
        <v>12104.898174566057</v>
      </c>
      <c r="DN11" s="11">
        <f t="shared" si="34"/>
        <v>520.1437555954144</v>
      </c>
      <c r="DO11" s="11">
        <f t="shared" si="35"/>
        <v>306.32521615671391</v>
      </c>
      <c r="DP11" s="11">
        <f t="shared" si="6"/>
        <v>4841.347053024273</v>
      </c>
      <c r="DQ11" s="11">
        <f t="shared" si="36"/>
        <v>3088.990714705134</v>
      </c>
      <c r="DR11" s="15">
        <f t="shared" si="37"/>
        <v>0.39994942404361267</v>
      </c>
      <c r="DS11" s="15">
        <f t="shared" si="38"/>
        <v>0.25518518786019195</v>
      </c>
      <c r="DT11" s="11">
        <f t="shared" si="70"/>
        <v>1818.1307560178161</v>
      </c>
      <c r="DW11" s="211"/>
      <c r="DX11" s="30">
        <f>DX10</f>
        <v>2035</v>
      </c>
      <c r="DY11" s="5" t="s">
        <v>23</v>
      </c>
      <c r="DZ11" s="16">
        <f>DZ9+DZ10</f>
        <v>786.12738089437642</v>
      </c>
      <c r="EA11" s="16">
        <f t="shared" ref="EA11" si="157">EA9+EA10</f>
        <v>777.65087934589803</v>
      </c>
      <c r="EB11" s="16">
        <f t="shared" ref="EB11" si="158">EB9+EB10</f>
        <v>463.58632193782648</v>
      </c>
      <c r="EC11" s="16">
        <f t="shared" ref="EC11" si="159">EC9+EC10</f>
        <v>594.06262234292171</v>
      </c>
      <c r="ED11" s="16">
        <f t="shared" ref="ED11" si="160">ED9+ED10</f>
        <v>346.23586115626665</v>
      </c>
      <c r="EE11" s="16">
        <f t="shared" ref="EE11" si="161">EE9+EE10</f>
        <v>781.14009070099064</v>
      </c>
      <c r="EF11" s="16">
        <f t="shared" ref="EF11" si="162">EF9+EF10</f>
        <v>1131.0000672994536</v>
      </c>
      <c r="EG11" s="16">
        <f t="shared" ref="EG11" si="163">EG9+EG10</f>
        <v>1491.0732383310558</v>
      </c>
      <c r="EH11" s="16">
        <f t="shared" ref="EH11" si="164">EH9+EH10</f>
        <v>1107.5786142657655</v>
      </c>
      <c r="EI11" s="16">
        <f t="shared" ref="EI11" si="165">EI9+EI10</f>
        <v>910.87485273035645</v>
      </c>
      <c r="EJ11" s="16">
        <f t="shared" ref="EJ11" si="166">EJ9+EJ10</f>
        <v>716.61697722026838</v>
      </c>
      <c r="EK11" s="16">
        <f t="shared" ref="EK11" si="167">EK9+EK10</f>
        <v>870.60789526055328</v>
      </c>
      <c r="EL11" s="16">
        <f t="shared" ref="EL11" si="168">EL9+EL10</f>
        <v>950.94523290085885</v>
      </c>
      <c r="EM11" s="16">
        <f t="shared" ref="EM11" si="169">EM9+EM10</f>
        <v>853.25432622950098</v>
      </c>
      <c r="EN11" s="16">
        <f t="shared" ref="EN11" si="170">EN9+EN10</f>
        <v>899.10201208963815</v>
      </c>
      <c r="EO11" s="16">
        <f t="shared" ref="EO11" si="171">EO9+EO10</f>
        <v>939.01597666574003</v>
      </c>
      <c r="EP11" s="16">
        <f t="shared" ref="EP11" si="172">EP9+EP10</f>
        <v>954.523934590419</v>
      </c>
      <c r="EQ11" s="16">
        <f t="shared" ref="EQ11" si="173">EQ9+EQ10</f>
        <v>776.89003825816553</v>
      </c>
      <c r="ER11" s="16">
        <f t="shared" ref="ER11" si="174">ER9+ER10</f>
        <v>291.61429182115091</v>
      </c>
      <c r="ES11" s="16">
        <f t="shared" ref="ES11" si="175">ES9+ES10</f>
        <v>112.74792229342358</v>
      </c>
      <c r="ET11" s="16">
        <f t="shared" ref="ET11" si="176">ET9+ET10</f>
        <v>14.198551076235242</v>
      </c>
      <c r="EU11" s="11">
        <f t="shared" si="71"/>
        <v>15768.847087410863</v>
      </c>
      <c r="EV11" s="11">
        <f t="shared" si="41"/>
        <v>744.74232077023476</v>
      </c>
      <c r="EW11" s="11">
        <f t="shared" si="42"/>
        <v>304.24705324371496</v>
      </c>
      <c r="EX11" s="11">
        <f t="shared" si="10"/>
        <v>4841.347053024273</v>
      </c>
      <c r="EY11" s="11">
        <f t="shared" si="43"/>
        <v>3088.990714705134</v>
      </c>
      <c r="EZ11" s="15">
        <f t="shared" si="44"/>
        <v>0.30701972225283269</v>
      </c>
      <c r="FA11" s="15">
        <f t="shared" si="45"/>
        <v>0.19589198231056759</v>
      </c>
      <c r="FB11" s="11">
        <f t="shared" si="72"/>
        <v>3749.4492574877668</v>
      </c>
    </row>
    <row r="12" spans="1:158" x14ac:dyDescent="0.15">
      <c r="A12" s="7" t="str">
        <f t="shared" si="11"/>
        <v>2020_1</v>
      </c>
      <c r="B12" s="28">
        <v>2020</v>
      </c>
      <c r="C12" s="3" t="s">
        <v>21</v>
      </c>
      <c r="D12" s="9">
        <v>248.31541762311284</v>
      </c>
      <c r="E12" s="9">
        <v>337.0656890777214</v>
      </c>
      <c r="F12" s="9">
        <v>411.58915072507608</v>
      </c>
      <c r="G12" s="9">
        <v>558.15892098432823</v>
      </c>
      <c r="H12" s="9">
        <v>233.19764129188295</v>
      </c>
      <c r="I12" s="9">
        <v>285.78157100940967</v>
      </c>
      <c r="J12" s="9">
        <v>316.79875260561954</v>
      </c>
      <c r="K12" s="9">
        <v>371.11196934273335</v>
      </c>
      <c r="L12" s="9">
        <v>438.46644695066476</v>
      </c>
      <c r="M12" s="9">
        <v>508.2094924692239</v>
      </c>
      <c r="N12" s="9">
        <v>440.58247471052141</v>
      </c>
      <c r="O12" s="9">
        <v>473.59612231278805</v>
      </c>
      <c r="P12" s="9">
        <v>547.80718033687367</v>
      </c>
      <c r="Q12" s="9">
        <v>628.93460265180454</v>
      </c>
      <c r="R12" s="9">
        <v>671.00311452003223</v>
      </c>
      <c r="S12" s="9">
        <v>439.86427338949312</v>
      </c>
      <c r="T12" s="9">
        <v>354.13528299122009</v>
      </c>
      <c r="U12" s="9">
        <v>242.66531714066031</v>
      </c>
      <c r="V12" s="9">
        <v>75.560248067563691</v>
      </c>
      <c r="W12" s="9">
        <v>15.147963598433368</v>
      </c>
      <c r="X12" s="9">
        <v>2.00836820083682</v>
      </c>
      <c r="Y12" s="9">
        <f t="shared" ref="Y12:Y14" si="177">SUM(D12:X12)</f>
        <v>7599.9999999999991</v>
      </c>
      <c r="Z12" s="9">
        <f>E12*3/5+F12*3/5</f>
        <v>449.19290388167849</v>
      </c>
      <c r="AA12" s="9">
        <f>F12*2/5+G12*1/5</f>
        <v>276.26744448689612</v>
      </c>
      <c r="AB12" s="9">
        <f t="shared" ref="AB12:AB14" si="178">SUM(Q12:X12)</f>
        <v>2429.3191705600439</v>
      </c>
      <c r="AC12" s="9">
        <f>SUM(S12:X12)</f>
        <v>1129.3814533882073</v>
      </c>
      <c r="AD12" s="13">
        <f>AB12/Y12</f>
        <v>0.31964725928421633</v>
      </c>
      <c r="AE12" s="13">
        <f>AC12/Y12</f>
        <v>0.14860282281423781</v>
      </c>
      <c r="AF12" s="9">
        <f>SUM(H12:K12)</f>
        <v>1206.8899342496454</v>
      </c>
      <c r="AK12" s="61">
        <f>管理者入力シート!B5</f>
        <v>2020</v>
      </c>
      <c r="AL12" s="62"/>
      <c r="BH12" s="7" t="str">
        <f t="shared" si="19"/>
        <v>2040_1</v>
      </c>
      <c r="BI12" s="28">
        <f>管理者入力シート!B11</f>
        <v>2040</v>
      </c>
      <c r="BJ12" s="3" t="s">
        <v>21</v>
      </c>
      <c r="BK12" s="9">
        <f>CM13*$AK$13</f>
        <v>148.86120437627778</v>
      </c>
      <c r="BL12" s="9">
        <f>IF(管理者入力シート!$B$14=1,BK9*管理者用人口入力シート!AM$3,IF(管理者入力シート!$B$14=2,BK9*管理者用人口入力シート!AM$7))</f>
        <v>171.88780028344809</v>
      </c>
      <c r="BM12" s="9">
        <f>IF(管理者入力シート!$B$14=1,BL9*管理者用人口入力シート!AN$3,IF(管理者入力シート!$B$14=2,BL9*管理者用人口入力シート!AN$7))</f>
        <v>190.42439363361646</v>
      </c>
      <c r="BN12" s="9">
        <f>IF(管理者入力シート!$B$14=1,BM9*管理者用人口入力シート!AO$3,IF(管理者入力シート!$B$14=2,BM9*管理者用人口入力シート!AO$7))</f>
        <v>252.29672496247713</v>
      </c>
      <c r="BO12" s="9">
        <f>IF(管理者入力シート!$B$14=1,BN9*管理者用人口入力シート!AP$3,IF(管理者入力シート!$B$14=2,BN9*管理者用人口入力シート!AP$7))</f>
        <v>137.56450240027911</v>
      </c>
      <c r="BP12" s="9">
        <f>IF(管理者入力シート!$B$14=1,BO9*管理者用人口入力シート!AQ$3,IF(管理者入力シート!$B$14=2,BO9*管理者用人口入力シート!AQ$7))</f>
        <v>224.29925860162646</v>
      </c>
      <c r="BQ12" s="9">
        <f>IF(管理者入力シート!$B$14=1,BP9*管理者用人口入力シート!AR$3,IF(管理者入力シート!$B$14=2,BP9*管理者用人口入力シート!AR$7))</f>
        <v>252.75086961756301</v>
      </c>
      <c r="BR12" s="9">
        <f>IF(管理者入力シート!$B$14=1,BQ9*管理者用人口入力シート!AS$3,IF(管理者入力シート!$B$14=2,BQ9*管理者用人口入力シート!AS$7))</f>
        <v>305.50965491922079</v>
      </c>
      <c r="BS12" s="9">
        <f>IF(管理者入力シート!$B$14=1,BR9*管理者用人口入力シート!AT$3,IF(管理者入力シート!$B$14=2,BR9*管理者用人口入力シート!AT$7))</f>
        <v>271.5214784350141</v>
      </c>
      <c r="BT12" s="9">
        <f>IF(管理者入力シート!$B$14=1,BS9*管理者用人口入力シート!AU$3,IF(管理者入力シート!$B$14=2,BS9*管理者用人口入力シート!AU$7))</f>
        <v>263.62332703732301</v>
      </c>
      <c r="BU12" s="9">
        <f>IF(管理者入力シート!$B$14=1,BT9*管理者用人口入力シート!AV$3,IF(管理者入力シート!$B$14=2,BT9*管理者用人口入力シート!AV$7))</f>
        <v>300.37729204946316</v>
      </c>
      <c r="BV12" s="9">
        <f>IF(管理者入力シート!$B$14=1,BU9*管理者用人口入力シート!AW$3,IF(管理者入力シート!$B$14=2,BU9*管理者用人口入力シート!AW$7))</f>
        <v>345.9229586155331</v>
      </c>
      <c r="BW12" s="9">
        <f>IF(管理者入力シート!$B$14=1,BV9*管理者用人口入力シート!AX$3,IF(管理者入力シート!$B$14=2,BV9*管理者用人口入力シート!AX$7))</f>
        <v>423.6117895564683</v>
      </c>
      <c r="BX12" s="9">
        <f>IF(管理者入力シート!$B$14=1,BW9*管理者用人口入力シート!AY$3,IF(管理者入力シート!$B$14=2,BW9*管理者用人口入力シート!AY$7))</f>
        <v>474.93717223061157</v>
      </c>
      <c r="BY12" s="9">
        <f>IF(管理者入力シート!$B$14=1,BX9*管理者用人口入力シート!AZ$3,IF(管理者入力シート!$B$14=2,BX9*管理者用人口入力シート!AZ$7))</f>
        <v>379.44562013207405</v>
      </c>
      <c r="BZ12" s="9">
        <f>IF(管理者入力シート!$B$14=1,BY9*管理者用人口入力シート!BA$3,IF(管理者入力シート!$B$14=2,BY9*管理者用人口入力シート!BA$7))</f>
        <v>358.55109170727474</v>
      </c>
      <c r="CA12" s="9">
        <f>IF(管理者入力シート!$B$14=1,BZ9*管理者用人口入力シート!BB$3,IF(管理者入力シート!$B$14=2,BZ9*管理者用人口入力シート!BB$7))</f>
        <v>327.01663444790711</v>
      </c>
      <c r="CB12" s="9">
        <f>IF(管理者入力シート!$B$14=1,CA9*管理者用人口入力シート!BC$3,IF(管理者入力シート!$B$14=2,CA9*管理者用人口入力シート!BC$7))</f>
        <v>243.45285562046919</v>
      </c>
      <c r="CC12" s="9">
        <f>IF(管理者入力シート!$B$14=1,CB9*管理者用人口入力シート!BD$3,IF(管理者入力シート!$B$14=2,CB9*管理者用人口入力シート!BD$7))</f>
        <v>121.26420834741789</v>
      </c>
      <c r="CD12" s="9">
        <f>IF(管理者入力シート!$B$14=1,CC9*管理者用人口入力シート!BE$3,IF(管理者入力シート!$B$14=2,CC9*管理者用人口入力シート!BE$7))</f>
        <v>32.78132440786834</v>
      </c>
      <c r="CE12" s="9">
        <f>IF(管理者入力シート!$B$14=1,CD9*管理者用人口入力シート!BF$3,IF(管理者入力シート!$B$14=2,CD9*管理者用人口入力シート!BF$7))</f>
        <v>0.42055803970798583</v>
      </c>
      <c r="CF12" s="9">
        <f t="shared" si="2"/>
        <v>5226.5207194216409</v>
      </c>
      <c r="CG12" s="9">
        <f t="shared" si="20"/>
        <v>217.38731635023873</v>
      </c>
      <c r="CH12" s="9">
        <f t="shared" si="21"/>
        <v>126.62910244594201</v>
      </c>
      <c r="CI12" s="9">
        <f t="shared" si="3"/>
        <v>1937.8694649333308</v>
      </c>
      <c r="CJ12" s="9">
        <f t="shared" si="22"/>
        <v>1083.4866725706452</v>
      </c>
      <c r="CK12" s="13">
        <f t="shared" si="23"/>
        <v>0.37077619490385805</v>
      </c>
      <c r="CL12" s="13">
        <f t="shared" si="24"/>
        <v>0.20730553474023963</v>
      </c>
      <c r="CM12" s="9">
        <f t="shared" si="25"/>
        <v>920.12428553868938</v>
      </c>
      <c r="CO12" s="7" t="str">
        <f t="shared" si="26"/>
        <v>2040_1</v>
      </c>
      <c r="CP12" s="28">
        <f>管理者入力シート!B11</f>
        <v>2040</v>
      </c>
      <c r="CQ12" s="3" t="s">
        <v>21</v>
      </c>
      <c r="CR12" s="9">
        <f>DT13*$AK$13+将来予測シート②!$G17</f>
        <v>151.33253133914727</v>
      </c>
      <c r="CS12" s="9">
        <f>IF(管理者入力シート!$B$14=1,CR9*管理者用人口入力シート!AM$3,IF(管理者入力シート!$B$14=2,CR9*管理者用人口入力シート!AM$7))+将来予測シート②!$G18</f>
        <v>174.3621969557278</v>
      </c>
      <c r="CT12" s="9">
        <f>IF(管理者入力シート!$B$14=1,CS9*管理者用人口入力シート!AN$3,IF(管理者入力シート!$B$14=2,CS9*管理者用人口入力シート!AN$7))+将来予測シート②!$G19</f>
        <v>193.39150308396532</v>
      </c>
      <c r="CU12" s="9">
        <f>IF(管理者入力シート!$B$14=1,CT9*管理者用人口入力シート!AO$3,IF(管理者入力シート!$B$14=2,CT9*管理者用人口入力シート!AO$7))+将来予測シート②!$G20</f>
        <v>254.68353181274313</v>
      </c>
      <c r="CV12" s="9">
        <f>IF(管理者入力シート!$B$14=1,CU9*管理者用人口入力シート!AP$3,IF(管理者入力シート!$B$14=2,CU9*管理者用人口入力シート!AP$7))+将来予測シート②!$G21</f>
        <v>138.08078573818432</v>
      </c>
      <c r="CW12" s="9">
        <f>IF(管理者入力シート!$B$14=1,CV9*管理者用人口入力シート!AQ$3,IF(管理者入力シート!$B$14=2,CV9*管理者用人口入力シート!AQ$7))+将来予測シート②!$G22</f>
        <v>226.94934826953963</v>
      </c>
      <c r="CX12" s="9">
        <f>IF(管理者入力シート!$B$14=1,CW9*管理者用人口入力シート!AR$3,IF(管理者入力シート!$B$14=2,CW9*管理者用人口入力シート!AR$7))+将来予測シート②!$G23</f>
        <v>254.64010239580648</v>
      </c>
      <c r="CY12" s="9">
        <f>IF(管理者入力シート!$B$14=1,CX9*管理者用人口入力シート!AS$3,IF(管理者入力シート!$B$14=2,CX9*管理者用人口入力シート!AS$7))+将来予測シート②!$G24</f>
        <v>307.44845969290918</v>
      </c>
      <c r="CZ12" s="9">
        <f>IF(管理者入力シート!$B$14=1,CY9*管理者用人口入力シート!AT$3,IF(管理者入力シート!$B$14=2,CY9*管理者用人口入力シート!AT$7))+将来予測シート②!$G25</f>
        <v>273.37085298788969</v>
      </c>
      <c r="DA12" s="9">
        <f>IF(管理者入力シート!$B$14=1,CZ9*管理者用人口入力シート!AU$3,IF(管理者入力シート!$B$14=2,CZ9*管理者用人口入力シート!AU$7))+将来予測シート②!$G26</f>
        <v>263.62332703732301</v>
      </c>
      <c r="DB12" s="9">
        <f>IF(管理者入力シート!$B$14=1,DA9*管理者用人口入力シート!AV$3,IF(管理者入力シート!$B$14=2,DA9*管理者用人口入力シート!AV$7))+将来予測シート②!$G27</f>
        <v>300.37729204946316</v>
      </c>
      <c r="DC12" s="9">
        <f>IF(管理者入力シート!$B$14=1,DB9*管理者用人口入力シート!AW$3,IF(管理者入力シート!$B$14=2,DB9*管理者用人口入力シート!AW$7))+将来予測シート②!$G28</f>
        <v>345.9229586155331</v>
      </c>
      <c r="DD12" s="9">
        <f>IF(管理者入力シート!$B$14=1,DC9*管理者用人口入力シート!AX$3,IF(管理者入力シート!$B$14=2,DC9*管理者用人口入力シート!AX$7))+将来予測シート②!$G29</f>
        <v>423.6117895564683</v>
      </c>
      <c r="DE12" s="9">
        <f>IF(管理者入力シート!$B$14=1,DD9*管理者用人口入力シート!AY$3,IF(管理者入力シート!$B$14=2,DD9*管理者用人口入力シート!AY$7))</f>
        <v>474.93717223061157</v>
      </c>
      <c r="DF12" s="9">
        <f>IF(管理者入力シート!$B$14=1,DE9*管理者用人口入力シート!AZ$3,IF(管理者入力シート!$B$14=2,DE9*管理者用人口入力シート!AZ$7))</f>
        <v>379.44562013207405</v>
      </c>
      <c r="DG12" s="9">
        <f>IF(管理者入力シート!$B$14=1,DF9*管理者用人口入力シート!BA$3,IF(管理者入力シート!$B$14=2,DF9*管理者用人口入力シート!BA$7))</f>
        <v>358.55109170727474</v>
      </c>
      <c r="DH12" s="9">
        <f>IF(管理者入力シート!$B$14=1,DG9*管理者用人口入力シート!BB$3,IF(管理者入力シート!$B$14=2,DG9*管理者用人口入力シート!BB$7))</f>
        <v>327.01663444790711</v>
      </c>
      <c r="DI12" s="9">
        <f>IF(管理者入力シート!$B$14=1,DH9*管理者用人口入力シート!BC$3,IF(管理者入力シート!$B$14=2,DH9*管理者用人口入力シート!BC$7))</f>
        <v>243.45285562046919</v>
      </c>
      <c r="DJ12" s="9">
        <f>IF(管理者入力シート!$B$14=1,DI9*管理者用人口入力シート!BD$3,IF(管理者入力シート!$B$14=2,DI9*管理者用人口入力シート!BD$7))</f>
        <v>121.26420834741789</v>
      </c>
      <c r="DK12" s="9">
        <f>IF(管理者入力シート!$B$14=1,DJ9*管理者用人口入力シート!BE$3,IF(管理者入力シート!$B$14=2,DJ9*管理者用人口入力シート!BE$7))</f>
        <v>32.78132440786834</v>
      </c>
      <c r="DL12" s="9">
        <f>IF(管理者入力シート!$B$14=1,DK9*管理者用人口入力シート!BF$3,IF(管理者入力シート!$B$14=2,DK9*管理者用人口入力シート!BF$7))</f>
        <v>0.42055803970798583</v>
      </c>
      <c r="DM12" s="9">
        <f t="shared" si="69"/>
        <v>5245.6641444680308</v>
      </c>
      <c r="DN12" s="9">
        <f t="shared" si="34"/>
        <v>220.65222002381589</v>
      </c>
      <c r="DO12" s="9">
        <f t="shared" si="35"/>
        <v>128.29330759613475</v>
      </c>
      <c r="DP12" s="9">
        <f t="shared" si="6"/>
        <v>1937.8694649333308</v>
      </c>
      <c r="DQ12" s="9">
        <f t="shared" si="36"/>
        <v>1083.4866725706452</v>
      </c>
      <c r="DR12" s="13">
        <f t="shared" si="37"/>
        <v>0.36942309144533547</v>
      </c>
      <c r="DS12" s="13">
        <f t="shared" si="38"/>
        <v>0.20654899794018797</v>
      </c>
      <c r="DT12" s="9">
        <f t="shared" si="70"/>
        <v>927.11869609643963</v>
      </c>
      <c r="DV12" s="212"/>
      <c r="DX12" s="28">
        <f>管理者入力シート!B11</f>
        <v>2040</v>
      </c>
      <c r="DY12" s="3" t="s">
        <v>21</v>
      </c>
      <c r="DZ12" s="9">
        <f>FB13*$AK$13</f>
        <v>354.72163084784893</v>
      </c>
      <c r="EA12" s="129">
        <f>IF(管理者入力シート!$B$14=1,DZ9*管理者用人口入力シート!AM$3,IF(管理者入力シート!$B$14=2,DZ9*管理者用人口入力シート!AM$7))</f>
        <v>387.68580633611003</v>
      </c>
      <c r="EB12" s="9">
        <f>IF(管理者入力シート!$B$14=1,EA9*管理者用人口入力シート!AN$3,IF(管理者入力シート!$B$14=2,EA9*管理者用人口入力シート!AN$7))</f>
        <v>374.67517182177409</v>
      </c>
      <c r="EC12" s="9">
        <f>IF(管理者入力シート!$B$14=1,EB9*管理者用人口入力シート!AO$3,IF(管理者入力シート!$B$14=2,EB9*管理者用人口入力シート!AO$7))</f>
        <v>252.29672496247713</v>
      </c>
      <c r="ED12" s="9">
        <f>IF(管理者入力シート!$B$14=1,EC9*管理者用人口入力シート!AP$3,IF(管理者入力シート!$B$14=2,EC9*管理者用人口入力シート!AP$7))</f>
        <v>137.56450240027911</v>
      </c>
      <c r="EE12" s="9">
        <f>IF(管理者入力シート!$B$14=1,ED9*管理者用人口入力シート!AQ$3,IF(管理者入力シート!$B$14=2,ED9*管理者用人口入力シート!AQ$7))+DX1</f>
        <v>387.29925860162643</v>
      </c>
      <c r="EF12" s="9">
        <f>IF(管理者入力シート!$B$14=1,EE9*管理者用人口入力シート!AR$3,IF(管理者入力シート!$B$14=2,EE9*管理者用人口入力シート!AR$7))+DX1</f>
        <v>569.7233410444062</v>
      </c>
      <c r="EG12" s="9">
        <f>IF(管理者入力シート!$B$14=1,EF9*管理者用人口入力シート!AS$3,IF(管理者入力シート!$B$14=2,EF9*管理者用人口入力シート!AS$7))+DX1</f>
        <v>793.79923691639453</v>
      </c>
      <c r="EH12" s="9">
        <f>IF(管理者入力シート!$B$14=1,EG9*管理者用人口入力シート!AT$3,IF(管理者入力シート!$B$14=2,EG9*管理者用人口入力シート!AT$7))</f>
        <v>737.28798552995738</v>
      </c>
      <c r="EI12" s="9">
        <f>IF(管理者入力シート!$B$14=1,EH9*管理者用人口入力シート!AU$3,IF(管理者入力シート!$B$14=2,EH9*管理者用人口入力シート!AU$7))</f>
        <v>577.90847231578812</v>
      </c>
      <c r="EJ12" s="9">
        <f>IF(管理者入力シート!$B$14=1,EI9*管理者用人口入力シート!AV$3,IF(管理者入力シート!$B$14=2,EI9*管理者用人口入力シート!AV$7))</f>
        <v>450.97648027111074</v>
      </c>
      <c r="EK12" s="9">
        <f>IF(管理者入力シート!$B$14=1,EJ9*管理者用人口入力シート!AW$3,IF(管理者入力シート!$B$14=2,EJ9*管理者用人口入力シート!AW$7))</f>
        <v>345.9229586155331</v>
      </c>
      <c r="EL12" s="9">
        <f>IF(管理者入力シート!$B$14=1,EK9*管理者用人口入力シート!AX$3,IF(管理者入力シート!$B$14=2,EK9*管理者用人口入力シート!AX$7))</f>
        <v>423.6117895564683</v>
      </c>
      <c r="EM12" s="9">
        <f>IF(管理者入力シート!$B$14=1,EL9*管理者用人口入力シート!AY$3,IF(管理者入力シート!$B$14=2,EL9*管理者用人口入力シート!AY$7))</f>
        <v>474.93717223061157</v>
      </c>
      <c r="EN12" s="9">
        <f>IF(管理者入力シート!$B$14=1,EM9*管理者用人口入力シート!AZ$3,IF(管理者入力シート!$B$14=2,EM9*管理者用人口入力シート!AZ$7))</f>
        <v>379.44562013207405</v>
      </c>
      <c r="EO12" s="9">
        <f>IF(管理者入力シート!$B$14=1,EN9*管理者用人口入力シート!BA$3,IF(管理者入力シート!$B$14=2,EN9*管理者用人口入力シート!BA$7))</f>
        <v>358.55109170727474</v>
      </c>
      <c r="EP12" s="9">
        <f>IF(管理者入力シート!$B$14=1,EO9*管理者用人口入力シート!BB$3,IF(管理者入力シート!$B$14=2,EO9*管理者用人口入力シート!BB$7))</f>
        <v>327.01663444790711</v>
      </c>
      <c r="EQ12" s="9">
        <f>IF(管理者入力シート!$B$14=1,EP9*管理者用人口入力シート!BC$3,IF(管理者入力シート!$B$14=2,EP9*管理者用人口入力シート!BC$7))</f>
        <v>243.45285562046919</v>
      </c>
      <c r="ER12" s="9">
        <f>IF(管理者入力シート!$B$14=1,EQ9*管理者用人口入力シート!BD$3,IF(管理者入力シート!$B$14=2,EQ9*管理者用人口入力シート!BD$7))</f>
        <v>121.26420834741789</v>
      </c>
      <c r="ES12" s="9">
        <f>IF(管理者入力シート!$B$14=1,ER9*管理者用人口入力シート!BE$3,IF(管理者入力シート!$B$14=2,ER9*管理者用人口入力シート!BE$7))</f>
        <v>32.78132440786834</v>
      </c>
      <c r="ET12" s="9">
        <f>IF(管理者入力シート!$B$14=1,ES9*管理者用人口入力シート!BF$3,IF(管理者入力シート!$B$14=2,ES9*管理者用人口入力シート!BF$7))</f>
        <v>0.42055803970798583</v>
      </c>
      <c r="EU12" s="9">
        <f t="shared" si="71"/>
        <v>7731.3428241531064</v>
      </c>
      <c r="EV12" s="9">
        <f t="shared" si="41"/>
        <v>457.41658689473047</v>
      </c>
      <c r="EW12" s="9">
        <f t="shared" si="42"/>
        <v>200.32941372120507</v>
      </c>
      <c r="EX12" s="9">
        <f t="shared" si="10"/>
        <v>1937.8694649333308</v>
      </c>
      <c r="EY12" s="9">
        <f t="shared" si="43"/>
        <v>1083.4866725706452</v>
      </c>
      <c r="EZ12" s="13">
        <f t="shared" si="44"/>
        <v>0.25065108468341729</v>
      </c>
      <c r="FA12" s="13">
        <f t="shared" si="45"/>
        <v>0.14014210690357409</v>
      </c>
      <c r="FB12" s="9">
        <f t="shared" si="72"/>
        <v>1888.3863389627063</v>
      </c>
    </row>
    <row r="13" spans="1:158" x14ac:dyDescent="0.15">
      <c r="A13" s="7" t="str">
        <f t="shared" si="11"/>
        <v>2020_2</v>
      </c>
      <c r="B13" s="29">
        <v>2020</v>
      </c>
      <c r="C13" s="4" t="s">
        <v>22</v>
      </c>
      <c r="D13" s="10">
        <v>279.51117460670707</v>
      </c>
      <c r="E13" s="10">
        <v>322.74837181698035</v>
      </c>
      <c r="F13" s="10">
        <v>356.87129346466094</v>
      </c>
      <c r="G13" s="10">
        <v>366.72782014474132</v>
      </c>
      <c r="H13" s="10">
        <v>223.2354555910471</v>
      </c>
      <c r="I13" s="10">
        <v>237.37090118608708</v>
      </c>
      <c r="J13" s="10">
        <v>307.49089658595841</v>
      </c>
      <c r="K13" s="10">
        <v>409.00389191602369</v>
      </c>
      <c r="L13" s="10">
        <v>469.24034081079424</v>
      </c>
      <c r="M13" s="10">
        <v>490.49824650635048</v>
      </c>
      <c r="N13" s="10">
        <v>459.02022647470761</v>
      </c>
      <c r="O13" s="10">
        <v>544.15762197293066</v>
      </c>
      <c r="P13" s="10">
        <v>600.22926666029537</v>
      </c>
      <c r="Q13" s="10">
        <v>713.44899662820876</v>
      </c>
      <c r="R13" s="10">
        <v>786.69768041738098</v>
      </c>
      <c r="S13" s="10">
        <v>534.98607188774486</v>
      </c>
      <c r="T13" s="10">
        <v>548.85603900638955</v>
      </c>
      <c r="U13" s="10">
        <v>418.55219954325247</v>
      </c>
      <c r="V13" s="10">
        <v>209.98891120314283</v>
      </c>
      <c r="W13" s="10">
        <v>59.310178747869443</v>
      </c>
      <c r="X13" s="10">
        <v>11.054414828726815</v>
      </c>
      <c r="Y13" s="10">
        <f t="shared" si="177"/>
        <v>8349.0000000000018</v>
      </c>
      <c r="Z13" s="10">
        <f t="shared" ref="Z13:Z14" si="179">E13*3/5+F13*3/5</f>
        <v>407.77179916898478</v>
      </c>
      <c r="AA13" s="10">
        <f t="shared" ref="AA13:AA14" si="180">F13*2/5+G13*1/5</f>
        <v>216.09408141481265</v>
      </c>
      <c r="AB13" s="10">
        <f t="shared" si="178"/>
        <v>3282.8944922627156</v>
      </c>
      <c r="AC13" s="10">
        <f t="shared" ref="AC13:AC14" si="181">SUM(S13:X13)</f>
        <v>1782.7478152171259</v>
      </c>
      <c r="AD13" s="14">
        <f t="shared" ref="AD13:AD14" si="182">AB13/Y13</f>
        <v>0.39320810782880761</v>
      </c>
      <c r="AE13" s="14">
        <f t="shared" ref="AE13:AE14" si="183">AC13/Y13</f>
        <v>0.2135283046133819</v>
      </c>
      <c r="AF13" s="10">
        <f t="shared" ref="AF13:AF14" si="184">SUM(H13:K13)</f>
        <v>1177.1011452791163</v>
      </c>
      <c r="AI13" s="60" t="s">
        <v>47</v>
      </c>
      <c r="AJ13" s="1" t="s">
        <v>21</v>
      </c>
      <c r="AK13" s="8">
        <f>VLOOKUP(AK12&amp;"_1",A:D,4,FALSE)/VLOOKUP(AK12&amp;"_2",A:AF,32,FALSE)</f>
        <v>0.2109550386719162</v>
      </c>
      <c r="AL13" s="63"/>
      <c r="BH13" s="7" t="str">
        <f t="shared" si="19"/>
        <v>2040_2</v>
      </c>
      <c r="BI13" s="29">
        <f>BI12</f>
        <v>2040</v>
      </c>
      <c r="BJ13" s="4" t="s">
        <v>22</v>
      </c>
      <c r="BK13" s="10">
        <f>CM13*$AK$14</f>
        <v>167.56257217880312</v>
      </c>
      <c r="BL13" s="10">
        <f>IF(管理者入力シート!$B$14=1,BK10*管理者用人口入力シート!AM$4,IF(管理者入力シート!$B$14=2,BK10*管理者用人口入力シート!AM$8))</f>
        <v>193.2988000859211</v>
      </c>
      <c r="BM13" s="10">
        <f>IF(管理者入力シート!$B$14=1,BL10*管理者用人口入力シート!AN$4,IF(管理者入力シート!$B$14=2,BL10*管理者用人口入力シート!AN$8))</f>
        <v>212.43348468247075</v>
      </c>
      <c r="BN13" s="10">
        <f>IF(管理者入力シート!$B$14=1,BM10*管理者用人口入力シート!AO$4,IF(管理者入力シート!$B$14=2,BM10*管理者用人口入力シート!AO$8))</f>
        <v>236.26033049777121</v>
      </c>
      <c r="BO13" s="10">
        <f>IF(管理者入力シート!$B$14=1,BN10*管理者用人口入力シート!AP$4,IF(管理者入力シート!$B$14=2,BN10*管理者用人口入力シート!AP$8))</f>
        <v>152.46676796067268</v>
      </c>
      <c r="BP13" s="10">
        <f>IF(管理者入力シート!$B$14=1,BO10*管理者用人口入力シート!AQ$4,IF(管理者入力シート!$B$14=2,BO10*管理者用人口入力シート!AQ$8))</f>
        <v>172.2553367890346</v>
      </c>
      <c r="BQ13" s="10">
        <f>IF(管理者入力シート!$B$14=1,BP10*管理者用人口入力シート!AR$4,IF(管理者入力シート!$B$14=2,BP10*管理者用人口入力シート!AR$8))</f>
        <v>182.85646577867078</v>
      </c>
      <c r="BR13" s="10">
        <f>IF(管理者入力シート!$B$14=1,BQ10*管理者用人口入力シート!AS$4,IF(管理者入力シート!$B$14=2,BQ10*管理者用人口入力シート!AS$8))</f>
        <v>198.0751332818985</v>
      </c>
      <c r="BS13" s="10">
        <f>IF(管理者入力シート!$B$14=1,BR10*管理者用人口入力シート!AT$4,IF(管理者入力シート!$B$14=2,BR10*管理者用人口入力シート!AT$8))</f>
        <v>212.49193324249725</v>
      </c>
      <c r="BT13" s="10">
        <f>IF(管理者入力シート!$B$14=1,BS10*管理者用人口入力シート!AU$4,IF(管理者入力シート!$B$14=2,BS10*管理者用人口入力シート!AU$8))</f>
        <v>220.96609965432964</v>
      </c>
      <c r="BU13" s="10">
        <f>IF(管理者入力シート!$B$14=1,BT10*管理者用人口入力シート!AV$4,IF(管理者入力シート!$B$14=2,BT10*管理者用人口入力シート!AV$8))</f>
        <v>286.25254219573122</v>
      </c>
      <c r="BV13" s="10">
        <f>IF(管理者入力シート!$B$14=1,BU10*管理者用人口入力シート!AW$4,IF(管理者入力シート!$B$14=2,BU10*管理者用人口入力シート!AW$8))</f>
        <v>360.45485146133962</v>
      </c>
      <c r="BW13" s="10">
        <f>IF(管理者入力シート!$B$14=1,BV10*管理者用人口入力シート!AX$4,IF(管理者入力シート!$B$14=2,BV10*管理者用人口入力シート!AX$8))</f>
        <v>439.81255111211044</v>
      </c>
      <c r="BX13" s="10">
        <f>IF(管理者入力シート!$B$14=1,BW10*管理者用人口入力シート!AY$4,IF(管理者入力シート!$B$14=2,BW10*管理者用人口入力シート!AY$8))</f>
        <v>447.11698000950145</v>
      </c>
      <c r="BY13" s="10">
        <f>IF(管理者入力シート!$B$14=1,BX10*管理者用人口入力シート!AZ$4,IF(管理者入力シート!$B$14=2,BX10*管理者用人口入力シート!AZ$8))</f>
        <v>402.56103875557829</v>
      </c>
      <c r="BZ13" s="10">
        <f>IF(管理者入力シート!$B$14=1,BY10*管理者用人口入力シート!BA$4,IF(管理者入力シート!$B$14=2,BY10*管理者用人口入力シート!BA$8))</f>
        <v>468.51499621735996</v>
      </c>
      <c r="CA13" s="10">
        <f>IF(管理者入力シート!$B$14=1,BZ10*管理者用人口入力シート!BB$4,IF(管理者入力シート!$B$14=2,BZ10*管理者用人口入力シート!BB$8))</f>
        <v>463.63393871348734</v>
      </c>
      <c r="CB13" s="10">
        <f>IF(管理者入力シート!$B$14=1,CA10*管理者用人口入力シート!BC$4,IF(管理者入力シート!$B$14=2,CA10*管理者用人口入力シート!BC$8))</f>
        <v>413.92210714676293</v>
      </c>
      <c r="CC13" s="10">
        <f>IF(管理者入力シート!$B$14=1,CB10*管理者用人口入力シート!BD$4,IF(管理者入力シート!$B$14=2,CB10*管理者用人口入力シート!BD$8))</f>
        <v>281.22810602184836</v>
      </c>
      <c r="CD13" s="10">
        <f>IF(管理者入力シート!$B$14=1,CC10*管理者用人口入力シート!BE$4,IF(管理者入力シート!$B$14=2,CC10*管理者用人口入力シート!BE$8))</f>
        <v>68.625865838616377</v>
      </c>
      <c r="CE13" s="10">
        <f>IF(管理者入力シート!$B$14=1,CD10*管理者用人口入力シート!BF$4,IF(管理者入力シート!$B$14=2,CD10*管理者用人口入力シート!BF$8))</f>
        <v>13.187302697005649</v>
      </c>
      <c r="CF13" s="10">
        <f t="shared" si="2"/>
        <v>5593.9772043214107</v>
      </c>
      <c r="CG13" s="10">
        <f t="shared" si="20"/>
        <v>243.43937086103512</v>
      </c>
      <c r="CH13" s="10">
        <f t="shared" si="21"/>
        <v>132.22545997254252</v>
      </c>
      <c r="CI13" s="10">
        <f t="shared" si="3"/>
        <v>2558.7903354001605</v>
      </c>
      <c r="CJ13" s="10">
        <f t="shared" si="22"/>
        <v>1709.1123166350806</v>
      </c>
      <c r="CK13" s="14">
        <f t="shared" si="23"/>
        <v>0.45741879917270062</v>
      </c>
      <c r="CL13" s="14">
        <f t="shared" si="24"/>
        <v>0.30552722226232382</v>
      </c>
      <c r="CM13" s="10">
        <f t="shared" si="25"/>
        <v>705.65370381027651</v>
      </c>
      <c r="CO13" s="7" t="str">
        <f t="shared" si="26"/>
        <v>2040_2</v>
      </c>
      <c r="CP13" s="29">
        <f>CP12</f>
        <v>2040</v>
      </c>
      <c r="CQ13" s="4" t="s">
        <v>22</v>
      </c>
      <c r="CR13" s="10">
        <f>DT13*$AK$14+将来予測シート②!$H17</f>
        <v>170.21874130256796</v>
      </c>
      <c r="CS13" s="10">
        <f>IF(管理者入力シート!$B$14=1,CR10*管理者用人口入力シート!AM$4,IF(管理者入力シート!$B$14=2,CR10*管理者用人口入力シート!AM$8))+将来予測シート②!$H18</f>
        <v>195.94984760524227</v>
      </c>
      <c r="CT13" s="10">
        <f>IF(管理者入力シート!$B$14=1,CS10*管理者用人口入力シート!AN$4,IF(管理者入力シート!$B$14=2,CS10*管理者用人口入力シート!AN$8))+将来予測シート②!$H19</f>
        <v>215.4943494870918</v>
      </c>
      <c r="CU13" s="10">
        <f>IF(管理者入力シート!$B$14=1,CT10*管理者用人口入力シート!AO$4,IF(管理者入力シート!$B$14=2,CT10*管理者用人口入力シート!AO$8))+将来予測シート②!$H20</f>
        <v>238.25460196211591</v>
      </c>
      <c r="CV13" s="10">
        <f>IF(管理者入力シート!$B$14=1,CU10*管理者用人口入力シート!AP$4,IF(管理者入力シート!$B$14=2,CU10*管理者用人口入力シート!AP$8))+将来予測シート②!$H21</f>
        <v>152.9796961055666</v>
      </c>
      <c r="CW13" s="10">
        <f>IF(管理者入力シート!$B$14=1,CV10*管理者用人口入力シート!AQ$4,IF(管理者入力シート!$B$14=2,CV10*管理者用人口入力シート!AQ$8))+将来予測シート②!$H22</f>
        <v>174.78093310295631</v>
      </c>
      <c r="CX13" s="10">
        <f>IF(管理者入力シート!$B$14=1,CW10*管理者用人口入力シート!AR$4,IF(管理者入力シート!$B$14=2,CW10*管理者用人口入力シート!AR$8))+将来予測シート②!$H23</f>
        <v>184.80620438644192</v>
      </c>
      <c r="CY13" s="10">
        <f>IF(管理者入力シート!$B$14=1,CX10*管理者用人口入力シート!AS$4,IF(管理者入力シート!$B$14=2,CX10*管理者用人口入力シート!AS$8))+将来予測シート②!$H24</f>
        <v>200.06146997899762</v>
      </c>
      <c r="CZ13" s="10">
        <f>IF(管理者入力シート!$B$14=1,CY10*管理者用人口入力シート!AT$4,IF(管理者入力シート!$B$14=2,CY10*管理者用人口入力シート!AT$8))+将来予測シート②!$H25</f>
        <v>215.34979540326424</v>
      </c>
      <c r="DA13" s="10">
        <f>IF(管理者入力シート!$B$14=1,CZ10*管理者用人口入力シート!AU$4,IF(管理者入力シート!$B$14=2,CZ10*管理者用人口入力シート!AU$8))+将来予測シート②!$H26</f>
        <v>221.96820799636006</v>
      </c>
      <c r="DB13" s="10">
        <f>IF(管理者入力シート!$B$14=1,DA10*管理者用人口入力シート!AV$4,IF(管理者入力シート!$B$14=2,DA10*管理者用人口入力シート!AV$8))+将来予測シート②!$H27</f>
        <v>287.22950941415127</v>
      </c>
      <c r="DC13" s="10">
        <f>IF(管理者入力シート!$B$14=1,DB10*管理者用人口入力シート!AW$4,IF(管理者入力シート!$B$14=2,DB10*管理者用人口入力シート!AW$8))+将来予測シート②!$H28</f>
        <v>361.39709422598349</v>
      </c>
      <c r="DD13" s="10">
        <f>IF(管理者入力シート!$B$14=1,DC10*管理者用人口入力シート!AX$4,IF(管理者入力シート!$B$14=2,DC10*管理者用人口入力シート!AX$8))+将来予測シート②!$H29</f>
        <v>439.81255111211044</v>
      </c>
      <c r="DE13" s="10">
        <f>IF(管理者入力シート!$B$14=1,DD10*管理者用人口入力シート!AY$4,IF(管理者入力シート!$B$14=2,DD10*管理者用人口入力シート!AY$8))</f>
        <v>447.11698000950145</v>
      </c>
      <c r="DF13" s="10">
        <f>IF(管理者入力シート!$B$14=1,DE10*管理者用人口入力シート!AZ$4,IF(管理者入力シート!$B$14=2,DE10*管理者用人口入力シート!AZ$8))</f>
        <v>402.56103875557829</v>
      </c>
      <c r="DG13" s="10">
        <f>IF(管理者入力シート!$B$14=1,DF10*管理者用人口入力シート!BA$4,IF(管理者入力シート!$B$14=2,DF10*管理者用人口入力シート!BA$8))</f>
        <v>468.51499621735996</v>
      </c>
      <c r="DH13" s="10">
        <f>IF(管理者入力シート!$B$14=1,DG10*管理者用人口入力シート!BB$4,IF(管理者入力シート!$B$14=2,DG10*管理者用人口入力シート!BB$8))</f>
        <v>463.63393871348734</v>
      </c>
      <c r="DI13" s="10">
        <f>IF(管理者入力シート!$B$14=1,DH10*管理者用人口入力シート!BC$4,IF(管理者入力シート!$B$14=2,DH10*管理者用人口入力シート!BC$8))</f>
        <v>413.92210714676293</v>
      </c>
      <c r="DJ13" s="10">
        <f>IF(管理者入力シート!$B$14=1,DI10*管理者用人口入力シート!BD$4,IF(管理者入力シート!$B$14=2,DI10*管理者用人口入力シート!BD$8))</f>
        <v>281.22810602184836</v>
      </c>
      <c r="DK13" s="10">
        <f>IF(管理者入力シート!$B$14=1,DJ10*管理者用人口入力シート!BE$4,IF(管理者入力シート!$B$14=2,DJ10*管理者用人口入力シート!BE$8))</f>
        <v>68.625865838616377</v>
      </c>
      <c r="DL13" s="10">
        <f>IF(管理者入力シート!$B$14=1,DK10*管理者用人口入力シート!BF$4,IF(管理者入力シート!$B$14=2,DK10*管理者用人口入力シート!BF$8))</f>
        <v>13.187302697005649</v>
      </c>
      <c r="DM13" s="10">
        <f t="shared" si="69"/>
        <v>5617.0933374830101</v>
      </c>
      <c r="DN13" s="10">
        <f t="shared" si="34"/>
        <v>246.86651825540048</v>
      </c>
      <c r="DO13" s="10">
        <f t="shared" si="35"/>
        <v>133.8486601872599</v>
      </c>
      <c r="DP13" s="10">
        <f t="shared" si="6"/>
        <v>2558.7903354001605</v>
      </c>
      <c r="DQ13" s="10">
        <f t="shared" si="36"/>
        <v>1709.1123166350806</v>
      </c>
      <c r="DR13" s="14">
        <f t="shared" si="37"/>
        <v>0.45553637471631209</v>
      </c>
      <c r="DS13" s="14">
        <f t="shared" si="38"/>
        <v>0.30426988015850287</v>
      </c>
      <c r="DT13" s="10">
        <f t="shared" si="70"/>
        <v>712.6283035739624</v>
      </c>
      <c r="DV13" s="62"/>
      <c r="DX13" s="29">
        <f>DX12</f>
        <v>2040</v>
      </c>
      <c r="DY13" s="4" t="s">
        <v>22</v>
      </c>
      <c r="DZ13" s="10">
        <f>FB13*$AK$14</f>
        <v>399.2851537199935</v>
      </c>
      <c r="EA13" s="10">
        <f>IF(管理者入力シート!$B$14=1,DZ10*管理者用人口入力シート!AM$4,IF(管理者入力シート!$B$14=2,DZ10*管理者用人口入力シート!AM$8))</f>
        <v>435.97742859898085</v>
      </c>
      <c r="EB13" s="10">
        <f>IF(管理者入力シート!$B$14=1,EA10*管理者用人口入力シート!AN$4,IF(管理者入力シート!$B$14=2,EA10*管理者用人口入力シート!AN$8))</f>
        <v>417.97981264545268</v>
      </c>
      <c r="EC13" s="10">
        <f>IF(管理者入力シート!$B$14=1,EB10*管理者用人口入力シート!AO$4,IF(管理者入力シート!$B$14=2,EB10*管理者用人口入力シート!AO$8))</f>
        <v>236.26033049777121</v>
      </c>
      <c r="ED13" s="10">
        <f>IF(管理者入力シート!$B$14=1,EC10*管理者用人口入力シート!AP$4,IF(管理者入力シート!$B$14=2,EC10*管理者用人口入力シート!AP$8))</f>
        <v>152.46676796067268</v>
      </c>
      <c r="EE13" s="10">
        <f>IF(管理者入力シート!$B$14=1,ED10*管理者用人口入力シート!AQ$4,IF(管理者入力シート!$B$14=2,ED10*管理者用人口入力シート!AQ$8))+DX1</f>
        <v>335.25533678903457</v>
      </c>
      <c r="EF13" s="10">
        <f>IF(管理者入力シート!$B$14=1,EE10*管理者用人口入力シート!AR$4,IF(管理者入力シート!$B$14=2,EE10*管理者用人口入力シート!AR$8))+DX1</f>
        <v>504.76016231201947</v>
      </c>
      <c r="EG13" s="10">
        <f>IF(管理者入力シート!$B$14=1,EF10*管理者用人口入力シート!AS$4,IF(管理者入力シート!$B$14=2,EF10*管理者用人口入力シート!AS$8))+DX1</f>
        <v>689.02120913408464</v>
      </c>
      <c r="EH13" s="10">
        <f>IF(管理者入力シート!$B$14=1,EG10*管理者用人口入力シート!AT$4,IF(管理者入力シート!$B$14=2,EG10*管理者用人口入力シート!AT$8))</f>
        <v>671.68404233198692</v>
      </c>
      <c r="EI13" s="10">
        <f>IF(管理者入力シート!$B$14=1,EH10*管理者用人口入力シート!AU$4,IF(管理者入力シート!$B$14=2,EH10*管理者用人口入力シート!AU$8))</f>
        <v>529.39134044120851</v>
      </c>
      <c r="EJ13" s="10">
        <f>IF(管理者入力シート!$B$14=1,EI10*管理者用人口入力シート!AV$4,IF(管理者入力シート!$B$14=2,EI10*管理者用人口入力シート!AV$8))</f>
        <v>435.19832772155462</v>
      </c>
      <c r="EK13" s="10">
        <f>IF(管理者入力シート!$B$14=1,EJ10*管理者用人口入力シート!AW$4,IF(管理者入力シート!$B$14=2,EJ10*管理者用人口入力シート!AW$8))</f>
        <v>360.45485146133962</v>
      </c>
      <c r="EL13" s="10">
        <f>IF(管理者入力シート!$B$14=1,EK10*管理者用人口入力シート!AX$4,IF(管理者入力シート!$B$14=2,EK10*管理者用人口入力シート!AX$8))</f>
        <v>439.81255111211044</v>
      </c>
      <c r="EM13" s="10">
        <f>IF(管理者入力シート!$B$14=1,EL10*管理者用人口入力シート!AY$4,IF(管理者入力シート!$B$14=2,EL10*管理者用人口入力シート!AY$8))</f>
        <v>447.11698000950145</v>
      </c>
      <c r="EN13" s="10">
        <f>IF(管理者入力シート!$B$14=1,EM10*管理者用人口入力シート!AZ$4,IF(管理者入力シート!$B$14=2,EM10*管理者用人口入力シート!AZ$8))</f>
        <v>402.56103875557829</v>
      </c>
      <c r="EO13" s="10">
        <f>IF(管理者入力シート!$B$14=1,EN10*管理者用人口入力シート!BA$4,IF(管理者入力シート!$B$14=2,EN10*管理者用人口入力シート!BA$8))</f>
        <v>468.51499621735996</v>
      </c>
      <c r="EP13" s="10">
        <f>IF(管理者入力シート!$B$14=1,EO10*管理者用人口入力シート!BB$4,IF(管理者入力シート!$B$14=2,EO10*管理者用人口入力シート!BB$8))</f>
        <v>463.63393871348734</v>
      </c>
      <c r="EQ13" s="10">
        <f>IF(管理者入力シート!$B$14=1,EP10*管理者用人口入力シート!BC$4,IF(管理者入力シート!$B$14=2,EP10*管理者用人口入力シート!BC$8))</f>
        <v>413.92210714676293</v>
      </c>
      <c r="ER13" s="10">
        <f>IF(管理者入力シート!$B$14=1,EQ10*管理者用人口入力シート!BD$4,IF(管理者入力シート!$B$14=2,EQ10*管理者用人口入力シート!BD$8))</f>
        <v>281.22810602184836</v>
      </c>
      <c r="ES13" s="10">
        <f>IF(管理者入力シート!$B$14=1,ER10*管理者用人口入力シート!BE$4,IF(管理者入力シート!$B$14=2,ER10*管理者用人口入力シート!BE$8))</f>
        <v>68.625865838616377</v>
      </c>
      <c r="ET13" s="10">
        <f>IF(管理者入力シート!$B$14=1,ES10*管理者用人口入力シート!BF$4,IF(管理者入力シート!$B$14=2,ES10*管理者用人口入力シート!BF$8))</f>
        <v>13.187302697005649</v>
      </c>
      <c r="EU13" s="10">
        <f t="shared" si="71"/>
        <v>8166.3376501263701</v>
      </c>
      <c r="EV13" s="10">
        <f t="shared" si="41"/>
        <v>512.37434474666009</v>
      </c>
      <c r="EW13" s="10">
        <f t="shared" si="42"/>
        <v>214.44399115773533</v>
      </c>
      <c r="EX13" s="10">
        <f t="shared" si="10"/>
        <v>2558.7903354001605</v>
      </c>
      <c r="EY13" s="10">
        <f t="shared" si="43"/>
        <v>1709.1123166350806</v>
      </c>
      <c r="EZ13" s="14">
        <f t="shared" si="44"/>
        <v>0.31333388907334297</v>
      </c>
      <c r="FA13" s="14">
        <f t="shared" si="45"/>
        <v>0.20928749089974658</v>
      </c>
      <c r="FB13" s="10">
        <f t="shared" si="72"/>
        <v>1681.5034761958113</v>
      </c>
    </row>
    <row r="14" spans="1:158" x14ac:dyDescent="0.15">
      <c r="A14" s="7" t="str">
        <f t="shared" si="11"/>
        <v>2020_3</v>
      </c>
      <c r="B14" s="30">
        <v>2020</v>
      </c>
      <c r="C14" s="5" t="s">
        <v>23</v>
      </c>
      <c r="D14" s="11">
        <v>527.82659222981988</v>
      </c>
      <c r="E14" s="11">
        <v>659.8140608947017</v>
      </c>
      <c r="F14" s="11">
        <v>768.46044418973702</v>
      </c>
      <c r="G14" s="11">
        <v>924.88674112906961</v>
      </c>
      <c r="H14" s="11">
        <v>456.43309688293004</v>
      </c>
      <c r="I14" s="11">
        <v>523.15247219549678</v>
      </c>
      <c r="J14" s="11">
        <v>624.28964919157795</v>
      </c>
      <c r="K14" s="11">
        <v>780.11586125875704</v>
      </c>
      <c r="L14" s="11">
        <v>907.70678776145905</v>
      </c>
      <c r="M14" s="11">
        <v>998.70773897557433</v>
      </c>
      <c r="N14" s="11">
        <v>899.60270118522908</v>
      </c>
      <c r="O14" s="11">
        <v>1017.7537442857188</v>
      </c>
      <c r="P14" s="11">
        <v>1148.0364469971692</v>
      </c>
      <c r="Q14" s="11">
        <v>1342.3835992800132</v>
      </c>
      <c r="R14" s="11">
        <v>1457.7007949374133</v>
      </c>
      <c r="S14" s="11">
        <v>974.85034527723792</v>
      </c>
      <c r="T14" s="11">
        <v>902.9913219976097</v>
      </c>
      <c r="U14" s="11">
        <v>661.21751668391278</v>
      </c>
      <c r="V14" s="11">
        <v>285.54915927070653</v>
      </c>
      <c r="W14" s="11">
        <v>74.458142346302807</v>
      </c>
      <c r="X14" s="11">
        <v>13.062783029563635</v>
      </c>
      <c r="Y14" s="11">
        <f t="shared" si="177"/>
        <v>15948.999999999998</v>
      </c>
      <c r="Z14" s="11">
        <f t="shared" si="179"/>
        <v>856.96470305066316</v>
      </c>
      <c r="AA14" s="11">
        <f t="shared" si="180"/>
        <v>492.36152590170877</v>
      </c>
      <c r="AB14" s="11">
        <f t="shared" si="178"/>
        <v>5712.2136628227599</v>
      </c>
      <c r="AC14" s="11">
        <f t="shared" si="181"/>
        <v>2912.1292686053334</v>
      </c>
      <c r="AD14" s="15">
        <f t="shared" si="182"/>
        <v>0.35815497290254944</v>
      </c>
      <c r="AE14" s="15">
        <f t="shared" si="183"/>
        <v>0.18259008518435851</v>
      </c>
      <c r="AF14" s="11">
        <f t="shared" si="184"/>
        <v>2383.9910795287619</v>
      </c>
      <c r="AI14" s="43"/>
      <c r="AJ14" s="1" t="s">
        <v>22</v>
      </c>
      <c r="AK14" s="8">
        <f>VLOOKUP(AK12&amp;"_2",A:D,4,FALSE)/VLOOKUP(AK12&amp;"_2",A:AF,32,FALSE)</f>
        <v>0.23745722763733179</v>
      </c>
      <c r="AL14" s="63"/>
      <c r="BH14" s="7" t="str">
        <f t="shared" si="19"/>
        <v>2040_3</v>
      </c>
      <c r="BI14" s="30">
        <f>BI13</f>
        <v>2040</v>
      </c>
      <c r="BJ14" s="5" t="s">
        <v>23</v>
      </c>
      <c r="BK14" s="16">
        <f>BK12+BK13</f>
        <v>316.42377655508091</v>
      </c>
      <c r="BL14" s="16">
        <f t="shared" ref="BL14" si="185">BL12+BL13</f>
        <v>365.18660036936922</v>
      </c>
      <c r="BM14" s="16">
        <f t="shared" ref="BM14" si="186">BM12+BM13</f>
        <v>402.85787831608718</v>
      </c>
      <c r="BN14" s="16">
        <f t="shared" ref="BN14" si="187">BN12+BN13</f>
        <v>488.55705546024831</v>
      </c>
      <c r="BO14" s="16">
        <f t="shared" ref="BO14" si="188">BO12+BO13</f>
        <v>290.03127036095179</v>
      </c>
      <c r="BP14" s="16">
        <f t="shared" ref="BP14" si="189">BP12+BP13</f>
        <v>396.55459539066106</v>
      </c>
      <c r="BQ14" s="16">
        <f t="shared" ref="BQ14" si="190">BQ12+BQ13</f>
        <v>435.60733539623379</v>
      </c>
      <c r="BR14" s="16">
        <f t="shared" ref="BR14" si="191">BR12+BR13</f>
        <v>503.5847882011193</v>
      </c>
      <c r="BS14" s="16">
        <f t="shared" ref="BS14" si="192">BS12+BS13</f>
        <v>484.01341167751139</v>
      </c>
      <c r="BT14" s="16">
        <f t="shared" ref="BT14" si="193">BT12+BT13</f>
        <v>484.58942669165265</v>
      </c>
      <c r="BU14" s="16">
        <f t="shared" ref="BU14" si="194">BU12+BU13</f>
        <v>586.62983424519439</v>
      </c>
      <c r="BV14" s="16">
        <f t="shared" ref="BV14" si="195">BV12+BV13</f>
        <v>706.37781007687272</v>
      </c>
      <c r="BW14" s="16">
        <f t="shared" ref="BW14" si="196">BW12+BW13</f>
        <v>863.42434066857868</v>
      </c>
      <c r="BX14" s="16">
        <f t="shared" ref="BX14" si="197">BX12+BX13</f>
        <v>922.05415224011301</v>
      </c>
      <c r="BY14" s="16">
        <f t="shared" ref="BY14" si="198">BY12+BY13</f>
        <v>782.00665888765229</v>
      </c>
      <c r="BZ14" s="16">
        <f t="shared" ref="BZ14" si="199">BZ12+BZ13</f>
        <v>827.06608792463476</v>
      </c>
      <c r="CA14" s="16">
        <f t="shared" ref="CA14" si="200">CA12+CA13</f>
        <v>790.6505731613945</v>
      </c>
      <c r="CB14" s="16">
        <f t="shared" ref="CB14" si="201">CB12+CB13</f>
        <v>657.37496276723209</v>
      </c>
      <c r="CC14" s="16">
        <f t="shared" ref="CC14" si="202">CC12+CC13</f>
        <v>402.49231436926624</v>
      </c>
      <c r="CD14" s="16">
        <f t="shared" ref="CD14" si="203">CD12+CD13</f>
        <v>101.40719024648472</v>
      </c>
      <c r="CE14" s="16">
        <f t="shared" ref="CE14" si="204">CE12+CE13</f>
        <v>13.607860736713635</v>
      </c>
      <c r="CF14" s="11">
        <f t="shared" si="2"/>
        <v>10820.497923743053</v>
      </c>
      <c r="CG14" s="11">
        <f t="shared" si="20"/>
        <v>460.82668721127385</v>
      </c>
      <c r="CH14" s="11">
        <f t="shared" si="21"/>
        <v>258.85456241848453</v>
      </c>
      <c r="CI14" s="11">
        <f t="shared" si="3"/>
        <v>4496.6598003334911</v>
      </c>
      <c r="CJ14" s="11">
        <f t="shared" si="22"/>
        <v>2792.598989205726</v>
      </c>
      <c r="CK14" s="15">
        <f t="shared" si="23"/>
        <v>0.4155686579327022</v>
      </c>
      <c r="CL14" s="15">
        <f t="shared" si="24"/>
        <v>0.25808414814978342</v>
      </c>
      <c r="CM14" s="11">
        <f t="shared" si="25"/>
        <v>1625.777989348966</v>
      </c>
      <c r="CO14" s="7" t="str">
        <f t="shared" si="26"/>
        <v>2040_3</v>
      </c>
      <c r="CP14" s="30">
        <f>CP13</f>
        <v>2040</v>
      </c>
      <c r="CQ14" s="5" t="s">
        <v>23</v>
      </c>
      <c r="CR14" s="16">
        <f>CR12+CR13</f>
        <v>321.55127264171523</v>
      </c>
      <c r="CS14" s="16">
        <f t="shared" ref="CS14" si="205">CS12+CS13</f>
        <v>370.31204456097009</v>
      </c>
      <c r="CT14" s="16">
        <f t="shared" ref="CT14" si="206">CT12+CT13</f>
        <v>408.88585257105711</v>
      </c>
      <c r="CU14" s="16">
        <f t="shared" ref="CU14" si="207">CU12+CU13</f>
        <v>492.93813377485901</v>
      </c>
      <c r="CV14" s="16">
        <f t="shared" ref="CV14" si="208">CV12+CV13</f>
        <v>291.06048184375095</v>
      </c>
      <c r="CW14" s="16">
        <f t="shared" ref="CW14" si="209">CW12+CW13</f>
        <v>401.73028137249594</v>
      </c>
      <c r="CX14" s="16">
        <f t="shared" ref="CX14" si="210">CX12+CX13</f>
        <v>439.44630678224837</v>
      </c>
      <c r="CY14" s="16">
        <f t="shared" ref="CY14" si="211">CY12+CY13</f>
        <v>507.50992967190678</v>
      </c>
      <c r="CZ14" s="16">
        <f t="shared" ref="CZ14" si="212">CZ12+CZ13</f>
        <v>488.72064839115393</v>
      </c>
      <c r="DA14" s="16">
        <f t="shared" ref="DA14" si="213">DA12+DA13</f>
        <v>485.59153503368304</v>
      </c>
      <c r="DB14" s="16">
        <f t="shared" ref="DB14" si="214">DB12+DB13</f>
        <v>587.60680146361437</v>
      </c>
      <c r="DC14" s="16">
        <f t="shared" ref="DC14" si="215">DC12+DC13</f>
        <v>707.3200528415166</v>
      </c>
      <c r="DD14" s="16">
        <f t="shared" ref="DD14" si="216">DD12+DD13</f>
        <v>863.42434066857868</v>
      </c>
      <c r="DE14" s="16">
        <f t="shared" ref="DE14" si="217">DE12+DE13</f>
        <v>922.05415224011301</v>
      </c>
      <c r="DF14" s="16">
        <f t="shared" ref="DF14" si="218">DF12+DF13</f>
        <v>782.00665888765229</v>
      </c>
      <c r="DG14" s="16">
        <f t="shared" ref="DG14" si="219">DG12+DG13</f>
        <v>827.06608792463476</v>
      </c>
      <c r="DH14" s="16">
        <f t="shared" ref="DH14" si="220">DH12+DH13</f>
        <v>790.6505731613945</v>
      </c>
      <c r="DI14" s="16">
        <f t="shared" ref="DI14" si="221">DI12+DI13</f>
        <v>657.37496276723209</v>
      </c>
      <c r="DJ14" s="16">
        <f t="shared" ref="DJ14" si="222">DJ12+DJ13</f>
        <v>402.49231436926624</v>
      </c>
      <c r="DK14" s="16">
        <f t="shared" ref="DK14" si="223">DK12+DK13</f>
        <v>101.40719024648472</v>
      </c>
      <c r="DL14" s="16">
        <f t="shared" ref="DL14" si="224">DL12+DL13</f>
        <v>13.607860736713635</v>
      </c>
      <c r="DM14" s="11">
        <f t="shared" si="69"/>
        <v>10862.757481951041</v>
      </c>
      <c r="DN14" s="11">
        <f t="shared" si="34"/>
        <v>467.51873827921634</v>
      </c>
      <c r="DO14" s="11">
        <f t="shared" si="35"/>
        <v>262.14196778339465</v>
      </c>
      <c r="DP14" s="11">
        <f t="shared" si="6"/>
        <v>4496.6598003334911</v>
      </c>
      <c r="DQ14" s="11">
        <f t="shared" si="36"/>
        <v>2792.598989205726</v>
      </c>
      <c r="DR14" s="15">
        <f t="shared" si="37"/>
        <v>0.41395196457298189</v>
      </c>
      <c r="DS14" s="15">
        <f t="shared" si="38"/>
        <v>0.25708011928331775</v>
      </c>
      <c r="DT14" s="11">
        <f t="shared" si="70"/>
        <v>1639.7469996704021</v>
      </c>
      <c r="DX14" s="30">
        <f>DX13</f>
        <v>2040</v>
      </c>
      <c r="DY14" s="5" t="s">
        <v>23</v>
      </c>
      <c r="DZ14" s="16">
        <f>DZ12+DZ13</f>
        <v>754.00678456784249</v>
      </c>
      <c r="EA14" s="16">
        <f t="shared" ref="EA14" si="225">EA12+EA13</f>
        <v>823.66323493509094</v>
      </c>
      <c r="EB14" s="16">
        <f t="shared" ref="EB14" si="226">EB12+EB13</f>
        <v>792.65498446722677</v>
      </c>
      <c r="EC14" s="16">
        <f t="shared" ref="EC14" si="227">EC12+EC13</f>
        <v>488.55705546024831</v>
      </c>
      <c r="ED14" s="16">
        <f t="shared" ref="ED14" si="228">ED12+ED13</f>
        <v>290.03127036095179</v>
      </c>
      <c r="EE14" s="16">
        <f t="shared" ref="EE14" si="229">EE12+EE13</f>
        <v>722.55459539066101</v>
      </c>
      <c r="EF14" s="16">
        <f t="shared" ref="EF14" si="230">EF12+EF13</f>
        <v>1074.4835033564257</v>
      </c>
      <c r="EG14" s="16">
        <f t="shared" ref="EG14" si="231">EG12+EG13</f>
        <v>1482.8204460504792</v>
      </c>
      <c r="EH14" s="16">
        <f t="shared" ref="EH14" si="232">EH12+EH13</f>
        <v>1408.9720278619443</v>
      </c>
      <c r="EI14" s="16">
        <f t="shared" ref="EI14" si="233">EI12+EI13</f>
        <v>1107.2998127569967</v>
      </c>
      <c r="EJ14" s="16">
        <f t="shared" ref="EJ14" si="234">EJ12+EJ13</f>
        <v>886.17480799266536</v>
      </c>
      <c r="EK14" s="16">
        <f t="shared" ref="EK14" si="235">EK12+EK13</f>
        <v>706.37781007687272</v>
      </c>
      <c r="EL14" s="16">
        <f t="shared" ref="EL14" si="236">EL12+EL13</f>
        <v>863.42434066857868</v>
      </c>
      <c r="EM14" s="16">
        <f t="shared" ref="EM14" si="237">EM12+EM13</f>
        <v>922.05415224011301</v>
      </c>
      <c r="EN14" s="16">
        <f t="shared" ref="EN14" si="238">EN12+EN13</f>
        <v>782.00665888765229</v>
      </c>
      <c r="EO14" s="16">
        <f t="shared" ref="EO14" si="239">EO12+EO13</f>
        <v>827.06608792463476</v>
      </c>
      <c r="EP14" s="16">
        <f t="shared" ref="EP14" si="240">EP12+EP13</f>
        <v>790.6505731613945</v>
      </c>
      <c r="EQ14" s="16">
        <f t="shared" ref="EQ14" si="241">EQ12+EQ13</f>
        <v>657.37496276723209</v>
      </c>
      <c r="ER14" s="16">
        <f t="shared" ref="ER14" si="242">ER12+ER13</f>
        <v>402.49231436926624</v>
      </c>
      <c r="ES14" s="16">
        <f t="shared" ref="ES14" si="243">ES12+ES13</f>
        <v>101.40719024648472</v>
      </c>
      <c r="ET14" s="16">
        <f t="shared" ref="ET14" si="244">ET12+ET13</f>
        <v>13.607860736713635</v>
      </c>
      <c r="EU14" s="11">
        <f t="shared" si="71"/>
        <v>15897.680474279476</v>
      </c>
      <c r="EV14" s="11">
        <f t="shared" si="41"/>
        <v>969.79093164139067</v>
      </c>
      <c r="EW14" s="11">
        <f t="shared" si="42"/>
        <v>414.77340487894037</v>
      </c>
      <c r="EX14" s="11">
        <f t="shared" si="10"/>
        <v>4496.6598003334911</v>
      </c>
      <c r="EY14" s="11">
        <f t="shared" si="43"/>
        <v>2792.598989205726</v>
      </c>
      <c r="EZ14" s="15">
        <f t="shared" si="44"/>
        <v>0.28285005523972778</v>
      </c>
      <c r="FA14" s="15">
        <f t="shared" si="45"/>
        <v>0.17566078232128349</v>
      </c>
      <c r="FB14" s="11">
        <f t="shared" si="72"/>
        <v>3569.8898151585181</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134.13286577614042</v>
      </c>
      <c r="BL15" s="9">
        <f>IF(管理者入力シート!$B$14=1,BK12*管理者用人口入力シート!AM$3,IF(管理者入力シート!$B$14=2,BK12*管理者用人口入力シート!AM$7))</f>
        <v>156.0472385761563</v>
      </c>
      <c r="BM15" s="9">
        <f>IF(管理者入力シート!$B$14=1,BL12*管理者用人口入力シート!AN$3,IF(管理者入力シート!$B$14=2,BL12*管理者用人口入力シート!AN$7))</f>
        <v>175.94830260526561</v>
      </c>
      <c r="BN15" s="9">
        <f>IF(管理者入力シート!$B$14=1,BM12*管理者用人口入力シート!AO$3,IF(管理者入力シート!$B$14=2,BM12*管理者用人口入力シート!AO$7))</f>
        <v>219.24659662006221</v>
      </c>
      <c r="BO15" s="9">
        <f>IF(管理者入力シート!$B$14=1,BN12*管理者用人口入力シート!AP$3,IF(管理者入力シート!$B$14=2,BN12*管理者用人口入力シート!AP$7))</f>
        <v>113.13303631774168</v>
      </c>
      <c r="BP15" s="9">
        <f>IF(管理者入力シート!$B$14=1,BO12*管理者用人口入力シート!AQ$3,IF(管理者入力シート!$B$14=2,BO12*管理者用人口入力シート!AQ$7))</f>
        <v>173.21740818691566</v>
      </c>
      <c r="BQ15" s="9">
        <f>IF(管理者入力シート!$B$14=1,BP12*管理者用人口入力シート!AR$3,IF(管理者入力シート!$B$14=2,BP12*管理者用人口入力シート!AR$7))</f>
        <v>211.87675574295125</v>
      </c>
      <c r="BR15" s="9">
        <f>IF(管理者入力シート!$B$14=1,BQ12*管理者用人口入力シート!AS$3,IF(管理者入力シート!$B$14=2,BQ12*管理者用人口入力シート!AS$7))</f>
        <v>259.38285541712997</v>
      </c>
      <c r="BS15" s="9">
        <f>IF(管理者入力シート!$B$14=1,BR12*管理者用人口入力シート!AT$3,IF(管理者入力シート!$B$14=2,BR12*管理者用人口入力シート!AT$7))</f>
        <v>291.41757289495177</v>
      </c>
      <c r="BT15" s="9">
        <f>IF(管理者入力シート!$B$14=1,BS12*管理者用人口入力シート!AU$3,IF(管理者入力シート!$B$14=2,BS12*管理者用人口入力シート!AU$7))</f>
        <v>270.86876352568754</v>
      </c>
      <c r="BU15" s="9">
        <f>IF(管理者入力シート!$B$14=1,BT12*管理者用人口入力シート!AV$3,IF(管理者入力シート!$B$14=2,BT12*管理者用人口入力シート!AV$7))</f>
        <v>255.96072433871166</v>
      </c>
      <c r="BV15" s="9">
        <f>IF(管理者入力シート!$B$14=1,BU12*管理者用人口入力シート!AW$3,IF(管理者入力シート!$B$14=2,BU12*管理者用人口入力シート!AW$7))</f>
        <v>303.0445627494816</v>
      </c>
      <c r="BW15" s="9">
        <f>IF(管理者入力シート!$B$14=1,BV12*管理者用人口入力シート!AX$3,IF(管理者入力シート!$B$14=2,BV12*管理者用人口入力シート!AX$7))</f>
        <v>342.00104428283134</v>
      </c>
      <c r="BX15" s="9">
        <f>IF(管理者入力シート!$B$14=1,BW12*管理者用人口入力シート!AY$3,IF(管理者入力シート!$B$14=2,BW12*管理者用人口入力シート!AY$7))</f>
        <v>408.77515341470581</v>
      </c>
      <c r="BY15" s="9">
        <f>IF(管理者入力シート!$B$14=1,BX12*管理者用人口入力シート!AZ$3,IF(管理者入力シート!$B$14=2,BX12*管理者用人口入力シート!AZ$7))</f>
        <v>424.96639881556723</v>
      </c>
      <c r="BZ15" s="9">
        <f>IF(管理者入力シート!$B$14=1,BY12*管理者用人口入力シート!BA$3,IF(管理者入力シート!$B$14=2,BY12*管理者用人口入力シート!BA$7))</f>
        <v>336.51895208124671</v>
      </c>
      <c r="CA15" s="9">
        <f>IF(管理者入力シート!$B$14=1,BZ12*管理者用人口入力シート!BB$3,IF(管理者入力シート!$B$14=2,BZ12*管理者用人口入力シート!BB$7))</f>
        <v>279.5106160624544</v>
      </c>
      <c r="CB15" s="9">
        <f>IF(管理者入力シート!$B$14=1,CA12*管理者用人口入力シート!BC$3,IF(管理者入力シート!$B$14=2,CA12*管理者用人口入力シート!BC$7))</f>
        <v>204.62257983759636</v>
      </c>
      <c r="CC15" s="9">
        <f>IF(管理者入力シート!$B$14=1,CB12*管理者用人口入力シート!BD$3,IF(管理者入力シート!$B$14=2,CB12*管理者用人口入力シート!BD$7))</f>
        <v>101.70259159438068</v>
      </c>
      <c r="CD15" s="9">
        <f>IF(管理者入力シート!$B$14=1,CC12*管理者用人口入力シート!BE$3,IF(管理者入力シート!$B$14=2,CC12*管理者用人口入力シート!BE$7))</f>
        <v>44.34986744093991</v>
      </c>
      <c r="CE15" s="9">
        <f>IF(管理者入力シート!$B$14=1,CD12*管理者用人口入力シート!BF$3,IF(管理者入力シート!$B$14=2,CD12*管理者用人口入力シート!BF$7))</f>
        <v>0.4072139889855968</v>
      </c>
      <c r="CF15" s="9">
        <f t="shared" ref="CF15:CF20" si="252">SUM(BK15:CE15)</f>
        <v>4707.131100269904</v>
      </c>
      <c r="CG15" s="9">
        <f t="shared" ref="CG15:CG20" si="253">BL15*3/5+BM15*3/5</f>
        <v>199.19732470885316</v>
      </c>
      <c r="CH15" s="9">
        <f t="shared" ref="CH15:CH20" si="254">BM15*2/5+BN15*1/5</f>
        <v>114.22864036611868</v>
      </c>
      <c r="CI15" s="9">
        <f t="shared" ref="CI15:CI20" si="255">SUM(BX15:CE15)</f>
        <v>1800.8533732358767</v>
      </c>
      <c r="CJ15" s="9">
        <f t="shared" ref="CJ15:CJ20" si="256">SUM(BZ15:CE15)</f>
        <v>967.1118210056037</v>
      </c>
      <c r="CK15" s="13">
        <f t="shared" ref="CK15:CK20" si="257">CI15/CF15</f>
        <v>0.38257982088763509</v>
      </c>
      <c r="CL15" s="13">
        <f t="shared" ref="CL15:CL20" si="258">CJ15/CF15</f>
        <v>0.20545674220761562</v>
      </c>
      <c r="CM15" s="9">
        <f t="shared" ref="CM15:CM20" si="259">SUM(BO15:BR15)</f>
        <v>757.61005566473864</v>
      </c>
      <c r="CO15" s="7" t="str">
        <f t="shared" si="26"/>
        <v>2045_1</v>
      </c>
      <c r="CP15" s="28">
        <f>管理者入力シート!B12</f>
        <v>2045</v>
      </c>
      <c r="CQ15" s="3" t="s">
        <v>21</v>
      </c>
      <c r="CR15" s="9">
        <f>DT16*$AK$13+将来予測シート②!$G17</f>
        <v>136.82735451790509</v>
      </c>
      <c r="CS15" s="9">
        <f>IF(管理者入力シート!$B$14=1,CR12*管理者用人口入力シート!AM$3,IF(管理者入力シート!$B$14=2,CR12*管理者用人口入力シート!AM$7))+将来予測シート②!$G18</f>
        <v>158.63786485645824</v>
      </c>
      <c r="CT15" s="9">
        <f>IF(管理者入力シート!$B$14=1,CS12*管理者用人口入力シート!AN$3,IF(管理者入力シート!$B$14=2,CS12*管理者用人口入力シート!AN$7))+将来予測シート②!$G19</f>
        <v>179.48115190429556</v>
      </c>
      <c r="CU15" s="9">
        <f>IF(管理者入力シート!$B$14=1,CT12*管理者用人口入力シート!AO$3,IF(管理者入力シート!$B$14=2,CT12*管理者用人口入力シート!AO$7))+将来予測シート②!$G20</f>
        <v>222.6628010063545</v>
      </c>
      <c r="CV15" s="9">
        <f>IF(管理者入力シート!$B$14=1,CU12*管理者用人口入力シート!AP$3,IF(管理者入力シート!$B$14=2,CU12*管理者用人口入力シート!AP$7))+将来予測シート②!$G21</f>
        <v>114.20331063903832</v>
      </c>
      <c r="CW15" s="9">
        <f>IF(管理者入力シート!$B$14=1,CV12*管理者用人口入力シート!AQ$3,IF(管理者入力シート!$B$14=2,CV12*管理者用人口入力シート!AQ$7))+将来予測シート②!$G22</f>
        <v>175.86749785482877</v>
      </c>
      <c r="CX15" s="9">
        <f>IF(管理者入力シート!$B$14=1,CW12*管理者用人口入力シート!AR$3,IF(管理者入力シート!$B$14=2,CW12*管理者用人口入力シート!AR$7))+将来予測シート②!$G23</f>
        <v>214.3800738759042</v>
      </c>
      <c r="CY15" s="9">
        <f>IF(管理者入力シート!$B$14=1,CX12*管理者用人口入力シート!AS$3,IF(管理者入力シート!$B$14=2,CX12*管理者用人口入力シート!AS$7))+将来予測シート②!$G24</f>
        <v>261.32166019081842</v>
      </c>
      <c r="CZ15" s="9">
        <f>IF(管理者入力シート!$B$14=1,CY12*管理者用人口入力シート!AT$3,IF(管理者入力シート!$B$14=2,CY12*管理者用人口入力シート!AT$7))+将来予測シート②!$G25</f>
        <v>293.26694744782736</v>
      </c>
      <c r="DA15" s="9">
        <f>IF(管理者入力シート!$B$14=1,CZ12*管理者用人口入力シート!AU$3,IF(管理者入力シート!$B$14=2,CZ12*管理者用人口入力シート!AU$7))+将来予測シート②!$G26</f>
        <v>272.71369233692036</v>
      </c>
      <c r="DB15" s="9">
        <f>IF(管理者入力シート!$B$14=1,DA12*管理者用人口入力シート!AV$3,IF(管理者入力シート!$B$14=2,DA12*管理者用人口入力シート!AV$7))+将来予測シート②!$G27</f>
        <v>255.96072433871166</v>
      </c>
      <c r="DC15" s="9">
        <f>IF(管理者入力シート!$B$14=1,DB12*管理者用人口入力シート!AW$3,IF(管理者入力シート!$B$14=2,DB12*管理者用人口入力シート!AW$7))+将来予測シート②!$G28</f>
        <v>303.0445627494816</v>
      </c>
      <c r="DD15" s="9">
        <f>IF(管理者入力シート!$B$14=1,DC12*管理者用人口入力シート!AX$3,IF(管理者入力シート!$B$14=2,DC12*管理者用人口入力シート!AX$7))+将来予測シート②!$G29</f>
        <v>342.00104428283134</v>
      </c>
      <c r="DE15" s="9">
        <f>IF(管理者入力シート!$B$14=1,DD12*管理者用人口入力シート!AY$3,IF(管理者入力シート!$B$14=2,DD12*管理者用人口入力シート!AY$7))</f>
        <v>408.77515341470581</v>
      </c>
      <c r="DF15" s="9">
        <f>IF(管理者入力シート!$B$14=1,DE12*管理者用人口入力シート!AZ$3,IF(管理者入力シート!$B$14=2,DE12*管理者用人口入力シート!AZ$7))</f>
        <v>424.96639881556723</v>
      </c>
      <c r="DG15" s="9">
        <f>IF(管理者入力シート!$B$14=1,DF12*管理者用人口入力シート!BA$3,IF(管理者入力シート!$B$14=2,DF12*管理者用人口入力シート!BA$7))</f>
        <v>336.51895208124671</v>
      </c>
      <c r="DH15" s="9">
        <f>IF(管理者入力シート!$B$14=1,DG12*管理者用人口入力シート!BB$3,IF(管理者入力シート!$B$14=2,DG12*管理者用人口入力シート!BB$7))</f>
        <v>279.5106160624544</v>
      </c>
      <c r="DI15" s="9">
        <f>IF(管理者入力シート!$B$14=1,DH12*管理者用人口入力シート!BC$3,IF(管理者入力シート!$B$14=2,DH12*管理者用人口入力シート!BC$7))</f>
        <v>204.62257983759636</v>
      </c>
      <c r="DJ15" s="9">
        <f>IF(管理者入力シート!$B$14=1,DI12*管理者用人口入力シート!BD$3,IF(管理者入力シート!$B$14=2,DI12*管理者用人口入力シート!BD$7))</f>
        <v>101.70259159438068</v>
      </c>
      <c r="DK15" s="9">
        <f>IF(管理者入力シート!$B$14=1,DJ12*管理者用人口入力シート!BE$3,IF(管理者入力シート!$B$14=2,DJ12*管理者用人口入力シート!BE$7))</f>
        <v>44.34986744093991</v>
      </c>
      <c r="DL15" s="9">
        <f>IF(管理者入力シート!$B$14=1,DK12*管理者用人口入力シート!BF$3,IF(管理者入力シート!$B$14=2,DK12*管理者用人口入力シート!BF$7))</f>
        <v>0.4072139889855968</v>
      </c>
      <c r="DM15" s="9">
        <f t="shared" ref="DM15:DM20" si="260">SUM(CR15:DL15)</f>
        <v>4731.2220592372523</v>
      </c>
      <c r="DN15" s="9">
        <f t="shared" ref="DN15:DN20" si="261">CS15*3/5+CT15*3/5</f>
        <v>202.87141005645228</v>
      </c>
      <c r="DO15" s="9">
        <f t="shared" ref="DO15:DO20" si="262">CT15*2/5+CU15*1/5</f>
        <v>116.32502096298911</v>
      </c>
      <c r="DP15" s="9">
        <f t="shared" ref="DP15:DP20" si="263">SUM(DE15:DL15)</f>
        <v>1800.8533732358767</v>
      </c>
      <c r="DQ15" s="9">
        <f t="shared" ref="DQ15:DQ20" si="264">SUM(DG15:DL15)</f>
        <v>967.1118210056037</v>
      </c>
      <c r="DR15" s="13">
        <f t="shared" ref="DR15:DR20" si="265">DP15/DM15</f>
        <v>0.38063175870595317</v>
      </c>
      <c r="DS15" s="13">
        <f t="shared" ref="DS15:DS20" si="266">DQ15/DM15</f>
        <v>0.20441057487830477</v>
      </c>
      <c r="DT15" s="9">
        <f t="shared" ref="DT15:DT20" si="267">SUM(CV15:CY15)</f>
        <v>765.77254256058973</v>
      </c>
      <c r="DV15" s="62" t="s">
        <v>404</v>
      </c>
      <c r="DW15" s="211">
        <f>AK13+AK14</f>
        <v>0.44841226630924802</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150.98391886144054</v>
      </c>
      <c r="BL16" s="10">
        <f>IF(管理者入力シート!$B$14=1,BK13*管理者用人口入力シート!AM$4,IF(管理者入力シート!$B$14=2,BK13*管理者用人口入力シート!AM$8))</f>
        <v>175.48507761313815</v>
      </c>
      <c r="BM16" s="10">
        <f>IF(管理者入力シート!$B$14=1,BL13*管理者用人口入力シート!AN$4,IF(管理者入力シート!$B$14=2,BL13*管理者用人口入力シート!AN$8))</f>
        <v>196.28425924421077</v>
      </c>
      <c r="BN16" s="10">
        <f>IF(管理者入力シート!$B$14=1,BM13*管理者用人口入力シート!AO$4,IF(管理者入力シート!$B$14=2,BM13*管理者用人口入力シート!AO$8))</f>
        <v>205.31092262759765</v>
      </c>
      <c r="BO16" s="10">
        <f>IF(管理者入力シート!$B$14=1,BN13*管理者用人口入力シート!AP$4,IF(管理者入力シート!$B$14=2,BN13*管理者用人口入力シート!AP$8))</f>
        <v>125.3886583818914</v>
      </c>
      <c r="BP16" s="10">
        <f>IF(管理者入力シート!$B$14=1,BO13*管理者用人口入力シート!AQ$4,IF(管理者入力シート!$B$14=2,BO13*管理者用人口入力シート!AQ$8))</f>
        <v>156.23235346590781</v>
      </c>
      <c r="BQ16" s="10">
        <f>IF(管理者入力シート!$B$14=1,BP13*管理者用人口入力シート!AR$4,IF(管理者入力シート!$B$14=2,BP13*管理者用人口入力シート!AR$8))</f>
        <v>167.92644026610139</v>
      </c>
      <c r="BR16" s="10">
        <f>IF(管理者入力シート!$B$14=1,BQ13*管理者用人口入力シート!AS$4,IF(管理者入力シート!$B$14=2,BQ13*管理者用人口入力シート!AS$8))</f>
        <v>186.28882191199739</v>
      </c>
      <c r="BS16" s="10">
        <f>IF(管理者入力シート!$B$14=1,BR13*管理者用人口入力シート!AT$4,IF(管理者入力シート!$B$14=2,BR13*管理者用人口入力シート!AT$8))</f>
        <v>185.26380530085203</v>
      </c>
      <c r="BT16" s="10">
        <f>IF(管理者入力シート!$B$14=1,BS13*管理者用人口入力シート!AU$4,IF(管理者入力シート!$B$14=2,BS13*管理者用人口入力シート!AU$8))</f>
        <v>212.93993891648313</v>
      </c>
      <c r="BU16" s="10">
        <f>IF(管理者入力シート!$B$14=1,BT13*管理者用人口入力シート!AV$4,IF(管理者入力シート!$B$14=2,BT13*管理者用人口入力シート!AV$8))</f>
        <v>215.42245153553327</v>
      </c>
      <c r="BV16" s="10">
        <f>IF(管理者入力シート!$B$14=1,BU13*管理者用人口入力シート!AW$4,IF(管理者入力シート!$B$14=2,BU13*管理者用人口入力シート!AW$8))</f>
        <v>276.07823646432706</v>
      </c>
      <c r="BW16" s="10">
        <f>IF(管理者入力シート!$B$14=1,BV13*管理者用人口入力シート!AX$4,IF(管理者入力シート!$B$14=2,BV13*管理者用人口入力シート!AX$8))</f>
        <v>358.55876326962681</v>
      </c>
      <c r="BX16" s="10">
        <f>IF(管理者入力シート!$B$14=1,BW13*管理者用人口入力シート!AY$4,IF(管理者入力シート!$B$14=2,BW13*管理者用人口入力シート!AY$8))</f>
        <v>428.64101342348584</v>
      </c>
      <c r="BY16" s="10">
        <f>IF(管理者入力シート!$B$14=1,BX13*管理者用人口入力シート!AZ$4,IF(管理者入力シート!$B$14=2,BX13*管理者用人口入力シート!AZ$8))</f>
        <v>419.37514758549719</v>
      </c>
      <c r="BZ16" s="10">
        <f>IF(管理者入力シート!$B$14=1,BY13*管理者用人口入力シート!BA$4,IF(管理者入力シート!$B$14=2,BY13*管理者用人口入力シート!BA$8))</f>
        <v>381.16535729738933</v>
      </c>
      <c r="CA16" s="10">
        <f>IF(管理者入力シート!$B$14=1,BZ13*管理者用人口入力シート!BB$4,IF(管理者入力シート!$B$14=2,BZ13*管理者用人口入力シート!BB$8))</f>
        <v>418.11161740994783</v>
      </c>
      <c r="CB16" s="10">
        <f>IF(管理者入力シート!$B$14=1,CA13*管理者用人口入力シート!BC$4,IF(管理者入力シート!$B$14=2,CA13*管理者用人口入力シート!BC$8))</f>
        <v>339.38993788466524</v>
      </c>
      <c r="CC16" s="10">
        <f>IF(管理者入力シート!$B$14=1,CB13*管理者用人口入力シート!BD$4,IF(管理者入力シート!$B$14=2,CB13*管理者用人口入力シート!BD$8))</f>
        <v>239.21880194378781</v>
      </c>
      <c r="CD16" s="10">
        <f>IF(管理者入力シート!$B$14=1,CC13*管理者用人口入力シート!BE$4,IF(管理者入力シート!$B$14=2,CC13*管理者用人口入力シート!BE$8))</f>
        <v>95.550928878061299</v>
      </c>
      <c r="CE16" s="10">
        <f>IF(管理者入力シート!$B$14=1,CD13*管理者用人口入力シート!BF$4,IF(管理者入力シート!$B$14=2,CD13*管理者用人口入力シート!BF$8))</f>
        <v>11.471197097335841</v>
      </c>
      <c r="CF16" s="10">
        <f t="shared" si="252"/>
        <v>4945.0876493792784</v>
      </c>
      <c r="CG16" s="10">
        <f t="shared" si="253"/>
        <v>223.06160211440937</v>
      </c>
      <c r="CH16" s="10">
        <f t="shared" si="254"/>
        <v>119.57588822320383</v>
      </c>
      <c r="CI16" s="10">
        <f t="shared" si="255"/>
        <v>2332.9240015201703</v>
      </c>
      <c r="CJ16" s="10">
        <f t="shared" si="256"/>
        <v>1484.9078405111873</v>
      </c>
      <c r="CK16" s="14">
        <f t="shared" si="257"/>
        <v>0.47176595581940911</v>
      </c>
      <c r="CL16" s="14">
        <f t="shared" si="258"/>
        <v>0.30027937739335664</v>
      </c>
      <c r="CM16" s="10">
        <f t="shared" si="259"/>
        <v>635.83627402589798</v>
      </c>
      <c r="CO16" s="7" t="str">
        <f t="shared" si="26"/>
        <v>2045_2</v>
      </c>
      <c r="CP16" s="29">
        <f>CP15</f>
        <v>2045</v>
      </c>
      <c r="CQ16" s="4" t="s">
        <v>22</v>
      </c>
      <c r="CR16" s="10">
        <f>DT16*$AK$14+将来予測シート②!$H17</f>
        <v>153.89128548048529</v>
      </c>
      <c r="CS16" s="10">
        <f>IF(管理者入力シート!$B$14=1,CR13*管理者用人口入力シート!AM$4,IF(管理者入力シート!$B$14=2,CR13*管理者用人口入力シート!AM$8))+将来予測シート②!$H18</f>
        <v>178.26683274363415</v>
      </c>
      <c r="CT16" s="10">
        <f>IF(管理者入力シート!$B$14=1,CS13*管理者用人口入力シート!AN$4,IF(管理者入力シート!$B$14=2,CS13*管理者用人口入力シート!AN$8))+将来予測シート②!$H19</f>
        <v>199.97625163278153</v>
      </c>
      <c r="CU16" s="10">
        <f>IF(管理者入力シート!$B$14=1,CT13*管理者用人口入力シート!AO$4,IF(管理者入力シート!$B$14=2,CT13*管理者用人口入力シート!AO$8))+将来予測シート②!$H20</f>
        <v>208.26916142886017</v>
      </c>
      <c r="CV16" s="10">
        <f>IF(管理者入力シート!$B$14=1,CU13*管理者用人口入力シート!AP$4,IF(管理者入力シート!$B$14=2,CU13*管理者用人口入力シート!AP$8))+将来予測シート②!$H21</f>
        <v>126.44706299360352</v>
      </c>
      <c r="CW16" s="10">
        <f>IF(管理者入力シート!$B$14=1,CV13*管理者用人口入力シート!AQ$4,IF(管理者入力シート!$B$14=2,CV13*管理者用人口入力シート!AQ$8))+将来予測シート②!$H22</f>
        <v>158.75794977982946</v>
      </c>
      <c r="CX16" s="10">
        <f>IF(管理者入力シート!$B$14=1,CW13*管理者用人口入力シート!AR$4,IF(管理者入力シート!$B$14=2,CW13*管理者用人口入力シート!AR$8))+将来予測シート②!$H23</f>
        <v>170.38856658655024</v>
      </c>
      <c r="CY16" s="10">
        <f>IF(管理者入力シート!$B$14=1,CX13*管理者用人口入力シート!AS$4,IF(管理者入力シート!$B$14=2,CX13*管理者用人口入力シート!AS$8))+将来予測シート②!$H24</f>
        <v>188.27515860909651</v>
      </c>
      <c r="CZ16" s="10">
        <f>IF(管理者入力シート!$B$14=1,CY13*管理者用人口入力シート!AT$4,IF(管理者入力シート!$B$14=2,CY13*管理者用人口入力シート!AT$8))+将来予測シート②!$H25</f>
        <v>188.12166746161896</v>
      </c>
      <c r="DA16" s="10">
        <f>IF(管理者入力シート!$B$14=1,CZ13*管理者用人口入力シート!AU$4,IF(管理者入力シート!$B$14=2,CZ13*管理者用人口入力シート!AU$8))+将来予測シート②!$H26</f>
        <v>215.80382642816087</v>
      </c>
      <c r="DB16" s="10">
        <f>IF(管理者入力シート!$B$14=1,DA13*管理者用人口入力シート!AV$4,IF(管理者入力シート!$B$14=2,DA13*管理者用人口入力シート!AV$8))+将来予測シート②!$H27</f>
        <v>216.39941875395326</v>
      </c>
      <c r="DC16" s="10">
        <f>IF(管理者入力シート!$B$14=1,DB13*管理者用人口入力シート!AW$4,IF(管理者入力シート!$B$14=2,DB13*管理者用人口入力シート!AW$8))+将来予測シート②!$H28</f>
        <v>277.02047922897106</v>
      </c>
      <c r="DD16" s="10">
        <f>IF(管理者入力シート!$B$14=1,DC13*管理者用人口入力シート!AX$4,IF(管理者入力シート!$B$14=2,DC13*管理者用人口入力シート!AX$8))+将来予測シート②!$H29</f>
        <v>359.49604958723575</v>
      </c>
      <c r="DE16" s="10">
        <f>IF(管理者入力シート!$B$14=1,DD13*管理者用人口入力シート!AY$4,IF(管理者入力シート!$B$14=2,DD13*管理者用人口入力シート!AY$8))</f>
        <v>428.64101342348584</v>
      </c>
      <c r="DF16" s="10">
        <f>IF(管理者入力シート!$B$14=1,DE13*管理者用人口入力シート!AZ$4,IF(管理者入力シート!$B$14=2,DE13*管理者用人口入力シート!AZ$8))</f>
        <v>419.37514758549719</v>
      </c>
      <c r="DG16" s="10">
        <f>IF(管理者入力シート!$B$14=1,DF13*管理者用人口入力シート!BA$4,IF(管理者入力シート!$B$14=2,DF13*管理者用人口入力シート!BA$8))</f>
        <v>381.16535729738933</v>
      </c>
      <c r="DH16" s="10">
        <f>IF(管理者入力シート!$B$14=1,DG13*管理者用人口入力シート!BB$4,IF(管理者入力シート!$B$14=2,DG13*管理者用人口入力シート!BB$8))</f>
        <v>418.11161740994783</v>
      </c>
      <c r="DI16" s="10">
        <f>IF(管理者入力シート!$B$14=1,DH13*管理者用人口入力シート!BC$4,IF(管理者入力シート!$B$14=2,DH13*管理者用人口入力シート!BC$8))</f>
        <v>339.38993788466524</v>
      </c>
      <c r="DJ16" s="10">
        <f>IF(管理者入力シート!$B$14=1,DI13*管理者用人口入力シート!BD$4,IF(管理者入力シート!$B$14=2,DI13*管理者用人口入力シート!BD$8))</f>
        <v>239.21880194378781</v>
      </c>
      <c r="DK16" s="10">
        <f>IF(管理者入力シート!$B$14=1,DJ13*管理者用人口入力シート!BE$4,IF(管理者入力シート!$B$14=2,DJ13*管理者用人口入力シート!BE$8))</f>
        <v>95.550928878061299</v>
      </c>
      <c r="DL16" s="10">
        <f>IF(管理者入力シート!$B$14=1,DK13*管理者用人口入力シート!BF$4,IF(管理者入力シート!$B$14=2,DK13*管理者用人口入力シート!BF$8))</f>
        <v>11.471197097335841</v>
      </c>
      <c r="DM16" s="10">
        <f t="shared" si="260"/>
        <v>4974.037712234951</v>
      </c>
      <c r="DN16" s="10">
        <f t="shared" si="261"/>
        <v>226.9458506258494</v>
      </c>
      <c r="DO16" s="10">
        <f t="shared" si="262"/>
        <v>121.64433293888465</v>
      </c>
      <c r="DP16" s="10">
        <f t="shared" si="263"/>
        <v>2332.9240015201703</v>
      </c>
      <c r="DQ16" s="10">
        <f t="shared" si="264"/>
        <v>1484.9078405111873</v>
      </c>
      <c r="DR16" s="14">
        <f t="shared" si="265"/>
        <v>0.46902016761588511</v>
      </c>
      <c r="DS16" s="14">
        <f t="shared" si="266"/>
        <v>0.29853168118501933</v>
      </c>
      <c r="DT16" s="10">
        <f t="shared" si="267"/>
        <v>643.86873796907969</v>
      </c>
      <c r="DV16" s="212" t="s">
        <v>406</v>
      </c>
      <c r="DW16" s="7">
        <f>IF(DW10&lt;0,ABS(DW10)/DW15,0)</f>
        <v>351.04134444461113</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285.11678463758096</v>
      </c>
      <c r="BL17" s="16">
        <f t="shared" ref="BL17:CE17" si="268">BL15+BL16</f>
        <v>331.53231618929442</v>
      </c>
      <c r="BM17" s="16">
        <f t="shared" si="268"/>
        <v>372.23256184947638</v>
      </c>
      <c r="BN17" s="16">
        <f t="shared" si="268"/>
        <v>424.55751924765985</v>
      </c>
      <c r="BO17" s="16">
        <f t="shared" si="268"/>
        <v>238.52169469963309</v>
      </c>
      <c r="BP17" s="16">
        <f t="shared" si="268"/>
        <v>329.44976165282344</v>
      </c>
      <c r="BQ17" s="16">
        <f t="shared" si="268"/>
        <v>379.80319600905261</v>
      </c>
      <c r="BR17" s="16">
        <f t="shared" si="268"/>
        <v>445.67167732912736</v>
      </c>
      <c r="BS17" s="16">
        <f t="shared" si="268"/>
        <v>476.6813781958038</v>
      </c>
      <c r="BT17" s="16">
        <f t="shared" si="268"/>
        <v>483.80870244217067</v>
      </c>
      <c r="BU17" s="16">
        <f t="shared" si="268"/>
        <v>471.3831758742449</v>
      </c>
      <c r="BV17" s="16">
        <f t="shared" si="268"/>
        <v>579.12279921380866</v>
      </c>
      <c r="BW17" s="16">
        <f t="shared" si="268"/>
        <v>700.5598075524581</v>
      </c>
      <c r="BX17" s="16">
        <f t="shared" si="268"/>
        <v>837.41616683819166</v>
      </c>
      <c r="BY17" s="16">
        <f t="shared" si="268"/>
        <v>844.34154640106442</v>
      </c>
      <c r="BZ17" s="16">
        <f t="shared" si="268"/>
        <v>717.68430937863604</v>
      </c>
      <c r="CA17" s="16">
        <f t="shared" si="268"/>
        <v>697.62223347240229</v>
      </c>
      <c r="CB17" s="16">
        <f t="shared" si="268"/>
        <v>544.01251772226158</v>
      </c>
      <c r="CC17" s="16">
        <f t="shared" si="268"/>
        <v>340.9213935381685</v>
      </c>
      <c r="CD17" s="16">
        <f t="shared" si="268"/>
        <v>139.90079631900122</v>
      </c>
      <c r="CE17" s="16">
        <f t="shared" si="268"/>
        <v>11.878411086321437</v>
      </c>
      <c r="CF17" s="11">
        <f t="shared" si="252"/>
        <v>9652.2187496491806</v>
      </c>
      <c r="CG17" s="11">
        <f t="shared" si="253"/>
        <v>422.25892682326247</v>
      </c>
      <c r="CH17" s="11">
        <f t="shared" si="254"/>
        <v>233.8045285893225</v>
      </c>
      <c r="CI17" s="11">
        <f t="shared" si="255"/>
        <v>4133.7773747560477</v>
      </c>
      <c r="CJ17" s="11">
        <f t="shared" si="256"/>
        <v>2452.0196615167911</v>
      </c>
      <c r="CK17" s="15">
        <f t="shared" si="257"/>
        <v>0.42827224309501832</v>
      </c>
      <c r="CL17" s="15">
        <f t="shared" si="258"/>
        <v>0.25403689297923465</v>
      </c>
      <c r="CM17" s="11">
        <f t="shared" si="259"/>
        <v>1393.4463296906365</v>
      </c>
      <c r="CO17" s="7" t="str">
        <f t="shared" si="26"/>
        <v>2045_3</v>
      </c>
      <c r="CP17" s="30">
        <f>CP16</f>
        <v>2045</v>
      </c>
      <c r="CQ17" s="5" t="s">
        <v>23</v>
      </c>
      <c r="CR17" s="16">
        <f>CR15+CR16</f>
        <v>290.71863999839036</v>
      </c>
      <c r="CS17" s="16">
        <f>CS15+CS16</f>
        <v>336.90469760009239</v>
      </c>
      <c r="CT17" s="16">
        <f t="shared" ref="CT17:DL17" si="269">CT15+CT16</f>
        <v>379.45740353707708</v>
      </c>
      <c r="CU17" s="16">
        <f t="shared" si="269"/>
        <v>430.9319624352147</v>
      </c>
      <c r="CV17" s="16">
        <f t="shared" si="269"/>
        <v>240.65037363264184</v>
      </c>
      <c r="CW17" s="16">
        <f t="shared" si="269"/>
        <v>334.62544763465826</v>
      </c>
      <c r="CX17" s="16">
        <f t="shared" si="269"/>
        <v>384.76864046245441</v>
      </c>
      <c r="CY17" s="16">
        <f t="shared" si="269"/>
        <v>449.5968187999149</v>
      </c>
      <c r="CZ17" s="16">
        <f t="shared" si="269"/>
        <v>481.38861490944635</v>
      </c>
      <c r="DA17" s="16">
        <f t="shared" si="269"/>
        <v>488.51751876508126</v>
      </c>
      <c r="DB17" s="16">
        <f t="shared" si="269"/>
        <v>472.36014309266488</v>
      </c>
      <c r="DC17" s="16">
        <f t="shared" si="269"/>
        <v>580.06504197845265</v>
      </c>
      <c r="DD17" s="16">
        <f t="shared" si="269"/>
        <v>701.49709387006715</v>
      </c>
      <c r="DE17" s="16">
        <f t="shared" si="269"/>
        <v>837.41616683819166</v>
      </c>
      <c r="DF17" s="16">
        <f t="shared" si="269"/>
        <v>844.34154640106442</v>
      </c>
      <c r="DG17" s="16">
        <f t="shared" si="269"/>
        <v>717.68430937863604</v>
      </c>
      <c r="DH17" s="16">
        <f t="shared" si="269"/>
        <v>697.62223347240229</v>
      </c>
      <c r="DI17" s="16">
        <f t="shared" si="269"/>
        <v>544.01251772226158</v>
      </c>
      <c r="DJ17" s="16">
        <f t="shared" si="269"/>
        <v>340.9213935381685</v>
      </c>
      <c r="DK17" s="16">
        <f t="shared" si="269"/>
        <v>139.90079631900122</v>
      </c>
      <c r="DL17" s="16">
        <f t="shared" si="269"/>
        <v>11.878411086321437</v>
      </c>
      <c r="DM17" s="11">
        <f t="shared" si="260"/>
        <v>9705.2597714722051</v>
      </c>
      <c r="DN17" s="11">
        <f t="shared" si="261"/>
        <v>429.81726068230171</v>
      </c>
      <c r="DO17" s="11">
        <f t="shared" si="262"/>
        <v>237.96935390187377</v>
      </c>
      <c r="DP17" s="11">
        <f t="shared" si="263"/>
        <v>4133.7773747560477</v>
      </c>
      <c r="DQ17" s="11">
        <f t="shared" si="264"/>
        <v>2452.0196615167911</v>
      </c>
      <c r="DR17" s="15">
        <f t="shared" si="265"/>
        <v>0.42593165686372852</v>
      </c>
      <c r="DS17" s="15">
        <f t="shared" si="266"/>
        <v>0.25264853484131322</v>
      </c>
      <c r="DT17" s="11">
        <f t="shared" si="267"/>
        <v>1409.6412805296695</v>
      </c>
      <c r="DV17" s="62" t="s">
        <v>407</v>
      </c>
      <c r="DW17" s="7">
        <f>IF(DW9&gt;=0,0,IF(AND(DW10&lt;=0,DW9&lt;=0,DW16*2&gt;=ABS(DW9)),ROUND(DW16/3,0),ROUND(ABS(DW9)/6,0)))</f>
        <v>163</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118.31060265555806</v>
      </c>
      <c r="BL18" s="9">
        <f>IF(管理者入力シート!$B$14=1,BK15*管理者用人口入力シート!AM$3,IF(管理者入力シート!$B$14=2,BK15*管理者用人口入力シート!AM$7))</f>
        <v>140.60791321938589</v>
      </c>
      <c r="BM18" s="9">
        <f>IF(管理者入力シート!$B$14=1,BL15*管理者用人口入力シート!AN$3,IF(管理者入力シート!$B$14=2,BL15*管理者用人口入力シート!AN$7))</f>
        <v>159.73353960221411</v>
      </c>
      <c r="BN18" s="9">
        <f>IF(管理者入力シート!$B$14=1,BM15*管理者用人口入力シート!AO$3,IF(管理者入力シート!$B$14=2,BM15*管理者用人口入力シート!AO$7))</f>
        <v>202.57943738816931</v>
      </c>
      <c r="BO18" s="9">
        <f>IF(管理者入力シート!$B$14=1,BN15*管理者用人口入力シート!AP$3,IF(管理者入力シート!$B$14=2,BN15*管理者用人口入力シート!AP$7))</f>
        <v>98.312941563739059</v>
      </c>
      <c r="BP18" s="9">
        <f>IF(管理者入力シート!$B$14=1,BO15*管理者用人口入力シート!AQ$3,IF(管理者入力シート!$B$14=2,BO15*管理者用人口入力シート!AQ$7))</f>
        <v>142.453983326702</v>
      </c>
      <c r="BQ18" s="9">
        <f>IF(管理者入力シート!$B$14=1,BP15*管理者用人口入力シート!AR$3,IF(管理者入力シート!$B$14=2,BP15*管理者用人口入力シート!AR$7))</f>
        <v>163.6240026545504</v>
      </c>
      <c r="BR18" s="9">
        <f>IF(管理者入力シート!$B$14=1,BQ15*管理者用人口入力シート!AS$3,IF(管理者入力シート!$B$14=2,BQ15*管理者用人口入力シート!AS$7))</f>
        <v>217.43623665580319</v>
      </c>
      <c r="BS18" s="9">
        <f>IF(管理者入力シート!$B$14=1,BR15*管理者用人口入力シート!AT$3,IF(管理者入力シート!$B$14=2,BR15*管理者用人口入力シート!AT$7))</f>
        <v>247.41843984016961</v>
      </c>
      <c r="BT18" s="9">
        <f>IF(管理者入力シート!$B$14=1,BS15*管理者用人口入力シート!AU$3,IF(管理者入力シート!$B$14=2,BS15*管理者用人口入力シート!AU$7))</f>
        <v>290.71702943973554</v>
      </c>
      <c r="BU18" s="9">
        <f>IF(管理者入力シート!$B$14=1,BT15*管理者用人口入力シート!AV$3,IF(管理者入力シート!$B$14=2,BT15*管理者用人口入力シート!AV$7))</f>
        <v>262.99556147757136</v>
      </c>
      <c r="BV18" s="9">
        <f>IF(管理者入力シート!$B$14=1,BU15*管理者用人口入力シート!AW$3,IF(管理者入力シート!$B$14=2,BU15*管理者用人口入力シート!AW$7))</f>
        <v>258.23358769574503</v>
      </c>
      <c r="BW18" s="9">
        <f>IF(管理者入力シート!$B$14=1,BV15*管理者用人口入力シート!AX$3,IF(管理者入力シート!$B$14=2,BV15*管理者用人口入力シート!AX$7))</f>
        <v>299.60878381520314</v>
      </c>
      <c r="BX18" s="9">
        <f>IF(管理者入力シート!$B$14=1,BW15*管理者用人口入力シート!AY$3,IF(管理者入力シート!$B$14=2,BW15*管理者用人口入力シート!AY$7))</f>
        <v>330.02275383100061</v>
      </c>
      <c r="BY18" s="9">
        <f>IF(管理者入力シート!$B$14=1,BX15*管理者用人口入力シート!AZ$3,IF(管理者入力シート!$B$14=2,BX15*管理者用人口入力シート!AZ$7))</f>
        <v>365.76565286740441</v>
      </c>
      <c r="BZ18" s="9">
        <f>IF(管理者入力シート!$B$14=1,BY15*管理者用人口入力シート!BA$3,IF(管理者入力シート!$B$14=2,BY15*管理者用人口入力シート!BA$7))</f>
        <v>376.88996686634164</v>
      </c>
      <c r="CA18" s="9">
        <f>IF(管理者入力シート!$B$14=1,BZ15*管理者用人口入力シート!BB$3,IF(管理者入力シート!$B$14=2,BZ15*管理者用人口入力シート!BB$7))</f>
        <v>262.33533180736492</v>
      </c>
      <c r="CB18" s="9">
        <f>IF(管理者入力シート!$B$14=1,CA15*管理者用人口入力シート!BC$3,IF(管理者入力シート!$B$14=2,CA15*管理者用人口入力シート!BC$7))</f>
        <v>174.89686250136674</v>
      </c>
      <c r="CC18" s="9">
        <f>IF(管理者入力シート!$B$14=1,CB15*管理者用人口入力シート!BD$3,IF(管理者入力シート!$B$14=2,CB15*管理者用人口入力シート!BD$7))</f>
        <v>85.481218181537258</v>
      </c>
      <c r="CD18" s="9">
        <f>IF(管理者入力シート!$B$14=1,CC15*管理者用人口入力シート!BE$3,IF(管理者入力シート!$B$14=2,CC15*管理者用人口入力シート!BE$7))</f>
        <v>37.195612102529147</v>
      </c>
      <c r="CE18" s="9">
        <f>IF(管理者入力シート!$B$14=1,CD15*管理者用人口入力シート!BF$3,IF(管理者入力シート!$B$14=2,CD15*管理者用人口入力シート!BF$7))</f>
        <v>0.55091997525495817</v>
      </c>
      <c r="CF18" s="9">
        <f t="shared" si="252"/>
        <v>4235.170377467347</v>
      </c>
      <c r="CG18" s="9">
        <f t="shared" si="253"/>
        <v>180.20487169296001</v>
      </c>
      <c r="CH18" s="9">
        <f t="shared" si="254"/>
        <v>104.40930331851951</v>
      </c>
      <c r="CI18" s="9">
        <f t="shared" si="255"/>
        <v>1633.1383181327997</v>
      </c>
      <c r="CJ18" s="9">
        <f t="shared" si="256"/>
        <v>937.34991143439458</v>
      </c>
      <c r="CK18" s="13">
        <f t="shared" si="257"/>
        <v>0.38561336913898242</v>
      </c>
      <c r="CL18" s="13">
        <f t="shared" si="258"/>
        <v>0.22132519542104809</v>
      </c>
      <c r="CM18" s="9">
        <f t="shared" si="259"/>
        <v>621.82716420079464</v>
      </c>
      <c r="CO18" s="7" t="str">
        <f t="shared" si="26"/>
        <v>2050_1</v>
      </c>
      <c r="CP18" s="28">
        <f>管理者入力シート!B13</f>
        <v>2050</v>
      </c>
      <c r="CQ18" s="3" t="s">
        <v>21</v>
      </c>
      <c r="CR18" s="9">
        <f>DT19*$AK$13+将来予測シート②!$G17</f>
        <v>121.34104852415798</v>
      </c>
      <c r="CS18" s="9">
        <f>IF(管理者入力シート!$B$14=1,CR15*管理者用人口入力シート!AM$3,IF(管理者入力シート!$B$14=2,CR15*管理者用人口入力シート!AM$7))+将来予測シート②!$G18</f>
        <v>143.43247405300713</v>
      </c>
      <c r="CT18" s="9">
        <f>IF(管理者入力シート!$B$14=1,CS15*管理者用人口入力シート!AN$3,IF(管理者入力シート!$B$14=2,CS15*管理者用人口入力シート!AN$7))+将来予測シート②!$G19</f>
        <v>163.38536419914342</v>
      </c>
      <c r="CU18" s="9">
        <f>IF(管理者入力シート!$B$14=1,CT15*管理者用人口入力シート!AO$3,IF(管理者入力シート!$B$14=2,CT15*管理者用人口入力シート!AO$7))+将来予測シート②!$G20</f>
        <v>206.64701071952609</v>
      </c>
      <c r="CV18" s="9">
        <f>IF(管理者入力シート!$B$14=1,CU15*管理者用人口入力シート!AP$3,IF(管理者入力シート!$B$14=2,CU15*管理者用人口入力シート!AP$7))+将来予測シート②!$G21</f>
        <v>99.844810734695258</v>
      </c>
      <c r="CW18" s="9">
        <f>IF(管理者入力シート!$B$14=1,CV15*管理者用人口入力シート!AQ$3,IF(管理者入力シート!$B$14=2,CV15*管理者用人口入力シート!AQ$7))+将来予測シート②!$G22</f>
        <v>145.80164308448292</v>
      </c>
      <c r="CX18" s="9">
        <f>IF(管理者入力シート!$B$14=1,CW15*管理者用人口入力シート!AR$3,IF(管理者入力シート!$B$14=2,CW15*管理者用人口入力シート!AR$7))+将来予測シート②!$G23</f>
        <v>166.12732078750329</v>
      </c>
      <c r="CY18" s="9">
        <f>IF(管理者入力シート!$B$14=1,CX15*管理者用人口入力シート!AS$3,IF(管理者入力シート!$B$14=2,CX15*管理者用人口入力シート!AS$7))+将来予測シート②!$G24</f>
        <v>220.00523990522939</v>
      </c>
      <c r="CZ18" s="9">
        <f>IF(管理者入力シート!$B$14=1,CY15*管理者用人口入力シート!AT$3,IF(管理者入力シート!$B$14=2,CY15*管理者用人口入力シート!AT$7))+将来予測シート②!$G25</f>
        <v>249.26781439304528</v>
      </c>
      <c r="DA18" s="9">
        <f>IF(管理者入力シート!$B$14=1,CZ15*管理者用人口入力シート!AU$3,IF(管理者入力シート!$B$14=2,CZ15*管理者用人口入力シート!AU$7))+将来予測シート②!$G26</f>
        <v>292.5619582509683</v>
      </c>
      <c r="DB18" s="9">
        <f>IF(管理者入力シート!$B$14=1,DA15*管理者用人口入力シート!AV$3,IF(管理者入力シート!$B$14=2,DA15*管理者用人口入力シート!AV$7))+将来予測シート②!$G27</f>
        <v>264.7868646986617</v>
      </c>
      <c r="DC18" s="9">
        <f>IF(管理者入力シート!$B$14=1,DB15*管理者用人口入力シート!AW$3,IF(管理者入力シート!$B$14=2,DB15*管理者用人口入力シート!AW$7))+将来予測シート②!$G28</f>
        <v>258.23358769574503</v>
      </c>
      <c r="DD18" s="9">
        <f>IF(管理者入力シート!$B$14=1,DC15*管理者用人口入力シート!AX$3,IF(管理者入力シート!$B$14=2,DC15*管理者用人口入力シート!AX$7))+将来予測シート②!$G29</f>
        <v>299.60878381520314</v>
      </c>
      <c r="DE18" s="9">
        <f>IF(管理者入力シート!$B$14=1,DD15*管理者用人口入力シート!AY$3,IF(管理者入力シート!$B$14=2,DD15*管理者用人口入力シート!AY$7))</f>
        <v>330.02275383100061</v>
      </c>
      <c r="DF18" s="9">
        <f>IF(管理者入力シート!$B$14=1,DE15*管理者用人口入力シート!AZ$3,IF(管理者入力シート!$B$14=2,DE15*管理者用人口入力シート!AZ$7))</f>
        <v>365.76565286740441</v>
      </c>
      <c r="DG18" s="9">
        <f>IF(管理者入力シート!$B$14=1,DF15*管理者用人口入力シート!BA$3,IF(管理者入力シート!$B$14=2,DF15*管理者用人口入力シート!BA$7))</f>
        <v>376.88996686634164</v>
      </c>
      <c r="DH18" s="9">
        <f>IF(管理者入力シート!$B$14=1,DG15*管理者用人口入力シート!BB$3,IF(管理者入力シート!$B$14=2,DG15*管理者用人口入力シート!BB$7))</f>
        <v>262.33533180736492</v>
      </c>
      <c r="DI18" s="9">
        <f>IF(管理者入力シート!$B$14=1,DH15*管理者用人口入力シート!BC$3,IF(管理者入力シート!$B$14=2,DH15*管理者用人口入力シート!BC$7))</f>
        <v>174.89686250136674</v>
      </c>
      <c r="DJ18" s="9">
        <f>IF(管理者入力シート!$B$14=1,DI15*管理者用人口入力シート!BD$3,IF(管理者入力シート!$B$14=2,DI15*管理者用人口入力シート!BD$7))</f>
        <v>85.481218181537258</v>
      </c>
      <c r="DK18" s="9">
        <f>IF(管理者入力シート!$B$14=1,DJ15*管理者用人口入力シート!BE$3,IF(管理者入力シート!$B$14=2,DJ15*管理者用人口入力シート!BE$7))</f>
        <v>37.195612102529147</v>
      </c>
      <c r="DL18" s="9">
        <f>IF(管理者入力シート!$B$14=1,DK15*管理者用人口入力シート!BF$3,IF(管理者入力シート!$B$14=2,DK15*管理者用人口入力シート!BF$7))</f>
        <v>0.55091997525495817</v>
      </c>
      <c r="DM18" s="9">
        <f t="shared" si="260"/>
        <v>4264.1822389941681</v>
      </c>
      <c r="DN18" s="9">
        <f t="shared" si="261"/>
        <v>184.09070295129033</v>
      </c>
      <c r="DO18" s="9">
        <f t="shared" si="262"/>
        <v>106.68354782356258</v>
      </c>
      <c r="DP18" s="9">
        <f t="shared" si="263"/>
        <v>1633.1383181327997</v>
      </c>
      <c r="DQ18" s="9">
        <f t="shared" si="264"/>
        <v>937.34991143439458</v>
      </c>
      <c r="DR18" s="13">
        <f t="shared" si="265"/>
        <v>0.38298980357791251</v>
      </c>
      <c r="DS18" s="13">
        <f t="shared" si="266"/>
        <v>0.2198193836235986</v>
      </c>
      <c r="DT18" s="9">
        <f t="shared" si="267"/>
        <v>631.77901451191087</v>
      </c>
      <c r="DX18" s="287">
        <f>DX1</f>
        <v>163</v>
      </c>
      <c r="DY18" s="288"/>
      <c r="DZ18" s="284" t="s">
        <v>0</v>
      </c>
      <c r="EA18" s="284" t="s">
        <v>1</v>
      </c>
      <c r="EB18" s="284" t="s">
        <v>2</v>
      </c>
      <c r="EC18" s="284" t="s">
        <v>3</v>
      </c>
      <c r="ED18" s="284" t="s">
        <v>4</v>
      </c>
      <c r="EE18" s="284" t="s">
        <v>5</v>
      </c>
      <c r="EF18" s="284" t="s">
        <v>6</v>
      </c>
      <c r="EG18" s="284" t="s">
        <v>7</v>
      </c>
      <c r="EH18" s="284" t="s">
        <v>8</v>
      </c>
      <c r="EI18" s="284" t="s">
        <v>9</v>
      </c>
      <c r="EJ18" s="284" t="s">
        <v>10</v>
      </c>
      <c r="EK18" s="284" t="s">
        <v>11</v>
      </c>
      <c r="EL18" s="284" t="s">
        <v>12</v>
      </c>
      <c r="EM18" s="284" t="s">
        <v>13</v>
      </c>
      <c r="EN18" s="284" t="s">
        <v>14</v>
      </c>
      <c r="EO18" s="284" t="s">
        <v>15</v>
      </c>
      <c r="EP18" s="284" t="s">
        <v>16</v>
      </c>
      <c r="EQ18" s="284" t="s">
        <v>17</v>
      </c>
      <c r="ER18" s="284" t="s">
        <v>18</v>
      </c>
      <c r="ES18" s="284" t="s">
        <v>19</v>
      </c>
      <c r="ET18" s="284" t="s">
        <v>20</v>
      </c>
      <c r="EU18" s="284" t="s">
        <v>23</v>
      </c>
      <c r="EV18" s="283" t="s">
        <v>50</v>
      </c>
      <c r="EW18" s="283" t="s">
        <v>51</v>
      </c>
      <c r="EX18" s="285" t="s">
        <v>79</v>
      </c>
      <c r="EY18" s="285" t="s">
        <v>80</v>
      </c>
      <c r="EZ18" s="283" t="s">
        <v>48</v>
      </c>
      <c r="FA18" s="283" t="s">
        <v>49</v>
      </c>
      <c r="FB18" s="28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133.17391176601836</v>
      </c>
      <c r="BL19" s="10">
        <f>IF(管理者入力シート!$B$14=1,BK16*管理者用人口入力シート!AM$4,IF(管理者入力シート!$B$14=2,BK16*管理者用人口入力シート!AM$8))</f>
        <v>158.12257102059064</v>
      </c>
      <c r="BM19" s="10">
        <f>IF(管理者入力シート!$B$14=1,BL16*管理者用人口入力シート!AN$4,IF(管理者入力シート!$B$14=2,BL16*管理者用人口入力シート!AN$8))</f>
        <v>178.19540758864986</v>
      </c>
      <c r="BN19" s="10">
        <f>IF(管理者入力シート!$B$14=1,BM16*管理者用人口入力シート!AO$4,IF(管理者入力シート!$B$14=2,BM16*管理者用人口入力シート!AO$8))</f>
        <v>189.70315542740249</v>
      </c>
      <c r="BO19" s="10">
        <f>IF(管理者入力シート!$B$14=1,BN16*管理者用人口入力シート!AP$4,IF(管理者入力シート!$B$14=2,BN16*管理者用人口入力シート!AP$8))</f>
        <v>108.96311321153271</v>
      </c>
      <c r="BP19" s="10">
        <f>IF(管理者入力シート!$B$14=1,BO16*管理者用人口入力シート!AQ$4,IF(管理者入力シート!$B$14=2,BO16*管理者用人口入力シート!AQ$8))</f>
        <v>128.48547561517543</v>
      </c>
      <c r="BQ19" s="10">
        <f>IF(管理者入力シート!$B$14=1,BP16*管理者用人口入力シート!AR$4,IF(管理者入力シート!$B$14=2,BP16*管理者用人口入力シート!AR$8))</f>
        <v>152.30612566771461</v>
      </c>
      <c r="BR19" s="10">
        <f>IF(管理者入力シート!$B$14=1,BQ16*管理者用人口入力シート!AS$4,IF(管理者入力シート!$B$14=2,BQ16*管理者用人口入力シート!AS$8))</f>
        <v>171.07854836761479</v>
      </c>
      <c r="BS19" s="10">
        <f>IF(管理者入力シート!$B$14=1,BR16*管理者用人口入力シート!AT$4,IF(管理者入力シート!$B$14=2,BR16*管理者用人口入力シート!AT$8))</f>
        <v>174.23982233706963</v>
      </c>
      <c r="BT19" s="10">
        <f>IF(管理者入力シート!$B$14=1,BS16*管理者用人口入力シート!AU$4,IF(管理者入力シート!$B$14=2,BS16*管理者用人口入力シート!AU$8))</f>
        <v>185.65440476828817</v>
      </c>
      <c r="BU19" s="10">
        <f>IF(管理者入力シート!$B$14=1,BT16*管理者用人口入力シート!AV$4,IF(管理者入力シート!$B$14=2,BT16*管理者用人口入力シート!AV$8))</f>
        <v>207.59765295661126</v>
      </c>
      <c r="BV19" s="10">
        <f>IF(管理者入力シート!$B$14=1,BU16*管理者用人口入力シート!AW$4,IF(管理者入力シート!$B$14=2,BU16*管理者用人口入力シート!AW$8))</f>
        <v>207.76566754151571</v>
      </c>
      <c r="BW19" s="10">
        <f>IF(管理者入力シート!$B$14=1,BV16*管理者用人口入力シート!AX$4,IF(管理者入力シート!$B$14=2,BV16*管理者用人口入力シート!AX$8))</f>
        <v>274.62599166299708</v>
      </c>
      <c r="BX19" s="10">
        <f>IF(管理者入力シート!$B$14=1,BW16*管理者用人口入力シート!AY$4,IF(管理者入力シート!$B$14=2,BW16*管理者用人口入力シート!AY$8))</f>
        <v>349.45112701112407</v>
      </c>
      <c r="BY19" s="10">
        <f>IF(管理者入力シート!$B$14=1,BX16*管理者用人口入力シート!AZ$4,IF(管理者入力シート!$B$14=2,BX16*管理者用人口入力シート!AZ$8))</f>
        <v>402.0455413298136</v>
      </c>
      <c r="BZ19" s="10">
        <f>IF(管理者入力シート!$B$14=1,BY16*管理者用人口入力シート!BA$4,IF(管理者入力シート!$B$14=2,BY16*管理者用人口入力シート!BA$8))</f>
        <v>397.08581452694386</v>
      </c>
      <c r="CA19" s="10">
        <f>IF(管理者入力シート!$B$14=1,BZ16*管理者用人口入力シート!BB$4,IF(管理者入力シート!$B$14=2,BZ16*管理者用人口入力シート!BB$8))</f>
        <v>340.15915248594337</v>
      </c>
      <c r="CB19" s="10">
        <f>IF(管理者入力シート!$B$14=1,CA16*管理者用人口入力シート!BC$4,IF(管理者入力シート!$B$14=2,CA16*管理者用人口入力シート!BC$8))</f>
        <v>306.06662716577159</v>
      </c>
      <c r="CC19" s="10">
        <f>IF(管理者入力シート!$B$14=1,CB16*管理者用人口入力シート!BD$4,IF(管理者入力シート!$B$14=2,CB16*管理者用人口入力シート!BD$8))</f>
        <v>196.14428157073397</v>
      </c>
      <c r="CD19" s="10">
        <f>IF(管理者入力シート!$B$14=1,CC16*管理者用人口入力シート!BE$4,IF(管理者入力シート!$B$14=2,CC16*管理者用人口入力シート!BE$8))</f>
        <v>81.27771812768286</v>
      </c>
      <c r="CE19" s="10">
        <f>IF(管理者入力シート!$B$14=1,CD16*管理者用人口入力シート!BF$4,IF(管理者入力シート!$B$14=2,CD16*管理者用人口入力シート!BF$8))</f>
        <v>15.971871896980632</v>
      </c>
      <c r="CF19" s="10">
        <f t="shared" si="252"/>
        <v>4358.1139820461749</v>
      </c>
      <c r="CG19" s="10">
        <f t="shared" si="253"/>
        <v>201.79078716554429</v>
      </c>
      <c r="CH19" s="10">
        <f t="shared" si="254"/>
        <v>109.21879412094043</v>
      </c>
      <c r="CI19" s="10">
        <f t="shared" si="255"/>
        <v>2088.2021341149939</v>
      </c>
      <c r="CJ19" s="10">
        <f t="shared" si="256"/>
        <v>1336.7054657740562</v>
      </c>
      <c r="CK19" s="14">
        <f t="shared" si="257"/>
        <v>0.47915271209463955</v>
      </c>
      <c r="CL19" s="14">
        <f t="shared" si="258"/>
        <v>0.30671649967871206</v>
      </c>
      <c r="CM19" s="10">
        <f t="shared" si="259"/>
        <v>560.83326286203749</v>
      </c>
      <c r="CO19" s="7" t="str">
        <f t="shared" si="26"/>
        <v>2050_2</v>
      </c>
      <c r="CP19" s="29">
        <f>CP18</f>
        <v>2050</v>
      </c>
      <c r="CQ19" s="4" t="s">
        <v>22</v>
      </c>
      <c r="CR19" s="10">
        <f>DT19*$AK$14+将来予測シート②!$H17</f>
        <v>136.45944165836315</v>
      </c>
      <c r="CS19" s="10">
        <f>IF(管理者入力シート!$B$14=1,CR16*管理者用人口入力シート!AM$4,IF(管理者入力シート!$B$14=2,CR16*管理者用人口入力シート!AM$8))+将来予測シート②!$H18</f>
        <v>161.16740048434758</v>
      </c>
      <c r="CT19" s="10">
        <f>IF(管理者入力シート!$B$14=1,CS16*管理者用人口入力シート!AN$4,IF(管理者入力シート!$B$14=2,CS16*管理者用人口入力シート!AN$8))+将来予測シート②!$H19</f>
        <v>182.02012633985518</v>
      </c>
      <c r="CU19" s="10">
        <f>IF(管理者入力シート!$B$14=1,CT16*管理者用人口入力シート!AO$4,IF(管理者入力シート!$B$14=2,CT16*管理者用人口入力シート!AO$8))+将来予測シート②!$H20</f>
        <v>193.27136109311729</v>
      </c>
      <c r="CV19" s="10">
        <f>IF(管理者入力シート!$B$14=1,CU16*管理者用人口入力シート!AP$4,IF(管理者入力シート!$B$14=2,CU16*管理者用人口入力シート!AP$8))+将来予測シート②!$H21</f>
        <v>110.53311691753811</v>
      </c>
      <c r="CW19" s="10">
        <f>IF(管理者入力シート!$B$14=1,CV16*管理者用人口入力シート!AQ$4,IF(管理者入力シート!$B$14=2,CV16*管理者用人口入力シート!AQ$8))+将来予測シート②!$H22</f>
        <v>131.57002043512995</v>
      </c>
      <c r="CX19" s="10">
        <f>IF(管理者入力シート!$B$14=1,CW16*管理者用人口入力シート!AR$4,IF(管理者入力シート!$B$14=2,CW16*管理者用人口入力シート!AR$8))+将来予測シート②!$H23</f>
        <v>154.7682519881634</v>
      </c>
      <c r="CY19" s="10">
        <f>IF(管理者入力シート!$B$14=1,CX16*管理者用人口入力シート!AS$4,IF(管理者入力シート!$B$14=2,CX16*管理者用人口入力シート!AS$8))+将来予測シート②!$H24</f>
        <v>173.5868906878153</v>
      </c>
      <c r="CZ19" s="10">
        <f>IF(管理者入力シート!$B$14=1,CY16*管理者用人口入力シート!AT$4,IF(管理者入力シート!$B$14=2,CY16*管理者用人口入力シート!AT$8))+将来予測シート②!$H25</f>
        <v>177.09768449783655</v>
      </c>
      <c r="DA19" s="10">
        <f>IF(管理者入力シート!$B$14=1,CZ16*管理者用人口入力シート!AU$4,IF(管理者入力シート!$B$14=2,CZ16*管理者用人口入力シート!AU$8))+将来予測シート②!$H26</f>
        <v>188.51829227996586</v>
      </c>
      <c r="DB19" s="10">
        <f>IF(管理者入力シート!$B$14=1,DA16*管理者用人口入力シート!AV$4,IF(管理者入力シート!$B$14=2,DA16*管理者用人口入力シート!AV$8))+将来予測シート②!$H27</f>
        <v>210.38969060244355</v>
      </c>
      <c r="DC19" s="10">
        <f>IF(管理者入力シート!$B$14=1,DB16*管理者用人口入力シート!AW$4,IF(管理者入力シート!$B$14=2,DB16*管理者用人口入力シート!AW$8))+将来予測シート②!$H28</f>
        <v>208.70791030615962</v>
      </c>
      <c r="DD19" s="10">
        <f>IF(管理者入力シート!$B$14=1,DC16*管理者用人口入力シート!AX$4,IF(管理者入力シート!$B$14=2,DC16*管理者用人口入力シート!AX$8))+将来予測シート②!$H29</f>
        <v>275.56327798060607</v>
      </c>
      <c r="DE19" s="10">
        <f>IF(管理者入力シート!$B$14=1,DD16*管理者用人口入力シート!AY$4,IF(管理者入力シート!$B$14=2,DD16*管理者用人口入力シート!AY$8))</f>
        <v>350.3646056192992</v>
      </c>
      <c r="DF19" s="10">
        <f>IF(管理者入力シート!$B$14=1,DE16*管理者用人口入力シート!AZ$4,IF(管理者入力シート!$B$14=2,DE16*管理者用人口入力シート!AZ$8))</f>
        <v>402.0455413298136</v>
      </c>
      <c r="DG19" s="10">
        <f>IF(管理者入力シート!$B$14=1,DF16*管理者用人口入力シート!BA$4,IF(管理者入力シート!$B$14=2,DF16*管理者用人口入力シート!BA$8))</f>
        <v>397.08581452694386</v>
      </c>
      <c r="DH19" s="10">
        <f>IF(管理者入力シート!$B$14=1,DG16*管理者用人口入力シート!BB$4,IF(管理者入力シート!$B$14=2,DG16*管理者用人口入力シート!BB$8))</f>
        <v>340.15915248594337</v>
      </c>
      <c r="DI19" s="10">
        <f>IF(管理者入力シート!$B$14=1,DH16*管理者用人口入力シート!BC$4,IF(管理者入力シート!$B$14=2,DH16*管理者用人口入力シート!BC$8))</f>
        <v>306.06662716577159</v>
      </c>
      <c r="DJ19" s="10">
        <f>IF(管理者入力シート!$B$14=1,DI16*管理者用人口入力シート!BD$4,IF(管理者入力シート!$B$14=2,DI16*管理者用人口入力シート!BD$8))</f>
        <v>196.14428157073397</v>
      </c>
      <c r="DK19" s="10">
        <f>IF(管理者入力シート!$B$14=1,DJ16*管理者用人口入力シート!BE$4,IF(管理者入力シート!$B$14=2,DJ16*管理者用人口入力シート!BE$8))</f>
        <v>81.27771812768286</v>
      </c>
      <c r="DL19" s="10">
        <f>IF(管理者入力シート!$B$14=1,DK16*管理者用人口入力シート!BF$4,IF(管理者入力シート!$B$14=2,DK16*管理者用人口入力シート!BF$8))</f>
        <v>15.971871896980632</v>
      </c>
      <c r="DM19" s="10">
        <f t="shared" si="260"/>
        <v>4392.7690779945106</v>
      </c>
      <c r="DN19" s="10">
        <f t="shared" si="261"/>
        <v>205.91251609452166</v>
      </c>
      <c r="DO19" s="10">
        <f t="shared" si="262"/>
        <v>111.46232275456553</v>
      </c>
      <c r="DP19" s="10">
        <f t="shared" si="263"/>
        <v>2089.1156127231689</v>
      </c>
      <c r="DQ19" s="10">
        <f t="shared" si="264"/>
        <v>1336.7054657740562</v>
      </c>
      <c r="DR19" s="14">
        <f t="shared" si="265"/>
        <v>0.47558056789020664</v>
      </c>
      <c r="DS19" s="14">
        <f t="shared" si="266"/>
        <v>0.3042967754599839</v>
      </c>
      <c r="DT19" s="10">
        <f t="shared" si="267"/>
        <v>570.45828002864675</v>
      </c>
      <c r="DX19" s="289"/>
      <c r="DY19" s="290"/>
      <c r="DZ19" s="284"/>
      <c r="EA19" s="284"/>
      <c r="EB19" s="284"/>
      <c r="EC19" s="284"/>
      <c r="ED19" s="284"/>
      <c r="EE19" s="284"/>
      <c r="EF19" s="284"/>
      <c r="EG19" s="284"/>
      <c r="EH19" s="284"/>
      <c r="EI19" s="284"/>
      <c r="EJ19" s="284"/>
      <c r="EK19" s="284"/>
      <c r="EL19" s="284"/>
      <c r="EM19" s="284"/>
      <c r="EN19" s="284"/>
      <c r="EO19" s="284"/>
      <c r="EP19" s="284"/>
      <c r="EQ19" s="284"/>
      <c r="ER19" s="284"/>
      <c r="ES19" s="284"/>
      <c r="ET19" s="284"/>
      <c r="EU19" s="284"/>
      <c r="EV19" s="283"/>
      <c r="EW19" s="283"/>
      <c r="EX19" s="286"/>
      <c r="EY19" s="286"/>
      <c r="EZ19" s="283"/>
      <c r="FA19" s="283"/>
      <c r="FB19" s="28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251.48451442157642</v>
      </c>
      <c r="BL20" s="16">
        <f t="shared" ref="BL20:CE20" si="276">BL18+BL19</f>
        <v>298.73048423997653</v>
      </c>
      <c r="BM20" s="16">
        <f t="shared" si="276"/>
        <v>337.92894719086394</v>
      </c>
      <c r="BN20" s="16">
        <f t="shared" si="276"/>
        <v>392.28259281557177</v>
      </c>
      <c r="BO20" s="16">
        <f t="shared" si="276"/>
        <v>207.27605477527177</v>
      </c>
      <c r="BP20" s="16">
        <f t="shared" si="276"/>
        <v>270.93945894187743</v>
      </c>
      <c r="BQ20" s="16">
        <f t="shared" si="276"/>
        <v>315.93012832226498</v>
      </c>
      <c r="BR20" s="16">
        <f t="shared" si="276"/>
        <v>388.51478502341797</v>
      </c>
      <c r="BS20" s="16">
        <f t="shared" si="276"/>
        <v>421.65826217723924</v>
      </c>
      <c r="BT20" s="16">
        <f t="shared" si="276"/>
        <v>476.37143420802374</v>
      </c>
      <c r="BU20" s="16">
        <f t="shared" si="276"/>
        <v>470.59321443418264</v>
      </c>
      <c r="BV20" s="16">
        <f t="shared" si="276"/>
        <v>465.99925523726074</v>
      </c>
      <c r="BW20" s="16">
        <f t="shared" si="276"/>
        <v>574.23477547820016</v>
      </c>
      <c r="BX20" s="16">
        <f t="shared" si="276"/>
        <v>679.47388084212469</v>
      </c>
      <c r="BY20" s="16">
        <f t="shared" si="276"/>
        <v>767.81119419721801</v>
      </c>
      <c r="BZ20" s="16">
        <f t="shared" si="276"/>
        <v>773.9757813932855</v>
      </c>
      <c r="CA20" s="16">
        <f t="shared" si="276"/>
        <v>602.49448429330823</v>
      </c>
      <c r="CB20" s="16">
        <f t="shared" si="276"/>
        <v>480.96348966713833</v>
      </c>
      <c r="CC20" s="16">
        <f t="shared" si="276"/>
        <v>281.62549975227125</v>
      </c>
      <c r="CD20" s="16">
        <f t="shared" si="276"/>
        <v>118.47333023021201</v>
      </c>
      <c r="CE20" s="16">
        <f t="shared" si="276"/>
        <v>16.52279187223559</v>
      </c>
      <c r="CF20" s="11">
        <f t="shared" si="252"/>
        <v>8593.2843595135218</v>
      </c>
      <c r="CG20" s="11">
        <f t="shared" si="253"/>
        <v>381.99565885850427</v>
      </c>
      <c r="CH20" s="11">
        <f t="shared" si="254"/>
        <v>213.62809743945991</v>
      </c>
      <c r="CI20" s="11">
        <f t="shared" si="255"/>
        <v>3721.340452247794</v>
      </c>
      <c r="CJ20" s="11">
        <f t="shared" si="256"/>
        <v>2274.0553772084513</v>
      </c>
      <c r="CK20" s="15">
        <f t="shared" si="257"/>
        <v>0.43305217150505937</v>
      </c>
      <c r="CL20" s="15">
        <f t="shared" si="258"/>
        <v>0.26463169168734324</v>
      </c>
      <c r="CM20" s="11">
        <f t="shared" si="259"/>
        <v>1182.6604270628322</v>
      </c>
      <c r="CO20" s="7" t="str">
        <f t="shared" si="26"/>
        <v>2050_3</v>
      </c>
      <c r="CP20" s="30">
        <f>CP19</f>
        <v>2050</v>
      </c>
      <c r="CQ20" s="5" t="s">
        <v>23</v>
      </c>
      <c r="CR20" s="16">
        <f>CR18+CR19</f>
        <v>257.80049018252112</v>
      </c>
      <c r="CS20" s="16">
        <f t="shared" ref="CS20:DL20" si="277">CS18+CS19</f>
        <v>304.59987453735471</v>
      </c>
      <c r="CT20" s="16">
        <f t="shared" si="277"/>
        <v>345.40549053899861</v>
      </c>
      <c r="CU20" s="16">
        <f t="shared" si="277"/>
        <v>399.91837181264339</v>
      </c>
      <c r="CV20" s="16">
        <f t="shared" si="277"/>
        <v>210.37792765223338</v>
      </c>
      <c r="CW20" s="16">
        <f t="shared" si="277"/>
        <v>277.37166351961287</v>
      </c>
      <c r="CX20" s="16">
        <f t="shared" si="277"/>
        <v>320.89557277566666</v>
      </c>
      <c r="CY20" s="16">
        <f t="shared" si="277"/>
        <v>393.59213059304466</v>
      </c>
      <c r="CZ20" s="16">
        <f t="shared" si="277"/>
        <v>426.36549889088184</v>
      </c>
      <c r="DA20" s="16">
        <f t="shared" si="277"/>
        <v>481.08025053093417</v>
      </c>
      <c r="DB20" s="16">
        <f t="shared" si="277"/>
        <v>475.17655530110528</v>
      </c>
      <c r="DC20" s="16">
        <f t="shared" si="277"/>
        <v>466.94149800190462</v>
      </c>
      <c r="DD20" s="16">
        <f t="shared" si="277"/>
        <v>575.17206179580921</v>
      </c>
      <c r="DE20" s="16">
        <f t="shared" si="277"/>
        <v>680.38735945029975</v>
      </c>
      <c r="DF20" s="16">
        <f t="shared" si="277"/>
        <v>767.81119419721801</v>
      </c>
      <c r="DG20" s="16">
        <f t="shared" si="277"/>
        <v>773.9757813932855</v>
      </c>
      <c r="DH20" s="16">
        <f t="shared" si="277"/>
        <v>602.49448429330823</v>
      </c>
      <c r="DI20" s="16">
        <f t="shared" si="277"/>
        <v>480.96348966713833</v>
      </c>
      <c r="DJ20" s="16">
        <f t="shared" si="277"/>
        <v>281.62549975227125</v>
      </c>
      <c r="DK20" s="16">
        <f t="shared" si="277"/>
        <v>118.47333023021201</v>
      </c>
      <c r="DL20" s="16">
        <f t="shared" si="277"/>
        <v>16.52279187223559</v>
      </c>
      <c r="DM20" s="11">
        <f t="shared" si="260"/>
        <v>8656.9513169886795</v>
      </c>
      <c r="DN20" s="11">
        <f t="shared" si="261"/>
        <v>390.00321904581199</v>
      </c>
      <c r="DO20" s="11">
        <f t="shared" si="262"/>
        <v>218.1458705781281</v>
      </c>
      <c r="DP20" s="11">
        <f t="shared" si="263"/>
        <v>3722.253930855969</v>
      </c>
      <c r="DQ20" s="11">
        <f t="shared" si="264"/>
        <v>2274.0553772084513</v>
      </c>
      <c r="DR20" s="15">
        <f t="shared" si="265"/>
        <v>0.42997283853858553</v>
      </c>
      <c r="DS20" s="15">
        <f t="shared" si="266"/>
        <v>0.26268547597648745</v>
      </c>
      <c r="DT20" s="11">
        <f t="shared" si="267"/>
        <v>1202.2372945405575</v>
      </c>
      <c r="DX20" s="28">
        <f>DX3</f>
        <v>2025</v>
      </c>
      <c r="DY20" s="3" t="s">
        <v>21</v>
      </c>
      <c r="DZ20" s="9">
        <f t="shared" ref="DZ20:ET20" si="278">ROUND(DZ3,0)</f>
        <v>204</v>
      </c>
      <c r="EA20" s="9">
        <f t="shared" si="278"/>
        <v>260</v>
      </c>
      <c r="EB20" s="9">
        <f t="shared" si="278"/>
        <v>345</v>
      </c>
      <c r="EC20" s="9">
        <f t="shared" si="278"/>
        <v>474</v>
      </c>
      <c r="ED20" s="9">
        <f t="shared" si="278"/>
        <v>250</v>
      </c>
      <c r="EE20" s="9">
        <f t="shared" si="278"/>
        <v>457</v>
      </c>
      <c r="EF20" s="9">
        <f t="shared" si="278"/>
        <v>433</v>
      </c>
      <c r="EG20" s="9">
        <f t="shared" si="278"/>
        <v>488</v>
      </c>
      <c r="EH20" s="9">
        <f t="shared" si="278"/>
        <v>354</v>
      </c>
      <c r="EI20" s="9">
        <f t="shared" si="278"/>
        <v>437</v>
      </c>
      <c r="EJ20" s="9">
        <f t="shared" si="278"/>
        <v>493</v>
      </c>
      <c r="EK20" s="9">
        <f t="shared" si="278"/>
        <v>444</v>
      </c>
      <c r="EL20" s="9">
        <f t="shared" si="278"/>
        <v>468</v>
      </c>
      <c r="EM20" s="9">
        <f t="shared" si="278"/>
        <v>529</v>
      </c>
      <c r="EN20" s="9">
        <f t="shared" si="278"/>
        <v>563</v>
      </c>
      <c r="EO20" s="9">
        <f t="shared" si="278"/>
        <v>595</v>
      </c>
      <c r="EP20" s="9">
        <f t="shared" si="278"/>
        <v>343</v>
      </c>
      <c r="EQ20" s="9">
        <f t="shared" si="278"/>
        <v>222</v>
      </c>
      <c r="ER20" s="9">
        <f t="shared" si="278"/>
        <v>101</v>
      </c>
      <c r="ES20" s="9">
        <f t="shared" si="278"/>
        <v>28</v>
      </c>
      <c r="ET20" s="9">
        <f t="shared" si="278"/>
        <v>0</v>
      </c>
      <c r="EU20" s="9">
        <f t="shared" ref="EU20:EU21" si="279">SUM(DZ20:ET20)</f>
        <v>7488</v>
      </c>
      <c r="EV20" s="9">
        <f>EA20*3/5+EB20*3/5</f>
        <v>363</v>
      </c>
      <c r="EW20" s="9">
        <f>EB20*2/5+EC20*1/5</f>
        <v>232.8</v>
      </c>
      <c r="EX20" s="9">
        <f t="shared" ref="EX20:EX31" si="280">SUM(EM20:ET20)</f>
        <v>2381</v>
      </c>
      <c r="EY20" s="9">
        <f>SUM(EO20:ET20)</f>
        <v>1289</v>
      </c>
      <c r="EZ20" s="13">
        <f>EX20/EU20</f>
        <v>0.31797542735042733</v>
      </c>
      <c r="FA20" s="13">
        <f>EY20/EU20</f>
        <v>0.17214209401709402</v>
      </c>
      <c r="FB20" s="9">
        <f>SUM(ED20:EG20)</f>
        <v>1628</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230</v>
      </c>
      <c r="EA21" s="10">
        <f t="shared" si="281"/>
        <v>293</v>
      </c>
      <c r="EB21" s="10">
        <f t="shared" si="281"/>
        <v>328</v>
      </c>
      <c r="EC21" s="10">
        <f t="shared" si="281"/>
        <v>345</v>
      </c>
      <c r="ED21" s="10">
        <f t="shared" si="281"/>
        <v>195</v>
      </c>
      <c r="EE21" s="10">
        <f t="shared" si="281"/>
        <v>392</v>
      </c>
      <c r="EF21" s="10">
        <f t="shared" si="281"/>
        <v>394</v>
      </c>
      <c r="EG21" s="10">
        <f t="shared" si="281"/>
        <v>476</v>
      </c>
      <c r="EH21" s="10">
        <f t="shared" si="281"/>
        <v>383</v>
      </c>
      <c r="EI21" s="10">
        <f t="shared" si="281"/>
        <v>470</v>
      </c>
      <c r="EJ21" s="10">
        <f t="shared" si="281"/>
        <v>478</v>
      </c>
      <c r="EK21" s="10">
        <f t="shared" si="281"/>
        <v>443</v>
      </c>
      <c r="EL21" s="10">
        <f t="shared" si="281"/>
        <v>541</v>
      </c>
      <c r="EM21" s="10">
        <f t="shared" si="281"/>
        <v>585</v>
      </c>
      <c r="EN21" s="10">
        <f t="shared" si="281"/>
        <v>669</v>
      </c>
      <c r="EO21" s="10">
        <f t="shared" si="281"/>
        <v>745</v>
      </c>
      <c r="EP21" s="10">
        <f t="shared" si="281"/>
        <v>477</v>
      </c>
      <c r="EQ21" s="10">
        <f t="shared" si="281"/>
        <v>402</v>
      </c>
      <c r="ER21" s="10">
        <f t="shared" si="281"/>
        <v>242</v>
      </c>
      <c r="ES21" s="10">
        <f t="shared" si="281"/>
        <v>71</v>
      </c>
      <c r="ET21" s="10">
        <f t="shared" si="281"/>
        <v>10</v>
      </c>
      <c r="EU21" s="10">
        <f t="shared" si="279"/>
        <v>8169</v>
      </c>
      <c r="EV21" s="10">
        <f t="shared" ref="EV21:EV31" si="282">EA21*3/5+EB21*3/5</f>
        <v>372.6</v>
      </c>
      <c r="EW21" s="10">
        <f t="shared" ref="EW21:EW31" si="283">EB21*2/5+EC21*1/5</f>
        <v>200.2</v>
      </c>
      <c r="EX21" s="10">
        <f t="shared" si="280"/>
        <v>3201</v>
      </c>
      <c r="EY21" s="10">
        <f t="shared" ref="EY21:EY31" si="284">SUM(EO21:ET21)</f>
        <v>1947</v>
      </c>
      <c r="EZ21" s="14">
        <f t="shared" ref="EZ21:EZ31" si="285">EX21/EU21</f>
        <v>0.39184722732280575</v>
      </c>
      <c r="FA21" s="14">
        <f t="shared" ref="FA21:FA31" si="286">EY21/EU21</f>
        <v>0.23834006610356226</v>
      </c>
      <c r="FB21" s="10">
        <f>SUM(ED21:EG21)</f>
        <v>1457</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434</v>
      </c>
      <c r="EA22" s="16">
        <f t="shared" ref="EA22:ET22" si="287">EA20+EA21</f>
        <v>553</v>
      </c>
      <c r="EB22" s="16">
        <f t="shared" si="287"/>
        <v>673</v>
      </c>
      <c r="EC22" s="16">
        <f t="shared" si="287"/>
        <v>819</v>
      </c>
      <c r="ED22" s="16">
        <f t="shared" si="287"/>
        <v>445</v>
      </c>
      <c r="EE22" s="16">
        <f t="shared" si="287"/>
        <v>849</v>
      </c>
      <c r="EF22" s="16">
        <f t="shared" si="287"/>
        <v>827</v>
      </c>
      <c r="EG22" s="16">
        <f t="shared" si="287"/>
        <v>964</v>
      </c>
      <c r="EH22" s="16">
        <f t="shared" si="287"/>
        <v>737</v>
      </c>
      <c r="EI22" s="16">
        <f t="shared" si="287"/>
        <v>907</v>
      </c>
      <c r="EJ22" s="16">
        <f t="shared" si="287"/>
        <v>971</v>
      </c>
      <c r="EK22" s="16">
        <f t="shared" si="287"/>
        <v>887</v>
      </c>
      <c r="EL22" s="16">
        <f t="shared" si="287"/>
        <v>1009</v>
      </c>
      <c r="EM22" s="16">
        <f t="shared" si="287"/>
        <v>1114</v>
      </c>
      <c r="EN22" s="16">
        <f t="shared" si="287"/>
        <v>1232</v>
      </c>
      <c r="EO22" s="16">
        <f t="shared" si="287"/>
        <v>1340</v>
      </c>
      <c r="EP22" s="16">
        <f t="shared" si="287"/>
        <v>820</v>
      </c>
      <c r="EQ22" s="16">
        <f t="shared" si="287"/>
        <v>624</v>
      </c>
      <c r="ER22" s="16">
        <f t="shared" si="287"/>
        <v>343</v>
      </c>
      <c r="ES22" s="16">
        <f t="shared" si="287"/>
        <v>99</v>
      </c>
      <c r="ET22" s="16">
        <f t="shared" si="287"/>
        <v>10</v>
      </c>
      <c r="EU22" s="11">
        <f>SUM(DZ22:ET22)</f>
        <v>15657</v>
      </c>
      <c r="EV22" s="11">
        <f t="shared" si="282"/>
        <v>735.6</v>
      </c>
      <c r="EW22" s="11">
        <f t="shared" si="283"/>
        <v>433</v>
      </c>
      <c r="EX22" s="11">
        <f t="shared" si="280"/>
        <v>5582</v>
      </c>
      <c r="EY22" s="11">
        <f t="shared" si="284"/>
        <v>3236</v>
      </c>
      <c r="EZ22" s="15">
        <f t="shared" si="285"/>
        <v>0.35651785144025039</v>
      </c>
      <c r="FA22" s="15">
        <f t="shared" si="286"/>
        <v>0.20668071788976178</v>
      </c>
      <c r="FB22" s="11">
        <f>SUM(ED22:EG22)</f>
        <v>3085</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349</v>
      </c>
      <c r="EA23" s="9">
        <f t="shared" si="288"/>
        <v>214</v>
      </c>
      <c r="EB23" s="9">
        <f t="shared" si="288"/>
        <v>266</v>
      </c>
      <c r="EC23" s="9">
        <f t="shared" si="288"/>
        <v>397</v>
      </c>
      <c r="ED23" s="9">
        <f t="shared" si="288"/>
        <v>212</v>
      </c>
      <c r="EE23" s="9">
        <f t="shared" si="288"/>
        <v>478</v>
      </c>
      <c r="EF23" s="9">
        <f t="shared" si="288"/>
        <v>594</v>
      </c>
      <c r="EG23" s="9">
        <f t="shared" si="288"/>
        <v>607</v>
      </c>
      <c r="EH23" s="9">
        <f t="shared" si="288"/>
        <v>466</v>
      </c>
      <c r="EI23" s="9">
        <f t="shared" si="288"/>
        <v>353</v>
      </c>
      <c r="EJ23" s="9">
        <f t="shared" si="288"/>
        <v>425</v>
      </c>
      <c r="EK23" s="9">
        <f t="shared" si="288"/>
        <v>498</v>
      </c>
      <c r="EL23" s="9">
        <f t="shared" si="288"/>
        <v>439</v>
      </c>
      <c r="EM23" s="9">
        <f t="shared" si="288"/>
        <v>452</v>
      </c>
      <c r="EN23" s="9">
        <f t="shared" si="288"/>
        <v>473</v>
      </c>
      <c r="EO23" s="9">
        <f t="shared" si="288"/>
        <v>499</v>
      </c>
      <c r="EP23" s="9">
        <f t="shared" si="288"/>
        <v>464</v>
      </c>
      <c r="EQ23" s="9">
        <f t="shared" si="288"/>
        <v>215</v>
      </c>
      <c r="ER23" s="9">
        <f t="shared" si="288"/>
        <v>93</v>
      </c>
      <c r="ES23" s="9">
        <f t="shared" si="288"/>
        <v>37</v>
      </c>
      <c r="ET23" s="9">
        <f t="shared" si="288"/>
        <v>0</v>
      </c>
      <c r="EU23" s="9">
        <f t="shared" ref="EU23:EU31" si="289">SUM(DZ23:ET23)</f>
        <v>7531</v>
      </c>
      <c r="EV23" s="9">
        <f t="shared" si="282"/>
        <v>288</v>
      </c>
      <c r="EW23" s="9">
        <f t="shared" si="283"/>
        <v>185.8</v>
      </c>
      <c r="EX23" s="9">
        <f t="shared" si="280"/>
        <v>2233</v>
      </c>
      <c r="EY23" s="9">
        <f t="shared" si="284"/>
        <v>1308</v>
      </c>
      <c r="EZ23" s="13">
        <f t="shared" si="285"/>
        <v>0.29650776789271011</v>
      </c>
      <c r="FA23" s="13">
        <f t="shared" si="286"/>
        <v>0.17368211392909308</v>
      </c>
      <c r="FB23" s="9">
        <f t="shared" ref="FB23:FB31" si="290">SUM(ED23:EG23)</f>
        <v>1891</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393</v>
      </c>
      <c r="EA24" s="10">
        <f t="shared" si="291"/>
        <v>241</v>
      </c>
      <c r="EB24" s="10">
        <f t="shared" si="291"/>
        <v>297</v>
      </c>
      <c r="EC24" s="10">
        <f t="shared" si="291"/>
        <v>317</v>
      </c>
      <c r="ED24" s="10">
        <f t="shared" si="291"/>
        <v>183</v>
      </c>
      <c r="EE24" s="10">
        <f t="shared" si="291"/>
        <v>362</v>
      </c>
      <c r="EF24" s="10">
        <f t="shared" si="291"/>
        <v>545</v>
      </c>
      <c r="EG24" s="10">
        <f t="shared" si="291"/>
        <v>565</v>
      </c>
      <c r="EH24" s="10">
        <f t="shared" si="291"/>
        <v>445</v>
      </c>
      <c r="EI24" s="10">
        <f t="shared" si="291"/>
        <v>383</v>
      </c>
      <c r="EJ24" s="10">
        <f t="shared" si="291"/>
        <v>458</v>
      </c>
      <c r="EK24" s="10">
        <f t="shared" si="291"/>
        <v>461</v>
      </c>
      <c r="EL24" s="10">
        <f t="shared" si="291"/>
        <v>440</v>
      </c>
      <c r="EM24" s="10">
        <f t="shared" si="291"/>
        <v>528</v>
      </c>
      <c r="EN24" s="10">
        <f t="shared" si="291"/>
        <v>549</v>
      </c>
      <c r="EO24" s="10">
        <f t="shared" si="291"/>
        <v>634</v>
      </c>
      <c r="EP24" s="10">
        <f t="shared" si="291"/>
        <v>665</v>
      </c>
      <c r="EQ24" s="10">
        <f t="shared" si="291"/>
        <v>349</v>
      </c>
      <c r="ER24" s="10">
        <f t="shared" si="291"/>
        <v>232</v>
      </c>
      <c r="ES24" s="10">
        <f t="shared" si="291"/>
        <v>82</v>
      </c>
      <c r="ET24" s="10">
        <f t="shared" si="291"/>
        <v>12</v>
      </c>
      <c r="EU24" s="10">
        <f t="shared" si="289"/>
        <v>8141</v>
      </c>
      <c r="EV24" s="10">
        <f t="shared" si="282"/>
        <v>322.79999999999995</v>
      </c>
      <c r="EW24" s="10">
        <f t="shared" si="283"/>
        <v>182.2</v>
      </c>
      <c r="EX24" s="10">
        <f t="shared" si="280"/>
        <v>3051</v>
      </c>
      <c r="EY24" s="10">
        <f t="shared" si="284"/>
        <v>1974</v>
      </c>
      <c r="EZ24" s="14">
        <f t="shared" si="285"/>
        <v>0.37476968431396634</v>
      </c>
      <c r="FA24" s="14">
        <f t="shared" si="286"/>
        <v>0.24247635425623387</v>
      </c>
      <c r="FB24" s="10">
        <f t="shared" si="290"/>
        <v>1655</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742</v>
      </c>
      <c r="EA25" s="16">
        <f t="shared" ref="EA25:ET25" si="292">EA23+EA24</f>
        <v>455</v>
      </c>
      <c r="EB25" s="16">
        <f t="shared" si="292"/>
        <v>563</v>
      </c>
      <c r="EC25" s="16">
        <f t="shared" si="292"/>
        <v>714</v>
      </c>
      <c r="ED25" s="16">
        <f t="shared" si="292"/>
        <v>395</v>
      </c>
      <c r="EE25" s="16">
        <f t="shared" si="292"/>
        <v>840</v>
      </c>
      <c r="EF25" s="16">
        <f t="shared" si="292"/>
        <v>1139</v>
      </c>
      <c r="EG25" s="16">
        <f t="shared" si="292"/>
        <v>1172</v>
      </c>
      <c r="EH25" s="16">
        <f t="shared" si="292"/>
        <v>911</v>
      </c>
      <c r="EI25" s="16">
        <f t="shared" si="292"/>
        <v>736</v>
      </c>
      <c r="EJ25" s="16">
        <f t="shared" si="292"/>
        <v>883</v>
      </c>
      <c r="EK25" s="16">
        <f t="shared" si="292"/>
        <v>959</v>
      </c>
      <c r="EL25" s="16">
        <f t="shared" si="292"/>
        <v>879</v>
      </c>
      <c r="EM25" s="16">
        <f t="shared" si="292"/>
        <v>980</v>
      </c>
      <c r="EN25" s="16">
        <f t="shared" si="292"/>
        <v>1022</v>
      </c>
      <c r="EO25" s="16">
        <f t="shared" si="292"/>
        <v>1133</v>
      </c>
      <c r="EP25" s="16">
        <f t="shared" si="292"/>
        <v>1129</v>
      </c>
      <c r="EQ25" s="16">
        <f t="shared" si="292"/>
        <v>564</v>
      </c>
      <c r="ER25" s="16">
        <f t="shared" si="292"/>
        <v>325</v>
      </c>
      <c r="ES25" s="16">
        <f t="shared" si="292"/>
        <v>119</v>
      </c>
      <c r="ET25" s="16">
        <f t="shared" si="292"/>
        <v>12</v>
      </c>
      <c r="EU25" s="11">
        <f t="shared" si="289"/>
        <v>15672</v>
      </c>
      <c r="EV25" s="11">
        <f t="shared" si="282"/>
        <v>610.79999999999995</v>
      </c>
      <c r="EW25" s="11">
        <f t="shared" si="283"/>
        <v>368</v>
      </c>
      <c r="EX25" s="11">
        <f t="shared" si="280"/>
        <v>5284</v>
      </c>
      <c r="EY25" s="11">
        <f t="shared" si="284"/>
        <v>3282</v>
      </c>
      <c r="EZ25" s="15">
        <f t="shared" si="285"/>
        <v>0.33716181725370087</v>
      </c>
      <c r="FA25" s="15">
        <f t="shared" si="286"/>
        <v>0.20941807044410413</v>
      </c>
      <c r="FB25" s="11">
        <f t="shared" si="290"/>
        <v>3546</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370</v>
      </c>
      <c r="EA26" s="9">
        <f t="shared" si="293"/>
        <v>366</v>
      </c>
      <c r="EB26" s="9">
        <f t="shared" si="293"/>
        <v>219</v>
      </c>
      <c r="EC26" s="9">
        <f t="shared" si="293"/>
        <v>307</v>
      </c>
      <c r="ED26" s="9">
        <f t="shared" si="293"/>
        <v>178</v>
      </c>
      <c r="EE26" s="9">
        <f t="shared" si="293"/>
        <v>431</v>
      </c>
      <c r="EF26" s="9">
        <f t="shared" si="293"/>
        <v>615</v>
      </c>
      <c r="EG26" s="9">
        <f t="shared" si="293"/>
        <v>773</v>
      </c>
      <c r="EH26" s="9">
        <f t="shared" si="293"/>
        <v>579</v>
      </c>
      <c r="EI26" s="9">
        <f t="shared" si="293"/>
        <v>464</v>
      </c>
      <c r="EJ26" s="9">
        <f t="shared" si="293"/>
        <v>343</v>
      </c>
      <c r="EK26" s="9">
        <f t="shared" si="293"/>
        <v>428</v>
      </c>
      <c r="EL26" s="9">
        <f t="shared" si="293"/>
        <v>492</v>
      </c>
      <c r="EM26" s="9">
        <f t="shared" si="293"/>
        <v>424</v>
      </c>
      <c r="EN26" s="9">
        <f t="shared" si="293"/>
        <v>404</v>
      </c>
      <c r="EO26" s="9">
        <f t="shared" si="293"/>
        <v>419</v>
      </c>
      <c r="EP26" s="9">
        <f t="shared" si="293"/>
        <v>389</v>
      </c>
      <c r="EQ26" s="9">
        <f t="shared" si="293"/>
        <v>290</v>
      </c>
      <c r="ER26" s="9">
        <f t="shared" si="293"/>
        <v>90</v>
      </c>
      <c r="ES26" s="9">
        <f t="shared" si="293"/>
        <v>34</v>
      </c>
      <c r="ET26" s="9">
        <f t="shared" si="293"/>
        <v>0</v>
      </c>
      <c r="EU26" s="9">
        <f t="shared" si="289"/>
        <v>7615</v>
      </c>
      <c r="EV26" s="9">
        <f t="shared" si="282"/>
        <v>351</v>
      </c>
      <c r="EW26" s="9">
        <f t="shared" si="283"/>
        <v>149</v>
      </c>
      <c r="EX26" s="9">
        <f t="shared" si="280"/>
        <v>2050</v>
      </c>
      <c r="EY26" s="9">
        <f t="shared" si="284"/>
        <v>1222</v>
      </c>
      <c r="EZ26" s="13">
        <f t="shared" si="285"/>
        <v>0.26920551543007221</v>
      </c>
      <c r="FA26" s="13">
        <f t="shared" si="286"/>
        <v>0.16047275114904794</v>
      </c>
      <c r="FB26" s="9">
        <f t="shared" si="290"/>
        <v>1997</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416</v>
      </c>
      <c r="EA27" s="10">
        <f t="shared" si="294"/>
        <v>412</v>
      </c>
      <c r="EB27" s="10">
        <f t="shared" si="294"/>
        <v>244</v>
      </c>
      <c r="EC27" s="10">
        <f t="shared" si="294"/>
        <v>287</v>
      </c>
      <c r="ED27" s="10">
        <f t="shared" si="294"/>
        <v>168</v>
      </c>
      <c r="EE27" s="10">
        <f t="shared" si="294"/>
        <v>351</v>
      </c>
      <c r="EF27" s="10">
        <f t="shared" si="294"/>
        <v>516</v>
      </c>
      <c r="EG27" s="10">
        <f t="shared" si="294"/>
        <v>718</v>
      </c>
      <c r="EH27" s="10">
        <f t="shared" si="294"/>
        <v>528</v>
      </c>
      <c r="EI27" s="10">
        <f t="shared" si="294"/>
        <v>446</v>
      </c>
      <c r="EJ27" s="10">
        <f t="shared" si="294"/>
        <v>374</v>
      </c>
      <c r="EK27" s="10">
        <f t="shared" si="294"/>
        <v>442</v>
      </c>
      <c r="EL27" s="10">
        <f t="shared" si="294"/>
        <v>459</v>
      </c>
      <c r="EM27" s="10">
        <f t="shared" si="294"/>
        <v>429</v>
      </c>
      <c r="EN27" s="10">
        <f t="shared" si="294"/>
        <v>495</v>
      </c>
      <c r="EO27" s="10">
        <f t="shared" si="294"/>
        <v>520</v>
      </c>
      <c r="EP27" s="10">
        <f t="shared" si="294"/>
        <v>565</v>
      </c>
      <c r="EQ27" s="10">
        <f t="shared" si="294"/>
        <v>487</v>
      </c>
      <c r="ER27" s="10">
        <f t="shared" si="294"/>
        <v>202</v>
      </c>
      <c r="ES27" s="10">
        <f t="shared" si="294"/>
        <v>79</v>
      </c>
      <c r="ET27" s="10">
        <f t="shared" si="294"/>
        <v>14</v>
      </c>
      <c r="EU27" s="10">
        <f t="shared" si="289"/>
        <v>8152</v>
      </c>
      <c r="EV27" s="10">
        <f t="shared" si="282"/>
        <v>393.6</v>
      </c>
      <c r="EW27" s="10">
        <f t="shared" si="283"/>
        <v>155</v>
      </c>
      <c r="EX27" s="10">
        <f t="shared" si="280"/>
        <v>2791</v>
      </c>
      <c r="EY27" s="10">
        <f t="shared" si="284"/>
        <v>1867</v>
      </c>
      <c r="EZ27" s="14">
        <f t="shared" si="285"/>
        <v>0.34236997055937191</v>
      </c>
      <c r="FA27" s="14">
        <f t="shared" si="286"/>
        <v>0.22902355250245338</v>
      </c>
      <c r="FB27" s="10">
        <f t="shared" si="290"/>
        <v>1753</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786</v>
      </c>
      <c r="EA28" s="16">
        <f t="shared" ref="EA28:ET28" si="295">EA26+EA27</f>
        <v>778</v>
      </c>
      <c r="EB28" s="16">
        <f t="shared" si="295"/>
        <v>463</v>
      </c>
      <c r="EC28" s="16">
        <f t="shared" si="295"/>
        <v>594</v>
      </c>
      <c r="ED28" s="16">
        <f t="shared" si="295"/>
        <v>346</v>
      </c>
      <c r="EE28" s="16">
        <f t="shared" si="295"/>
        <v>782</v>
      </c>
      <c r="EF28" s="16">
        <f t="shared" si="295"/>
        <v>1131</v>
      </c>
      <c r="EG28" s="16">
        <f t="shared" si="295"/>
        <v>1491</v>
      </c>
      <c r="EH28" s="16">
        <f t="shared" si="295"/>
        <v>1107</v>
      </c>
      <c r="EI28" s="16">
        <f t="shared" si="295"/>
        <v>910</v>
      </c>
      <c r="EJ28" s="16">
        <f t="shared" si="295"/>
        <v>717</v>
      </c>
      <c r="EK28" s="16">
        <f t="shared" si="295"/>
        <v>870</v>
      </c>
      <c r="EL28" s="16">
        <f t="shared" si="295"/>
        <v>951</v>
      </c>
      <c r="EM28" s="16">
        <f t="shared" si="295"/>
        <v>853</v>
      </c>
      <c r="EN28" s="16">
        <f t="shared" si="295"/>
        <v>899</v>
      </c>
      <c r="EO28" s="16">
        <f t="shared" si="295"/>
        <v>939</v>
      </c>
      <c r="EP28" s="16">
        <f t="shared" si="295"/>
        <v>954</v>
      </c>
      <c r="EQ28" s="16">
        <f t="shared" si="295"/>
        <v>777</v>
      </c>
      <c r="ER28" s="16">
        <f t="shared" si="295"/>
        <v>292</v>
      </c>
      <c r="ES28" s="16">
        <f t="shared" si="295"/>
        <v>113</v>
      </c>
      <c r="ET28" s="16">
        <f t="shared" si="295"/>
        <v>14</v>
      </c>
      <c r="EU28" s="11">
        <f t="shared" si="289"/>
        <v>15767</v>
      </c>
      <c r="EV28" s="11">
        <f t="shared" si="282"/>
        <v>744.6</v>
      </c>
      <c r="EW28" s="11">
        <f t="shared" si="283"/>
        <v>304</v>
      </c>
      <c r="EX28" s="11">
        <f t="shared" si="280"/>
        <v>4841</v>
      </c>
      <c r="EY28" s="11">
        <f t="shared" si="284"/>
        <v>3089</v>
      </c>
      <c r="EZ28" s="15">
        <f t="shared" si="285"/>
        <v>0.30703367793492736</v>
      </c>
      <c r="FA28" s="15">
        <f t="shared" si="286"/>
        <v>0.19591551975645335</v>
      </c>
      <c r="FB28" s="11">
        <f t="shared" si="290"/>
        <v>3750</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355</v>
      </c>
      <c r="EA29" s="9">
        <f t="shared" si="296"/>
        <v>388</v>
      </c>
      <c r="EB29" s="9">
        <f t="shared" si="296"/>
        <v>375</v>
      </c>
      <c r="EC29" s="9">
        <f t="shared" si="296"/>
        <v>252</v>
      </c>
      <c r="ED29" s="9">
        <f t="shared" si="296"/>
        <v>138</v>
      </c>
      <c r="EE29" s="9">
        <f t="shared" si="296"/>
        <v>387</v>
      </c>
      <c r="EF29" s="9">
        <f t="shared" si="296"/>
        <v>570</v>
      </c>
      <c r="EG29" s="9">
        <f t="shared" si="296"/>
        <v>794</v>
      </c>
      <c r="EH29" s="9">
        <f t="shared" si="296"/>
        <v>737</v>
      </c>
      <c r="EI29" s="9">
        <f t="shared" si="296"/>
        <v>578</v>
      </c>
      <c r="EJ29" s="9">
        <f t="shared" si="296"/>
        <v>451</v>
      </c>
      <c r="EK29" s="9">
        <f t="shared" si="296"/>
        <v>346</v>
      </c>
      <c r="EL29" s="9">
        <f t="shared" si="296"/>
        <v>424</v>
      </c>
      <c r="EM29" s="9">
        <f t="shared" si="296"/>
        <v>475</v>
      </c>
      <c r="EN29" s="9">
        <f t="shared" si="296"/>
        <v>379</v>
      </c>
      <c r="EO29" s="9">
        <f t="shared" si="296"/>
        <v>359</v>
      </c>
      <c r="EP29" s="9">
        <f t="shared" si="296"/>
        <v>327</v>
      </c>
      <c r="EQ29" s="9">
        <f t="shared" si="296"/>
        <v>243</v>
      </c>
      <c r="ER29" s="9">
        <f t="shared" si="296"/>
        <v>121</v>
      </c>
      <c r="ES29" s="9">
        <f t="shared" si="296"/>
        <v>33</v>
      </c>
      <c r="ET29" s="9">
        <f t="shared" si="296"/>
        <v>0</v>
      </c>
      <c r="EU29" s="9">
        <f t="shared" si="289"/>
        <v>7732</v>
      </c>
      <c r="EV29" s="9">
        <f t="shared" si="282"/>
        <v>457.8</v>
      </c>
      <c r="EW29" s="9">
        <f t="shared" si="283"/>
        <v>200.4</v>
      </c>
      <c r="EX29" s="9">
        <f t="shared" si="280"/>
        <v>1937</v>
      </c>
      <c r="EY29" s="9">
        <f t="shared" si="284"/>
        <v>1083</v>
      </c>
      <c r="EZ29" s="13">
        <f t="shared" si="285"/>
        <v>0.25051733057423692</v>
      </c>
      <c r="FA29" s="13">
        <f t="shared" si="286"/>
        <v>0.14006725297465081</v>
      </c>
      <c r="FB29" s="9">
        <f t="shared" si="290"/>
        <v>1889</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399</v>
      </c>
      <c r="EA30" s="10">
        <f t="shared" si="297"/>
        <v>436</v>
      </c>
      <c r="EB30" s="10">
        <f t="shared" si="297"/>
        <v>418</v>
      </c>
      <c r="EC30" s="10">
        <f t="shared" si="297"/>
        <v>236</v>
      </c>
      <c r="ED30" s="10">
        <f t="shared" si="297"/>
        <v>152</v>
      </c>
      <c r="EE30" s="10">
        <f t="shared" si="297"/>
        <v>335</v>
      </c>
      <c r="EF30" s="10">
        <f t="shared" si="297"/>
        <v>505</v>
      </c>
      <c r="EG30" s="10">
        <f t="shared" si="297"/>
        <v>689</v>
      </c>
      <c r="EH30" s="10">
        <f t="shared" si="297"/>
        <v>672</v>
      </c>
      <c r="EI30" s="10">
        <f t="shared" si="297"/>
        <v>529</v>
      </c>
      <c r="EJ30" s="10">
        <f t="shared" si="297"/>
        <v>435</v>
      </c>
      <c r="EK30" s="10">
        <f t="shared" si="297"/>
        <v>360</v>
      </c>
      <c r="EL30" s="10">
        <f t="shared" si="297"/>
        <v>440</v>
      </c>
      <c r="EM30" s="10">
        <f t="shared" si="297"/>
        <v>447</v>
      </c>
      <c r="EN30" s="10">
        <f t="shared" si="297"/>
        <v>403</v>
      </c>
      <c r="EO30" s="10">
        <f t="shared" si="297"/>
        <v>469</v>
      </c>
      <c r="EP30" s="10">
        <f t="shared" si="297"/>
        <v>464</v>
      </c>
      <c r="EQ30" s="10">
        <f t="shared" si="297"/>
        <v>414</v>
      </c>
      <c r="ER30" s="10">
        <f t="shared" si="297"/>
        <v>281</v>
      </c>
      <c r="ES30" s="10">
        <f t="shared" si="297"/>
        <v>69</v>
      </c>
      <c r="ET30" s="10">
        <f t="shared" si="297"/>
        <v>13</v>
      </c>
      <c r="EU30" s="10">
        <f t="shared" si="289"/>
        <v>8166</v>
      </c>
      <c r="EV30" s="10">
        <f t="shared" si="282"/>
        <v>512.40000000000009</v>
      </c>
      <c r="EW30" s="10">
        <f t="shared" si="283"/>
        <v>214.39999999999998</v>
      </c>
      <c r="EX30" s="10">
        <f t="shared" si="280"/>
        <v>2560</v>
      </c>
      <c r="EY30" s="10">
        <f t="shared" si="284"/>
        <v>1710</v>
      </c>
      <c r="EZ30" s="14">
        <f t="shared" si="285"/>
        <v>0.31349497918197405</v>
      </c>
      <c r="FA30" s="14">
        <f t="shared" si="286"/>
        <v>0.20940484937545922</v>
      </c>
      <c r="FB30" s="10">
        <f t="shared" si="290"/>
        <v>1681</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754</v>
      </c>
      <c r="EA31" s="16">
        <f t="shared" ref="EA31:ET31" si="298">EA29+EA30</f>
        <v>824</v>
      </c>
      <c r="EB31" s="16">
        <f t="shared" si="298"/>
        <v>793</v>
      </c>
      <c r="EC31" s="16">
        <f t="shared" si="298"/>
        <v>488</v>
      </c>
      <c r="ED31" s="16">
        <f t="shared" si="298"/>
        <v>290</v>
      </c>
      <c r="EE31" s="16">
        <f t="shared" si="298"/>
        <v>722</v>
      </c>
      <c r="EF31" s="16">
        <f t="shared" si="298"/>
        <v>1075</v>
      </c>
      <c r="EG31" s="16">
        <f t="shared" si="298"/>
        <v>1483</v>
      </c>
      <c r="EH31" s="16">
        <f t="shared" si="298"/>
        <v>1409</v>
      </c>
      <c r="EI31" s="16">
        <f t="shared" si="298"/>
        <v>1107</v>
      </c>
      <c r="EJ31" s="16">
        <f t="shared" si="298"/>
        <v>886</v>
      </c>
      <c r="EK31" s="16">
        <f t="shared" si="298"/>
        <v>706</v>
      </c>
      <c r="EL31" s="16">
        <f t="shared" si="298"/>
        <v>864</v>
      </c>
      <c r="EM31" s="16">
        <f t="shared" si="298"/>
        <v>922</v>
      </c>
      <c r="EN31" s="16">
        <f t="shared" si="298"/>
        <v>782</v>
      </c>
      <c r="EO31" s="16">
        <f t="shared" si="298"/>
        <v>828</v>
      </c>
      <c r="EP31" s="16">
        <f t="shared" si="298"/>
        <v>791</v>
      </c>
      <c r="EQ31" s="16">
        <f t="shared" si="298"/>
        <v>657</v>
      </c>
      <c r="ER31" s="16">
        <f t="shared" si="298"/>
        <v>402</v>
      </c>
      <c r="ES31" s="16">
        <f t="shared" si="298"/>
        <v>102</v>
      </c>
      <c r="ET31" s="16">
        <f t="shared" si="298"/>
        <v>13</v>
      </c>
      <c r="EU31" s="11">
        <f t="shared" si="289"/>
        <v>15898</v>
      </c>
      <c r="EV31" s="11">
        <f t="shared" si="282"/>
        <v>970.2</v>
      </c>
      <c r="EW31" s="11">
        <f t="shared" si="283"/>
        <v>414.79999999999995</v>
      </c>
      <c r="EX31" s="11">
        <f t="shared" si="280"/>
        <v>4497</v>
      </c>
      <c r="EY31" s="11">
        <f t="shared" si="284"/>
        <v>2793</v>
      </c>
      <c r="EZ31" s="15">
        <f t="shared" si="285"/>
        <v>0.28286576927915463</v>
      </c>
      <c r="FA31" s="15">
        <f t="shared" si="286"/>
        <v>0.17568247578311738</v>
      </c>
      <c r="FB31" s="11">
        <f t="shared" si="290"/>
        <v>3570</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8412</v>
      </c>
      <c r="D4" s="17">
        <f>SUM(C41:C61)</f>
        <v>9412</v>
      </c>
      <c r="E4" s="17">
        <f>C4+D4</f>
        <v>17824</v>
      </c>
      <c r="F4" s="85"/>
      <c r="G4" s="1" t="s">
        <v>58</v>
      </c>
      <c r="H4" s="1">
        <f>B4</f>
        <v>2010</v>
      </c>
      <c r="I4" s="17">
        <f>C4</f>
        <v>8412</v>
      </c>
      <c r="J4" s="17">
        <f>D4</f>
        <v>9412</v>
      </c>
      <c r="K4" s="17">
        <f>I4+J4</f>
        <v>17824</v>
      </c>
      <c r="N4" s="1" t="s">
        <v>58</v>
      </c>
      <c r="O4" s="1">
        <f>H4</f>
        <v>2010</v>
      </c>
      <c r="P4" s="17">
        <f>I4</f>
        <v>8412</v>
      </c>
      <c r="Q4" s="17">
        <f t="shared" ref="Q4:R4" si="0">J4</f>
        <v>9412</v>
      </c>
      <c r="R4" s="17">
        <f t="shared" si="0"/>
        <v>17824</v>
      </c>
      <c r="S4" s="1"/>
      <c r="T4" s="1"/>
      <c r="U4" s="1"/>
    </row>
    <row r="5" spans="1:21" x14ac:dyDescent="0.15">
      <c r="A5" s="1" t="s">
        <v>61</v>
      </c>
      <c r="B5" s="1">
        <f>管理者入力シート!B6</f>
        <v>2015</v>
      </c>
      <c r="C5" s="17">
        <f>SUM(B65:B85)</f>
        <v>8061</v>
      </c>
      <c r="D5" s="17">
        <f>SUM(C65:C85)</f>
        <v>8905</v>
      </c>
      <c r="E5" s="17">
        <f t="shared" ref="E5" si="1">C5+D5</f>
        <v>16966</v>
      </c>
      <c r="F5" s="85"/>
      <c r="G5" s="1" t="s">
        <v>57</v>
      </c>
      <c r="H5" s="1">
        <f t="shared" ref="H5:H6" si="2">B5</f>
        <v>2015</v>
      </c>
      <c r="I5" s="17">
        <f t="shared" ref="I5" si="3">C5</f>
        <v>8061</v>
      </c>
      <c r="J5" s="17">
        <f>D5</f>
        <v>8905</v>
      </c>
      <c r="K5" s="17">
        <f t="shared" ref="K5:K10" si="4">I5+J5</f>
        <v>16966</v>
      </c>
      <c r="N5" s="1" t="s">
        <v>57</v>
      </c>
      <c r="O5" s="1">
        <f t="shared" ref="O5:O10" si="5">H5</f>
        <v>2015</v>
      </c>
      <c r="P5" s="17">
        <f t="shared" ref="P5:P10" si="6">I5</f>
        <v>8061</v>
      </c>
      <c r="Q5" s="17">
        <f t="shared" ref="Q5:Q10" si="7">J5</f>
        <v>8905</v>
      </c>
      <c r="R5" s="17">
        <f t="shared" ref="R5:R10" si="8">K5</f>
        <v>16966</v>
      </c>
      <c r="S5" s="1"/>
      <c r="T5" s="1"/>
      <c r="U5" s="1"/>
    </row>
    <row r="6" spans="1:21" x14ac:dyDescent="0.15">
      <c r="A6" s="1" t="s">
        <v>62</v>
      </c>
      <c r="B6" s="1">
        <f>管理者入力シート!B5</f>
        <v>2020</v>
      </c>
      <c r="C6" s="17">
        <f>SUM(B89:B109)</f>
        <v>7601</v>
      </c>
      <c r="D6" s="17">
        <f>SUM(C89:C109)</f>
        <v>8348</v>
      </c>
      <c r="E6" s="17">
        <f>C6+D6</f>
        <v>15949</v>
      </c>
      <c r="F6" s="85"/>
      <c r="G6" s="1" t="s">
        <v>62</v>
      </c>
      <c r="H6" s="1">
        <f t="shared" si="2"/>
        <v>2020</v>
      </c>
      <c r="I6" s="17">
        <f>C6</f>
        <v>7601</v>
      </c>
      <c r="J6" s="17">
        <f>D6</f>
        <v>8348</v>
      </c>
      <c r="K6" s="17">
        <f t="shared" si="4"/>
        <v>15949</v>
      </c>
      <c r="N6" s="1" t="s">
        <v>62</v>
      </c>
      <c r="O6" s="1">
        <f t="shared" si="5"/>
        <v>2020</v>
      </c>
      <c r="P6" s="17">
        <f t="shared" si="6"/>
        <v>7601</v>
      </c>
      <c r="Q6" s="17">
        <f t="shared" si="7"/>
        <v>8348</v>
      </c>
      <c r="R6" s="17">
        <f t="shared" si="8"/>
        <v>15949</v>
      </c>
      <c r="S6" s="1"/>
      <c r="T6" s="1"/>
      <c r="U6" s="1"/>
    </row>
    <row r="7" spans="1:21" x14ac:dyDescent="0.15">
      <c r="G7" s="1" t="s">
        <v>106</v>
      </c>
      <c r="H7" s="1">
        <f>管理者入力シート!B8</f>
        <v>2025</v>
      </c>
      <c r="I7" s="17">
        <f>SUM(H69:H89)</f>
        <v>6999</v>
      </c>
      <c r="J7" s="17">
        <f>SUM(I69:I89)</f>
        <v>7680</v>
      </c>
      <c r="K7" s="17">
        <f t="shared" si="4"/>
        <v>14679</v>
      </c>
      <c r="N7" s="1" t="s">
        <v>106</v>
      </c>
      <c r="O7" s="1">
        <f t="shared" si="5"/>
        <v>2025</v>
      </c>
      <c r="P7" s="17">
        <f t="shared" si="6"/>
        <v>6999</v>
      </c>
      <c r="Q7" s="17">
        <f t="shared" si="7"/>
        <v>7680</v>
      </c>
      <c r="R7" s="17">
        <f t="shared" si="8"/>
        <v>14679</v>
      </c>
      <c r="S7" s="236">
        <f>SUM(O69:O89)</f>
        <v>7003</v>
      </c>
      <c r="T7" s="236">
        <f>SUM(P69:P89)</f>
        <v>7685</v>
      </c>
      <c r="U7" s="236">
        <f>S7+T7</f>
        <v>14688</v>
      </c>
    </row>
    <row r="8" spans="1:21" x14ac:dyDescent="0.15">
      <c r="A8" s="69" t="s">
        <v>71</v>
      </c>
      <c r="G8" s="1" t="s">
        <v>107</v>
      </c>
      <c r="H8" s="1">
        <f>管理者入力シート!B9</f>
        <v>2030</v>
      </c>
      <c r="I8" s="17">
        <f>SUM(H93:H113)</f>
        <v>6393</v>
      </c>
      <c r="J8" s="17">
        <f>SUM(I93:I113)</f>
        <v>6982</v>
      </c>
      <c r="K8" s="17">
        <f t="shared" si="4"/>
        <v>13375</v>
      </c>
      <c r="N8" s="1" t="s">
        <v>107</v>
      </c>
      <c r="O8" s="1">
        <f t="shared" si="5"/>
        <v>2030</v>
      </c>
      <c r="P8" s="17">
        <f t="shared" si="6"/>
        <v>6393</v>
      </c>
      <c r="Q8" s="17">
        <f t="shared" si="7"/>
        <v>6982</v>
      </c>
      <c r="R8" s="17">
        <f t="shared" si="8"/>
        <v>13375</v>
      </c>
      <c r="S8" s="236">
        <f>SUM(O93:O113)</f>
        <v>6402</v>
      </c>
      <c r="T8" s="236">
        <f>SUM(P93:P113)</f>
        <v>6993</v>
      </c>
      <c r="U8" s="236">
        <f t="shared" ref="U8:U10" si="9">S8+T8</f>
        <v>13395</v>
      </c>
    </row>
    <row r="9" spans="1:21" x14ac:dyDescent="0.15">
      <c r="A9" s="2" t="s">
        <v>72</v>
      </c>
      <c r="G9" s="1" t="s">
        <v>108</v>
      </c>
      <c r="H9" s="1">
        <f>管理者入力シート!B10</f>
        <v>2035</v>
      </c>
      <c r="I9" s="17">
        <f>SUM(H117:H137)</f>
        <v>5791</v>
      </c>
      <c r="J9" s="17">
        <f>SUM(I117:I137)</f>
        <v>6283</v>
      </c>
      <c r="K9" s="17">
        <f t="shared" si="4"/>
        <v>12074</v>
      </c>
      <c r="N9" s="1" t="s">
        <v>108</v>
      </c>
      <c r="O9" s="1">
        <f t="shared" si="5"/>
        <v>2035</v>
      </c>
      <c r="P9" s="17">
        <f t="shared" si="6"/>
        <v>5791</v>
      </c>
      <c r="Q9" s="17">
        <f t="shared" si="7"/>
        <v>6283</v>
      </c>
      <c r="R9" s="17">
        <f t="shared" si="8"/>
        <v>12074</v>
      </c>
      <c r="S9" s="236">
        <f>SUM(O117:O137)</f>
        <v>5805</v>
      </c>
      <c r="T9" s="236">
        <f>SUM(P117:P137)</f>
        <v>6301</v>
      </c>
      <c r="U9" s="236">
        <f t="shared" si="9"/>
        <v>12106</v>
      </c>
    </row>
    <row r="10" spans="1:21" x14ac:dyDescent="0.15">
      <c r="A10" s="1" t="s">
        <v>58</v>
      </c>
      <c r="B10" s="1">
        <f>B4</f>
        <v>2010</v>
      </c>
      <c r="C10" s="17">
        <f>ROUND(VLOOKUP(B10&amp;"_3",管理者用人口入力シート!A:AA,26,FALSE),0)</f>
        <v>1070</v>
      </c>
      <c r="D10" s="12"/>
      <c r="E10" s="12"/>
      <c r="G10" s="1" t="s">
        <v>109</v>
      </c>
      <c r="H10" s="1">
        <f>管理者入力シート!B11</f>
        <v>2040</v>
      </c>
      <c r="I10" s="17">
        <f>SUM(H141:H161)</f>
        <v>5227</v>
      </c>
      <c r="J10" s="17">
        <f>SUM(I141:I161)</f>
        <v>5593</v>
      </c>
      <c r="K10" s="17">
        <f t="shared" si="4"/>
        <v>10820</v>
      </c>
      <c r="N10" s="1" t="s">
        <v>109</v>
      </c>
      <c r="O10" s="1">
        <f t="shared" si="5"/>
        <v>2040</v>
      </c>
      <c r="P10" s="17">
        <f t="shared" si="6"/>
        <v>5227</v>
      </c>
      <c r="Q10" s="17">
        <f t="shared" si="7"/>
        <v>5593</v>
      </c>
      <c r="R10" s="17">
        <f t="shared" si="8"/>
        <v>10820</v>
      </c>
      <c r="S10" s="236">
        <f>SUM(O141:O161)</f>
        <v>5244</v>
      </c>
      <c r="T10" s="236">
        <f>SUM(P141:P161)</f>
        <v>5617</v>
      </c>
      <c r="U10" s="236">
        <f t="shared" si="9"/>
        <v>10861</v>
      </c>
    </row>
    <row r="11" spans="1:21" x14ac:dyDescent="0.15">
      <c r="A11" s="1" t="s">
        <v>61</v>
      </c>
      <c r="B11" s="1">
        <f t="shared" ref="B11:B12" si="10">B5</f>
        <v>2015</v>
      </c>
      <c r="C11" s="17">
        <f>ROUND(VLOOKUP(B11&amp;"_3",管理者用人口入力シート!A:AA,26,FALSE),0)</f>
        <v>927</v>
      </c>
      <c r="D11" s="12"/>
      <c r="E11" s="12"/>
      <c r="I11" s="12"/>
      <c r="J11" s="12"/>
      <c r="K11" s="12"/>
      <c r="P11" s="12"/>
    </row>
    <row r="12" spans="1:21" x14ac:dyDescent="0.15">
      <c r="A12" s="1" t="s">
        <v>62</v>
      </c>
      <c r="B12" s="1">
        <f t="shared" si="10"/>
        <v>2020</v>
      </c>
      <c r="C12" s="17">
        <f>ROUND(VLOOKUP(B12&amp;"_3",管理者用人口入力シート!A:AA,26,FALSE),0)</f>
        <v>857</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585</v>
      </c>
      <c r="D14" s="12"/>
      <c r="E14" s="12"/>
      <c r="G14" s="1" t="s">
        <v>58</v>
      </c>
      <c r="H14" s="1">
        <f>H4</f>
        <v>2010</v>
      </c>
      <c r="I14" s="17">
        <f>C10</f>
        <v>1070</v>
      </c>
      <c r="J14" s="12"/>
      <c r="K14" s="12"/>
      <c r="N14" s="1" t="s">
        <v>58</v>
      </c>
      <c r="O14" s="1">
        <f>O4</f>
        <v>2010</v>
      </c>
      <c r="P14" s="17">
        <f>I14</f>
        <v>1070</v>
      </c>
      <c r="Q14" s="17"/>
    </row>
    <row r="15" spans="1:21" x14ac:dyDescent="0.15">
      <c r="A15" s="1" t="s">
        <v>61</v>
      </c>
      <c r="B15" s="1">
        <f t="shared" ref="B15:B16" si="11">B5</f>
        <v>2015</v>
      </c>
      <c r="C15" s="17">
        <f>ROUND(VLOOKUP(B15&amp;"_3",管理者用人口入力シート!A:AA,27,FALSE),0)</f>
        <v>516</v>
      </c>
      <c r="D15" s="12"/>
      <c r="E15" s="12"/>
      <c r="G15" s="1" t="s">
        <v>57</v>
      </c>
      <c r="H15" s="1">
        <f t="shared" ref="H15:H20" si="12">H5</f>
        <v>2015</v>
      </c>
      <c r="I15" s="17">
        <f>C11</f>
        <v>927</v>
      </c>
      <c r="J15" s="12"/>
      <c r="K15" s="12"/>
      <c r="N15" s="1" t="s">
        <v>57</v>
      </c>
      <c r="O15" s="1">
        <f t="shared" ref="O15:O20" si="13">O5</f>
        <v>2015</v>
      </c>
      <c r="P15" s="17">
        <f t="shared" ref="P15:P20" si="14">I15</f>
        <v>927</v>
      </c>
      <c r="Q15" s="17"/>
    </row>
    <row r="16" spans="1:21" x14ac:dyDescent="0.15">
      <c r="A16" s="1" t="s">
        <v>62</v>
      </c>
      <c r="B16" s="1">
        <f t="shared" si="11"/>
        <v>2020</v>
      </c>
      <c r="C16" s="17">
        <f>ROUND(VLOOKUP(B16&amp;"_3",管理者用人口入力シート!A:AA,27,FALSE),0)</f>
        <v>492</v>
      </c>
      <c r="D16" s="12"/>
      <c r="E16" s="12"/>
      <c r="G16" s="1" t="s">
        <v>62</v>
      </c>
      <c r="H16" s="1">
        <f t="shared" si="12"/>
        <v>2020</v>
      </c>
      <c r="I16" s="17">
        <f>C12</f>
        <v>857</v>
      </c>
      <c r="J16" s="12"/>
      <c r="K16" s="12"/>
      <c r="N16" s="1" t="s">
        <v>62</v>
      </c>
      <c r="O16" s="1">
        <f t="shared" si="13"/>
        <v>2020</v>
      </c>
      <c r="P16" s="17">
        <f t="shared" si="14"/>
        <v>857</v>
      </c>
      <c r="Q16" s="17"/>
    </row>
    <row r="17" spans="1:17" x14ac:dyDescent="0.15">
      <c r="G17" s="1" t="s">
        <v>106</v>
      </c>
      <c r="H17" s="1">
        <f t="shared" si="12"/>
        <v>2025</v>
      </c>
      <c r="I17" s="17">
        <f>ROUND(VLOOKUP(H17&amp;"_3",管理者用人口入力シート!BH:CM,26,FALSE),0)</f>
        <v>735</v>
      </c>
      <c r="J17" s="12"/>
      <c r="K17" s="12"/>
      <c r="N17" s="1" t="s">
        <v>106</v>
      </c>
      <c r="O17" s="1">
        <f t="shared" si="13"/>
        <v>2025</v>
      </c>
      <c r="P17" s="17">
        <f t="shared" si="14"/>
        <v>735</v>
      </c>
      <c r="Q17" s="17">
        <f>ROUND(VLOOKUP(H17&amp;"_3",管理者用人口入力シート!CO:DT,26,FALSE),0)</f>
        <v>737</v>
      </c>
    </row>
    <row r="18" spans="1:17" x14ac:dyDescent="0.15">
      <c r="A18" s="69" t="s">
        <v>110</v>
      </c>
      <c r="G18" s="1" t="s">
        <v>107</v>
      </c>
      <c r="H18" s="1">
        <f t="shared" si="12"/>
        <v>2030</v>
      </c>
      <c r="I18" s="17">
        <f>ROUND(VLOOKUP(H18&amp;"_3",管理者用人口入力シート!BH:CM,26,FALSE),0)</f>
        <v>611</v>
      </c>
      <c r="J18" s="12"/>
      <c r="K18" s="12"/>
      <c r="N18" s="1" t="s">
        <v>107</v>
      </c>
      <c r="O18" s="1">
        <f t="shared" si="13"/>
        <v>2030</v>
      </c>
      <c r="P18" s="17">
        <f t="shared" si="14"/>
        <v>611</v>
      </c>
      <c r="Q18" s="17">
        <f>ROUND(VLOOKUP(H18&amp;"_3",管理者用人口入力シート!CO:DT,26,FALSE),0)</f>
        <v>614</v>
      </c>
    </row>
    <row r="19" spans="1:17" x14ac:dyDescent="0.15">
      <c r="A19" s="2" t="s">
        <v>84</v>
      </c>
      <c r="G19" s="1" t="s">
        <v>108</v>
      </c>
      <c r="H19" s="1">
        <f t="shared" si="12"/>
        <v>2035</v>
      </c>
      <c r="I19" s="17">
        <f>ROUND(VLOOKUP(H19&amp;"_3",管理者用人口入力シート!BH:CM,26,FALSE),0)</f>
        <v>515</v>
      </c>
      <c r="J19" s="12"/>
      <c r="K19" s="12"/>
      <c r="N19" s="1" t="s">
        <v>108</v>
      </c>
      <c r="O19" s="1">
        <f t="shared" si="13"/>
        <v>2035</v>
      </c>
      <c r="P19" s="17">
        <f t="shared" si="14"/>
        <v>515</v>
      </c>
      <c r="Q19" s="17">
        <f>ROUND(VLOOKUP(H19&amp;"_3",管理者用人口入力シート!CO:DT,26,FALSE),0)</f>
        <v>520</v>
      </c>
    </row>
    <row r="20" spans="1:17" x14ac:dyDescent="0.15">
      <c r="A20" s="1" t="s">
        <v>58</v>
      </c>
      <c r="B20" s="1">
        <f>B4</f>
        <v>2010</v>
      </c>
      <c r="C20" s="17">
        <f>SUM(B54:C61)</f>
        <v>4859</v>
      </c>
      <c r="D20" s="12"/>
      <c r="E20" s="12"/>
      <c r="G20" s="1" t="s">
        <v>109</v>
      </c>
      <c r="H20" s="1">
        <f t="shared" si="12"/>
        <v>2040</v>
      </c>
      <c r="I20" s="17">
        <f>ROUND(VLOOKUP(H20&amp;"_3",管理者用人口入力シート!BH:CM,26,FALSE),0)</f>
        <v>461</v>
      </c>
      <c r="J20" s="12"/>
      <c r="K20" s="12"/>
      <c r="N20" s="1" t="s">
        <v>109</v>
      </c>
      <c r="O20" s="1">
        <f t="shared" si="13"/>
        <v>2040</v>
      </c>
      <c r="P20" s="17">
        <f t="shared" si="14"/>
        <v>461</v>
      </c>
      <c r="Q20" s="17">
        <f>ROUND(VLOOKUP(H20&amp;"_3",管理者用人口入力シート!CO:DT,26,FALSE),0)</f>
        <v>468</v>
      </c>
    </row>
    <row r="21" spans="1:17" x14ac:dyDescent="0.15">
      <c r="A21" s="1" t="s">
        <v>61</v>
      </c>
      <c r="B21" s="1">
        <f t="shared" ref="B21:B22" si="15">B5</f>
        <v>2015</v>
      </c>
      <c r="C21" s="17">
        <f>SUM(B78:C85)</f>
        <v>5451</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5713</v>
      </c>
      <c r="D22" s="12"/>
      <c r="E22" s="12"/>
      <c r="G22" s="1" t="s">
        <v>58</v>
      </c>
      <c r="H22" s="1">
        <f>H4</f>
        <v>2010</v>
      </c>
      <c r="I22" s="17">
        <f>C14</f>
        <v>585</v>
      </c>
      <c r="J22" s="12"/>
      <c r="K22" s="12"/>
      <c r="N22" s="1" t="s">
        <v>58</v>
      </c>
      <c r="O22" s="1">
        <f>O4</f>
        <v>2010</v>
      </c>
      <c r="P22" s="17">
        <f>I22</f>
        <v>585</v>
      </c>
      <c r="Q22" s="17"/>
    </row>
    <row r="23" spans="1:17" x14ac:dyDescent="0.15">
      <c r="A23" s="2" t="s">
        <v>86</v>
      </c>
      <c r="G23" s="1" t="s">
        <v>57</v>
      </c>
      <c r="H23" s="1">
        <f t="shared" ref="H23:H28" si="16">H5</f>
        <v>2015</v>
      </c>
      <c r="I23" s="17">
        <f t="shared" ref="I23:I24" si="17">C15</f>
        <v>516</v>
      </c>
      <c r="J23" s="12"/>
      <c r="K23" s="12"/>
      <c r="N23" s="1" t="s">
        <v>57</v>
      </c>
      <c r="O23" s="1">
        <f t="shared" ref="O23:O28" si="18">O5</f>
        <v>2015</v>
      </c>
      <c r="P23" s="17">
        <f t="shared" ref="P23:P28" si="19">I23</f>
        <v>516</v>
      </c>
      <c r="Q23" s="17"/>
    </row>
    <row r="24" spans="1:17" x14ac:dyDescent="0.15">
      <c r="A24" s="1" t="s">
        <v>58</v>
      </c>
      <c r="B24" s="1">
        <f>B4</f>
        <v>2010</v>
      </c>
      <c r="C24" s="17">
        <f>SUM(B56:C61)</f>
        <v>2528</v>
      </c>
      <c r="D24" s="12"/>
      <c r="E24" s="12"/>
      <c r="G24" s="1" t="s">
        <v>62</v>
      </c>
      <c r="H24" s="1">
        <f t="shared" si="16"/>
        <v>2020</v>
      </c>
      <c r="I24" s="17">
        <f t="shared" si="17"/>
        <v>492</v>
      </c>
      <c r="J24" s="12"/>
      <c r="K24" s="12"/>
      <c r="N24" s="1" t="s">
        <v>62</v>
      </c>
      <c r="O24" s="1">
        <f t="shared" si="18"/>
        <v>2020</v>
      </c>
      <c r="P24" s="17">
        <f t="shared" si="19"/>
        <v>492</v>
      </c>
      <c r="Q24" s="17"/>
    </row>
    <row r="25" spans="1:17" x14ac:dyDescent="0.15">
      <c r="A25" s="1" t="s">
        <v>61</v>
      </c>
      <c r="B25" s="1">
        <f t="shared" ref="B25:B26" si="20">B5</f>
        <v>2015</v>
      </c>
      <c r="C25" s="17">
        <f>SUM(B80:C85)</f>
        <v>2802</v>
      </c>
      <c r="D25" s="12"/>
      <c r="E25" s="12"/>
      <c r="G25" s="1" t="s">
        <v>106</v>
      </c>
      <c r="H25" s="1">
        <f t="shared" si="16"/>
        <v>2025</v>
      </c>
      <c r="I25" s="17">
        <f>ROUND(VLOOKUP(H25&amp;"_3",管理者用人口入力シート!BH:CM,27,FALSE),0)</f>
        <v>433</v>
      </c>
      <c r="J25" s="12"/>
      <c r="K25" s="12"/>
      <c r="N25" s="1" t="s">
        <v>106</v>
      </c>
      <c r="O25" s="1">
        <f t="shared" si="18"/>
        <v>2025</v>
      </c>
      <c r="P25" s="17">
        <f t="shared" si="19"/>
        <v>433</v>
      </c>
      <c r="Q25" s="17">
        <f>ROUND(VLOOKUP(H17&amp;"_3",管理者用人口入力シート!CO:DT,27,FALSE),0)</f>
        <v>434</v>
      </c>
    </row>
    <row r="26" spans="1:17" x14ac:dyDescent="0.15">
      <c r="A26" s="1" t="s">
        <v>62</v>
      </c>
      <c r="B26" s="1">
        <f t="shared" si="20"/>
        <v>2020</v>
      </c>
      <c r="C26" s="17">
        <f>SUM(B104:C109)</f>
        <v>2913</v>
      </c>
      <c r="D26" s="12"/>
      <c r="E26" s="12"/>
      <c r="G26" s="1" t="s">
        <v>107</v>
      </c>
      <c r="H26" s="1">
        <f t="shared" si="16"/>
        <v>2030</v>
      </c>
      <c r="I26" s="17">
        <f>ROUND(VLOOKUP(H26&amp;"_3",管理者用人口入力シート!BH:CM,27,FALSE),0)</f>
        <v>368</v>
      </c>
      <c r="J26" s="12"/>
      <c r="K26" s="12"/>
      <c r="N26" s="1" t="s">
        <v>107</v>
      </c>
      <c r="O26" s="1">
        <f t="shared" si="18"/>
        <v>2030</v>
      </c>
      <c r="P26" s="17">
        <f t="shared" si="19"/>
        <v>368</v>
      </c>
      <c r="Q26" s="17">
        <f>ROUND(VLOOKUP(H18&amp;"_3",管理者用人口入力シート!CO:DT,27,FALSE),0)</f>
        <v>370</v>
      </c>
    </row>
    <row r="27" spans="1:17" x14ac:dyDescent="0.15">
      <c r="G27" s="1" t="s">
        <v>108</v>
      </c>
      <c r="H27" s="1">
        <f t="shared" si="16"/>
        <v>2035</v>
      </c>
      <c r="I27" s="17">
        <f>ROUND(VLOOKUP(H27&amp;"_3",管理者用人口入力シート!BH:CM,27,FALSE),0)</f>
        <v>304</v>
      </c>
      <c r="J27" s="12"/>
      <c r="K27" s="12"/>
      <c r="N27" s="1" t="s">
        <v>108</v>
      </c>
      <c r="O27" s="1">
        <f t="shared" si="18"/>
        <v>2035</v>
      </c>
      <c r="P27" s="17">
        <f t="shared" si="19"/>
        <v>304</v>
      </c>
      <c r="Q27" s="17">
        <f>ROUND(VLOOKUP(H19&amp;"_3",管理者用人口入力シート!CO:DT,27,FALSE),0)</f>
        <v>306</v>
      </c>
    </row>
    <row r="28" spans="1:17" x14ac:dyDescent="0.15">
      <c r="A28" s="69" t="s">
        <v>85</v>
      </c>
      <c r="G28" s="1" t="s">
        <v>109</v>
      </c>
      <c r="H28" s="1">
        <f t="shared" si="16"/>
        <v>2040</v>
      </c>
      <c r="I28" s="17">
        <f>ROUND(VLOOKUP(H28&amp;"_3",管理者用人口入力シート!BH:CM,27,FALSE),0)</f>
        <v>259</v>
      </c>
      <c r="J28" s="12"/>
      <c r="K28" s="12"/>
      <c r="N28" s="1" t="s">
        <v>109</v>
      </c>
      <c r="O28" s="1">
        <f t="shared" si="18"/>
        <v>2040</v>
      </c>
      <c r="P28" s="17">
        <f t="shared" si="19"/>
        <v>259</v>
      </c>
      <c r="Q28" s="17">
        <f>ROUND(VLOOKUP(H20&amp;"_3",管理者用人口入力シート!CO:DT,27,FALSE),0)</f>
        <v>262</v>
      </c>
    </row>
    <row r="29" spans="1:17" x14ac:dyDescent="0.15">
      <c r="A29" s="2" t="s">
        <v>84</v>
      </c>
    </row>
    <row r="30" spans="1:17" x14ac:dyDescent="0.15">
      <c r="A30" s="1" t="s">
        <v>58</v>
      </c>
      <c r="B30" s="1">
        <f>B4</f>
        <v>2010</v>
      </c>
      <c r="C30" s="38">
        <f>ROUND((SUM(B54:C61)/SUM(B41:C61)),2)</f>
        <v>0.27</v>
      </c>
      <c r="D30" s="205"/>
      <c r="E30" s="205"/>
      <c r="G30" s="69" t="s">
        <v>110</v>
      </c>
      <c r="N30" s="69" t="s">
        <v>110</v>
      </c>
    </row>
    <row r="31" spans="1:17" x14ac:dyDescent="0.15">
      <c r="A31" s="1" t="s">
        <v>61</v>
      </c>
      <c r="B31" s="1">
        <f t="shared" ref="B31:B32" si="21">B5</f>
        <v>2015</v>
      </c>
      <c r="C31" s="38">
        <f>ROUND((SUM(B78:C85)/SUM(B65:C85)),2)</f>
        <v>0.32</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0.36</v>
      </c>
      <c r="D32" s="205"/>
      <c r="E32" s="205"/>
      <c r="G32" s="1" t="s">
        <v>58</v>
      </c>
      <c r="H32" s="1">
        <f>H4</f>
        <v>2010</v>
      </c>
      <c r="I32" s="17">
        <f>C20</f>
        <v>4859</v>
      </c>
      <c r="J32" s="12"/>
      <c r="K32" s="12"/>
      <c r="N32" s="1" t="s">
        <v>58</v>
      </c>
      <c r="O32" s="1">
        <f>O4</f>
        <v>2010</v>
      </c>
      <c r="P32" s="17">
        <f>I32</f>
        <v>4859</v>
      </c>
      <c r="Q32" s="17"/>
    </row>
    <row r="33" spans="1:17" x14ac:dyDescent="0.15">
      <c r="A33" s="2" t="s">
        <v>86</v>
      </c>
      <c r="G33" s="1" t="s">
        <v>57</v>
      </c>
      <c r="H33" s="1">
        <f t="shared" ref="H33:H38" si="22">H5</f>
        <v>2015</v>
      </c>
      <c r="I33" s="17">
        <f>C21</f>
        <v>5451</v>
      </c>
      <c r="J33" s="12"/>
      <c r="K33" s="12"/>
      <c r="N33" s="1" t="s">
        <v>57</v>
      </c>
      <c r="O33" s="1">
        <f t="shared" ref="O33:O38" si="23">O5</f>
        <v>2015</v>
      </c>
      <c r="P33" s="17">
        <f t="shared" ref="P33:P38" si="24">I33</f>
        <v>5451</v>
      </c>
      <c r="Q33" s="17"/>
    </row>
    <row r="34" spans="1:17" x14ac:dyDescent="0.15">
      <c r="A34" s="1" t="s">
        <v>58</v>
      </c>
      <c r="B34" s="1">
        <f>B4</f>
        <v>2010</v>
      </c>
      <c r="C34" s="38">
        <f>ROUND((SUM(B56:C61)/SUM(B41:C61)),2)</f>
        <v>0.14000000000000001</v>
      </c>
      <c r="D34" s="205"/>
      <c r="E34" s="205"/>
      <c r="G34" s="1" t="s">
        <v>62</v>
      </c>
      <c r="H34" s="1">
        <f t="shared" si="22"/>
        <v>2020</v>
      </c>
      <c r="I34" s="17">
        <f>C22</f>
        <v>5713</v>
      </c>
      <c r="J34" s="12"/>
      <c r="K34" s="12"/>
      <c r="N34" s="1" t="s">
        <v>62</v>
      </c>
      <c r="O34" s="1">
        <f t="shared" si="23"/>
        <v>2020</v>
      </c>
      <c r="P34" s="17">
        <f t="shared" si="24"/>
        <v>5713</v>
      </c>
      <c r="Q34" s="17"/>
    </row>
    <row r="35" spans="1:17" x14ac:dyDescent="0.15">
      <c r="A35" s="1" t="s">
        <v>61</v>
      </c>
      <c r="B35" s="1">
        <f t="shared" ref="B35:B36" si="25">B5</f>
        <v>2015</v>
      </c>
      <c r="C35" s="38">
        <f>ROUND((SUM(B80:C85)/SUM(B65:C85)),2)</f>
        <v>0.17</v>
      </c>
      <c r="D35" s="205"/>
      <c r="E35" s="205"/>
      <c r="G35" s="1" t="s">
        <v>106</v>
      </c>
      <c r="H35" s="1">
        <f t="shared" si="22"/>
        <v>2025</v>
      </c>
      <c r="I35" s="17">
        <f>SUM(H82:I89)</f>
        <v>5582</v>
      </c>
      <c r="J35" s="12"/>
      <c r="K35" s="12"/>
      <c r="N35" s="1" t="s">
        <v>106</v>
      </c>
      <c r="O35" s="1">
        <f t="shared" si="23"/>
        <v>2025</v>
      </c>
      <c r="P35" s="17">
        <f t="shared" si="24"/>
        <v>5582</v>
      </c>
      <c r="Q35" s="17">
        <f>SUM(O82:P89)</f>
        <v>5582</v>
      </c>
    </row>
    <row r="36" spans="1:17" x14ac:dyDescent="0.15">
      <c r="A36" s="1" t="s">
        <v>62</v>
      </c>
      <c r="B36" s="1">
        <f t="shared" si="25"/>
        <v>2020</v>
      </c>
      <c r="C36" s="38">
        <f>ROUND((SUM(B104:C109)/SUM(B89:C109)),2)</f>
        <v>0.18</v>
      </c>
      <c r="D36" s="205"/>
      <c r="E36" s="205"/>
      <c r="G36" s="1" t="s">
        <v>107</v>
      </c>
      <c r="H36" s="1">
        <f t="shared" si="22"/>
        <v>2030</v>
      </c>
      <c r="I36" s="17">
        <f>SUM(H106:I113)</f>
        <v>5284</v>
      </c>
      <c r="J36" s="12"/>
      <c r="K36" s="12"/>
      <c r="N36" s="1" t="s">
        <v>107</v>
      </c>
      <c r="O36" s="1">
        <f t="shared" si="23"/>
        <v>2030</v>
      </c>
      <c r="P36" s="17">
        <f t="shared" si="24"/>
        <v>5284</v>
      </c>
      <c r="Q36" s="17">
        <f>SUM(O106:P113)</f>
        <v>5284</v>
      </c>
    </row>
    <row r="37" spans="1:17" x14ac:dyDescent="0.15">
      <c r="G37" s="1" t="s">
        <v>108</v>
      </c>
      <c r="H37" s="1">
        <f t="shared" si="22"/>
        <v>2035</v>
      </c>
      <c r="I37" s="17">
        <f>SUM(H130:I137)</f>
        <v>4841</v>
      </c>
      <c r="J37" s="12"/>
      <c r="K37" s="12"/>
      <c r="N37" s="1" t="s">
        <v>108</v>
      </c>
      <c r="O37" s="1">
        <f t="shared" si="23"/>
        <v>2035</v>
      </c>
      <c r="P37" s="17">
        <f t="shared" si="24"/>
        <v>4841</v>
      </c>
      <c r="Q37" s="17">
        <f>SUM(O130:P137)</f>
        <v>4841</v>
      </c>
    </row>
    <row r="38" spans="1:17" x14ac:dyDescent="0.15">
      <c r="A38" s="69" t="s">
        <v>113</v>
      </c>
      <c r="G38" s="1" t="s">
        <v>109</v>
      </c>
      <c r="H38" s="1">
        <f t="shared" si="22"/>
        <v>2040</v>
      </c>
      <c r="I38" s="17">
        <f>SUM(H154:I161)</f>
        <v>4497</v>
      </c>
      <c r="J38" s="12"/>
      <c r="K38" s="12"/>
      <c r="N38" s="1" t="s">
        <v>109</v>
      </c>
      <c r="O38" s="1">
        <f t="shared" si="23"/>
        <v>2040</v>
      </c>
      <c r="P38" s="17">
        <f t="shared" si="24"/>
        <v>4497</v>
      </c>
      <c r="Q38" s="17">
        <f>SUM(O154:P161)</f>
        <v>4497</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2528</v>
      </c>
      <c r="J40" s="12"/>
      <c r="K40" s="12"/>
      <c r="N40" s="1" t="s">
        <v>58</v>
      </c>
      <c r="O40" s="1">
        <f>O4</f>
        <v>2010</v>
      </c>
      <c r="P40" s="17">
        <f>I40</f>
        <v>2528</v>
      </c>
      <c r="Q40" s="17"/>
    </row>
    <row r="41" spans="1:17" x14ac:dyDescent="0.15">
      <c r="A41" s="2" t="s">
        <v>0</v>
      </c>
      <c r="B41" s="17">
        <f>ROUND(VLOOKUP(B$39&amp;"_1",管理者用人口入力シート!A:X,D41,FALSE),0)</f>
        <v>380</v>
      </c>
      <c r="C41" s="17">
        <f>ROUND(VLOOKUP(B$39&amp;"_2",管理者用人口入力シート!A:X,D41,FALSE),0)</f>
        <v>324</v>
      </c>
      <c r="D41" s="2">
        <v>4</v>
      </c>
      <c r="G41" s="1" t="s">
        <v>57</v>
      </c>
      <c r="H41" s="1">
        <f t="shared" ref="H41:H46" si="26">H5</f>
        <v>2015</v>
      </c>
      <c r="I41" s="17">
        <f>C25</f>
        <v>2802</v>
      </c>
      <c r="J41" s="12"/>
      <c r="K41" s="12"/>
      <c r="N41" s="1" t="s">
        <v>57</v>
      </c>
      <c r="O41" s="1">
        <f t="shared" ref="O41:O46" si="27">O5</f>
        <v>2015</v>
      </c>
      <c r="P41" s="17">
        <f t="shared" ref="P41:P46" si="28">I41</f>
        <v>2802</v>
      </c>
      <c r="Q41" s="17"/>
    </row>
    <row r="42" spans="1:17" x14ac:dyDescent="0.15">
      <c r="A42" s="2" t="s">
        <v>1</v>
      </c>
      <c r="B42" s="17">
        <f>ROUND(VLOOKUP(B$39&amp;"_1",管理者用人口入力シート!A:X,D42,FALSE),0)</f>
        <v>439</v>
      </c>
      <c r="C42" s="17">
        <f>ROUND(VLOOKUP(B$39&amp;"_2",管理者用人口入力シート!A:X,D42,FALSE),0)</f>
        <v>367</v>
      </c>
      <c r="D42" s="2">
        <v>5</v>
      </c>
      <c r="G42" s="1" t="s">
        <v>62</v>
      </c>
      <c r="H42" s="1">
        <f t="shared" si="26"/>
        <v>2020</v>
      </c>
      <c r="I42" s="17">
        <f>C26</f>
        <v>2913</v>
      </c>
      <c r="J42" s="12"/>
      <c r="K42" s="12"/>
      <c r="N42" s="1" t="s">
        <v>62</v>
      </c>
      <c r="O42" s="1">
        <f t="shared" si="27"/>
        <v>2020</v>
      </c>
      <c r="P42" s="17">
        <f t="shared" si="28"/>
        <v>2913</v>
      </c>
      <c r="Q42" s="17"/>
    </row>
    <row r="43" spans="1:17" x14ac:dyDescent="0.15">
      <c r="A43" s="2" t="s">
        <v>2</v>
      </c>
      <c r="B43" s="17">
        <f>ROUND(VLOOKUP(B$39&amp;"_1",管理者用人口入力シート!A:X,D43,FALSE),0)</f>
        <v>522</v>
      </c>
      <c r="C43" s="17">
        <f>ROUND(VLOOKUP(B$39&amp;"_2",管理者用人口入力シート!A:X,D43,FALSE),0)</f>
        <v>456</v>
      </c>
      <c r="D43" s="2">
        <v>6</v>
      </c>
      <c r="G43" s="1" t="s">
        <v>106</v>
      </c>
      <c r="H43" s="1">
        <f t="shared" si="26"/>
        <v>2025</v>
      </c>
      <c r="I43" s="17">
        <f>SUM(H84:I89)</f>
        <v>3236</v>
      </c>
      <c r="J43" s="12"/>
      <c r="K43" s="12"/>
      <c r="N43" s="1" t="s">
        <v>106</v>
      </c>
      <c r="O43" s="1">
        <f t="shared" si="27"/>
        <v>2025</v>
      </c>
      <c r="P43" s="17">
        <f t="shared" si="28"/>
        <v>3236</v>
      </c>
      <c r="Q43" s="17">
        <f>SUM(O84:P89)</f>
        <v>3236</v>
      </c>
    </row>
    <row r="44" spans="1:17" x14ac:dyDescent="0.15">
      <c r="A44" s="2" t="s">
        <v>3</v>
      </c>
      <c r="B44" s="17">
        <f>ROUND(VLOOKUP(B$39&amp;"_1",管理者用人口入力シート!A:X,D44,FALSE),0)</f>
        <v>525</v>
      </c>
      <c r="C44" s="17">
        <f>ROUND(VLOOKUP(B$39&amp;"_2",管理者用人口入力シート!A:X,D44,FALSE),0)</f>
        <v>445</v>
      </c>
      <c r="D44" s="2">
        <v>7</v>
      </c>
      <c r="G44" s="1" t="s">
        <v>107</v>
      </c>
      <c r="H44" s="1">
        <f t="shared" si="26"/>
        <v>2030</v>
      </c>
      <c r="I44" s="17">
        <f>SUM(H108:I113)</f>
        <v>3282</v>
      </c>
      <c r="J44" s="12"/>
      <c r="K44" s="12"/>
      <c r="N44" s="1" t="s">
        <v>107</v>
      </c>
      <c r="O44" s="1">
        <f t="shared" si="27"/>
        <v>2030</v>
      </c>
      <c r="P44" s="17">
        <f t="shared" si="28"/>
        <v>3282</v>
      </c>
      <c r="Q44" s="17">
        <f>SUM(O108:P113)</f>
        <v>3282</v>
      </c>
    </row>
    <row r="45" spans="1:17" x14ac:dyDescent="0.15">
      <c r="A45" s="2" t="s">
        <v>4</v>
      </c>
      <c r="B45" s="17">
        <f>ROUND(VLOOKUP(B$39&amp;"_1",管理者用人口入力シート!A:X,D45,FALSE),0)</f>
        <v>277</v>
      </c>
      <c r="C45" s="17">
        <f>ROUND(VLOOKUP(B$39&amp;"_2",管理者用人口入力シート!A:X,D45,FALSE),0)</f>
        <v>307</v>
      </c>
      <c r="D45" s="2">
        <v>8</v>
      </c>
      <c r="G45" s="1" t="s">
        <v>108</v>
      </c>
      <c r="H45" s="1">
        <f t="shared" si="26"/>
        <v>2035</v>
      </c>
      <c r="I45" s="17">
        <f>SUM(H132:I137)</f>
        <v>3089</v>
      </c>
      <c r="J45" s="12"/>
      <c r="K45" s="12"/>
      <c r="N45" s="1" t="s">
        <v>108</v>
      </c>
      <c r="O45" s="1">
        <f t="shared" si="27"/>
        <v>2035</v>
      </c>
      <c r="P45" s="17">
        <f t="shared" si="28"/>
        <v>3089</v>
      </c>
      <c r="Q45" s="17">
        <f>SUM(O132:P137)</f>
        <v>3089</v>
      </c>
    </row>
    <row r="46" spans="1:17" x14ac:dyDescent="0.15">
      <c r="A46" s="2" t="s">
        <v>5</v>
      </c>
      <c r="B46" s="17">
        <f>ROUND(VLOOKUP(B$39&amp;"_1",管理者用人口入力シート!A:X,D46,FALSE),0)</f>
        <v>347</v>
      </c>
      <c r="C46" s="17">
        <f>ROUND(VLOOKUP(B$39&amp;"_2",管理者用人口入力シート!A:X,D46,FALSE),0)</f>
        <v>394</v>
      </c>
      <c r="D46" s="2">
        <v>9</v>
      </c>
      <c r="G46" s="1" t="s">
        <v>109</v>
      </c>
      <c r="H46" s="1">
        <f t="shared" si="26"/>
        <v>2040</v>
      </c>
      <c r="I46" s="17">
        <f>SUM(H156:I161)</f>
        <v>2793</v>
      </c>
      <c r="J46" s="12"/>
      <c r="K46" s="12"/>
      <c r="N46" s="1" t="s">
        <v>109</v>
      </c>
      <c r="O46" s="1">
        <f t="shared" si="27"/>
        <v>2040</v>
      </c>
      <c r="P46" s="17">
        <f t="shared" si="28"/>
        <v>2793</v>
      </c>
      <c r="Q46" s="17">
        <f>SUM(O156:P161)</f>
        <v>2793</v>
      </c>
    </row>
    <row r="47" spans="1:17" x14ac:dyDescent="0.15">
      <c r="A47" s="2" t="s">
        <v>6</v>
      </c>
      <c r="B47" s="17">
        <f>ROUND(VLOOKUP(B$39&amp;"_1",管理者用人口入力シート!A:X,D47,FALSE),0)</f>
        <v>435</v>
      </c>
      <c r="C47" s="17">
        <f>ROUND(VLOOKUP(B$39&amp;"_2",管理者用人口入力シート!A:X,D47,FALSE),0)</f>
        <v>477</v>
      </c>
      <c r="D47" s="2">
        <v>10</v>
      </c>
    </row>
    <row r="48" spans="1:17" x14ac:dyDescent="0.15">
      <c r="A48" s="2" t="s">
        <v>7</v>
      </c>
      <c r="B48" s="17">
        <f>ROUND(VLOOKUP(B$39&amp;"_1",管理者用人口入力シート!A:X,D48,FALSE),0)</f>
        <v>539</v>
      </c>
      <c r="C48" s="17">
        <f>ROUND(VLOOKUP(B$39&amp;"_2",管理者用人口入力シート!A:X,D48,FALSE),0)</f>
        <v>517</v>
      </c>
      <c r="D48" s="2">
        <v>11</v>
      </c>
      <c r="G48" s="69" t="s">
        <v>85</v>
      </c>
      <c r="N48" s="69" t="s">
        <v>85</v>
      </c>
    </row>
    <row r="49" spans="1:17" x14ac:dyDescent="0.15">
      <c r="A49" s="2" t="s">
        <v>8</v>
      </c>
      <c r="B49" s="17">
        <f>ROUND(VLOOKUP(B$39&amp;"_1",管理者用人口入力シート!A:X,D49,FALSE),0)</f>
        <v>462</v>
      </c>
      <c r="C49" s="17">
        <f>ROUND(VLOOKUP(B$39&amp;"_2",管理者用人口入力シート!A:X,D49,FALSE),0)</f>
        <v>496</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480</v>
      </c>
      <c r="C50" s="17">
        <f>ROUND(VLOOKUP(B$39&amp;"_2",管理者用人口入力シート!A:X,D50,FALSE),0)</f>
        <v>568</v>
      </c>
      <c r="D50" s="2">
        <v>13</v>
      </c>
      <c r="G50" s="1" t="s">
        <v>58</v>
      </c>
      <c r="H50" s="1">
        <f>H4</f>
        <v>2010</v>
      </c>
      <c r="I50" s="38">
        <f>C30</f>
        <v>0.27</v>
      </c>
      <c r="J50" s="205"/>
      <c r="K50" s="205"/>
      <c r="N50" s="1" t="s">
        <v>58</v>
      </c>
      <c r="O50" s="1">
        <f>O4</f>
        <v>2010</v>
      </c>
      <c r="P50" s="38">
        <f t="shared" ref="P50:P56" si="29">I50</f>
        <v>0.27</v>
      </c>
      <c r="Q50" s="1"/>
    </row>
    <row r="51" spans="1:17" x14ac:dyDescent="0.15">
      <c r="A51" s="2" t="s">
        <v>10</v>
      </c>
      <c r="B51" s="17">
        <f>ROUND(VLOOKUP(B$39&amp;"_1",管理者用人口入力シート!A:X,D51,FALSE),0)</f>
        <v>552</v>
      </c>
      <c r="C51" s="17">
        <f>ROUND(VLOOKUP(B$39&amp;"_2",管理者用人口入力シート!A:X,D51,FALSE),0)</f>
        <v>625</v>
      </c>
      <c r="D51" s="2">
        <v>14</v>
      </c>
      <c r="G51" s="1" t="s">
        <v>57</v>
      </c>
      <c r="H51" s="1">
        <f t="shared" ref="H51:H56" si="30">H5</f>
        <v>2015</v>
      </c>
      <c r="I51" s="38">
        <f t="shared" ref="I51:I52" si="31">C31</f>
        <v>0.32</v>
      </c>
      <c r="J51" s="205"/>
      <c r="K51" s="205"/>
      <c r="N51" s="1" t="s">
        <v>57</v>
      </c>
      <c r="O51" s="1">
        <f t="shared" ref="O51:O56" si="32">O5</f>
        <v>2015</v>
      </c>
      <c r="P51" s="38">
        <f t="shared" si="29"/>
        <v>0.32</v>
      </c>
      <c r="Q51" s="1"/>
    </row>
    <row r="52" spans="1:17" x14ac:dyDescent="0.15">
      <c r="A52" s="2" t="s">
        <v>11</v>
      </c>
      <c r="B52" s="17">
        <f>ROUND(VLOOKUP(B$39&amp;"_1",管理者用人口入力シート!A:X,D52,FALSE),0)</f>
        <v>656</v>
      </c>
      <c r="C52" s="17">
        <f>ROUND(VLOOKUP(B$39&amp;"_2",管理者用人口入力シート!A:X,D52,FALSE),0)</f>
        <v>737</v>
      </c>
      <c r="D52" s="2">
        <v>15</v>
      </c>
      <c r="G52" s="1" t="s">
        <v>62</v>
      </c>
      <c r="H52" s="1">
        <f t="shared" si="30"/>
        <v>2020</v>
      </c>
      <c r="I52" s="38">
        <f t="shared" si="31"/>
        <v>0.36</v>
      </c>
      <c r="J52" s="205"/>
      <c r="K52" s="205"/>
      <c r="N52" s="1" t="s">
        <v>62</v>
      </c>
      <c r="O52" s="1">
        <f t="shared" si="32"/>
        <v>2020</v>
      </c>
      <c r="P52" s="38">
        <f t="shared" si="29"/>
        <v>0.36</v>
      </c>
      <c r="Q52" s="1"/>
    </row>
    <row r="53" spans="1:17" x14ac:dyDescent="0.15">
      <c r="A53" s="2" t="s">
        <v>12</v>
      </c>
      <c r="B53" s="17">
        <f>ROUND(VLOOKUP(B$39&amp;"_1",管理者用人口入力シート!A:X,D53,FALSE),0)</f>
        <v>781</v>
      </c>
      <c r="C53" s="17">
        <f>ROUND(VLOOKUP(B$39&amp;"_2",管理者用人口入力シート!A:X,D53,FALSE),0)</f>
        <v>857</v>
      </c>
      <c r="D53" s="2">
        <v>16</v>
      </c>
      <c r="G53" s="1" t="s">
        <v>106</v>
      </c>
      <c r="H53" s="1">
        <f t="shared" si="30"/>
        <v>2025</v>
      </c>
      <c r="I53" s="38">
        <f>ROUND((SUM(H82:I89)/SUM(H69:I89)),2)</f>
        <v>0.38</v>
      </c>
      <c r="J53" s="205"/>
      <c r="K53" s="205"/>
      <c r="L53" s="70"/>
      <c r="M53" s="70"/>
      <c r="N53" s="1" t="s">
        <v>106</v>
      </c>
      <c r="O53" s="1">
        <f t="shared" si="32"/>
        <v>2025</v>
      </c>
      <c r="P53" s="38">
        <f t="shared" si="29"/>
        <v>0.38</v>
      </c>
      <c r="Q53" s="38">
        <f>ROUND((SUM(O82:P89)/SUM(O69:P89)),2)</f>
        <v>0.38</v>
      </c>
    </row>
    <row r="54" spans="1:17" x14ac:dyDescent="0.15">
      <c r="A54" s="2" t="s">
        <v>13</v>
      </c>
      <c r="B54" s="17">
        <f>ROUND(VLOOKUP(B$39&amp;"_1",管理者用人口入力シート!A:X,D54,FALSE),0)</f>
        <v>566</v>
      </c>
      <c r="C54" s="17">
        <f>ROUND(VLOOKUP(B$39&amp;"_2",管理者用人口入力シート!A:X,D54,FALSE),0)</f>
        <v>604</v>
      </c>
      <c r="D54" s="2">
        <v>17</v>
      </c>
      <c r="G54" s="1" t="s">
        <v>107</v>
      </c>
      <c r="H54" s="1">
        <f t="shared" si="30"/>
        <v>2030</v>
      </c>
      <c r="I54" s="38">
        <f>ROUND((SUM(H106:I113)/SUM(H93:I113)),2)</f>
        <v>0.4</v>
      </c>
      <c r="J54" s="205"/>
      <c r="K54" s="205"/>
      <c r="N54" s="1" t="s">
        <v>107</v>
      </c>
      <c r="O54" s="1">
        <f t="shared" si="32"/>
        <v>2030</v>
      </c>
      <c r="P54" s="38">
        <f t="shared" si="29"/>
        <v>0.4</v>
      </c>
      <c r="Q54" s="38">
        <f>ROUND((SUM(O106:P113)/SUM(O93:P113)),2)</f>
        <v>0.39</v>
      </c>
    </row>
    <row r="55" spans="1:17" x14ac:dyDescent="0.15">
      <c r="A55" s="2" t="s">
        <v>14</v>
      </c>
      <c r="B55" s="17">
        <f>ROUND(VLOOKUP(B$39&amp;"_1",管理者用人口入力シート!A:X,D55,FALSE),0)</f>
        <v>514</v>
      </c>
      <c r="C55" s="17">
        <f>ROUND(VLOOKUP(B$39&amp;"_2",管理者用人口入力シート!A:X,D55,FALSE),0)</f>
        <v>647</v>
      </c>
      <c r="D55" s="2">
        <v>18</v>
      </c>
      <c r="G55" s="1" t="s">
        <v>108</v>
      </c>
      <c r="H55" s="1">
        <f t="shared" si="30"/>
        <v>2035</v>
      </c>
      <c r="I55" s="38">
        <f>ROUND((SUM(H130:I137)/SUM(H117:I137)),2)</f>
        <v>0.4</v>
      </c>
      <c r="J55" s="205"/>
      <c r="K55" s="205"/>
      <c r="N55" s="1" t="s">
        <v>108</v>
      </c>
      <c r="O55" s="1">
        <f t="shared" si="32"/>
        <v>2035</v>
      </c>
      <c r="P55" s="38">
        <f t="shared" si="29"/>
        <v>0.4</v>
      </c>
      <c r="Q55" s="38">
        <f>ROUND((SUM(O130:P137)/SUM(O117:P137)),2)</f>
        <v>0.4</v>
      </c>
    </row>
    <row r="56" spans="1:17" x14ac:dyDescent="0.15">
      <c r="A56" s="2" t="s">
        <v>15</v>
      </c>
      <c r="B56" s="17">
        <f>ROUND(VLOOKUP(B$39&amp;"_1",管理者用人口入力シート!A:X,D56,FALSE),0)</f>
        <v>490</v>
      </c>
      <c r="C56" s="17">
        <f>ROUND(VLOOKUP(B$39&amp;"_2",管理者用人口入力シート!A:X,D56,FALSE),0)</f>
        <v>621</v>
      </c>
      <c r="D56" s="2">
        <v>19</v>
      </c>
      <c r="G56" s="1" t="s">
        <v>109</v>
      </c>
      <c r="H56" s="1">
        <f t="shared" si="30"/>
        <v>2040</v>
      </c>
      <c r="I56" s="38">
        <f>ROUND((SUM(H154:I161)/SUM(H141:I161)),2)</f>
        <v>0.42</v>
      </c>
      <c r="J56" s="205"/>
      <c r="K56" s="205"/>
      <c r="N56" s="1" t="s">
        <v>109</v>
      </c>
      <c r="O56" s="1">
        <f t="shared" si="32"/>
        <v>2040</v>
      </c>
      <c r="P56" s="38">
        <f t="shared" si="29"/>
        <v>0.42</v>
      </c>
      <c r="Q56" s="38">
        <f>ROUND((SUM(O154:P161)/SUM(O141:P161)),2)</f>
        <v>0.41</v>
      </c>
    </row>
    <row r="57" spans="1:17" x14ac:dyDescent="0.15">
      <c r="A57" s="2" t="s">
        <v>16</v>
      </c>
      <c r="B57" s="17">
        <f>ROUND(VLOOKUP(B$39&amp;"_1",管理者用人口入力シート!A:X,D57,FALSE),0)</f>
        <v>296</v>
      </c>
      <c r="C57" s="17">
        <f>ROUND(VLOOKUP(B$39&amp;"_2",管理者用人口入力シート!A:X,D57,FALSE),0)</f>
        <v>464</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114</v>
      </c>
      <c r="C58" s="17">
        <f>ROUND(VLOOKUP(B$39&amp;"_2",管理者用人口入力シート!A:X,D58,FALSE),0)</f>
        <v>315</v>
      </c>
      <c r="D58" s="2">
        <v>21</v>
      </c>
      <c r="G58" s="1" t="s">
        <v>58</v>
      </c>
      <c r="H58" s="1">
        <f>H4</f>
        <v>2010</v>
      </c>
      <c r="I58" s="38">
        <f>C34</f>
        <v>0.14000000000000001</v>
      </c>
      <c r="J58" s="205"/>
      <c r="K58" s="205"/>
      <c r="N58" s="1" t="s">
        <v>58</v>
      </c>
      <c r="O58" s="1">
        <f>O4</f>
        <v>2010</v>
      </c>
      <c r="P58" s="38">
        <f t="shared" ref="P58:P64" si="33">I58</f>
        <v>0.14000000000000001</v>
      </c>
      <c r="Q58" s="1"/>
    </row>
    <row r="59" spans="1:17" x14ac:dyDescent="0.15">
      <c r="A59" s="2" t="s">
        <v>18</v>
      </c>
      <c r="B59" s="17">
        <f>ROUND(VLOOKUP(B$39&amp;"_1",管理者用人口入力シート!A:X,D59,FALSE),0)</f>
        <v>30</v>
      </c>
      <c r="C59" s="17">
        <f>ROUND(VLOOKUP(B$39&amp;"_2",管理者用人口入力シート!A:X,D59,FALSE),0)</f>
        <v>144</v>
      </c>
      <c r="D59" s="2">
        <v>22</v>
      </c>
      <c r="G59" s="1" t="s">
        <v>57</v>
      </c>
      <c r="H59" s="1">
        <f t="shared" ref="H59:H64" si="34">H5</f>
        <v>2015</v>
      </c>
      <c r="I59" s="38">
        <f t="shared" ref="I59:I60" si="35">C35</f>
        <v>0.17</v>
      </c>
      <c r="J59" s="205"/>
      <c r="K59" s="205"/>
      <c r="N59" s="1" t="s">
        <v>57</v>
      </c>
      <c r="O59" s="1">
        <f t="shared" ref="O59:O64" si="36">O5</f>
        <v>2015</v>
      </c>
      <c r="P59" s="38">
        <f t="shared" si="33"/>
        <v>0.17</v>
      </c>
      <c r="Q59" s="1"/>
    </row>
    <row r="60" spans="1:17" x14ac:dyDescent="0.15">
      <c r="A60" s="2" t="s">
        <v>19</v>
      </c>
      <c r="B60" s="17">
        <f>ROUND(VLOOKUP(B$39&amp;"_1",管理者用人口入力シート!A:X,D60,FALSE),0)</f>
        <v>7</v>
      </c>
      <c r="C60" s="17">
        <f>ROUND(VLOOKUP(B$39&amp;"_2",管理者用人口入力シート!A:X,D60,FALSE),0)</f>
        <v>43</v>
      </c>
      <c r="D60" s="2">
        <v>23</v>
      </c>
      <c r="G60" s="1" t="s">
        <v>62</v>
      </c>
      <c r="H60" s="1">
        <f t="shared" si="34"/>
        <v>2020</v>
      </c>
      <c r="I60" s="38">
        <f t="shared" si="35"/>
        <v>0.18</v>
      </c>
      <c r="J60" s="205"/>
      <c r="K60" s="205"/>
      <c r="N60" s="1" t="s">
        <v>62</v>
      </c>
      <c r="O60" s="1">
        <f t="shared" si="36"/>
        <v>2020</v>
      </c>
      <c r="P60" s="38">
        <f t="shared" si="33"/>
        <v>0.18</v>
      </c>
      <c r="Q60" s="1"/>
    </row>
    <row r="61" spans="1:17" x14ac:dyDescent="0.15">
      <c r="A61" s="2" t="s">
        <v>20</v>
      </c>
      <c r="B61" s="17">
        <f>ROUND(VLOOKUP(B$39&amp;"_1",管理者用人口入力シート!A:X,D61,FALSE),0)</f>
        <v>0</v>
      </c>
      <c r="C61" s="17">
        <f>ROUND(VLOOKUP(B$39&amp;"_2",管理者用人口入力シート!A:X,D61,FALSE),0)</f>
        <v>4</v>
      </c>
      <c r="D61" s="2">
        <v>24</v>
      </c>
      <c r="G61" s="1" t="s">
        <v>106</v>
      </c>
      <c r="H61" s="1">
        <f t="shared" si="34"/>
        <v>2025</v>
      </c>
      <c r="I61" s="38">
        <f>ROUND((SUM(H84:I89)/SUM(H69:I89)),2)</f>
        <v>0.22</v>
      </c>
      <c r="J61" s="205"/>
      <c r="K61" s="205"/>
      <c r="N61" s="1" t="s">
        <v>106</v>
      </c>
      <c r="O61" s="1">
        <f t="shared" si="36"/>
        <v>2025</v>
      </c>
      <c r="P61" s="38">
        <f t="shared" si="33"/>
        <v>0.22</v>
      </c>
      <c r="Q61" s="38">
        <f>ROUND((SUM(O84:P89)/SUM(O69:P89)),2)</f>
        <v>0.22</v>
      </c>
    </row>
    <row r="62" spans="1:17" x14ac:dyDescent="0.15">
      <c r="G62" s="1" t="s">
        <v>107</v>
      </c>
      <c r="H62" s="1">
        <f t="shared" si="34"/>
        <v>2030</v>
      </c>
      <c r="I62" s="38">
        <f>ROUND((SUM(H108:I113)/SUM(H93:I113)),2)</f>
        <v>0.25</v>
      </c>
      <c r="J62" s="205"/>
      <c r="K62" s="205"/>
      <c r="N62" s="1" t="s">
        <v>107</v>
      </c>
      <c r="O62" s="1">
        <f t="shared" si="36"/>
        <v>2030</v>
      </c>
      <c r="P62" s="38">
        <f t="shared" si="33"/>
        <v>0.25</v>
      </c>
      <c r="Q62" s="38">
        <f>ROUND((SUM(O108:P113)/SUM(O93:P113)),2)</f>
        <v>0.25</v>
      </c>
    </row>
    <row r="63" spans="1:17" x14ac:dyDescent="0.15">
      <c r="A63" s="2" t="s">
        <v>384</v>
      </c>
      <c r="B63" s="315">
        <f>管理者入力シート!B6</f>
        <v>2015</v>
      </c>
      <c r="C63" s="316"/>
      <c r="D63" s="2" t="s">
        <v>114</v>
      </c>
      <c r="G63" s="1" t="s">
        <v>108</v>
      </c>
      <c r="H63" s="1">
        <f t="shared" si="34"/>
        <v>2035</v>
      </c>
      <c r="I63" s="38">
        <f>ROUND((SUM(H132:I137)/SUM(H117:I137)),2)</f>
        <v>0.26</v>
      </c>
      <c r="J63" s="205"/>
      <c r="K63" s="205"/>
      <c r="N63" s="1" t="s">
        <v>108</v>
      </c>
      <c r="O63" s="1">
        <f t="shared" si="36"/>
        <v>2035</v>
      </c>
      <c r="P63" s="38">
        <f t="shared" si="33"/>
        <v>0.26</v>
      </c>
      <c r="Q63" s="38">
        <f>ROUND((SUM(O132:P137)/SUM(O117:P137)),2)</f>
        <v>0.26</v>
      </c>
    </row>
    <row r="64" spans="1:17" x14ac:dyDescent="0.15">
      <c r="A64" s="2" t="s">
        <v>115</v>
      </c>
      <c r="B64" s="18" t="s">
        <v>21</v>
      </c>
      <c r="C64" s="18" t="s">
        <v>22</v>
      </c>
      <c r="G64" s="1" t="s">
        <v>109</v>
      </c>
      <c r="H64" s="1">
        <f t="shared" si="34"/>
        <v>2040</v>
      </c>
      <c r="I64" s="38">
        <f>ROUND((SUM(H156:I161)/SUM(H141:I161)),2)</f>
        <v>0.26</v>
      </c>
      <c r="J64" s="205"/>
      <c r="K64" s="205"/>
      <c r="N64" s="1" t="s">
        <v>109</v>
      </c>
      <c r="O64" s="1">
        <f t="shared" si="36"/>
        <v>2040</v>
      </c>
      <c r="P64" s="38">
        <f t="shared" si="33"/>
        <v>0.26</v>
      </c>
      <c r="Q64" s="38">
        <f>ROUND((SUM(O156:P161)/SUM(O141:P161)),2)</f>
        <v>0.26</v>
      </c>
    </row>
    <row r="65" spans="1:21" x14ac:dyDescent="0.15">
      <c r="A65" s="2" t="s">
        <v>0</v>
      </c>
      <c r="B65" s="17">
        <f>ROUND(VLOOKUP(B$63&amp;"_1",管理者用人口入力シート!A:X,D65,FALSE),0)</f>
        <v>311</v>
      </c>
      <c r="C65" s="17">
        <f>ROUND(VLOOKUP(B$63&amp;"_2",管理者用人口入力シート!A:X,D65,FALSE),0)</f>
        <v>321</v>
      </c>
      <c r="D65" s="2">
        <v>4</v>
      </c>
    </row>
    <row r="66" spans="1:21" x14ac:dyDescent="0.15">
      <c r="A66" s="2" t="s">
        <v>1</v>
      </c>
      <c r="B66" s="17">
        <f>ROUND(VLOOKUP(B$63&amp;"_1",管理者用人口入力シート!A:X,D66,FALSE),0)</f>
        <v>386</v>
      </c>
      <c r="C66" s="17">
        <f>ROUND(VLOOKUP(B$63&amp;"_2",管理者用人口入力シート!A:X,D66,FALSE),0)</f>
        <v>354</v>
      </c>
      <c r="D66" s="2">
        <v>5</v>
      </c>
      <c r="G66" s="69" t="s">
        <v>113</v>
      </c>
      <c r="N66" s="69" t="s">
        <v>113</v>
      </c>
    </row>
    <row r="67" spans="1:21" x14ac:dyDescent="0.15">
      <c r="A67" s="2" t="s">
        <v>2</v>
      </c>
      <c r="B67" s="17">
        <f>ROUND(VLOOKUP(B$63&amp;"_1",管理者用人口入力シート!A:X,D67,FALSE),0)</f>
        <v>431</v>
      </c>
      <c r="C67" s="17">
        <f>ROUND(VLOOKUP(B$63&amp;"_2",管理者用人口入力シート!A:X,D67,FALSE),0)</f>
        <v>375</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534</v>
      </c>
      <c r="C68" s="17">
        <f>ROUND(VLOOKUP(B$63&amp;"_2",管理者用人口入力シート!A:X,D68,FALSE),0)</f>
        <v>436</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241</v>
      </c>
      <c r="C69" s="17">
        <f>ROUND(VLOOKUP(B$63&amp;"_2",管理者用人口入力シート!A:X,D69,FALSE),0)</f>
        <v>245</v>
      </c>
      <c r="D69" s="2">
        <v>8</v>
      </c>
      <c r="G69" s="2" t="s">
        <v>0</v>
      </c>
      <c r="H69" s="17">
        <f>ROUND(VLOOKUP(H$67&amp;"_1",管理者用人口入力シート!BH:CE,J69,FALSE),0)</f>
        <v>204</v>
      </c>
      <c r="I69" s="17">
        <f>ROUND(VLOOKUP(H$67&amp;"_2",管理者用人口入力シート!BH:CE,J69,FALSE),0)</f>
        <v>230</v>
      </c>
      <c r="J69" s="2">
        <v>4</v>
      </c>
      <c r="K69" s="12"/>
      <c r="N69" s="2" t="s">
        <v>0</v>
      </c>
      <c r="O69" s="17">
        <f>ROUND(VLOOKUP(O$67&amp;"_1",管理者用人口入力シート!CO:DL,Q69,FALSE),0)</f>
        <v>205</v>
      </c>
      <c r="P69" s="17">
        <f>ROUND(VLOOKUP(O$67&amp;"_2",管理者用人口入力シート!CO:DL,Q69,FALSE),0)</f>
        <v>231</v>
      </c>
      <c r="Q69" s="2">
        <v>4</v>
      </c>
      <c r="U69" s="85"/>
    </row>
    <row r="70" spans="1:21" x14ac:dyDescent="0.15">
      <c r="A70" s="2" t="s">
        <v>5</v>
      </c>
      <c r="B70" s="17">
        <f>ROUND(VLOOKUP(B$63&amp;"_1",管理者用人口入力シート!A:X,D70,FALSE),0)</f>
        <v>372</v>
      </c>
      <c r="C70" s="17">
        <f>ROUND(VLOOKUP(B$63&amp;"_2",管理者用人口入力シート!A:X,D70,FALSE),0)</f>
        <v>333</v>
      </c>
      <c r="D70" s="2">
        <v>9</v>
      </c>
      <c r="G70" s="2" t="s">
        <v>1</v>
      </c>
      <c r="H70" s="17">
        <f>ROUND(VLOOKUP(H$67&amp;"_1",管理者用人口入力シート!BH:CE,J70,FALSE),0)</f>
        <v>260</v>
      </c>
      <c r="I70" s="17">
        <f>ROUND(VLOOKUP(H$67&amp;"_2",管理者用人口入力シート!BH:CE,J70,FALSE),0)</f>
        <v>293</v>
      </c>
      <c r="J70" s="2">
        <v>5</v>
      </c>
      <c r="K70" s="12"/>
      <c r="N70" s="2" t="s">
        <v>1</v>
      </c>
      <c r="O70" s="17">
        <f>ROUND(VLOOKUP(O$67&amp;"_1",管理者用人口入力シート!CO:DL,Q70,FALSE),0)</f>
        <v>260</v>
      </c>
      <c r="P70" s="17">
        <f>ROUND(VLOOKUP(O$67&amp;"_2",管理者用人口入力シート!CO:DL,Q70,FALSE),0)</f>
        <v>293</v>
      </c>
      <c r="Q70" s="2">
        <v>5</v>
      </c>
      <c r="U70" s="85"/>
    </row>
    <row r="71" spans="1:21" x14ac:dyDescent="0.15">
      <c r="A71" s="2" t="s">
        <v>6</v>
      </c>
      <c r="B71" s="17">
        <f>ROUND(VLOOKUP(B$63&amp;"_1",管理者用人口入力シート!A:X,D71,FALSE),0)</f>
        <v>364</v>
      </c>
      <c r="C71" s="17">
        <f>ROUND(VLOOKUP(B$63&amp;"_2",管理者用人口入力シート!A:X,D71,FALSE),0)</f>
        <v>405</v>
      </c>
      <c r="D71" s="2">
        <v>10</v>
      </c>
      <c r="G71" s="2" t="s">
        <v>2</v>
      </c>
      <c r="H71" s="17">
        <f>ROUND(VLOOKUP(H$67&amp;"_1",管理者用人口入力シート!BH:CE,J71,FALSE),0)</f>
        <v>345</v>
      </c>
      <c r="I71" s="17">
        <f>ROUND(VLOOKUP(H$67&amp;"_2",管理者用人口入力シート!BH:CE,J71,FALSE),0)</f>
        <v>328</v>
      </c>
      <c r="J71" s="2">
        <v>6</v>
      </c>
      <c r="K71" s="12"/>
      <c r="N71" s="2" t="s">
        <v>2</v>
      </c>
      <c r="O71" s="17">
        <f>ROUND(VLOOKUP(O$67&amp;"_1",管理者用人口入力シート!CO:DL,Q71,FALSE),0)</f>
        <v>346</v>
      </c>
      <c r="P71" s="17">
        <f>ROUND(VLOOKUP(O$67&amp;"_2",管理者用人口入力シート!CO:DL,Q71,FALSE),0)</f>
        <v>329</v>
      </c>
      <c r="Q71" s="2">
        <v>6</v>
      </c>
      <c r="U71" s="85"/>
    </row>
    <row r="72" spans="1:21" x14ac:dyDescent="0.15">
      <c r="A72" s="2" t="s">
        <v>7</v>
      </c>
      <c r="B72" s="17">
        <f>ROUND(VLOOKUP(B$63&amp;"_1",管理者用人口入力シート!A:X,D72,FALSE),0)</f>
        <v>449</v>
      </c>
      <c r="C72" s="17">
        <f>ROUND(VLOOKUP(B$63&amp;"_2",管理者用人口入力シート!A:X,D72,FALSE),0)</f>
        <v>490</v>
      </c>
      <c r="D72" s="2">
        <v>11</v>
      </c>
      <c r="G72" s="2" t="s">
        <v>3</v>
      </c>
      <c r="H72" s="17">
        <f>ROUND(VLOOKUP(H$67&amp;"_1",管理者用人口入力シート!BH:CE,J72,FALSE),0)</f>
        <v>474</v>
      </c>
      <c r="I72" s="17">
        <f>ROUND(VLOOKUP(H$67&amp;"_2",管理者用人口入力シート!BH:CE,J72,FALSE),0)</f>
        <v>345</v>
      </c>
      <c r="J72" s="2">
        <v>7</v>
      </c>
      <c r="K72" s="12"/>
      <c r="N72" s="2" t="s">
        <v>3</v>
      </c>
      <c r="O72" s="17">
        <f>ROUND(VLOOKUP(O$67&amp;"_1",管理者用人口入力シート!CO:DL,Q72,FALSE),0)</f>
        <v>474</v>
      </c>
      <c r="P72" s="17">
        <f>ROUND(VLOOKUP(O$67&amp;"_2",管理者用人口入力シート!CO:DL,Q72,FALSE),0)</f>
        <v>345</v>
      </c>
      <c r="Q72" s="2">
        <v>7</v>
      </c>
      <c r="U72" s="85"/>
    </row>
    <row r="73" spans="1:21" x14ac:dyDescent="0.15">
      <c r="A73" s="2" t="s">
        <v>8</v>
      </c>
      <c r="B73" s="17">
        <f>ROUND(VLOOKUP(B$63&amp;"_1",管理者用人口入力シート!A:X,D73,FALSE),0)</f>
        <v>502</v>
      </c>
      <c r="C73" s="17">
        <f>ROUND(VLOOKUP(B$63&amp;"_2",管理者用人口入力シート!A:X,D73,FALSE),0)</f>
        <v>472</v>
      </c>
      <c r="D73" s="2">
        <v>12</v>
      </c>
      <c r="G73" s="2" t="s">
        <v>4</v>
      </c>
      <c r="H73" s="17">
        <f>ROUND(VLOOKUP(H$67&amp;"_1",管理者用人口入力シート!BH:CE,J73,FALSE),0)</f>
        <v>250</v>
      </c>
      <c r="I73" s="17">
        <f>ROUND(VLOOKUP(H$67&amp;"_2",管理者用人口入力シート!BH:CE,J73,FALSE),0)</f>
        <v>195</v>
      </c>
      <c r="J73" s="2">
        <v>8</v>
      </c>
      <c r="K73" s="12"/>
      <c r="N73" s="2" t="s">
        <v>4</v>
      </c>
      <c r="O73" s="17">
        <f>ROUND(VLOOKUP(O$67&amp;"_1",管理者用人口入力シート!CO:DL,Q73,FALSE),0)</f>
        <v>250</v>
      </c>
      <c r="P73" s="17">
        <f>ROUND(VLOOKUP(O$67&amp;"_2",管理者用人口入力シート!CO:DL,Q73,FALSE),0)</f>
        <v>195</v>
      </c>
      <c r="Q73" s="2">
        <v>8</v>
      </c>
      <c r="U73" s="85"/>
    </row>
    <row r="74" spans="1:21" x14ac:dyDescent="0.15">
      <c r="A74" s="2" t="s">
        <v>9</v>
      </c>
      <c r="B74" s="17">
        <f>ROUND(VLOOKUP(B$63&amp;"_1",管理者用人口入力シート!A:X,D74,FALSE),0)</f>
        <v>454</v>
      </c>
      <c r="C74" s="17">
        <f>ROUND(VLOOKUP(B$63&amp;"_2",管理者用人口入力シート!A:X,D74,FALSE),0)</f>
        <v>479</v>
      </c>
      <c r="D74" s="2">
        <v>13</v>
      </c>
      <c r="G74" s="2" t="s">
        <v>5</v>
      </c>
      <c r="H74" s="17">
        <f>ROUND(VLOOKUP(H$67&amp;"_1",管理者用人口入力シート!BH:CE,J74,FALSE),0)</f>
        <v>294</v>
      </c>
      <c r="I74" s="17">
        <f>ROUND(VLOOKUP(H$67&amp;"_2",管理者用人口入力シート!BH:CE,J74,FALSE),0)</f>
        <v>229</v>
      </c>
      <c r="J74" s="2">
        <v>9</v>
      </c>
      <c r="K74" s="12"/>
      <c r="N74" s="2" t="s">
        <v>5</v>
      </c>
      <c r="O74" s="17">
        <f>ROUND(VLOOKUP(O$67&amp;"_1",管理者用人口入力シート!CO:DL,Q74,FALSE),0)</f>
        <v>296</v>
      </c>
      <c r="P74" s="17">
        <f>ROUND(VLOOKUP(O$67&amp;"_2",管理者用人口入力シート!CO:DL,Q74,FALSE),0)</f>
        <v>231</v>
      </c>
      <c r="Q74" s="2">
        <v>9</v>
      </c>
      <c r="U74" s="85"/>
    </row>
    <row r="75" spans="1:21" x14ac:dyDescent="0.15">
      <c r="A75" s="2" t="s">
        <v>10</v>
      </c>
      <c r="B75" s="17">
        <f>ROUND(VLOOKUP(B$63&amp;"_1",管理者用人口入力シート!A:X,D75,FALSE),0)</f>
        <v>465</v>
      </c>
      <c r="C75" s="17">
        <f>ROUND(VLOOKUP(B$63&amp;"_2",管理者用人口入力シート!A:X,D75,FALSE),0)</f>
        <v>563</v>
      </c>
      <c r="D75" s="2">
        <v>14</v>
      </c>
      <c r="G75" s="2" t="s">
        <v>6</v>
      </c>
      <c r="H75" s="17">
        <f>ROUND(VLOOKUP(H$67&amp;"_1",管理者用人口入力シート!BH:CE,J75,FALSE),0)</f>
        <v>270</v>
      </c>
      <c r="I75" s="17">
        <f>ROUND(VLOOKUP(H$67&amp;"_2",管理者用人口入力シート!BH:CE,J75,FALSE),0)</f>
        <v>231</v>
      </c>
      <c r="J75" s="2">
        <v>10</v>
      </c>
      <c r="K75" s="12"/>
      <c r="N75" s="2" t="s">
        <v>6</v>
      </c>
      <c r="O75" s="17">
        <f>ROUND(VLOOKUP(O$67&amp;"_1",管理者用人口入力シート!CO:DL,Q75,FALSE),0)</f>
        <v>270</v>
      </c>
      <c r="P75" s="17">
        <f>ROUND(VLOOKUP(O$67&amp;"_2",管理者用人口入力シート!CO:DL,Q75,FALSE),0)</f>
        <v>231</v>
      </c>
      <c r="Q75" s="2">
        <v>10</v>
      </c>
      <c r="U75" s="85"/>
    </row>
    <row r="76" spans="1:21" x14ac:dyDescent="0.15">
      <c r="A76" s="2" t="s">
        <v>11</v>
      </c>
      <c r="B76" s="17">
        <f>ROUND(VLOOKUP(B$63&amp;"_1",管理者用人口入力シート!A:X,D76,FALSE),0)</f>
        <v>553</v>
      </c>
      <c r="C76" s="17">
        <f>ROUND(VLOOKUP(B$63&amp;"_2",管理者用人口入力シート!A:X,D76,FALSE),0)</f>
        <v>602</v>
      </c>
      <c r="D76" s="2">
        <v>15</v>
      </c>
      <c r="G76" s="2" t="s">
        <v>7</v>
      </c>
      <c r="H76" s="17">
        <f>ROUND(VLOOKUP(H$67&amp;"_1",管理者用人口入力シート!BH:CE,J76,FALSE),0)</f>
        <v>325</v>
      </c>
      <c r="I76" s="17">
        <f>ROUND(VLOOKUP(H$67&amp;"_2",管理者用人口入力シート!BH:CE,J76,FALSE),0)</f>
        <v>313</v>
      </c>
      <c r="J76" s="2">
        <v>11</v>
      </c>
      <c r="K76" s="12"/>
      <c r="N76" s="2" t="s">
        <v>7</v>
      </c>
      <c r="O76" s="17">
        <f>ROUND(VLOOKUP(O$67&amp;"_1",管理者用人口入力シート!CO:DL,Q76,FALSE),0)</f>
        <v>325</v>
      </c>
      <c r="P76" s="17">
        <f>ROUND(VLOOKUP(O$67&amp;"_2",管理者用人口入力シート!CO:DL,Q76,FALSE),0)</f>
        <v>313</v>
      </c>
      <c r="Q76" s="2">
        <v>11</v>
      </c>
      <c r="U76" s="85"/>
    </row>
    <row r="77" spans="1:21" x14ac:dyDescent="0.15">
      <c r="A77" s="2" t="s">
        <v>12</v>
      </c>
      <c r="B77" s="17">
        <f>ROUND(VLOOKUP(B$63&amp;"_1",管理者用人口入力シート!A:X,D77,FALSE),0)</f>
        <v>647</v>
      </c>
      <c r="C77" s="17">
        <f>ROUND(VLOOKUP(B$63&amp;"_2",管理者用人口入力シート!A:X,D77,FALSE),0)</f>
        <v>731</v>
      </c>
      <c r="D77" s="2">
        <v>16</v>
      </c>
      <c r="G77" s="2" t="s">
        <v>8</v>
      </c>
      <c r="H77" s="17">
        <f>ROUND(VLOOKUP(H$67&amp;"_1",管理者用人口入力シート!BH:CE,J77,FALSE),0)</f>
        <v>354</v>
      </c>
      <c r="I77" s="17">
        <f>ROUND(VLOOKUP(H$67&amp;"_2",管理者用人口入力シート!BH:CE,J77,FALSE),0)</f>
        <v>383</v>
      </c>
      <c r="J77" s="2">
        <v>12</v>
      </c>
      <c r="K77" s="12"/>
      <c r="N77" s="2" t="s">
        <v>8</v>
      </c>
      <c r="O77" s="17">
        <f>ROUND(VLOOKUP(O$67&amp;"_1",管理者用人口入力シート!CO:DL,Q77,FALSE),0)</f>
        <v>354</v>
      </c>
      <c r="P77" s="17">
        <f>ROUND(VLOOKUP(O$67&amp;"_2",管理者用人口入力シート!CO:DL,Q77,FALSE),0)</f>
        <v>384</v>
      </c>
      <c r="Q77" s="2">
        <v>12</v>
      </c>
      <c r="U77" s="85"/>
    </row>
    <row r="78" spans="1:21" x14ac:dyDescent="0.15">
      <c r="A78" s="2" t="s">
        <v>13</v>
      </c>
      <c r="B78" s="17">
        <f>ROUND(VLOOKUP(B$63&amp;"_1",管理者用人口入力シート!A:X,D78,FALSE),0)</f>
        <v>748</v>
      </c>
      <c r="C78" s="17">
        <f>ROUND(VLOOKUP(B$63&amp;"_2",管理者用人口入力シート!A:X,D78,FALSE),0)</f>
        <v>834</v>
      </c>
      <c r="D78" s="2">
        <v>17</v>
      </c>
      <c r="G78" s="2" t="s">
        <v>9</v>
      </c>
      <c r="H78" s="17">
        <f>ROUND(VLOOKUP(H$67&amp;"_1",管理者用人口入力シート!BH:CE,J78,FALSE),0)</f>
        <v>437</v>
      </c>
      <c r="I78" s="17">
        <f>ROUND(VLOOKUP(H$67&amp;"_2",管理者用人口入力シート!BH:CE,J78,FALSE),0)</f>
        <v>470</v>
      </c>
      <c r="J78" s="2">
        <v>13</v>
      </c>
      <c r="K78" s="12"/>
      <c r="N78" s="2" t="s">
        <v>9</v>
      </c>
      <c r="O78" s="17">
        <f>ROUND(VLOOKUP(O$67&amp;"_1",管理者用人口入力シート!CO:DL,Q78,FALSE),0)</f>
        <v>437</v>
      </c>
      <c r="P78" s="17">
        <f>ROUND(VLOOKUP(O$67&amp;"_2",管理者用人口入力シート!CO:DL,Q78,FALSE),0)</f>
        <v>470</v>
      </c>
      <c r="Q78" s="2">
        <v>13</v>
      </c>
      <c r="U78" s="85"/>
    </row>
    <row r="79" spans="1:21" x14ac:dyDescent="0.15">
      <c r="A79" s="2" t="s">
        <v>14</v>
      </c>
      <c r="B79" s="17">
        <f>ROUND(VLOOKUP(B$63&amp;"_1",管理者用人口入力シート!A:X,D79,FALSE),0)</f>
        <v>504</v>
      </c>
      <c r="C79" s="17">
        <f>ROUND(VLOOKUP(B$63&amp;"_2",管理者用人口入力シート!A:X,D79,FALSE),0)</f>
        <v>563</v>
      </c>
      <c r="D79" s="2">
        <v>18</v>
      </c>
      <c r="G79" s="2" t="s">
        <v>10</v>
      </c>
      <c r="H79" s="17">
        <f>ROUND(VLOOKUP(H$67&amp;"_1",管理者用人口入力シート!BH:CE,J79,FALSE),0)</f>
        <v>493</v>
      </c>
      <c r="I79" s="17">
        <f>ROUND(VLOOKUP(H$67&amp;"_2",管理者用人口入力シート!BH:CE,J79,FALSE),0)</f>
        <v>478</v>
      </c>
      <c r="J79" s="2">
        <v>14</v>
      </c>
      <c r="K79" s="12"/>
      <c r="N79" s="2" t="s">
        <v>10</v>
      </c>
      <c r="O79" s="17">
        <f>ROUND(VLOOKUP(O$67&amp;"_1",管理者用人口入力シート!CO:DL,Q79,FALSE),0)</f>
        <v>493</v>
      </c>
      <c r="P79" s="17">
        <f>ROUND(VLOOKUP(O$67&amp;"_2",管理者用人口入力シート!CO:DL,Q79,FALSE),0)</f>
        <v>478</v>
      </c>
      <c r="Q79" s="2">
        <v>14</v>
      </c>
      <c r="U79" s="85"/>
    </row>
    <row r="80" spans="1:21" x14ac:dyDescent="0.15">
      <c r="A80" s="2" t="s">
        <v>15</v>
      </c>
      <c r="B80" s="17">
        <f>ROUND(VLOOKUP(B$63&amp;"_1",管理者用人口入力シート!A:X,D80,FALSE),0)</f>
        <v>463</v>
      </c>
      <c r="C80" s="17">
        <f>ROUND(VLOOKUP(B$63&amp;"_2",管理者用人口入力シート!A:X,D80,FALSE),0)</f>
        <v>610</v>
      </c>
      <c r="D80" s="2">
        <v>19</v>
      </c>
      <c r="G80" s="2" t="s">
        <v>11</v>
      </c>
      <c r="H80" s="17">
        <f>ROUND(VLOOKUP(H$67&amp;"_1",管理者用人口入力シート!BH:CE,J80,FALSE),0)</f>
        <v>444</v>
      </c>
      <c r="I80" s="17">
        <f>ROUND(VLOOKUP(H$67&amp;"_2",管理者用人口入力シート!BH:CE,J80,FALSE),0)</f>
        <v>443</v>
      </c>
      <c r="J80" s="2">
        <v>15</v>
      </c>
      <c r="K80" s="12"/>
      <c r="N80" s="2" t="s">
        <v>11</v>
      </c>
      <c r="O80" s="17">
        <f>ROUND(VLOOKUP(O$67&amp;"_1",管理者用人口入力シート!CO:DL,Q80,FALSE),0)</f>
        <v>444</v>
      </c>
      <c r="P80" s="17">
        <f>ROUND(VLOOKUP(O$67&amp;"_2",管理者用人口入力シート!CO:DL,Q80,FALSE),0)</f>
        <v>443</v>
      </c>
      <c r="Q80" s="2">
        <v>15</v>
      </c>
      <c r="U80" s="85"/>
    </row>
    <row r="81" spans="1:21" x14ac:dyDescent="0.15">
      <c r="A81" s="2" t="s">
        <v>16</v>
      </c>
      <c r="B81" s="17">
        <f>ROUND(VLOOKUP(B$63&amp;"_1",管理者用人口入力シート!A:X,D81,FALSE),0)</f>
        <v>389</v>
      </c>
      <c r="C81" s="17">
        <f>ROUND(VLOOKUP(B$63&amp;"_2",管理者用人口入力シート!A:X,D81,FALSE),0)</f>
        <v>550</v>
      </c>
      <c r="D81" s="2">
        <v>20</v>
      </c>
      <c r="G81" s="2" t="s">
        <v>12</v>
      </c>
      <c r="H81" s="17">
        <f>ROUND(VLOOKUP(H$67&amp;"_1",管理者用人口入力シート!BH:CE,J81,FALSE),0)</f>
        <v>468</v>
      </c>
      <c r="I81" s="17">
        <f>ROUND(VLOOKUP(H$67&amp;"_2",管理者用人口入力シート!BH:CE,J81,FALSE),0)</f>
        <v>541</v>
      </c>
      <c r="J81" s="2">
        <v>16</v>
      </c>
      <c r="K81" s="12"/>
      <c r="N81" s="2" t="s">
        <v>12</v>
      </c>
      <c r="O81" s="17">
        <f>ROUND(VLOOKUP(O$67&amp;"_1",管理者用人口入力シート!CO:DL,Q81,FALSE),0)</f>
        <v>468</v>
      </c>
      <c r="P81" s="17">
        <f>ROUND(VLOOKUP(O$67&amp;"_2",管理者用人口入力シート!CO:DL,Q81,FALSE),0)</f>
        <v>541</v>
      </c>
      <c r="Q81" s="2">
        <v>16</v>
      </c>
      <c r="U81" s="85"/>
    </row>
    <row r="82" spans="1:21" x14ac:dyDescent="0.15">
      <c r="A82" s="2" t="s">
        <v>17</v>
      </c>
      <c r="B82" s="17">
        <f>ROUND(VLOOKUP(B$63&amp;"_1",管理者用人口入力シート!A:X,D82,FALSE),0)</f>
        <v>186</v>
      </c>
      <c r="C82" s="17">
        <f>ROUND(VLOOKUP(B$63&amp;"_2",管理者用人口入力シート!A:X,D82,FALSE),0)</f>
        <v>327</v>
      </c>
      <c r="D82" s="2">
        <v>21</v>
      </c>
      <c r="G82" s="2" t="s">
        <v>13</v>
      </c>
      <c r="H82" s="17">
        <f>ROUND(VLOOKUP(H$67&amp;"_1",管理者用人口入力シート!BH:CE,J82,FALSE),0)</f>
        <v>529</v>
      </c>
      <c r="I82" s="17">
        <f>ROUND(VLOOKUP(H$67&amp;"_2",管理者用人口入力シート!BH:CE,J82,FALSE),0)</f>
        <v>585</v>
      </c>
      <c r="J82" s="2">
        <v>17</v>
      </c>
      <c r="K82" s="12"/>
      <c r="N82" s="2" t="s">
        <v>13</v>
      </c>
      <c r="O82" s="17">
        <f>ROUND(VLOOKUP(O$67&amp;"_1",管理者用人口入力シート!CO:DL,Q82,FALSE),0)</f>
        <v>529</v>
      </c>
      <c r="P82" s="17">
        <f>ROUND(VLOOKUP(O$67&amp;"_2",管理者用人口入力シート!CO:DL,Q82,FALSE),0)</f>
        <v>585</v>
      </c>
      <c r="Q82" s="2">
        <v>17</v>
      </c>
      <c r="U82" s="85"/>
    </row>
    <row r="83" spans="1:21" x14ac:dyDescent="0.15">
      <c r="A83" s="2" t="s">
        <v>18</v>
      </c>
      <c r="B83" s="17">
        <f>ROUND(VLOOKUP(B$63&amp;"_1",管理者用人口入力シート!A:X,D83,FALSE),0)</f>
        <v>49</v>
      </c>
      <c r="C83" s="17">
        <f>ROUND(VLOOKUP(B$63&amp;"_2",管理者用人口入力シート!A:X,D83,FALSE),0)</f>
        <v>164</v>
      </c>
      <c r="D83" s="2">
        <v>22</v>
      </c>
      <c r="G83" s="2" t="s">
        <v>14</v>
      </c>
      <c r="H83" s="17">
        <f>ROUND(VLOOKUP(H$67&amp;"_1",管理者用人口入力シート!BH:CE,J83,FALSE),0)</f>
        <v>563</v>
      </c>
      <c r="I83" s="17">
        <f>ROUND(VLOOKUP(H$67&amp;"_2",管理者用人口入力シート!BH:CE,J83,FALSE),0)</f>
        <v>669</v>
      </c>
      <c r="J83" s="2">
        <v>18</v>
      </c>
      <c r="K83" s="12"/>
      <c r="N83" s="2" t="s">
        <v>14</v>
      </c>
      <c r="O83" s="17">
        <f>ROUND(VLOOKUP(O$67&amp;"_1",管理者用人口入力シート!CO:DL,Q83,FALSE),0)</f>
        <v>563</v>
      </c>
      <c r="P83" s="17">
        <f>ROUND(VLOOKUP(O$67&amp;"_2",管理者用人口入力シート!CO:DL,Q83,FALSE),0)</f>
        <v>669</v>
      </c>
      <c r="Q83" s="2">
        <v>18</v>
      </c>
      <c r="U83" s="85"/>
    </row>
    <row r="84" spans="1:21" x14ac:dyDescent="0.15">
      <c r="A84" s="2" t="s">
        <v>19</v>
      </c>
      <c r="B84" s="17">
        <f>ROUND(VLOOKUP(B$63&amp;"_1",管理者用人口入力シート!A:X,D84,FALSE),0)</f>
        <v>13</v>
      </c>
      <c r="C84" s="17">
        <f>ROUND(VLOOKUP(B$63&amp;"_2",管理者用人口入力シート!A:X,D84,FALSE),0)</f>
        <v>46</v>
      </c>
      <c r="D84" s="2">
        <v>23</v>
      </c>
      <c r="G84" s="2" t="s">
        <v>15</v>
      </c>
      <c r="H84" s="17">
        <f>ROUND(VLOOKUP(H$67&amp;"_1",管理者用人口入力シート!BH:CE,J84,FALSE),0)</f>
        <v>595</v>
      </c>
      <c r="I84" s="17">
        <f>ROUND(VLOOKUP(H$67&amp;"_2",管理者用人口入力シート!BH:CE,J84,FALSE),0)</f>
        <v>745</v>
      </c>
      <c r="J84" s="2">
        <v>19</v>
      </c>
      <c r="K84" s="12"/>
      <c r="N84" s="2" t="s">
        <v>15</v>
      </c>
      <c r="O84" s="17">
        <f>ROUND(VLOOKUP(O$67&amp;"_1",管理者用人口入力シート!CO:DL,Q84,FALSE),0)</f>
        <v>595</v>
      </c>
      <c r="P84" s="17">
        <f>ROUND(VLOOKUP(O$67&amp;"_2",管理者用人口入力シート!CO:DL,Q84,FALSE),0)</f>
        <v>745</v>
      </c>
      <c r="Q84" s="2">
        <v>19</v>
      </c>
      <c r="U84" s="85"/>
    </row>
    <row r="85" spans="1:21" x14ac:dyDescent="0.15">
      <c r="A85" s="2" t="s">
        <v>20</v>
      </c>
      <c r="B85" s="17">
        <f>ROUND(VLOOKUP(B$63&amp;"_1",管理者用人口入力シート!A:X,D85,FALSE),0)</f>
        <v>0</v>
      </c>
      <c r="C85" s="17">
        <f>ROUND(VLOOKUP(B$63&amp;"_2",管理者用人口入力シート!A:X,D85,FALSE),0)</f>
        <v>5</v>
      </c>
      <c r="D85" s="2">
        <v>24</v>
      </c>
      <c r="G85" s="2" t="s">
        <v>16</v>
      </c>
      <c r="H85" s="17">
        <f>ROUND(VLOOKUP(H$67&amp;"_1",管理者用人口入力シート!BH:CE,J85,FALSE),0)</f>
        <v>343</v>
      </c>
      <c r="I85" s="17">
        <f>ROUND(VLOOKUP(H$67&amp;"_2",管理者用人口入力シート!BH:CE,J85,FALSE),0)</f>
        <v>477</v>
      </c>
      <c r="J85" s="2">
        <v>20</v>
      </c>
      <c r="K85" s="12"/>
      <c r="N85" s="2" t="s">
        <v>16</v>
      </c>
      <c r="O85" s="17">
        <f>ROUND(VLOOKUP(O$67&amp;"_1",管理者用人口入力シート!CO:DL,Q85,FALSE),0)</f>
        <v>343</v>
      </c>
      <c r="P85" s="17">
        <f>ROUND(VLOOKUP(O$67&amp;"_2",管理者用人口入力シート!CO:DL,Q85,FALSE),0)</f>
        <v>477</v>
      </c>
      <c r="Q85" s="2">
        <v>20</v>
      </c>
      <c r="U85" s="85"/>
    </row>
    <row r="86" spans="1:21" x14ac:dyDescent="0.15">
      <c r="G86" s="2" t="s">
        <v>17</v>
      </c>
      <c r="H86" s="17">
        <f>ROUND(VLOOKUP(H$67&amp;"_1",管理者用人口入力シート!BH:CE,J86,FALSE),0)</f>
        <v>222</v>
      </c>
      <c r="I86" s="17">
        <f>ROUND(VLOOKUP(H$67&amp;"_2",管理者用人口入力シート!BH:CE,J86,FALSE),0)</f>
        <v>402</v>
      </c>
      <c r="J86" s="2">
        <v>21</v>
      </c>
      <c r="K86" s="12"/>
      <c r="N86" s="2" t="s">
        <v>17</v>
      </c>
      <c r="O86" s="17">
        <f>ROUND(VLOOKUP(O$67&amp;"_1",管理者用人口入力シート!CO:DL,Q86,FALSE),0)</f>
        <v>222</v>
      </c>
      <c r="P86" s="17">
        <f>ROUND(VLOOKUP(O$67&amp;"_2",管理者用人口入力シート!CO:DL,Q86,FALSE),0)</f>
        <v>402</v>
      </c>
      <c r="Q86" s="2">
        <v>21</v>
      </c>
      <c r="U86" s="85"/>
    </row>
    <row r="87" spans="1:21" x14ac:dyDescent="0.15">
      <c r="A87" s="2" t="s">
        <v>62</v>
      </c>
      <c r="B87" s="315">
        <f>管理者入力シート!B5</f>
        <v>2020</v>
      </c>
      <c r="C87" s="316"/>
      <c r="D87" s="2" t="s">
        <v>114</v>
      </c>
      <c r="G87" s="2" t="s">
        <v>18</v>
      </c>
      <c r="H87" s="17">
        <f>ROUND(VLOOKUP(H$67&amp;"_1",管理者用人口入力シート!BH:CE,J87,FALSE),0)</f>
        <v>101</v>
      </c>
      <c r="I87" s="17">
        <f>ROUND(VLOOKUP(H$67&amp;"_2",管理者用人口入力シート!BH:CE,J87,FALSE),0)</f>
        <v>242</v>
      </c>
      <c r="J87" s="2">
        <v>22</v>
      </c>
      <c r="K87" s="12"/>
      <c r="N87" s="2" t="s">
        <v>18</v>
      </c>
      <c r="O87" s="17">
        <f>ROUND(VLOOKUP(O$67&amp;"_1",管理者用人口入力シート!CO:DL,Q87,FALSE),0)</f>
        <v>101</v>
      </c>
      <c r="P87" s="17">
        <f>ROUND(VLOOKUP(O$67&amp;"_2",管理者用人口入力シート!CO:DL,Q87,FALSE),0)</f>
        <v>242</v>
      </c>
      <c r="Q87" s="2">
        <v>22</v>
      </c>
      <c r="U87" s="85"/>
    </row>
    <row r="88" spans="1:21" x14ac:dyDescent="0.15">
      <c r="A88" s="2" t="s">
        <v>115</v>
      </c>
      <c r="B88" s="18" t="s">
        <v>21</v>
      </c>
      <c r="C88" s="18" t="s">
        <v>22</v>
      </c>
      <c r="G88" s="2" t="s">
        <v>19</v>
      </c>
      <c r="H88" s="17">
        <f>ROUND(VLOOKUP(H$67&amp;"_1",管理者用人口入力シート!BH:CE,J88,FALSE),0)</f>
        <v>28</v>
      </c>
      <c r="I88" s="17">
        <f>ROUND(VLOOKUP(H$67&amp;"_2",管理者用人口入力シート!BH:CE,J88,FALSE),0)</f>
        <v>71</v>
      </c>
      <c r="J88" s="2">
        <v>23</v>
      </c>
      <c r="K88" s="12"/>
      <c r="N88" s="2" t="s">
        <v>19</v>
      </c>
      <c r="O88" s="17">
        <f>ROUND(VLOOKUP(O$67&amp;"_1",管理者用人口入力シート!CO:DL,Q88,FALSE),0)</f>
        <v>28</v>
      </c>
      <c r="P88" s="17">
        <f>ROUND(VLOOKUP(O$67&amp;"_2",管理者用人口入力シート!CO:DL,Q88,FALSE),0)</f>
        <v>71</v>
      </c>
      <c r="Q88" s="2">
        <v>23</v>
      </c>
      <c r="U88" s="85"/>
    </row>
    <row r="89" spans="1:21" x14ac:dyDescent="0.15">
      <c r="A89" s="2" t="s">
        <v>0</v>
      </c>
      <c r="B89" s="17">
        <f>ROUND(VLOOKUP(B$87&amp;"_1",管理者用人口入力シート!A:X,D89,FALSE),0)</f>
        <v>248</v>
      </c>
      <c r="C89" s="17">
        <f>ROUND(VLOOKUP(B$87&amp;"_2",管理者用人口入力シート!A:X,D89,FALSE),0)</f>
        <v>280</v>
      </c>
      <c r="D89" s="2">
        <v>4</v>
      </c>
      <c r="G89" s="2" t="s">
        <v>20</v>
      </c>
      <c r="H89" s="17">
        <f>ROUND(VLOOKUP(H$67&amp;"_1",管理者用人口入力シート!BH:CE,J89,FALSE),0)</f>
        <v>0</v>
      </c>
      <c r="I89" s="17">
        <f>ROUND(VLOOKUP(H$67&amp;"_2",管理者用人口入力シート!BH:CE,J89,FALSE),0)</f>
        <v>10</v>
      </c>
      <c r="J89" s="2">
        <v>24</v>
      </c>
      <c r="K89" s="12"/>
      <c r="N89" s="2" t="s">
        <v>20</v>
      </c>
      <c r="O89" s="17">
        <f>ROUND(VLOOKUP(O$67&amp;"_1",管理者用人口入力シート!CO:DL,Q89,FALSE),0)</f>
        <v>0</v>
      </c>
      <c r="P89" s="17">
        <f>ROUND(VLOOKUP(O$67&amp;"_2",管理者用人口入力シート!CO:DL,Q89,FALSE),0)</f>
        <v>10</v>
      </c>
      <c r="Q89" s="2">
        <v>24</v>
      </c>
      <c r="U89" s="85"/>
    </row>
    <row r="90" spans="1:21" x14ac:dyDescent="0.15">
      <c r="A90" s="2" t="s">
        <v>1</v>
      </c>
      <c r="B90" s="17">
        <f>ROUND(VLOOKUP(B$87&amp;"_1",管理者用人口入力シート!A:X,D90,FALSE),0)</f>
        <v>337</v>
      </c>
      <c r="C90" s="17">
        <f>ROUND(VLOOKUP(B$87&amp;"_2",管理者用人口入力シート!A:X,D90,FALSE),0)</f>
        <v>323</v>
      </c>
      <c r="D90" s="2">
        <v>5</v>
      </c>
    </row>
    <row r="91" spans="1:21" x14ac:dyDescent="0.15">
      <c r="A91" s="2" t="s">
        <v>2</v>
      </c>
      <c r="B91" s="17">
        <f>ROUND(VLOOKUP(B$87&amp;"_1",管理者用人口入力シート!A:X,D91,FALSE),0)</f>
        <v>412</v>
      </c>
      <c r="C91" s="17">
        <f>ROUND(VLOOKUP(B$87&amp;"_2",管理者用人口入力シート!A:X,D91,FALSE),0)</f>
        <v>357</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558</v>
      </c>
      <c r="C92" s="17">
        <f>ROUND(VLOOKUP(B$87&amp;"_2",管理者用人口入力シート!A:X,D92,FALSE),0)</f>
        <v>367</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233</v>
      </c>
      <c r="C93" s="17">
        <f>ROUND(VLOOKUP(B$87&amp;"_2",管理者用人口入力シート!A:X,D93,FALSE),0)</f>
        <v>223</v>
      </c>
      <c r="D93" s="2">
        <v>8</v>
      </c>
      <c r="G93" s="2" t="s">
        <v>0</v>
      </c>
      <c r="H93" s="17">
        <f>ROUND(VLOOKUP(H$91&amp;"_1",管理者用人口入力シート!BH:CE,J93,FALSE),0)</f>
        <v>177</v>
      </c>
      <c r="I93" s="17">
        <f>ROUND(VLOOKUP(H$91&amp;"_2",管理者用人口入力シート!BH:CE,J93,FALSE),0)</f>
        <v>200</v>
      </c>
      <c r="J93" s="2">
        <v>4</v>
      </c>
      <c r="K93" s="12"/>
      <c r="N93" s="2" t="s">
        <v>0</v>
      </c>
      <c r="O93" s="17">
        <f>ROUND(VLOOKUP(O$91&amp;"_1",管理者用人口入力シート!CO:DL,Q93,FALSE),0)</f>
        <v>179</v>
      </c>
      <c r="P93" s="17">
        <f>ROUND(VLOOKUP(O$91&amp;"_2",管理者用人口入力シート!CO:DL,Q93,FALSE),0)</f>
        <v>202</v>
      </c>
      <c r="Q93" s="2">
        <v>4</v>
      </c>
      <c r="T93" s="85"/>
    </row>
    <row r="94" spans="1:21" x14ac:dyDescent="0.15">
      <c r="A94" s="2" t="s">
        <v>5</v>
      </c>
      <c r="B94" s="17">
        <f>ROUND(VLOOKUP(B$87&amp;"_1",管理者用人口入力シート!A:X,D94,FALSE),0)</f>
        <v>286</v>
      </c>
      <c r="C94" s="17">
        <f>ROUND(VLOOKUP(B$87&amp;"_2",管理者用人口入力シート!A:X,D94,FALSE),0)</f>
        <v>237</v>
      </c>
      <c r="D94" s="2">
        <v>9</v>
      </c>
      <c r="G94" s="2" t="s">
        <v>1</v>
      </c>
      <c r="H94" s="17">
        <f>ROUND(VLOOKUP(H$91&amp;"_1",管理者用人口入力シート!BH:CE,J94,FALSE),0)</f>
        <v>214</v>
      </c>
      <c r="I94" s="17">
        <f>ROUND(VLOOKUP(H$91&amp;"_2",管理者用人口入力シート!BH:CE,J94,FALSE),0)</f>
        <v>241</v>
      </c>
      <c r="J94" s="2">
        <v>5</v>
      </c>
      <c r="K94" s="12"/>
      <c r="N94" s="2" t="s">
        <v>1</v>
      </c>
      <c r="O94" s="17">
        <f>ROUND(VLOOKUP(O$91&amp;"_1",管理者用人口入力シート!CO:DL,Q94,FALSE),0)</f>
        <v>215</v>
      </c>
      <c r="P94" s="17">
        <f>ROUND(VLOOKUP(O$91&amp;"_2",管理者用人口入力シート!CO:DL,Q94,FALSE),0)</f>
        <v>242</v>
      </c>
      <c r="Q94" s="2">
        <v>5</v>
      </c>
      <c r="T94" s="85"/>
    </row>
    <row r="95" spans="1:21" x14ac:dyDescent="0.15">
      <c r="A95" s="2" t="s">
        <v>6</v>
      </c>
      <c r="B95" s="17">
        <f>ROUND(VLOOKUP(B$87&amp;"_1",管理者用人口入力シート!A:X,D95,FALSE),0)</f>
        <v>317</v>
      </c>
      <c r="C95" s="17">
        <f>ROUND(VLOOKUP(B$87&amp;"_2",管理者用人口入力シート!A:X,D95,FALSE),0)</f>
        <v>307</v>
      </c>
      <c r="D95" s="2">
        <v>10</v>
      </c>
      <c r="G95" s="2" t="s">
        <v>2</v>
      </c>
      <c r="H95" s="17">
        <f>ROUND(VLOOKUP(H$91&amp;"_1",管理者用人口入力シート!BH:CE,J95,FALSE),0)</f>
        <v>266</v>
      </c>
      <c r="I95" s="17">
        <f>ROUND(VLOOKUP(H$91&amp;"_2",管理者用人口入力シート!BH:CE,J95,FALSE),0)</f>
        <v>297</v>
      </c>
      <c r="J95" s="2">
        <v>6</v>
      </c>
      <c r="K95" s="12"/>
      <c r="N95" s="2" t="s">
        <v>2</v>
      </c>
      <c r="O95" s="17">
        <f>ROUND(VLOOKUP(O$91&amp;"_1",管理者用人口入力シート!CO:DL,Q95,FALSE),0)</f>
        <v>267</v>
      </c>
      <c r="P95" s="17">
        <f>ROUND(VLOOKUP(O$91&amp;"_2",管理者用人口入力シート!CO:DL,Q95,FALSE),0)</f>
        <v>298</v>
      </c>
      <c r="Q95" s="2">
        <v>6</v>
      </c>
      <c r="T95" s="85"/>
    </row>
    <row r="96" spans="1:21" x14ac:dyDescent="0.15">
      <c r="A96" s="2" t="s">
        <v>7</v>
      </c>
      <c r="B96" s="17">
        <f>ROUND(VLOOKUP(B$87&amp;"_1",管理者用人口入力シート!A:X,D96,FALSE),0)</f>
        <v>371</v>
      </c>
      <c r="C96" s="17">
        <f>ROUND(VLOOKUP(B$87&amp;"_2",管理者用人口入力シート!A:X,D96,FALSE),0)</f>
        <v>409</v>
      </c>
      <c r="D96" s="2">
        <v>11</v>
      </c>
      <c r="G96" s="2" t="s">
        <v>3</v>
      </c>
      <c r="H96" s="17">
        <f>ROUND(VLOOKUP(H$91&amp;"_1",管理者用人口入力シート!BH:CE,J96,FALSE),0)</f>
        <v>397</v>
      </c>
      <c r="I96" s="17">
        <f>ROUND(VLOOKUP(H$91&amp;"_2",管理者用人口入力シート!BH:CE,J96,FALSE),0)</f>
        <v>317</v>
      </c>
      <c r="J96" s="2">
        <v>7</v>
      </c>
      <c r="K96" s="12"/>
      <c r="N96" s="2" t="s">
        <v>3</v>
      </c>
      <c r="O96" s="17">
        <f>ROUND(VLOOKUP(O$91&amp;"_1",管理者用人口入力シート!CO:DL,Q96,FALSE),0)</f>
        <v>398</v>
      </c>
      <c r="P96" s="17">
        <f>ROUND(VLOOKUP(O$91&amp;"_2",管理者用人口入力シート!CO:DL,Q96,FALSE),0)</f>
        <v>318</v>
      </c>
      <c r="Q96" s="2">
        <v>7</v>
      </c>
      <c r="T96" s="85"/>
    </row>
    <row r="97" spans="1:20" x14ac:dyDescent="0.15">
      <c r="A97" s="2" t="s">
        <v>8</v>
      </c>
      <c r="B97" s="17">
        <f>ROUND(VLOOKUP(B$87&amp;"_1",管理者用人口入力シート!A:X,D97,FALSE),0)</f>
        <v>438</v>
      </c>
      <c r="C97" s="17">
        <f>ROUND(VLOOKUP(B$87&amp;"_2",管理者用人口入力シート!A:X,D97,FALSE),0)</f>
        <v>469</v>
      </c>
      <c r="D97" s="2">
        <v>12</v>
      </c>
      <c r="G97" s="2" t="s">
        <v>4</v>
      </c>
      <c r="H97" s="17">
        <f>ROUND(VLOOKUP(H$91&amp;"_1",管理者用人口入力シート!BH:CE,J97,FALSE),0)</f>
        <v>212</v>
      </c>
      <c r="I97" s="17">
        <f>ROUND(VLOOKUP(H$91&amp;"_2",管理者用人口入力シート!BH:CE,J97,FALSE),0)</f>
        <v>183</v>
      </c>
      <c r="J97" s="2">
        <v>8</v>
      </c>
      <c r="K97" s="12"/>
      <c r="N97" s="2" t="s">
        <v>4</v>
      </c>
      <c r="O97" s="17">
        <f>ROUND(VLOOKUP(O$91&amp;"_1",管理者用人口入力シート!CO:DL,Q97,FALSE),0)</f>
        <v>212</v>
      </c>
      <c r="P97" s="17">
        <f>ROUND(VLOOKUP(O$91&amp;"_2",管理者用人口入力シート!CO:DL,Q97,FALSE),0)</f>
        <v>183</v>
      </c>
      <c r="Q97" s="2">
        <v>8</v>
      </c>
      <c r="T97" s="85"/>
    </row>
    <row r="98" spans="1:20" x14ac:dyDescent="0.15">
      <c r="A98" s="2" t="s">
        <v>9</v>
      </c>
      <c r="B98" s="17">
        <f>ROUND(VLOOKUP(B$87&amp;"_1",管理者用人口入力シート!A:X,D98,FALSE),0)</f>
        <v>508</v>
      </c>
      <c r="C98" s="17">
        <f>ROUND(VLOOKUP(B$87&amp;"_2",管理者用人口入力シート!A:X,D98,FALSE),0)</f>
        <v>490</v>
      </c>
      <c r="D98" s="2">
        <v>13</v>
      </c>
      <c r="G98" s="2" t="s">
        <v>5</v>
      </c>
      <c r="H98" s="17">
        <f>ROUND(VLOOKUP(H$91&amp;"_1",管理者用人口入力シート!BH:CE,J98,FALSE),0)</f>
        <v>315</v>
      </c>
      <c r="I98" s="17">
        <f>ROUND(VLOOKUP(H$91&amp;"_2",管理者用人口入力シート!BH:CE,J98,FALSE),0)</f>
        <v>199</v>
      </c>
      <c r="J98" s="2">
        <v>9</v>
      </c>
      <c r="K98" s="12"/>
      <c r="N98" s="2" t="s">
        <v>5</v>
      </c>
      <c r="O98" s="17">
        <f>ROUND(VLOOKUP(O$91&amp;"_1",管理者用人口入力シート!CO:DL,Q98,FALSE),0)</f>
        <v>317</v>
      </c>
      <c r="P98" s="17">
        <f>ROUND(VLOOKUP(O$91&amp;"_2",管理者用人口入力シート!CO:DL,Q98,FALSE),0)</f>
        <v>201</v>
      </c>
      <c r="Q98" s="2">
        <v>9</v>
      </c>
      <c r="T98" s="85"/>
    </row>
    <row r="99" spans="1:20" x14ac:dyDescent="0.15">
      <c r="A99" s="2" t="s">
        <v>10</v>
      </c>
      <c r="B99" s="17">
        <f>ROUND(VLOOKUP(B$87&amp;"_1",管理者用人口入力シート!A:X,D99,FALSE),0)</f>
        <v>441</v>
      </c>
      <c r="C99" s="17">
        <f>ROUND(VLOOKUP(B$87&amp;"_2",管理者用人口入力シート!A:X,D99,FALSE),0)</f>
        <v>459</v>
      </c>
      <c r="D99" s="2">
        <v>14</v>
      </c>
      <c r="G99" s="2" t="s">
        <v>6</v>
      </c>
      <c r="H99" s="17">
        <f>ROUND(VLOOKUP(H$91&amp;"_1",管理者用人口入力シート!BH:CE,J99,FALSE),0)</f>
        <v>277</v>
      </c>
      <c r="I99" s="17">
        <f>ROUND(VLOOKUP(H$91&amp;"_2",管理者用人口入力シート!BH:CE,J99,FALSE),0)</f>
        <v>223</v>
      </c>
      <c r="J99" s="2">
        <v>10</v>
      </c>
      <c r="K99" s="12"/>
      <c r="N99" s="2" t="s">
        <v>6</v>
      </c>
      <c r="O99" s="17">
        <f>ROUND(VLOOKUP(O$91&amp;"_1",管理者用人口入力シート!CO:DL,Q99,FALSE),0)</f>
        <v>279</v>
      </c>
      <c r="P99" s="17">
        <f>ROUND(VLOOKUP(O$91&amp;"_2",管理者用人口入力シート!CO:DL,Q99,FALSE),0)</f>
        <v>225</v>
      </c>
      <c r="Q99" s="2">
        <v>10</v>
      </c>
      <c r="T99" s="85"/>
    </row>
    <row r="100" spans="1:20" x14ac:dyDescent="0.15">
      <c r="A100" s="2" t="s">
        <v>11</v>
      </c>
      <c r="B100" s="17">
        <f>ROUND(VLOOKUP(B$87&amp;"_1",管理者用人口入力シート!A:X,D100,FALSE),0)</f>
        <v>474</v>
      </c>
      <c r="C100" s="17">
        <f>ROUND(VLOOKUP(B$87&amp;"_2",管理者用人口入力シート!A:X,D100,FALSE),0)</f>
        <v>544</v>
      </c>
      <c r="D100" s="2">
        <v>15</v>
      </c>
      <c r="G100" s="2" t="s">
        <v>7</v>
      </c>
      <c r="H100" s="17">
        <f>ROUND(VLOOKUP(H$91&amp;"_1",管理者用人口入力シート!BH:CE,J100,FALSE),0)</f>
        <v>277</v>
      </c>
      <c r="I100" s="17">
        <f>ROUND(VLOOKUP(H$91&amp;"_2",管理者用人口入力シート!BH:CE,J100,FALSE),0)</f>
        <v>236</v>
      </c>
      <c r="J100" s="2">
        <v>11</v>
      </c>
      <c r="K100" s="12"/>
      <c r="N100" s="2" t="s">
        <v>7</v>
      </c>
      <c r="O100" s="17">
        <f>ROUND(VLOOKUP(O$91&amp;"_1",管理者用人口入力シート!CO:DL,Q100,FALSE),0)</f>
        <v>277</v>
      </c>
      <c r="P100" s="17">
        <f>ROUND(VLOOKUP(O$91&amp;"_2",管理者用人口入力シート!CO:DL,Q100,FALSE),0)</f>
        <v>236</v>
      </c>
      <c r="Q100" s="2">
        <v>11</v>
      </c>
      <c r="T100" s="85"/>
    </row>
    <row r="101" spans="1:20" x14ac:dyDescent="0.15">
      <c r="A101" s="2" t="s">
        <v>12</v>
      </c>
      <c r="B101" s="17">
        <f>ROUND(VLOOKUP(B$87&amp;"_1",管理者用人口入力シート!A:X,D101,FALSE),0)</f>
        <v>548</v>
      </c>
      <c r="C101" s="17">
        <f>ROUND(VLOOKUP(B$87&amp;"_2",管理者用人口入力シート!A:X,D101,FALSE),0)</f>
        <v>600</v>
      </c>
      <c r="D101" s="2">
        <v>16</v>
      </c>
      <c r="G101" s="2" t="s">
        <v>8</v>
      </c>
      <c r="H101" s="17">
        <f>ROUND(VLOOKUP(H$91&amp;"_1",管理者用人口入力シート!BH:CE,J101,FALSE),0)</f>
        <v>310</v>
      </c>
      <c r="I101" s="17">
        <f>ROUND(VLOOKUP(H$91&amp;"_2",管理者用人口入力シート!BH:CE,J101,FALSE),0)</f>
        <v>293</v>
      </c>
      <c r="J101" s="2">
        <v>12</v>
      </c>
      <c r="K101" s="12"/>
      <c r="N101" s="2" t="s">
        <v>8</v>
      </c>
      <c r="O101" s="17">
        <f>ROUND(VLOOKUP(O$91&amp;"_1",管理者用人口入力シート!CO:DL,Q101,FALSE),0)</f>
        <v>310</v>
      </c>
      <c r="P101" s="17">
        <f>ROUND(VLOOKUP(O$91&amp;"_2",管理者用人口入力シート!CO:DL,Q101,FALSE),0)</f>
        <v>294</v>
      </c>
      <c r="Q101" s="2">
        <v>12</v>
      </c>
      <c r="T101" s="85"/>
    </row>
    <row r="102" spans="1:20" x14ac:dyDescent="0.15">
      <c r="A102" s="2" t="s">
        <v>13</v>
      </c>
      <c r="B102" s="17">
        <f>ROUND(VLOOKUP(B$87&amp;"_1",管理者用人口入力シート!A:X,D102,FALSE),0)</f>
        <v>629</v>
      </c>
      <c r="C102" s="17">
        <f>ROUND(VLOOKUP(B$87&amp;"_2",管理者用人口入力シート!A:X,D102,FALSE),0)</f>
        <v>713</v>
      </c>
      <c r="D102" s="2">
        <v>17</v>
      </c>
      <c r="G102" s="2" t="s">
        <v>9</v>
      </c>
      <c r="H102" s="17">
        <f>ROUND(VLOOKUP(H$91&amp;"_1",管理者用人口入力シート!BH:CE,J102,FALSE),0)</f>
        <v>353</v>
      </c>
      <c r="I102" s="17">
        <f>ROUND(VLOOKUP(H$91&amp;"_2",管理者用人口入力シート!BH:CE,J102,FALSE),0)</f>
        <v>383</v>
      </c>
      <c r="J102" s="2">
        <v>13</v>
      </c>
      <c r="K102" s="12"/>
      <c r="N102" s="2" t="s">
        <v>9</v>
      </c>
      <c r="O102" s="17">
        <f>ROUND(VLOOKUP(O$91&amp;"_1",管理者用人口入力シート!CO:DL,Q102,FALSE),0)</f>
        <v>353</v>
      </c>
      <c r="P102" s="17">
        <f>ROUND(VLOOKUP(O$91&amp;"_2",管理者用人口入力シート!CO:DL,Q102,FALSE),0)</f>
        <v>384</v>
      </c>
      <c r="Q102" s="2">
        <v>13</v>
      </c>
      <c r="T102" s="85"/>
    </row>
    <row r="103" spans="1:20" x14ac:dyDescent="0.15">
      <c r="A103" s="2" t="s">
        <v>14</v>
      </c>
      <c r="B103" s="17">
        <f>ROUND(VLOOKUP(B$87&amp;"_1",管理者用人口入力シート!A:X,D103,FALSE),0)</f>
        <v>671</v>
      </c>
      <c r="C103" s="17">
        <f>ROUND(VLOOKUP(B$87&amp;"_2",管理者用人口入力シート!A:X,D103,FALSE),0)</f>
        <v>787</v>
      </c>
      <c r="D103" s="2">
        <v>18</v>
      </c>
      <c r="G103" s="2" t="s">
        <v>10</v>
      </c>
      <c r="H103" s="17">
        <f>ROUND(VLOOKUP(H$91&amp;"_1",管理者用人口入力シート!BH:CE,J103,FALSE),0)</f>
        <v>425</v>
      </c>
      <c r="I103" s="17">
        <f>ROUND(VLOOKUP(H$91&amp;"_2",管理者用人口入力シート!BH:CE,J103,FALSE),0)</f>
        <v>458</v>
      </c>
      <c r="J103" s="2">
        <v>14</v>
      </c>
      <c r="K103" s="12"/>
      <c r="N103" s="2" t="s">
        <v>10</v>
      </c>
      <c r="O103" s="17">
        <f>ROUND(VLOOKUP(O$91&amp;"_1",管理者用人口入力シート!CO:DL,Q103,FALSE),0)</f>
        <v>425</v>
      </c>
      <c r="P103" s="17">
        <f>ROUND(VLOOKUP(O$91&amp;"_2",管理者用人口入力シート!CO:DL,Q103,FALSE),0)</f>
        <v>458</v>
      </c>
      <c r="Q103" s="2">
        <v>14</v>
      </c>
      <c r="T103" s="85"/>
    </row>
    <row r="104" spans="1:20" x14ac:dyDescent="0.15">
      <c r="A104" s="2" t="s">
        <v>15</v>
      </c>
      <c r="B104" s="17">
        <f>ROUND(VLOOKUP(B$87&amp;"_1",管理者用人口入力シート!A:X,D104,FALSE),0)</f>
        <v>440</v>
      </c>
      <c r="C104" s="17">
        <f>ROUND(VLOOKUP(B$87&amp;"_2",管理者用人口入力シート!A:X,D104,FALSE),0)</f>
        <v>535</v>
      </c>
      <c r="D104" s="2">
        <v>19</v>
      </c>
      <c r="G104" s="2" t="s">
        <v>11</v>
      </c>
      <c r="H104" s="17">
        <f>ROUND(VLOOKUP(H$91&amp;"_1",管理者用人口入力シート!BH:CE,J104,FALSE),0)</f>
        <v>498</v>
      </c>
      <c r="I104" s="17">
        <f>ROUND(VLOOKUP(H$91&amp;"_2",管理者用人口入力シート!BH:CE,J104,FALSE),0)</f>
        <v>461</v>
      </c>
      <c r="J104" s="2">
        <v>15</v>
      </c>
      <c r="K104" s="12"/>
      <c r="N104" s="2" t="s">
        <v>11</v>
      </c>
      <c r="O104" s="17">
        <f>ROUND(VLOOKUP(O$91&amp;"_1",管理者用人口入力シート!CO:DL,Q104,FALSE),0)</f>
        <v>498</v>
      </c>
      <c r="P104" s="17">
        <f>ROUND(VLOOKUP(O$91&amp;"_2",管理者用人口入力シート!CO:DL,Q104,FALSE),0)</f>
        <v>461</v>
      </c>
      <c r="Q104" s="2">
        <v>15</v>
      </c>
      <c r="T104" s="85"/>
    </row>
    <row r="105" spans="1:20" x14ac:dyDescent="0.15">
      <c r="A105" s="2" t="s">
        <v>16</v>
      </c>
      <c r="B105" s="17">
        <f>ROUND(VLOOKUP(B$87&amp;"_1",管理者用人口入力シート!A:X,D105,FALSE),0)</f>
        <v>354</v>
      </c>
      <c r="C105" s="17">
        <f>ROUND(VLOOKUP(B$87&amp;"_2",管理者用人口入力シート!A:X,D105,FALSE),0)</f>
        <v>549</v>
      </c>
      <c r="D105" s="2">
        <v>20</v>
      </c>
      <c r="G105" s="2" t="s">
        <v>12</v>
      </c>
      <c r="H105" s="17">
        <f>ROUND(VLOOKUP(H$91&amp;"_1",管理者用人口入力シート!BH:CE,J105,FALSE),0)</f>
        <v>439</v>
      </c>
      <c r="I105" s="17">
        <f>ROUND(VLOOKUP(H$91&amp;"_2",管理者用人口入力シート!BH:CE,J105,FALSE),0)</f>
        <v>440</v>
      </c>
      <c r="J105" s="2">
        <v>16</v>
      </c>
      <c r="K105" s="12"/>
      <c r="N105" s="2" t="s">
        <v>12</v>
      </c>
      <c r="O105" s="17">
        <f>ROUND(VLOOKUP(O$91&amp;"_1",管理者用人口入力シート!CO:DL,Q105,FALSE),0)</f>
        <v>439</v>
      </c>
      <c r="P105" s="17">
        <f>ROUND(VLOOKUP(O$91&amp;"_2",管理者用人口入力シート!CO:DL,Q105,FALSE),0)</f>
        <v>440</v>
      </c>
      <c r="Q105" s="2">
        <v>16</v>
      </c>
      <c r="T105" s="85"/>
    </row>
    <row r="106" spans="1:20" x14ac:dyDescent="0.15">
      <c r="A106" s="2" t="s">
        <v>17</v>
      </c>
      <c r="B106" s="17">
        <f>ROUND(VLOOKUP(B$87&amp;"_1",管理者用人口入力シート!A:X,D106,FALSE),0)</f>
        <v>243</v>
      </c>
      <c r="C106" s="17">
        <f>ROUND(VLOOKUP(B$87&amp;"_2",管理者用人口入力シート!A:X,D106,FALSE),0)</f>
        <v>419</v>
      </c>
      <c r="D106" s="2">
        <v>21</v>
      </c>
      <c r="G106" s="2" t="s">
        <v>13</v>
      </c>
      <c r="H106" s="17">
        <f>ROUND(VLOOKUP(H$91&amp;"_1",管理者用人口入力シート!BH:CE,J106,FALSE),0)</f>
        <v>452</v>
      </c>
      <c r="I106" s="17">
        <f>ROUND(VLOOKUP(H$91&amp;"_2",管理者用人口入力シート!BH:CE,J106,FALSE),0)</f>
        <v>528</v>
      </c>
      <c r="J106" s="2">
        <v>17</v>
      </c>
      <c r="K106" s="12"/>
      <c r="N106" s="2" t="s">
        <v>13</v>
      </c>
      <c r="O106" s="17">
        <f>ROUND(VLOOKUP(O$91&amp;"_1",管理者用人口入力シート!CO:DL,Q106,FALSE),0)</f>
        <v>452</v>
      </c>
      <c r="P106" s="17">
        <f>ROUND(VLOOKUP(O$91&amp;"_2",管理者用人口入力シート!CO:DL,Q106,FALSE),0)</f>
        <v>528</v>
      </c>
      <c r="Q106" s="2">
        <v>17</v>
      </c>
      <c r="T106" s="85"/>
    </row>
    <row r="107" spans="1:20" x14ac:dyDescent="0.15">
      <c r="A107" s="2" t="s">
        <v>18</v>
      </c>
      <c r="B107" s="17">
        <f>ROUND(VLOOKUP(B$87&amp;"_1",管理者用人口入力シート!A:X,D107,FALSE),0)</f>
        <v>76</v>
      </c>
      <c r="C107" s="17">
        <f>ROUND(VLOOKUP(B$87&amp;"_2",管理者用人口入力シート!A:X,D107,FALSE),0)</f>
        <v>210</v>
      </c>
      <c r="D107" s="2">
        <v>22</v>
      </c>
      <c r="G107" s="2" t="s">
        <v>14</v>
      </c>
      <c r="H107" s="17">
        <f>ROUND(VLOOKUP(H$91&amp;"_1",管理者用人口入力シート!BH:CE,J107,FALSE),0)</f>
        <v>473</v>
      </c>
      <c r="I107" s="17">
        <f>ROUND(VLOOKUP(H$91&amp;"_2",管理者用人口入力シート!BH:CE,J107,FALSE),0)</f>
        <v>549</v>
      </c>
      <c r="J107" s="2">
        <v>18</v>
      </c>
      <c r="K107" s="12"/>
      <c r="N107" s="2" t="s">
        <v>14</v>
      </c>
      <c r="O107" s="17">
        <f>ROUND(VLOOKUP(O$91&amp;"_1",管理者用人口入力シート!CO:DL,Q107,FALSE),0)</f>
        <v>473</v>
      </c>
      <c r="P107" s="17">
        <f>ROUND(VLOOKUP(O$91&amp;"_2",管理者用人口入力シート!CO:DL,Q107,FALSE),0)</f>
        <v>549</v>
      </c>
      <c r="Q107" s="2">
        <v>18</v>
      </c>
      <c r="T107" s="85"/>
    </row>
    <row r="108" spans="1:20" x14ac:dyDescent="0.15">
      <c r="A108" s="2" t="s">
        <v>19</v>
      </c>
      <c r="B108" s="17">
        <f>ROUND(VLOOKUP(B$87&amp;"_1",管理者用人口入力シート!A:X,D108,FALSE),0)</f>
        <v>15</v>
      </c>
      <c r="C108" s="17">
        <f>ROUND(VLOOKUP(B$87&amp;"_2",管理者用人口入力シート!A:X,D108,FALSE),0)</f>
        <v>59</v>
      </c>
      <c r="D108" s="2">
        <v>23</v>
      </c>
      <c r="G108" s="2" t="s">
        <v>15</v>
      </c>
      <c r="H108" s="17">
        <f>ROUND(VLOOKUP(H$91&amp;"_1",管理者用人口入力シート!BH:CE,J108,FALSE),0)</f>
        <v>499</v>
      </c>
      <c r="I108" s="17">
        <f>ROUND(VLOOKUP(H$91&amp;"_2",管理者用人口入力シート!BH:CE,J108,FALSE),0)</f>
        <v>634</v>
      </c>
      <c r="J108" s="2">
        <v>19</v>
      </c>
      <c r="K108" s="12"/>
      <c r="N108" s="2" t="s">
        <v>15</v>
      </c>
      <c r="O108" s="17">
        <f>ROUND(VLOOKUP(O$91&amp;"_1",管理者用人口入力シート!CO:DL,Q108,FALSE),0)</f>
        <v>499</v>
      </c>
      <c r="P108" s="17">
        <f>ROUND(VLOOKUP(O$91&amp;"_2",管理者用人口入力シート!CO:DL,Q108,FALSE),0)</f>
        <v>634</v>
      </c>
      <c r="Q108" s="2">
        <v>19</v>
      </c>
      <c r="T108" s="85"/>
    </row>
    <row r="109" spans="1:20" x14ac:dyDescent="0.15">
      <c r="A109" s="2" t="s">
        <v>20</v>
      </c>
      <c r="B109" s="17">
        <f>ROUND(VLOOKUP(B$87&amp;"_1",管理者用人口入力シート!A:X,D109,FALSE),0)</f>
        <v>2</v>
      </c>
      <c r="C109" s="17">
        <f>ROUND(VLOOKUP(B$87&amp;"_2",管理者用人口入力シート!A:X,D109,FALSE),0)</f>
        <v>11</v>
      </c>
      <c r="D109" s="2">
        <v>24</v>
      </c>
      <c r="G109" s="2" t="s">
        <v>16</v>
      </c>
      <c r="H109" s="17">
        <f>ROUND(VLOOKUP(H$91&amp;"_1",管理者用人口入力シート!BH:CE,J109,FALSE),0)</f>
        <v>464</v>
      </c>
      <c r="I109" s="17">
        <f>ROUND(VLOOKUP(H$91&amp;"_2",管理者用人口入力シート!BH:CE,J109,FALSE),0)</f>
        <v>665</v>
      </c>
      <c r="J109" s="2">
        <v>20</v>
      </c>
      <c r="K109" s="12"/>
      <c r="N109" s="2" t="s">
        <v>16</v>
      </c>
      <c r="O109" s="17">
        <f>ROUND(VLOOKUP(O$91&amp;"_1",管理者用人口入力シート!CO:DL,Q109,FALSE),0)</f>
        <v>464</v>
      </c>
      <c r="P109" s="17">
        <f>ROUND(VLOOKUP(O$91&amp;"_2",管理者用人口入力シート!CO:DL,Q109,FALSE),0)</f>
        <v>665</v>
      </c>
      <c r="Q109" s="2">
        <v>20</v>
      </c>
      <c r="T109" s="85"/>
    </row>
    <row r="110" spans="1:20" x14ac:dyDescent="0.15">
      <c r="G110" s="2" t="s">
        <v>17</v>
      </c>
      <c r="H110" s="17">
        <f>ROUND(VLOOKUP(H$91&amp;"_1",管理者用人口入力シート!BH:CE,J110,FALSE),0)</f>
        <v>215</v>
      </c>
      <c r="I110" s="17">
        <f>ROUND(VLOOKUP(H$91&amp;"_2",管理者用人口入力シート!BH:CE,J110,FALSE),0)</f>
        <v>349</v>
      </c>
      <c r="J110" s="2">
        <v>21</v>
      </c>
      <c r="K110" s="12"/>
      <c r="N110" s="2" t="s">
        <v>17</v>
      </c>
      <c r="O110" s="17">
        <f>ROUND(VLOOKUP(O$91&amp;"_1",管理者用人口入力シート!CO:DL,Q110,FALSE),0)</f>
        <v>215</v>
      </c>
      <c r="P110" s="17">
        <f>ROUND(VLOOKUP(O$91&amp;"_2",管理者用人口入力シート!CO:DL,Q110,FALSE),0)</f>
        <v>349</v>
      </c>
      <c r="Q110" s="2">
        <v>21</v>
      </c>
      <c r="T110" s="85"/>
    </row>
    <row r="111" spans="1:20" x14ac:dyDescent="0.15">
      <c r="G111" s="2" t="s">
        <v>18</v>
      </c>
      <c r="H111" s="17">
        <f>ROUND(VLOOKUP(H$91&amp;"_1",管理者用人口入力シート!BH:CE,J111,FALSE),0)</f>
        <v>93</v>
      </c>
      <c r="I111" s="17">
        <f>ROUND(VLOOKUP(H$91&amp;"_2",管理者用人口入力シート!BH:CE,J111,FALSE),0)</f>
        <v>232</v>
      </c>
      <c r="J111" s="2">
        <v>22</v>
      </c>
      <c r="K111" s="12"/>
      <c r="N111" s="2" t="s">
        <v>18</v>
      </c>
      <c r="O111" s="17">
        <f>ROUND(VLOOKUP(O$91&amp;"_1",管理者用人口入力シート!CO:DL,Q111,FALSE),0)</f>
        <v>93</v>
      </c>
      <c r="P111" s="17">
        <f>ROUND(VLOOKUP(O$91&amp;"_2",管理者用人口入力シート!CO:DL,Q111,FALSE),0)</f>
        <v>232</v>
      </c>
      <c r="Q111" s="2">
        <v>22</v>
      </c>
      <c r="T111" s="85"/>
    </row>
    <row r="112" spans="1:20" x14ac:dyDescent="0.15">
      <c r="G112" s="2" t="s">
        <v>19</v>
      </c>
      <c r="H112" s="17">
        <f>ROUND(VLOOKUP(H$91&amp;"_1",管理者用人口入力シート!BH:CE,J112,FALSE),0)</f>
        <v>37</v>
      </c>
      <c r="I112" s="17">
        <f>ROUND(VLOOKUP(H$91&amp;"_2",管理者用人口入力シート!BH:CE,J112,FALSE),0)</f>
        <v>82</v>
      </c>
      <c r="J112" s="2">
        <v>23</v>
      </c>
      <c r="K112" s="12"/>
      <c r="N112" s="2" t="s">
        <v>19</v>
      </c>
      <c r="O112" s="17">
        <f>ROUND(VLOOKUP(O$91&amp;"_1",管理者用人口入力シート!CO:DL,Q112,FALSE),0)</f>
        <v>37</v>
      </c>
      <c r="P112" s="17">
        <f>ROUND(VLOOKUP(O$91&amp;"_2",管理者用人口入力シート!CO:DL,Q112,FALSE),0)</f>
        <v>82</v>
      </c>
      <c r="Q112" s="2">
        <v>23</v>
      </c>
      <c r="T112" s="85"/>
    </row>
    <row r="113" spans="7:20" x14ac:dyDescent="0.15">
      <c r="G113" s="2" t="s">
        <v>20</v>
      </c>
      <c r="H113" s="17">
        <f>ROUND(VLOOKUP(H$91&amp;"_1",管理者用人口入力シート!BH:CE,J113,FALSE),0)</f>
        <v>0</v>
      </c>
      <c r="I113" s="17">
        <f>ROUND(VLOOKUP(H$91&amp;"_2",管理者用人口入力シート!BH:CE,J113,FALSE),0)</f>
        <v>12</v>
      </c>
      <c r="J113" s="2">
        <v>24</v>
      </c>
      <c r="K113" s="12"/>
      <c r="N113" s="2" t="s">
        <v>20</v>
      </c>
      <c r="O113" s="17">
        <f>ROUND(VLOOKUP(O$91&amp;"_1",管理者用人口入力シート!CO:DL,Q113,FALSE),0)</f>
        <v>0</v>
      </c>
      <c r="P113" s="17">
        <f>ROUND(VLOOKUP(O$91&amp;"_2",管理者用人口入力シート!CO:DL,Q113,FALSE),0)</f>
        <v>12</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164</v>
      </c>
      <c r="I117" s="17">
        <f>ROUND(VLOOKUP(H$115&amp;"_2",管理者用人口入力シート!BH:CE,J117,FALSE),0)</f>
        <v>185</v>
      </c>
      <c r="J117" s="2">
        <v>4</v>
      </c>
      <c r="N117" s="2" t="s">
        <v>0</v>
      </c>
      <c r="O117" s="17">
        <f>ROUND(VLOOKUP(O$115&amp;"_1",管理者用人口入力シート!CO:DL,Q117,FALSE),0)</f>
        <v>166</v>
      </c>
      <c r="P117" s="17">
        <f>ROUND(VLOOKUP(O$115&amp;"_2",管理者用人口入力シート!CO:DL,Q117,FALSE),0)</f>
        <v>187</v>
      </c>
      <c r="Q117" s="2">
        <v>4</v>
      </c>
      <c r="T117" s="85"/>
    </row>
    <row r="118" spans="7:20" x14ac:dyDescent="0.15">
      <c r="G118" s="2" t="s">
        <v>1</v>
      </c>
      <c r="H118" s="17">
        <f>ROUND(VLOOKUP(H$115&amp;"_1",管理者用人口入力シート!BH:CE,J118,FALSE),0)</f>
        <v>186</v>
      </c>
      <c r="I118" s="17">
        <f>ROUND(VLOOKUP(H$115&amp;"_2",管理者用人口入力シート!BH:CE,J118,FALSE),0)</f>
        <v>209</v>
      </c>
      <c r="J118" s="2">
        <v>5</v>
      </c>
      <c r="N118" s="2" t="s">
        <v>1</v>
      </c>
      <c r="O118" s="17">
        <f>ROUND(VLOOKUP(O$115&amp;"_1",管理者用人口入力シート!CO:DL,Q118,FALSE),0)</f>
        <v>188</v>
      </c>
      <c r="P118" s="17">
        <f>ROUND(VLOOKUP(O$115&amp;"_2",管理者用人口入力シート!CO:DL,Q118,FALSE),0)</f>
        <v>211</v>
      </c>
      <c r="Q118" s="2">
        <v>5</v>
      </c>
      <c r="T118" s="85"/>
    </row>
    <row r="119" spans="7:20" x14ac:dyDescent="0.15">
      <c r="G119" s="2" t="s">
        <v>2</v>
      </c>
      <c r="H119" s="17">
        <f>ROUND(VLOOKUP(H$115&amp;"_1",管理者用人口入力シート!BH:CE,J119,FALSE),0)</f>
        <v>219</v>
      </c>
      <c r="I119" s="17">
        <f>ROUND(VLOOKUP(H$115&amp;"_2",管理者用人口入力シート!BH:CE,J119,FALSE),0)</f>
        <v>244</v>
      </c>
      <c r="J119" s="2">
        <v>6</v>
      </c>
      <c r="N119" s="2" t="s">
        <v>2</v>
      </c>
      <c r="O119" s="17">
        <f>ROUND(VLOOKUP(O$115&amp;"_1",管理者用人口入力シート!CO:DL,Q119,FALSE),0)</f>
        <v>221</v>
      </c>
      <c r="P119" s="17">
        <f>ROUND(VLOOKUP(O$115&amp;"_2",管理者用人口入力シート!CO:DL,Q119,FALSE),0)</f>
        <v>247</v>
      </c>
      <c r="Q119" s="2">
        <v>6</v>
      </c>
      <c r="T119" s="85"/>
    </row>
    <row r="120" spans="7:20" x14ac:dyDescent="0.15">
      <c r="G120" s="2" t="s">
        <v>3</v>
      </c>
      <c r="H120" s="17">
        <f>ROUND(VLOOKUP(H$115&amp;"_1",管理者用人口入力シート!BH:CE,J120,FALSE),0)</f>
        <v>307</v>
      </c>
      <c r="I120" s="17">
        <f>ROUND(VLOOKUP(H$115&amp;"_2",管理者用人口入力シート!BH:CE,J120,FALSE),0)</f>
        <v>287</v>
      </c>
      <c r="J120" s="2">
        <v>7</v>
      </c>
      <c r="N120" s="2" t="s">
        <v>3</v>
      </c>
      <c r="O120" s="17">
        <f>ROUND(VLOOKUP(O$115&amp;"_1",管理者用人口入力シート!CO:DL,Q120,FALSE),0)</f>
        <v>308</v>
      </c>
      <c r="P120" s="17">
        <f>ROUND(VLOOKUP(O$115&amp;"_2",管理者用人口入力シート!CO:DL,Q120,FALSE),0)</f>
        <v>288</v>
      </c>
      <c r="Q120" s="2">
        <v>7</v>
      </c>
      <c r="T120" s="85"/>
    </row>
    <row r="121" spans="7:20" x14ac:dyDescent="0.15">
      <c r="G121" s="2" t="s">
        <v>4</v>
      </c>
      <c r="H121" s="17">
        <f>ROUND(VLOOKUP(H$115&amp;"_1",管理者用人口入力シート!BH:CE,J121,FALSE),0)</f>
        <v>178</v>
      </c>
      <c r="I121" s="17">
        <f>ROUND(VLOOKUP(H$115&amp;"_2",管理者用人口入力シート!BH:CE,J121,FALSE),0)</f>
        <v>168</v>
      </c>
      <c r="J121" s="2">
        <v>8</v>
      </c>
      <c r="N121" s="2" t="s">
        <v>4</v>
      </c>
      <c r="O121" s="17">
        <f>ROUND(VLOOKUP(O$115&amp;"_1",管理者用人口入力シート!CO:DL,Q121,FALSE),0)</f>
        <v>179</v>
      </c>
      <c r="P121" s="17">
        <f>ROUND(VLOOKUP(O$115&amp;"_2",管理者用人口入力シート!CO:DL,Q121,FALSE),0)</f>
        <v>169</v>
      </c>
      <c r="Q121" s="2">
        <v>8</v>
      </c>
      <c r="T121" s="85"/>
    </row>
    <row r="122" spans="7:20" x14ac:dyDescent="0.15">
      <c r="G122" s="2" t="s">
        <v>5</v>
      </c>
      <c r="H122" s="17">
        <f>ROUND(VLOOKUP(H$115&amp;"_1",管理者用人口入力シート!BH:CE,J122,FALSE),0)</f>
        <v>268</v>
      </c>
      <c r="I122" s="17">
        <f>ROUND(VLOOKUP(H$115&amp;"_2",管理者用人口入力シート!BH:CE,J122,FALSE),0)</f>
        <v>188</v>
      </c>
      <c r="J122" s="2">
        <v>9</v>
      </c>
      <c r="N122" s="2" t="s">
        <v>5</v>
      </c>
      <c r="O122" s="17">
        <f>ROUND(VLOOKUP(O$115&amp;"_1",管理者用人口入力シート!CO:DL,Q122,FALSE),0)</f>
        <v>270</v>
      </c>
      <c r="P122" s="17">
        <f>ROUND(VLOOKUP(O$115&amp;"_2",管理者用人口入力シート!CO:DL,Q122,FALSE),0)</f>
        <v>190</v>
      </c>
      <c r="Q122" s="2">
        <v>9</v>
      </c>
      <c r="T122" s="85"/>
    </row>
    <row r="123" spans="7:20" x14ac:dyDescent="0.15">
      <c r="G123" s="2" t="s">
        <v>6</v>
      </c>
      <c r="H123" s="17">
        <f>ROUND(VLOOKUP(H$115&amp;"_1",管理者用人口入力シート!BH:CE,J123,FALSE),0)</f>
        <v>298</v>
      </c>
      <c r="I123" s="17">
        <f>ROUND(VLOOKUP(H$115&amp;"_2",管理者用人口入力シート!BH:CE,J123,FALSE),0)</f>
        <v>194</v>
      </c>
      <c r="J123" s="2">
        <v>10</v>
      </c>
      <c r="N123" s="2" t="s">
        <v>6</v>
      </c>
      <c r="O123" s="17">
        <f>ROUND(VLOOKUP(O$115&amp;"_1",管理者用人口入力シート!CO:DL,Q123,FALSE),0)</f>
        <v>300</v>
      </c>
      <c r="P123" s="17">
        <f>ROUND(VLOOKUP(O$115&amp;"_2",管理者用人口入力シート!CO:DL,Q123,FALSE),0)</f>
        <v>196</v>
      </c>
      <c r="Q123" s="2">
        <v>10</v>
      </c>
      <c r="T123" s="85"/>
    </row>
    <row r="124" spans="7:20" x14ac:dyDescent="0.15">
      <c r="G124" s="2" t="s">
        <v>7</v>
      </c>
      <c r="H124" s="17">
        <f>ROUND(VLOOKUP(H$115&amp;"_1",管理者用人口入力シート!BH:CE,J124,FALSE),0)</f>
        <v>285</v>
      </c>
      <c r="I124" s="17">
        <f>ROUND(VLOOKUP(H$115&amp;"_2",管理者用人口入力シート!BH:CE,J124,FALSE),0)</f>
        <v>227</v>
      </c>
      <c r="J124" s="2">
        <v>11</v>
      </c>
      <c r="N124" s="2" t="s">
        <v>7</v>
      </c>
      <c r="O124" s="17">
        <f>ROUND(VLOOKUP(O$115&amp;"_1",管理者用人口入力シート!CO:DL,Q124,FALSE),0)</f>
        <v>287</v>
      </c>
      <c r="P124" s="17">
        <f>ROUND(VLOOKUP(O$115&amp;"_2",管理者用人口入力シート!CO:DL,Q124,FALSE),0)</f>
        <v>229</v>
      </c>
      <c r="Q124" s="2">
        <v>11</v>
      </c>
      <c r="T124" s="85"/>
    </row>
    <row r="125" spans="7:20" x14ac:dyDescent="0.15">
      <c r="G125" s="2" t="s">
        <v>8</v>
      </c>
      <c r="H125" s="17">
        <f>ROUND(VLOOKUP(H$115&amp;"_1",管理者用人口入力シート!BH:CE,J125,FALSE),0)</f>
        <v>264</v>
      </c>
      <c r="I125" s="17">
        <f>ROUND(VLOOKUP(H$115&amp;"_2",管理者用人口入力シート!BH:CE,J125,FALSE),0)</f>
        <v>221</v>
      </c>
      <c r="J125" s="2">
        <v>12</v>
      </c>
      <c r="N125" s="2" t="s">
        <v>8</v>
      </c>
      <c r="O125" s="17">
        <f>ROUND(VLOOKUP(O$115&amp;"_1",管理者用人口入力シート!CO:DL,Q125,FALSE),0)</f>
        <v>264</v>
      </c>
      <c r="P125" s="17">
        <f>ROUND(VLOOKUP(O$115&amp;"_2",管理者用人口入力シート!CO:DL,Q125,FALSE),0)</f>
        <v>222</v>
      </c>
      <c r="Q125" s="2">
        <v>12</v>
      </c>
      <c r="T125" s="85"/>
    </row>
    <row r="126" spans="7:20" x14ac:dyDescent="0.15">
      <c r="G126" s="2" t="s">
        <v>9</v>
      </c>
      <c r="H126" s="17">
        <f>ROUND(VLOOKUP(H$115&amp;"_1",管理者用人口入力シート!BH:CE,J126,FALSE),0)</f>
        <v>309</v>
      </c>
      <c r="I126" s="17">
        <f>ROUND(VLOOKUP(H$115&amp;"_2",管理者用人口入力シート!BH:CE,J126,FALSE),0)</f>
        <v>294</v>
      </c>
      <c r="J126" s="2">
        <v>13</v>
      </c>
      <c r="N126" s="2" t="s">
        <v>9</v>
      </c>
      <c r="O126" s="17">
        <f>ROUND(VLOOKUP(O$115&amp;"_1",管理者用人口入力シート!CO:DL,Q126,FALSE),0)</f>
        <v>309</v>
      </c>
      <c r="P126" s="17">
        <f>ROUND(VLOOKUP(O$115&amp;"_2",管理者用人口入力シート!CO:DL,Q126,FALSE),0)</f>
        <v>295</v>
      </c>
      <c r="Q126" s="2">
        <v>13</v>
      </c>
      <c r="T126" s="85"/>
    </row>
    <row r="127" spans="7:20" x14ac:dyDescent="0.15">
      <c r="G127" s="2" t="s">
        <v>10</v>
      </c>
      <c r="H127" s="17">
        <f>ROUND(VLOOKUP(H$115&amp;"_1",管理者用人口入力シート!BH:CE,J127,FALSE),0)</f>
        <v>343</v>
      </c>
      <c r="I127" s="17">
        <f>ROUND(VLOOKUP(H$115&amp;"_2",管理者用人口入力シート!BH:CE,J127,FALSE),0)</f>
        <v>374</v>
      </c>
      <c r="J127" s="2">
        <v>14</v>
      </c>
      <c r="N127" s="2" t="s">
        <v>10</v>
      </c>
      <c r="O127" s="17">
        <f>ROUND(VLOOKUP(O$115&amp;"_1",管理者用人口入力シート!CO:DL,Q127,FALSE),0)</f>
        <v>343</v>
      </c>
      <c r="P127" s="17">
        <f>ROUND(VLOOKUP(O$115&amp;"_2",管理者用人口入力シート!CO:DL,Q127,FALSE),0)</f>
        <v>375</v>
      </c>
      <c r="Q127" s="2">
        <v>14</v>
      </c>
      <c r="T127" s="85"/>
    </row>
    <row r="128" spans="7:20" x14ac:dyDescent="0.15">
      <c r="G128" s="2" t="s">
        <v>11</v>
      </c>
      <c r="H128" s="17">
        <f>ROUND(VLOOKUP(H$115&amp;"_1",管理者用人口入力シート!BH:CE,J128,FALSE),0)</f>
        <v>428</v>
      </c>
      <c r="I128" s="17">
        <f>ROUND(VLOOKUP(H$115&amp;"_2",管理者用人口入力シート!BH:CE,J128,FALSE),0)</f>
        <v>442</v>
      </c>
      <c r="J128" s="2">
        <v>15</v>
      </c>
      <c r="N128" s="2" t="s">
        <v>11</v>
      </c>
      <c r="O128" s="17">
        <f>ROUND(VLOOKUP(O$115&amp;"_1",管理者用人口入力シート!CO:DL,Q128,FALSE),0)</f>
        <v>428</v>
      </c>
      <c r="P128" s="17">
        <f>ROUND(VLOOKUP(O$115&amp;"_2",管理者用人口入力シート!CO:DL,Q128,FALSE),0)</f>
        <v>442</v>
      </c>
      <c r="Q128" s="2">
        <v>15</v>
      </c>
      <c r="T128" s="85"/>
    </row>
    <row r="129" spans="7:20" x14ac:dyDescent="0.15">
      <c r="G129" s="2" t="s">
        <v>12</v>
      </c>
      <c r="H129" s="17">
        <f>ROUND(VLOOKUP(H$115&amp;"_1",管理者用人口入力シート!BH:CE,J129,FALSE),0)</f>
        <v>492</v>
      </c>
      <c r="I129" s="17">
        <f>ROUND(VLOOKUP(H$115&amp;"_2",管理者用人口入力シート!BH:CE,J129,FALSE),0)</f>
        <v>459</v>
      </c>
      <c r="J129" s="2">
        <v>16</v>
      </c>
      <c r="N129" s="2" t="s">
        <v>12</v>
      </c>
      <c r="O129" s="17">
        <f>ROUND(VLOOKUP(O$115&amp;"_1",管理者用人口入力シート!CO:DL,Q129,FALSE),0)</f>
        <v>492</v>
      </c>
      <c r="P129" s="17">
        <f>ROUND(VLOOKUP(O$115&amp;"_2",管理者用人口入力シート!CO:DL,Q129,FALSE),0)</f>
        <v>459</v>
      </c>
      <c r="Q129" s="2">
        <v>16</v>
      </c>
      <c r="T129" s="85"/>
    </row>
    <row r="130" spans="7:20" x14ac:dyDescent="0.15">
      <c r="G130" s="2" t="s">
        <v>13</v>
      </c>
      <c r="H130" s="17">
        <f>ROUND(VLOOKUP(H$115&amp;"_1",管理者用人口入力シート!BH:CE,J130,FALSE),0)</f>
        <v>424</v>
      </c>
      <c r="I130" s="17">
        <f>ROUND(VLOOKUP(H$115&amp;"_2",管理者用人口入力シート!BH:CE,J130,FALSE),0)</f>
        <v>429</v>
      </c>
      <c r="J130" s="2">
        <v>17</v>
      </c>
      <c r="N130" s="2" t="s">
        <v>13</v>
      </c>
      <c r="O130" s="17">
        <f>ROUND(VLOOKUP(O$115&amp;"_1",管理者用人口入力シート!CO:DL,Q130,FALSE),0)</f>
        <v>424</v>
      </c>
      <c r="P130" s="17">
        <f>ROUND(VLOOKUP(O$115&amp;"_2",管理者用人口入力シート!CO:DL,Q130,FALSE),0)</f>
        <v>429</v>
      </c>
      <c r="Q130" s="2">
        <v>17</v>
      </c>
      <c r="T130" s="85"/>
    </row>
    <row r="131" spans="7:20" x14ac:dyDescent="0.15">
      <c r="G131" s="2" t="s">
        <v>14</v>
      </c>
      <c r="H131" s="17">
        <f>ROUND(VLOOKUP(H$115&amp;"_1",管理者用人口入力シート!BH:CE,J131,FALSE),0)</f>
        <v>404</v>
      </c>
      <c r="I131" s="17">
        <f>ROUND(VLOOKUP(H$115&amp;"_2",管理者用人口入力シート!BH:CE,J131,FALSE),0)</f>
        <v>495</v>
      </c>
      <c r="J131" s="2">
        <v>18</v>
      </c>
      <c r="N131" s="2" t="s">
        <v>14</v>
      </c>
      <c r="O131" s="17">
        <f>ROUND(VLOOKUP(O$115&amp;"_1",管理者用人口入力シート!CO:DL,Q131,FALSE),0)</f>
        <v>404</v>
      </c>
      <c r="P131" s="17">
        <f>ROUND(VLOOKUP(O$115&amp;"_2",管理者用人口入力シート!CO:DL,Q131,FALSE),0)</f>
        <v>495</v>
      </c>
      <c r="Q131" s="2">
        <v>18</v>
      </c>
      <c r="T131" s="85"/>
    </row>
    <row r="132" spans="7:20" x14ac:dyDescent="0.15">
      <c r="G132" s="2" t="s">
        <v>15</v>
      </c>
      <c r="H132" s="17">
        <f>ROUND(VLOOKUP(H$115&amp;"_1",管理者用人口入力シート!BH:CE,J132,FALSE),0)</f>
        <v>419</v>
      </c>
      <c r="I132" s="17">
        <f>ROUND(VLOOKUP(H$115&amp;"_2",管理者用人口入力シート!BH:CE,J132,FALSE),0)</f>
        <v>520</v>
      </c>
      <c r="J132" s="2">
        <v>19</v>
      </c>
      <c r="N132" s="2" t="s">
        <v>15</v>
      </c>
      <c r="O132" s="17">
        <f>ROUND(VLOOKUP(O$115&amp;"_1",管理者用人口入力シート!CO:DL,Q132,FALSE),0)</f>
        <v>419</v>
      </c>
      <c r="P132" s="17">
        <f>ROUND(VLOOKUP(O$115&amp;"_2",管理者用人口入力シート!CO:DL,Q132,FALSE),0)</f>
        <v>520</v>
      </c>
      <c r="Q132" s="2">
        <v>19</v>
      </c>
      <c r="T132" s="85"/>
    </row>
    <row r="133" spans="7:20" x14ac:dyDescent="0.15">
      <c r="G133" s="2" t="s">
        <v>16</v>
      </c>
      <c r="H133" s="17">
        <f>ROUND(VLOOKUP(H$115&amp;"_1",管理者用人口入力シート!BH:CE,J133,FALSE),0)</f>
        <v>389</v>
      </c>
      <c r="I133" s="17">
        <f>ROUND(VLOOKUP(H$115&amp;"_2",管理者用人口入力シート!BH:CE,J133,FALSE),0)</f>
        <v>565</v>
      </c>
      <c r="J133" s="2">
        <v>20</v>
      </c>
      <c r="N133" s="2" t="s">
        <v>16</v>
      </c>
      <c r="O133" s="17">
        <f>ROUND(VLOOKUP(O$115&amp;"_1",管理者用人口入力シート!CO:DL,Q133,FALSE),0)</f>
        <v>389</v>
      </c>
      <c r="P133" s="17">
        <f>ROUND(VLOOKUP(O$115&amp;"_2",管理者用人口入力シート!CO:DL,Q133,FALSE),0)</f>
        <v>565</v>
      </c>
      <c r="Q133" s="2">
        <v>20</v>
      </c>
      <c r="T133" s="85"/>
    </row>
    <row r="134" spans="7:20" x14ac:dyDescent="0.15">
      <c r="G134" s="2" t="s">
        <v>17</v>
      </c>
      <c r="H134" s="17">
        <f>ROUND(VLOOKUP(H$115&amp;"_1",管理者用人口入力シート!BH:CE,J134,FALSE),0)</f>
        <v>290</v>
      </c>
      <c r="I134" s="17">
        <f>ROUND(VLOOKUP(H$115&amp;"_2",管理者用人口入力シート!BH:CE,J134,FALSE),0)</f>
        <v>487</v>
      </c>
      <c r="J134" s="2">
        <v>21</v>
      </c>
      <c r="N134" s="2" t="s">
        <v>17</v>
      </c>
      <c r="O134" s="17">
        <f>ROUND(VLOOKUP(O$115&amp;"_1",管理者用人口入力シート!CO:DL,Q134,FALSE),0)</f>
        <v>290</v>
      </c>
      <c r="P134" s="17">
        <f>ROUND(VLOOKUP(O$115&amp;"_2",管理者用人口入力シート!CO:DL,Q134,FALSE),0)</f>
        <v>487</v>
      </c>
      <c r="Q134" s="2">
        <v>21</v>
      </c>
      <c r="T134" s="85"/>
    </row>
    <row r="135" spans="7:20" x14ac:dyDescent="0.15">
      <c r="G135" s="2" t="s">
        <v>18</v>
      </c>
      <c r="H135" s="17">
        <f>ROUND(VLOOKUP(H$115&amp;"_1",管理者用人口入力シート!BH:CE,J135,FALSE),0)</f>
        <v>90</v>
      </c>
      <c r="I135" s="17">
        <f>ROUND(VLOOKUP(H$115&amp;"_2",管理者用人口入力シート!BH:CE,J135,FALSE),0)</f>
        <v>202</v>
      </c>
      <c r="J135" s="2">
        <v>22</v>
      </c>
      <c r="N135" s="2" t="s">
        <v>18</v>
      </c>
      <c r="O135" s="17">
        <f>ROUND(VLOOKUP(O$115&amp;"_1",管理者用人口入力シート!CO:DL,Q135,FALSE),0)</f>
        <v>90</v>
      </c>
      <c r="P135" s="17">
        <f>ROUND(VLOOKUP(O$115&amp;"_2",管理者用人口入力シート!CO:DL,Q135,FALSE),0)</f>
        <v>202</v>
      </c>
      <c r="Q135" s="2">
        <v>22</v>
      </c>
      <c r="T135" s="85"/>
    </row>
    <row r="136" spans="7:20" x14ac:dyDescent="0.15">
      <c r="G136" s="2" t="s">
        <v>19</v>
      </c>
      <c r="H136" s="17">
        <f>ROUND(VLOOKUP(H$115&amp;"_1",管理者用人口入力シート!BH:CE,J136,FALSE),0)</f>
        <v>34</v>
      </c>
      <c r="I136" s="17">
        <f>ROUND(VLOOKUP(H$115&amp;"_2",管理者用人口入力シート!BH:CE,J136,FALSE),0)</f>
        <v>79</v>
      </c>
      <c r="J136" s="2">
        <v>23</v>
      </c>
      <c r="N136" s="2" t="s">
        <v>19</v>
      </c>
      <c r="O136" s="17">
        <f>ROUND(VLOOKUP(O$115&amp;"_1",管理者用人口入力シート!CO:DL,Q136,FALSE),0)</f>
        <v>34</v>
      </c>
      <c r="P136" s="17">
        <f>ROUND(VLOOKUP(O$115&amp;"_2",管理者用人口入力シート!CO:DL,Q136,FALSE),0)</f>
        <v>79</v>
      </c>
      <c r="Q136" s="2">
        <v>23</v>
      </c>
      <c r="T136" s="85"/>
    </row>
    <row r="137" spans="7:20" x14ac:dyDescent="0.15">
      <c r="G137" s="2" t="s">
        <v>20</v>
      </c>
      <c r="H137" s="17">
        <f>ROUND(VLOOKUP(H$115&amp;"_1",管理者用人口入力シート!BH:CE,J137,FALSE),0)</f>
        <v>0</v>
      </c>
      <c r="I137" s="17">
        <f>ROUND(VLOOKUP(H$115&amp;"_2",管理者用人口入力シート!BH:CE,J137,FALSE),0)</f>
        <v>14</v>
      </c>
      <c r="J137" s="2">
        <v>24</v>
      </c>
      <c r="N137" s="2" t="s">
        <v>20</v>
      </c>
      <c r="O137" s="17">
        <f>ROUND(VLOOKUP(O$115&amp;"_1",管理者用人口入力シート!CO:DL,Q137,FALSE),0)</f>
        <v>0</v>
      </c>
      <c r="P137" s="17">
        <f>ROUND(VLOOKUP(O$115&amp;"_2",管理者用人口入力シート!CO:DL,Q137,FALSE),0)</f>
        <v>14</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149</v>
      </c>
      <c r="I141" s="17">
        <f>ROUND(VLOOKUP(H$139&amp;"_2",管理者用人口入力シート!BH:CE,J141,FALSE),0)</f>
        <v>168</v>
      </c>
      <c r="J141" s="2">
        <v>4</v>
      </c>
      <c r="N141" s="2" t="s">
        <v>0</v>
      </c>
      <c r="O141" s="17">
        <f>ROUND(VLOOKUP(O$139&amp;"_1",管理者用人口入力シート!CO:DL,Q141,FALSE),0)</f>
        <v>151</v>
      </c>
      <c r="P141" s="17">
        <f>ROUND(VLOOKUP(O$139&amp;"_2",管理者用人口入力シート!CO:DL,Q141,FALSE),0)</f>
        <v>170</v>
      </c>
      <c r="Q141" s="2">
        <v>4</v>
      </c>
    </row>
    <row r="142" spans="7:20" x14ac:dyDescent="0.15">
      <c r="G142" s="2" t="s">
        <v>1</v>
      </c>
      <c r="H142" s="17">
        <f>ROUND(VLOOKUP(H$139&amp;"_1",管理者用人口入力シート!BH:CE,J142,FALSE),0)</f>
        <v>172</v>
      </c>
      <c r="I142" s="17">
        <f>ROUND(VLOOKUP(H$139&amp;"_2",管理者用人口入力シート!BH:CE,J142,FALSE),0)</f>
        <v>193</v>
      </c>
      <c r="J142" s="2">
        <v>5</v>
      </c>
      <c r="N142" s="2" t="s">
        <v>1</v>
      </c>
      <c r="O142" s="17">
        <f>ROUND(VLOOKUP(O$139&amp;"_1",管理者用人口入力シート!CO:DL,Q142,FALSE),0)</f>
        <v>174</v>
      </c>
      <c r="P142" s="17">
        <f>ROUND(VLOOKUP(O$139&amp;"_2",管理者用人口入力シート!CO:DL,Q142,FALSE),0)</f>
        <v>196</v>
      </c>
      <c r="Q142" s="2">
        <v>5</v>
      </c>
    </row>
    <row r="143" spans="7:20" x14ac:dyDescent="0.15">
      <c r="G143" s="2" t="s">
        <v>2</v>
      </c>
      <c r="H143" s="17">
        <f>ROUND(VLOOKUP(H$139&amp;"_1",管理者用人口入力シート!BH:CE,J143,FALSE),0)</f>
        <v>190</v>
      </c>
      <c r="I143" s="17">
        <f>ROUND(VLOOKUP(H$139&amp;"_2",管理者用人口入力シート!BH:CE,J143,FALSE),0)</f>
        <v>212</v>
      </c>
      <c r="J143" s="2">
        <v>6</v>
      </c>
      <c r="N143" s="2" t="s">
        <v>2</v>
      </c>
      <c r="O143" s="17">
        <f>ROUND(VLOOKUP(O$139&amp;"_1",管理者用人口入力シート!CO:DL,Q143,FALSE),0)</f>
        <v>193</v>
      </c>
      <c r="P143" s="17">
        <f>ROUND(VLOOKUP(O$139&amp;"_2",管理者用人口入力シート!CO:DL,Q143,FALSE),0)</f>
        <v>215</v>
      </c>
      <c r="Q143" s="2">
        <v>6</v>
      </c>
    </row>
    <row r="144" spans="7:20" x14ac:dyDescent="0.15">
      <c r="G144" s="2" t="s">
        <v>3</v>
      </c>
      <c r="H144" s="17">
        <f>ROUND(VLOOKUP(H$139&amp;"_1",管理者用人口入力シート!BH:CE,J144,FALSE),0)</f>
        <v>252</v>
      </c>
      <c r="I144" s="17">
        <f>ROUND(VLOOKUP(H$139&amp;"_2",管理者用人口入力シート!BH:CE,J144,FALSE),0)</f>
        <v>236</v>
      </c>
      <c r="J144" s="2">
        <v>7</v>
      </c>
      <c r="N144" s="2" t="s">
        <v>3</v>
      </c>
      <c r="O144" s="17">
        <f>ROUND(VLOOKUP(O$139&amp;"_1",管理者用人口入力シート!CO:DL,Q144,FALSE),0)</f>
        <v>255</v>
      </c>
      <c r="P144" s="17">
        <f>ROUND(VLOOKUP(O$139&amp;"_2",管理者用人口入力シート!CO:DL,Q144,FALSE),0)</f>
        <v>238</v>
      </c>
      <c r="Q144" s="2">
        <v>7</v>
      </c>
    </row>
    <row r="145" spans="7:17" x14ac:dyDescent="0.15">
      <c r="G145" s="2" t="s">
        <v>4</v>
      </c>
      <c r="H145" s="17">
        <f>ROUND(VLOOKUP(H$139&amp;"_1",管理者用人口入力シート!BH:CE,J145,FALSE),0)</f>
        <v>138</v>
      </c>
      <c r="I145" s="17">
        <f>ROUND(VLOOKUP(H$139&amp;"_2",管理者用人口入力シート!BH:CE,J145,FALSE),0)</f>
        <v>152</v>
      </c>
      <c r="J145" s="2">
        <v>8</v>
      </c>
      <c r="N145" s="2" t="s">
        <v>4</v>
      </c>
      <c r="O145" s="17">
        <f>ROUND(VLOOKUP(O$139&amp;"_1",管理者用人口入力シート!CO:DL,Q145,FALSE),0)</f>
        <v>138</v>
      </c>
      <c r="P145" s="17">
        <f>ROUND(VLOOKUP(O$139&amp;"_2",管理者用人口入力シート!CO:DL,Q145,FALSE),0)</f>
        <v>153</v>
      </c>
      <c r="Q145" s="2">
        <v>8</v>
      </c>
    </row>
    <row r="146" spans="7:17" x14ac:dyDescent="0.15">
      <c r="G146" s="2" t="s">
        <v>5</v>
      </c>
      <c r="H146" s="17">
        <f>ROUND(VLOOKUP(H$139&amp;"_1",管理者用人口入力シート!BH:CE,J146,FALSE),0)</f>
        <v>224</v>
      </c>
      <c r="I146" s="17">
        <f>ROUND(VLOOKUP(H$139&amp;"_2",管理者用人口入力シート!BH:CE,J146,FALSE),0)</f>
        <v>172</v>
      </c>
      <c r="J146" s="2">
        <v>9</v>
      </c>
      <c r="N146" s="2" t="s">
        <v>5</v>
      </c>
      <c r="O146" s="17">
        <f>ROUND(VLOOKUP(O$139&amp;"_1",管理者用人口入力シート!CO:DL,Q146,FALSE),0)</f>
        <v>227</v>
      </c>
      <c r="P146" s="17">
        <f>ROUND(VLOOKUP(O$139&amp;"_2",管理者用人口入力シート!CO:DL,Q146,FALSE),0)</f>
        <v>175</v>
      </c>
      <c r="Q146" s="2">
        <v>9</v>
      </c>
    </row>
    <row r="147" spans="7:17" x14ac:dyDescent="0.15">
      <c r="G147" s="2" t="s">
        <v>6</v>
      </c>
      <c r="H147" s="17">
        <f>ROUND(VLOOKUP(H$139&amp;"_1",管理者用人口入力シート!BH:CE,J147,FALSE),0)</f>
        <v>253</v>
      </c>
      <c r="I147" s="17">
        <f>ROUND(VLOOKUP(H$139&amp;"_2",管理者用人口入力シート!BH:CE,J147,FALSE),0)</f>
        <v>183</v>
      </c>
      <c r="J147" s="2">
        <v>10</v>
      </c>
      <c r="N147" s="2" t="s">
        <v>6</v>
      </c>
      <c r="O147" s="17">
        <f>ROUND(VLOOKUP(O$139&amp;"_1",管理者用人口入力シート!CO:DL,Q147,FALSE),0)</f>
        <v>255</v>
      </c>
      <c r="P147" s="17">
        <f>ROUND(VLOOKUP(O$139&amp;"_2",管理者用人口入力シート!CO:DL,Q147,FALSE),0)</f>
        <v>185</v>
      </c>
      <c r="Q147" s="2">
        <v>10</v>
      </c>
    </row>
    <row r="148" spans="7:17" x14ac:dyDescent="0.15">
      <c r="G148" s="2" t="s">
        <v>7</v>
      </c>
      <c r="H148" s="17">
        <f>ROUND(VLOOKUP(H$139&amp;"_1",管理者用人口入力シート!BH:CE,J148,FALSE),0)</f>
        <v>306</v>
      </c>
      <c r="I148" s="17">
        <f>ROUND(VLOOKUP(H$139&amp;"_2",管理者用人口入力シート!BH:CE,J148,FALSE),0)</f>
        <v>198</v>
      </c>
      <c r="J148" s="2">
        <v>11</v>
      </c>
      <c r="N148" s="2" t="s">
        <v>7</v>
      </c>
      <c r="O148" s="17">
        <f>ROUND(VLOOKUP(O$139&amp;"_1",管理者用人口入力シート!CO:DL,Q148,FALSE),0)</f>
        <v>307</v>
      </c>
      <c r="P148" s="17">
        <f>ROUND(VLOOKUP(O$139&amp;"_2",管理者用人口入力シート!CO:DL,Q148,FALSE),0)</f>
        <v>200</v>
      </c>
      <c r="Q148" s="2">
        <v>11</v>
      </c>
    </row>
    <row r="149" spans="7:17" x14ac:dyDescent="0.15">
      <c r="G149" s="2" t="s">
        <v>8</v>
      </c>
      <c r="H149" s="17">
        <f>ROUND(VLOOKUP(H$139&amp;"_1",管理者用人口入力シート!BH:CE,J149,FALSE),0)</f>
        <v>272</v>
      </c>
      <c r="I149" s="17">
        <f>ROUND(VLOOKUP(H$139&amp;"_2",管理者用人口入力シート!BH:CE,J149,FALSE),0)</f>
        <v>212</v>
      </c>
      <c r="J149" s="2">
        <v>12</v>
      </c>
      <c r="N149" s="2" t="s">
        <v>8</v>
      </c>
      <c r="O149" s="17">
        <f>ROUND(VLOOKUP(O$139&amp;"_1",管理者用人口入力シート!CO:DL,Q149,FALSE),0)</f>
        <v>273</v>
      </c>
      <c r="P149" s="17">
        <f>ROUND(VLOOKUP(O$139&amp;"_2",管理者用人口入力シート!CO:DL,Q149,FALSE),0)</f>
        <v>215</v>
      </c>
      <c r="Q149" s="2">
        <v>12</v>
      </c>
    </row>
    <row r="150" spans="7:17" x14ac:dyDescent="0.15">
      <c r="G150" s="2" t="s">
        <v>9</v>
      </c>
      <c r="H150" s="17">
        <f>ROUND(VLOOKUP(H$139&amp;"_1",管理者用人口入力シート!BH:CE,J150,FALSE),0)</f>
        <v>264</v>
      </c>
      <c r="I150" s="17">
        <f>ROUND(VLOOKUP(H$139&amp;"_2",管理者用人口入力シート!BH:CE,J150,FALSE),0)</f>
        <v>221</v>
      </c>
      <c r="J150" s="2">
        <v>13</v>
      </c>
      <c r="N150" s="2" t="s">
        <v>9</v>
      </c>
      <c r="O150" s="17">
        <f>ROUND(VLOOKUP(O$139&amp;"_1",管理者用人口入力シート!CO:DL,Q150,FALSE),0)</f>
        <v>264</v>
      </c>
      <c r="P150" s="17">
        <f>ROUND(VLOOKUP(O$139&amp;"_2",管理者用人口入力シート!CO:DL,Q150,FALSE),0)</f>
        <v>222</v>
      </c>
      <c r="Q150" s="2">
        <v>13</v>
      </c>
    </row>
    <row r="151" spans="7:17" x14ac:dyDescent="0.15">
      <c r="G151" s="2" t="s">
        <v>10</v>
      </c>
      <c r="H151" s="17">
        <f>ROUND(VLOOKUP(H$139&amp;"_1",管理者用人口入力シート!BH:CE,J151,FALSE),0)</f>
        <v>300</v>
      </c>
      <c r="I151" s="17">
        <f>ROUND(VLOOKUP(H$139&amp;"_2",管理者用人口入力シート!BH:CE,J151,FALSE),0)</f>
        <v>286</v>
      </c>
      <c r="J151" s="2">
        <v>14</v>
      </c>
      <c r="N151" s="2" t="s">
        <v>10</v>
      </c>
      <c r="O151" s="17">
        <f>ROUND(VLOOKUP(O$139&amp;"_1",管理者用人口入力シート!CO:DL,Q151,FALSE),0)</f>
        <v>300</v>
      </c>
      <c r="P151" s="17">
        <f>ROUND(VLOOKUP(O$139&amp;"_2",管理者用人口入力シート!CO:DL,Q151,FALSE),0)</f>
        <v>287</v>
      </c>
      <c r="Q151" s="2">
        <v>14</v>
      </c>
    </row>
    <row r="152" spans="7:17" x14ac:dyDescent="0.15">
      <c r="G152" s="2" t="s">
        <v>11</v>
      </c>
      <c r="H152" s="17">
        <f>ROUND(VLOOKUP(H$139&amp;"_1",管理者用人口入力シート!BH:CE,J152,FALSE),0)</f>
        <v>346</v>
      </c>
      <c r="I152" s="17">
        <f>ROUND(VLOOKUP(H$139&amp;"_2",管理者用人口入力シート!BH:CE,J152,FALSE),0)</f>
        <v>360</v>
      </c>
      <c r="J152" s="2">
        <v>15</v>
      </c>
      <c r="N152" s="2" t="s">
        <v>11</v>
      </c>
      <c r="O152" s="17">
        <f>ROUND(VLOOKUP(O$139&amp;"_1",管理者用人口入力シート!CO:DL,Q152,FALSE),0)</f>
        <v>346</v>
      </c>
      <c r="P152" s="17">
        <f>ROUND(VLOOKUP(O$139&amp;"_2",管理者用人口入力シート!CO:DL,Q152,FALSE),0)</f>
        <v>361</v>
      </c>
      <c r="Q152" s="2">
        <v>15</v>
      </c>
    </row>
    <row r="153" spans="7:17" x14ac:dyDescent="0.15">
      <c r="G153" s="2" t="s">
        <v>12</v>
      </c>
      <c r="H153" s="17">
        <f>ROUND(VLOOKUP(H$139&amp;"_1",管理者用人口入力シート!BH:CE,J153,FALSE),0)</f>
        <v>424</v>
      </c>
      <c r="I153" s="17">
        <f>ROUND(VLOOKUP(H$139&amp;"_2",管理者用人口入力シート!BH:CE,J153,FALSE),0)</f>
        <v>440</v>
      </c>
      <c r="J153" s="2">
        <v>16</v>
      </c>
      <c r="N153" s="2" t="s">
        <v>12</v>
      </c>
      <c r="O153" s="17">
        <f>ROUND(VLOOKUP(O$139&amp;"_1",管理者用人口入力シート!CO:DL,Q153,FALSE),0)</f>
        <v>424</v>
      </c>
      <c r="P153" s="17">
        <f>ROUND(VLOOKUP(O$139&amp;"_2",管理者用人口入力シート!CO:DL,Q153,FALSE),0)</f>
        <v>440</v>
      </c>
      <c r="Q153" s="2">
        <v>16</v>
      </c>
    </row>
    <row r="154" spans="7:17" x14ac:dyDescent="0.15">
      <c r="G154" s="2" t="s">
        <v>13</v>
      </c>
      <c r="H154" s="17">
        <f>ROUND(VLOOKUP(H$139&amp;"_1",管理者用人口入力シート!BH:CE,J154,FALSE),0)</f>
        <v>475</v>
      </c>
      <c r="I154" s="17">
        <f>ROUND(VLOOKUP(H$139&amp;"_2",管理者用人口入力シート!BH:CE,J154,FALSE),0)</f>
        <v>447</v>
      </c>
      <c r="J154" s="2">
        <v>17</v>
      </c>
      <c r="N154" s="2" t="s">
        <v>13</v>
      </c>
      <c r="O154" s="17">
        <f>ROUND(VLOOKUP(O$139&amp;"_1",管理者用人口入力シート!CO:DL,Q154,FALSE),0)</f>
        <v>475</v>
      </c>
      <c r="P154" s="17">
        <f>ROUND(VLOOKUP(O$139&amp;"_2",管理者用人口入力シート!CO:DL,Q154,FALSE),0)</f>
        <v>447</v>
      </c>
      <c r="Q154" s="2">
        <v>17</v>
      </c>
    </row>
    <row r="155" spans="7:17" x14ac:dyDescent="0.15">
      <c r="G155" s="2" t="s">
        <v>14</v>
      </c>
      <c r="H155" s="17">
        <f>ROUND(VLOOKUP(H$139&amp;"_1",管理者用人口入力シート!BH:CE,J155,FALSE),0)</f>
        <v>379</v>
      </c>
      <c r="I155" s="17">
        <f>ROUND(VLOOKUP(H$139&amp;"_2",管理者用人口入力シート!BH:CE,J155,FALSE),0)</f>
        <v>403</v>
      </c>
      <c r="J155" s="2">
        <v>18</v>
      </c>
      <c r="N155" s="2" t="s">
        <v>14</v>
      </c>
      <c r="O155" s="17">
        <f>ROUND(VLOOKUP(O$139&amp;"_1",管理者用人口入力シート!CO:DL,Q155,FALSE),0)</f>
        <v>379</v>
      </c>
      <c r="P155" s="17">
        <f>ROUND(VLOOKUP(O$139&amp;"_2",管理者用人口入力シート!CO:DL,Q155,FALSE),0)</f>
        <v>403</v>
      </c>
      <c r="Q155" s="2">
        <v>18</v>
      </c>
    </row>
    <row r="156" spans="7:17" x14ac:dyDescent="0.15">
      <c r="G156" s="2" t="s">
        <v>15</v>
      </c>
      <c r="H156" s="17">
        <f>ROUND(VLOOKUP(H$139&amp;"_1",管理者用人口入力シート!BH:CE,J156,FALSE),0)</f>
        <v>359</v>
      </c>
      <c r="I156" s="17">
        <f>ROUND(VLOOKUP(H$139&amp;"_2",管理者用人口入力シート!BH:CE,J156,FALSE),0)</f>
        <v>469</v>
      </c>
      <c r="J156" s="2">
        <v>19</v>
      </c>
      <c r="N156" s="2" t="s">
        <v>15</v>
      </c>
      <c r="O156" s="17">
        <f>ROUND(VLOOKUP(O$139&amp;"_1",管理者用人口入力シート!CO:DL,Q156,FALSE),0)</f>
        <v>359</v>
      </c>
      <c r="P156" s="17">
        <f>ROUND(VLOOKUP(O$139&amp;"_2",管理者用人口入力シート!CO:DL,Q156,FALSE),0)</f>
        <v>469</v>
      </c>
      <c r="Q156" s="2">
        <v>19</v>
      </c>
    </row>
    <row r="157" spans="7:17" x14ac:dyDescent="0.15">
      <c r="G157" s="2" t="s">
        <v>16</v>
      </c>
      <c r="H157" s="17">
        <f>ROUND(VLOOKUP(H$139&amp;"_1",管理者用人口入力シート!BH:CE,J157,FALSE),0)</f>
        <v>327</v>
      </c>
      <c r="I157" s="17">
        <f>ROUND(VLOOKUP(H$139&amp;"_2",管理者用人口入力シート!BH:CE,J157,FALSE),0)</f>
        <v>464</v>
      </c>
      <c r="J157" s="2">
        <v>20</v>
      </c>
      <c r="N157" s="2" t="s">
        <v>16</v>
      </c>
      <c r="O157" s="17">
        <f>ROUND(VLOOKUP(O$139&amp;"_1",管理者用人口入力シート!CO:DL,Q157,FALSE),0)</f>
        <v>327</v>
      </c>
      <c r="P157" s="17">
        <f>ROUND(VLOOKUP(O$139&amp;"_2",管理者用人口入力シート!CO:DL,Q157,FALSE),0)</f>
        <v>464</v>
      </c>
      <c r="Q157" s="2">
        <v>20</v>
      </c>
    </row>
    <row r="158" spans="7:17" x14ac:dyDescent="0.15">
      <c r="G158" s="2" t="s">
        <v>17</v>
      </c>
      <c r="H158" s="17">
        <f>ROUND(VLOOKUP(H$139&amp;"_1",管理者用人口入力シート!BH:CE,J158,FALSE),0)</f>
        <v>243</v>
      </c>
      <c r="I158" s="17">
        <f>ROUND(VLOOKUP(H$139&amp;"_2",管理者用人口入力シート!BH:CE,J158,FALSE),0)</f>
        <v>414</v>
      </c>
      <c r="J158" s="2">
        <v>21</v>
      </c>
      <c r="N158" s="2" t="s">
        <v>17</v>
      </c>
      <c r="O158" s="17">
        <f>ROUND(VLOOKUP(O$139&amp;"_1",管理者用人口入力シート!CO:DL,Q158,FALSE),0)</f>
        <v>243</v>
      </c>
      <c r="P158" s="17">
        <f>ROUND(VLOOKUP(O$139&amp;"_2",管理者用人口入力シート!CO:DL,Q158,FALSE),0)</f>
        <v>414</v>
      </c>
      <c r="Q158" s="2">
        <v>21</v>
      </c>
    </row>
    <row r="159" spans="7:17" x14ac:dyDescent="0.15">
      <c r="G159" s="2" t="s">
        <v>18</v>
      </c>
      <c r="H159" s="17">
        <f>ROUND(VLOOKUP(H$139&amp;"_1",管理者用人口入力シート!BH:CE,J159,FALSE),0)</f>
        <v>121</v>
      </c>
      <c r="I159" s="17">
        <f>ROUND(VLOOKUP(H$139&amp;"_2",管理者用人口入力シート!BH:CE,J159,FALSE),0)</f>
        <v>281</v>
      </c>
      <c r="J159" s="2">
        <v>22</v>
      </c>
      <c r="N159" s="2" t="s">
        <v>18</v>
      </c>
      <c r="O159" s="17">
        <f>ROUND(VLOOKUP(O$139&amp;"_1",管理者用人口入力シート!CO:DL,Q159,FALSE),0)</f>
        <v>121</v>
      </c>
      <c r="P159" s="17">
        <f>ROUND(VLOOKUP(O$139&amp;"_2",管理者用人口入力シート!CO:DL,Q159,FALSE),0)</f>
        <v>281</v>
      </c>
      <c r="Q159" s="2">
        <v>22</v>
      </c>
    </row>
    <row r="160" spans="7:17" x14ac:dyDescent="0.15">
      <c r="G160" s="2" t="s">
        <v>19</v>
      </c>
      <c r="H160" s="17">
        <f>ROUND(VLOOKUP(H$139&amp;"_1",管理者用人口入力シート!BH:CE,J160,FALSE),0)</f>
        <v>33</v>
      </c>
      <c r="I160" s="17">
        <f>ROUND(VLOOKUP(H$139&amp;"_2",管理者用人口入力シート!BH:CE,J160,FALSE),0)</f>
        <v>69</v>
      </c>
      <c r="J160" s="2">
        <v>23</v>
      </c>
      <c r="N160" s="2" t="s">
        <v>19</v>
      </c>
      <c r="O160" s="17">
        <f>ROUND(VLOOKUP(O$139&amp;"_1",管理者用人口入力シート!CO:DL,Q160,FALSE),0)</f>
        <v>33</v>
      </c>
      <c r="P160" s="17">
        <f>ROUND(VLOOKUP(O$139&amp;"_2",管理者用人口入力シート!CO:DL,Q160,FALSE),0)</f>
        <v>69</v>
      </c>
      <c r="Q160" s="2">
        <v>23</v>
      </c>
    </row>
    <row r="161" spans="7:17" x14ac:dyDescent="0.15">
      <c r="G161" s="2" t="s">
        <v>20</v>
      </c>
      <c r="H161" s="17">
        <f>ROUND(VLOOKUP(H$139&amp;"_1",管理者用人口入力シート!BH:CE,J161,FALSE),0)</f>
        <v>0</v>
      </c>
      <c r="I161" s="17">
        <f>ROUND(VLOOKUP(H$139&amp;"_2",管理者用人口入力シート!BH:CE,J161,FALSE),0)</f>
        <v>13</v>
      </c>
      <c r="J161" s="2">
        <v>24</v>
      </c>
      <c r="N161" s="2" t="s">
        <v>20</v>
      </c>
      <c r="O161" s="17">
        <f>ROUND(VLOOKUP(O$139&amp;"_1",管理者用人口入力シート!CO:DL,Q161,FALSE),0)</f>
        <v>0</v>
      </c>
      <c r="P161" s="17">
        <f>ROUND(VLOOKUP(O$139&amp;"_2",管理者用人口入力シート!CO:DL,Q161,FALSE),0)</f>
        <v>13</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134</v>
      </c>
      <c r="I165" s="17">
        <f>ROUND(VLOOKUP(H$163&amp;"_2",管理者用人口入力シート!BH:CE,J165,FALSE),0)</f>
        <v>151</v>
      </c>
      <c r="J165" s="2">
        <v>4</v>
      </c>
      <c r="N165" s="2" t="s">
        <v>0</v>
      </c>
      <c r="O165" s="17">
        <f>ROUND(VLOOKUP(O$163&amp;"_1",管理者用人口入力シート!CO:DL,Q165,FALSE),0)</f>
        <v>137</v>
      </c>
      <c r="P165" s="17">
        <f>ROUND(VLOOKUP(O$163&amp;"_2",管理者用人口入力シート!CO:DL,Q165,FALSE),0)</f>
        <v>154</v>
      </c>
      <c r="Q165" s="2">
        <v>4</v>
      </c>
    </row>
    <row r="166" spans="7:17" x14ac:dyDescent="0.15">
      <c r="G166" s="2" t="s">
        <v>1</v>
      </c>
      <c r="H166" s="17">
        <f>ROUND(VLOOKUP(H$163&amp;"_1",管理者用人口入力シート!BH:CE,J166,FALSE),0)</f>
        <v>156</v>
      </c>
      <c r="I166" s="17">
        <f>ROUND(VLOOKUP(H$163&amp;"_2",管理者用人口入力シート!BH:CE,J166,FALSE),0)</f>
        <v>175</v>
      </c>
      <c r="J166" s="2">
        <v>5</v>
      </c>
      <c r="N166" s="2" t="s">
        <v>1</v>
      </c>
      <c r="O166" s="17">
        <f>ROUND(VLOOKUP(O$163&amp;"_1",管理者用人口入力シート!CO:DL,Q166,FALSE),0)</f>
        <v>159</v>
      </c>
      <c r="P166" s="17">
        <f>ROUND(VLOOKUP(O$163&amp;"_2",管理者用人口入力シート!CO:DL,Q166,FALSE),0)</f>
        <v>178</v>
      </c>
      <c r="Q166" s="2">
        <v>5</v>
      </c>
    </row>
    <row r="167" spans="7:17" x14ac:dyDescent="0.15">
      <c r="G167" s="2" t="s">
        <v>2</v>
      </c>
      <c r="H167" s="17">
        <f>ROUND(VLOOKUP(H$163&amp;"_1",管理者用人口入力シート!BH:CE,J167,FALSE),0)</f>
        <v>176</v>
      </c>
      <c r="I167" s="17">
        <f>ROUND(VLOOKUP(H$163&amp;"_2",管理者用人口入力シート!BH:CE,J167,FALSE),0)</f>
        <v>196</v>
      </c>
      <c r="J167" s="2">
        <v>6</v>
      </c>
      <c r="N167" s="2" t="s">
        <v>2</v>
      </c>
      <c r="O167" s="17">
        <f>ROUND(VLOOKUP(O$163&amp;"_1",管理者用人口入力シート!CO:DL,Q167,FALSE),0)</f>
        <v>179</v>
      </c>
      <c r="P167" s="17">
        <f>ROUND(VLOOKUP(O$163&amp;"_2",管理者用人口入力シート!CO:DL,Q167,FALSE),0)</f>
        <v>200</v>
      </c>
      <c r="Q167" s="2">
        <v>6</v>
      </c>
    </row>
    <row r="168" spans="7:17" x14ac:dyDescent="0.15">
      <c r="G168" s="2" t="s">
        <v>3</v>
      </c>
      <c r="H168" s="17">
        <f>ROUND(VLOOKUP(H$163&amp;"_1",管理者用人口入力シート!BH:CE,J168,FALSE),0)</f>
        <v>219</v>
      </c>
      <c r="I168" s="17">
        <f>ROUND(VLOOKUP(H$163&amp;"_2",管理者用人口入力シート!BH:CE,J168,FALSE),0)</f>
        <v>205</v>
      </c>
      <c r="J168" s="2">
        <v>7</v>
      </c>
      <c r="N168" s="2" t="s">
        <v>3</v>
      </c>
      <c r="O168" s="17">
        <f>ROUND(VLOOKUP(O$163&amp;"_1",管理者用人口入力シート!CO:DL,Q168,FALSE),0)</f>
        <v>223</v>
      </c>
      <c r="P168" s="17">
        <f>ROUND(VLOOKUP(O$163&amp;"_2",管理者用人口入力シート!CO:DL,Q168,FALSE),0)</f>
        <v>208</v>
      </c>
      <c r="Q168" s="2">
        <v>7</v>
      </c>
    </row>
    <row r="169" spans="7:17" x14ac:dyDescent="0.15">
      <c r="G169" s="2" t="s">
        <v>4</v>
      </c>
      <c r="H169" s="17">
        <f>ROUND(VLOOKUP(H$163&amp;"_1",管理者用人口入力シート!BH:CE,J169,FALSE),0)</f>
        <v>113</v>
      </c>
      <c r="I169" s="17">
        <f>ROUND(VLOOKUP(H$163&amp;"_2",管理者用人口入力シート!BH:CE,J169,FALSE),0)</f>
        <v>125</v>
      </c>
      <c r="J169" s="2">
        <v>8</v>
      </c>
      <c r="N169" s="2" t="s">
        <v>4</v>
      </c>
      <c r="O169" s="17">
        <f>ROUND(VLOOKUP(O$163&amp;"_1",管理者用人口入力シート!CO:DL,Q169,FALSE),0)</f>
        <v>114</v>
      </c>
      <c r="P169" s="17">
        <f>ROUND(VLOOKUP(O$163&amp;"_2",管理者用人口入力シート!CO:DL,Q169,FALSE),0)</f>
        <v>126</v>
      </c>
      <c r="Q169" s="2">
        <v>8</v>
      </c>
    </row>
    <row r="170" spans="7:17" x14ac:dyDescent="0.15">
      <c r="G170" s="2" t="s">
        <v>5</v>
      </c>
      <c r="H170" s="17">
        <f>ROUND(VLOOKUP(H$163&amp;"_1",管理者用人口入力シート!BH:CE,J170,FALSE),0)</f>
        <v>173</v>
      </c>
      <c r="I170" s="17">
        <f>ROUND(VLOOKUP(H$163&amp;"_2",管理者用人口入力シート!BH:CE,J170,FALSE),0)</f>
        <v>156</v>
      </c>
      <c r="J170" s="2">
        <v>9</v>
      </c>
      <c r="N170" s="2" t="s">
        <v>5</v>
      </c>
      <c r="O170" s="17">
        <f>ROUND(VLOOKUP(O$163&amp;"_1",管理者用人口入力シート!CO:DL,Q170,FALSE),0)</f>
        <v>176</v>
      </c>
      <c r="P170" s="17">
        <f>ROUND(VLOOKUP(O$163&amp;"_2",管理者用人口入力シート!CO:DL,Q170,FALSE),0)</f>
        <v>159</v>
      </c>
      <c r="Q170" s="2">
        <v>9</v>
      </c>
    </row>
    <row r="171" spans="7:17" x14ac:dyDescent="0.15">
      <c r="G171" s="2" t="s">
        <v>6</v>
      </c>
      <c r="H171" s="17">
        <f>ROUND(VLOOKUP(H$163&amp;"_1",管理者用人口入力シート!BH:CE,J171,FALSE),0)</f>
        <v>212</v>
      </c>
      <c r="I171" s="17">
        <f>ROUND(VLOOKUP(H$163&amp;"_2",管理者用人口入力シート!BH:CE,J171,FALSE),0)</f>
        <v>168</v>
      </c>
      <c r="J171" s="2">
        <v>10</v>
      </c>
      <c r="N171" s="2" t="s">
        <v>6</v>
      </c>
      <c r="O171" s="17">
        <f>ROUND(VLOOKUP(O$163&amp;"_1",管理者用人口入力シート!CO:DL,Q171,FALSE),0)</f>
        <v>214</v>
      </c>
      <c r="P171" s="17">
        <f>ROUND(VLOOKUP(O$163&amp;"_2",管理者用人口入力シート!CO:DL,Q171,FALSE),0)</f>
        <v>170</v>
      </c>
      <c r="Q171" s="2">
        <v>10</v>
      </c>
    </row>
    <row r="172" spans="7:17" x14ac:dyDescent="0.15">
      <c r="G172" s="2" t="s">
        <v>7</v>
      </c>
      <c r="H172" s="17">
        <f>ROUND(VLOOKUP(H$163&amp;"_1",管理者用人口入力シート!BH:CE,J172,FALSE),0)</f>
        <v>259</v>
      </c>
      <c r="I172" s="17">
        <f>ROUND(VLOOKUP(H$163&amp;"_2",管理者用人口入力シート!BH:CE,J172,FALSE),0)</f>
        <v>186</v>
      </c>
      <c r="J172" s="2">
        <v>11</v>
      </c>
      <c r="N172" s="2" t="s">
        <v>7</v>
      </c>
      <c r="O172" s="17">
        <f>ROUND(VLOOKUP(O$163&amp;"_1",管理者用人口入力シート!CO:DL,Q172,FALSE),0)</f>
        <v>261</v>
      </c>
      <c r="P172" s="17">
        <f>ROUND(VLOOKUP(O$163&amp;"_2",管理者用人口入力シート!CO:DL,Q172,FALSE),0)</f>
        <v>188</v>
      </c>
      <c r="Q172" s="2">
        <v>11</v>
      </c>
    </row>
    <row r="173" spans="7:17" x14ac:dyDescent="0.15">
      <c r="G173" s="2" t="s">
        <v>8</v>
      </c>
      <c r="H173" s="17">
        <f>ROUND(VLOOKUP(H$163&amp;"_1",管理者用人口入力シート!BH:CE,J173,FALSE),0)</f>
        <v>291</v>
      </c>
      <c r="I173" s="17">
        <f>ROUND(VLOOKUP(H$163&amp;"_2",管理者用人口入力シート!BH:CE,J173,FALSE),0)</f>
        <v>185</v>
      </c>
      <c r="J173" s="2">
        <v>12</v>
      </c>
      <c r="N173" s="2" t="s">
        <v>8</v>
      </c>
      <c r="O173" s="17">
        <f>ROUND(VLOOKUP(O$163&amp;"_1",管理者用人口入力シート!CO:DL,Q173,FALSE),0)</f>
        <v>293</v>
      </c>
      <c r="P173" s="17">
        <f>ROUND(VLOOKUP(O$163&amp;"_2",管理者用人口入力シート!CO:DL,Q173,FALSE),0)</f>
        <v>188</v>
      </c>
      <c r="Q173" s="2">
        <v>12</v>
      </c>
    </row>
    <row r="174" spans="7:17" x14ac:dyDescent="0.15">
      <c r="G174" s="2" t="s">
        <v>9</v>
      </c>
      <c r="H174" s="17">
        <f>ROUND(VLOOKUP(H$163&amp;"_1",管理者用人口入力シート!BH:CE,J174,FALSE),0)</f>
        <v>271</v>
      </c>
      <c r="I174" s="17">
        <f>ROUND(VLOOKUP(H$163&amp;"_2",管理者用人口入力シート!BH:CE,J174,FALSE),0)</f>
        <v>213</v>
      </c>
      <c r="J174" s="2">
        <v>13</v>
      </c>
      <c r="N174" s="2" t="s">
        <v>9</v>
      </c>
      <c r="O174" s="17">
        <f>ROUND(VLOOKUP(O$163&amp;"_1",管理者用人口入力シート!CO:DL,Q174,FALSE),0)</f>
        <v>273</v>
      </c>
      <c r="P174" s="17">
        <f>ROUND(VLOOKUP(O$163&amp;"_2",管理者用人口入力シート!CO:DL,Q174,FALSE),0)</f>
        <v>216</v>
      </c>
      <c r="Q174" s="2">
        <v>13</v>
      </c>
    </row>
    <row r="175" spans="7:17" x14ac:dyDescent="0.15">
      <c r="G175" s="2" t="s">
        <v>10</v>
      </c>
      <c r="H175" s="17">
        <f>ROUND(VLOOKUP(H$163&amp;"_1",管理者用人口入力シート!BH:CE,J175,FALSE),0)</f>
        <v>256</v>
      </c>
      <c r="I175" s="17">
        <f>ROUND(VLOOKUP(H$163&amp;"_2",管理者用人口入力シート!BH:CE,J175,FALSE),0)</f>
        <v>215</v>
      </c>
      <c r="J175" s="2">
        <v>14</v>
      </c>
      <c r="N175" s="2" t="s">
        <v>10</v>
      </c>
      <c r="O175" s="17">
        <f>ROUND(VLOOKUP(O$163&amp;"_1",管理者用人口入力シート!CO:DL,Q175,FALSE),0)</f>
        <v>256</v>
      </c>
      <c r="P175" s="17">
        <f>ROUND(VLOOKUP(O$163&amp;"_2",管理者用人口入力シート!CO:DL,Q175,FALSE),0)</f>
        <v>216</v>
      </c>
      <c r="Q175" s="2">
        <v>14</v>
      </c>
    </row>
    <row r="176" spans="7:17" x14ac:dyDescent="0.15">
      <c r="G176" s="2" t="s">
        <v>11</v>
      </c>
      <c r="H176" s="17">
        <f>ROUND(VLOOKUP(H$163&amp;"_1",管理者用人口入力シート!BH:CE,J176,FALSE),0)</f>
        <v>303</v>
      </c>
      <c r="I176" s="17">
        <f>ROUND(VLOOKUP(H$163&amp;"_2",管理者用人口入力シート!BH:CE,J176,FALSE),0)</f>
        <v>276</v>
      </c>
      <c r="J176" s="2">
        <v>15</v>
      </c>
      <c r="N176" s="2" t="s">
        <v>11</v>
      </c>
      <c r="O176" s="17">
        <f>ROUND(VLOOKUP(O$163&amp;"_1",管理者用人口入力シート!CO:DL,Q176,FALSE),0)</f>
        <v>303</v>
      </c>
      <c r="P176" s="17">
        <f>ROUND(VLOOKUP(O$163&amp;"_2",管理者用人口入力シート!CO:DL,Q176,FALSE),0)</f>
        <v>277</v>
      </c>
      <c r="Q176" s="2">
        <v>15</v>
      </c>
    </row>
    <row r="177" spans="7:17" x14ac:dyDescent="0.15">
      <c r="G177" s="2" t="s">
        <v>12</v>
      </c>
      <c r="H177" s="17">
        <f>ROUND(VLOOKUP(H$163&amp;"_1",管理者用人口入力シート!BH:CE,J177,FALSE),0)</f>
        <v>342</v>
      </c>
      <c r="I177" s="17">
        <f>ROUND(VLOOKUP(H$163&amp;"_2",管理者用人口入力シート!BH:CE,J177,FALSE),0)</f>
        <v>359</v>
      </c>
      <c r="J177" s="2">
        <v>16</v>
      </c>
      <c r="N177" s="2" t="s">
        <v>12</v>
      </c>
      <c r="O177" s="17">
        <f>ROUND(VLOOKUP(O$163&amp;"_1",管理者用人口入力シート!CO:DL,Q177,FALSE),0)</f>
        <v>342</v>
      </c>
      <c r="P177" s="17">
        <f>ROUND(VLOOKUP(O$163&amp;"_2",管理者用人口入力シート!CO:DL,Q177,FALSE),0)</f>
        <v>359</v>
      </c>
      <c r="Q177" s="2">
        <v>16</v>
      </c>
    </row>
    <row r="178" spans="7:17" x14ac:dyDescent="0.15">
      <c r="G178" s="2" t="s">
        <v>13</v>
      </c>
      <c r="H178" s="17">
        <f>ROUND(VLOOKUP(H$163&amp;"_1",管理者用人口入力シート!BH:CE,J178,FALSE),0)</f>
        <v>409</v>
      </c>
      <c r="I178" s="17">
        <f>ROUND(VLOOKUP(H$163&amp;"_2",管理者用人口入力シート!BH:CE,J178,FALSE),0)</f>
        <v>429</v>
      </c>
      <c r="J178" s="2">
        <v>17</v>
      </c>
      <c r="N178" s="2" t="s">
        <v>13</v>
      </c>
      <c r="O178" s="17">
        <f>ROUND(VLOOKUP(O$163&amp;"_1",管理者用人口入力シート!CO:DL,Q178,FALSE),0)</f>
        <v>409</v>
      </c>
      <c r="P178" s="17">
        <f>ROUND(VLOOKUP(O$163&amp;"_2",管理者用人口入力シート!CO:DL,Q178,FALSE),0)</f>
        <v>429</v>
      </c>
      <c r="Q178" s="2">
        <v>17</v>
      </c>
    </row>
    <row r="179" spans="7:17" x14ac:dyDescent="0.15">
      <c r="G179" s="2" t="s">
        <v>14</v>
      </c>
      <c r="H179" s="17">
        <f>ROUND(VLOOKUP(H$163&amp;"_1",管理者用人口入力シート!BH:CE,J179,FALSE),0)</f>
        <v>425</v>
      </c>
      <c r="I179" s="17">
        <f>ROUND(VLOOKUP(H$163&amp;"_2",管理者用人口入力シート!BH:CE,J179,FALSE),0)</f>
        <v>419</v>
      </c>
      <c r="J179" s="2">
        <v>18</v>
      </c>
      <c r="N179" s="2" t="s">
        <v>14</v>
      </c>
      <c r="O179" s="17">
        <f>ROUND(VLOOKUP(O$163&amp;"_1",管理者用人口入力シート!CO:DL,Q179,FALSE),0)</f>
        <v>425</v>
      </c>
      <c r="P179" s="17">
        <f>ROUND(VLOOKUP(O$163&amp;"_2",管理者用人口入力シート!CO:DL,Q179,FALSE),0)</f>
        <v>419</v>
      </c>
      <c r="Q179" s="2">
        <v>18</v>
      </c>
    </row>
    <row r="180" spans="7:17" x14ac:dyDescent="0.15">
      <c r="G180" s="2" t="s">
        <v>15</v>
      </c>
      <c r="H180" s="17">
        <f>ROUND(VLOOKUP(H$163&amp;"_1",管理者用人口入力シート!BH:CE,J180,FALSE),0)</f>
        <v>337</v>
      </c>
      <c r="I180" s="17">
        <f>ROUND(VLOOKUP(H$163&amp;"_2",管理者用人口入力シート!BH:CE,J180,FALSE),0)</f>
        <v>381</v>
      </c>
      <c r="J180" s="2">
        <v>19</v>
      </c>
      <c r="N180" s="2" t="s">
        <v>15</v>
      </c>
      <c r="O180" s="17">
        <f>ROUND(VLOOKUP(O$163&amp;"_1",管理者用人口入力シート!CO:DL,Q180,FALSE),0)</f>
        <v>337</v>
      </c>
      <c r="P180" s="17">
        <f>ROUND(VLOOKUP(O$163&amp;"_2",管理者用人口入力シート!CO:DL,Q180,FALSE),0)</f>
        <v>381</v>
      </c>
      <c r="Q180" s="2">
        <v>19</v>
      </c>
    </row>
    <row r="181" spans="7:17" x14ac:dyDescent="0.15">
      <c r="G181" s="2" t="s">
        <v>16</v>
      </c>
      <c r="H181" s="17">
        <f>ROUND(VLOOKUP(H$163&amp;"_1",管理者用人口入力シート!BH:CE,J181,FALSE),0)</f>
        <v>280</v>
      </c>
      <c r="I181" s="17">
        <f>ROUND(VLOOKUP(H$163&amp;"_2",管理者用人口入力シート!BH:CE,J181,FALSE),0)</f>
        <v>418</v>
      </c>
      <c r="J181" s="2">
        <v>20</v>
      </c>
      <c r="N181" s="2" t="s">
        <v>16</v>
      </c>
      <c r="O181" s="17">
        <f>ROUND(VLOOKUP(O$163&amp;"_1",管理者用人口入力シート!CO:DL,Q181,FALSE),0)</f>
        <v>280</v>
      </c>
      <c r="P181" s="17">
        <f>ROUND(VLOOKUP(O$163&amp;"_2",管理者用人口入力シート!CO:DL,Q181,FALSE),0)</f>
        <v>418</v>
      </c>
      <c r="Q181" s="2">
        <v>20</v>
      </c>
    </row>
    <row r="182" spans="7:17" x14ac:dyDescent="0.15">
      <c r="G182" s="2" t="s">
        <v>17</v>
      </c>
      <c r="H182" s="17">
        <f>ROUND(VLOOKUP(H$163&amp;"_1",管理者用人口入力シート!BH:CE,J182,FALSE),0)</f>
        <v>205</v>
      </c>
      <c r="I182" s="17">
        <f>ROUND(VLOOKUP(H$163&amp;"_2",管理者用人口入力シート!BH:CE,J182,FALSE),0)</f>
        <v>339</v>
      </c>
      <c r="J182" s="2">
        <v>21</v>
      </c>
      <c r="N182" s="2" t="s">
        <v>17</v>
      </c>
      <c r="O182" s="17">
        <f>ROUND(VLOOKUP(O$163&amp;"_1",管理者用人口入力シート!CO:DL,Q182,FALSE),0)</f>
        <v>205</v>
      </c>
      <c r="P182" s="17">
        <f>ROUND(VLOOKUP(O$163&amp;"_2",管理者用人口入力シート!CO:DL,Q182,FALSE),0)</f>
        <v>339</v>
      </c>
      <c r="Q182" s="2">
        <v>21</v>
      </c>
    </row>
    <row r="183" spans="7:17" x14ac:dyDescent="0.15">
      <c r="G183" s="2" t="s">
        <v>18</v>
      </c>
      <c r="H183" s="17">
        <f>ROUND(VLOOKUP(H$163&amp;"_1",管理者用人口入力シート!BH:CE,J183,FALSE),0)</f>
        <v>102</v>
      </c>
      <c r="I183" s="17">
        <f>ROUND(VLOOKUP(H$163&amp;"_2",管理者用人口入力シート!BH:CE,J183,FALSE),0)</f>
        <v>239</v>
      </c>
      <c r="J183" s="2">
        <v>22</v>
      </c>
      <c r="N183" s="2" t="s">
        <v>18</v>
      </c>
      <c r="O183" s="17">
        <f>ROUND(VLOOKUP(O$163&amp;"_1",管理者用人口入力シート!CO:DL,Q183,FALSE),0)</f>
        <v>102</v>
      </c>
      <c r="P183" s="17">
        <f>ROUND(VLOOKUP(O$163&amp;"_2",管理者用人口入力シート!CO:DL,Q183,FALSE),0)</f>
        <v>239</v>
      </c>
      <c r="Q183" s="2">
        <v>22</v>
      </c>
    </row>
    <row r="184" spans="7:17" x14ac:dyDescent="0.15">
      <c r="G184" s="2" t="s">
        <v>19</v>
      </c>
      <c r="H184" s="17">
        <f>ROUND(VLOOKUP(H$163&amp;"_1",管理者用人口入力シート!BH:CE,J184,FALSE),0)</f>
        <v>44</v>
      </c>
      <c r="I184" s="17">
        <f>ROUND(VLOOKUP(H$163&amp;"_2",管理者用人口入力シート!BH:CE,J184,FALSE),0)</f>
        <v>96</v>
      </c>
      <c r="J184" s="2">
        <v>23</v>
      </c>
      <c r="N184" s="2" t="s">
        <v>19</v>
      </c>
      <c r="O184" s="17">
        <f>ROUND(VLOOKUP(O$163&amp;"_1",管理者用人口入力シート!CO:DL,Q184,FALSE),0)</f>
        <v>44</v>
      </c>
      <c r="P184" s="17">
        <f>ROUND(VLOOKUP(O$163&amp;"_2",管理者用人口入力シート!CO:DL,Q184,FALSE),0)</f>
        <v>96</v>
      </c>
      <c r="Q184" s="2">
        <v>23</v>
      </c>
    </row>
    <row r="185" spans="7:17" x14ac:dyDescent="0.15">
      <c r="G185" s="2" t="s">
        <v>20</v>
      </c>
      <c r="H185" s="17">
        <f>ROUND(VLOOKUP(H$163&amp;"_1",管理者用人口入力シート!BH:CE,J185,FALSE),0)</f>
        <v>0</v>
      </c>
      <c r="I185" s="17">
        <f>ROUND(VLOOKUP(H$163&amp;"_2",管理者用人口入力シート!BH:CE,J185,FALSE),0)</f>
        <v>11</v>
      </c>
      <c r="J185" s="2">
        <v>24</v>
      </c>
      <c r="N185" s="2" t="s">
        <v>20</v>
      </c>
      <c r="O185" s="17">
        <f>ROUND(VLOOKUP(O$163&amp;"_1",管理者用人口入力シート!CO:DL,Q185,FALSE),0)</f>
        <v>0</v>
      </c>
      <c r="P185" s="17">
        <f>ROUND(VLOOKUP(O$163&amp;"_2",管理者用人口入力シート!CO:DL,Q185,FALSE),0)</f>
        <v>11</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118</v>
      </c>
      <c r="I189" s="17">
        <f>ROUND(VLOOKUP(H$187&amp;"_2",管理者用人口入力シート!BH:CE,J189,FALSE),0)</f>
        <v>133</v>
      </c>
      <c r="J189" s="2">
        <v>4</v>
      </c>
      <c r="N189" s="2" t="s">
        <v>0</v>
      </c>
      <c r="O189" s="17">
        <f>ROUND(VLOOKUP(O$187&amp;"_1",管理者用人口入力シート!CO:DL,Q189,FALSE),0)</f>
        <v>121</v>
      </c>
      <c r="P189" s="17">
        <f>ROUND(VLOOKUP(O$187&amp;"_2",管理者用人口入力シート!CO:DL,Q189,FALSE),0)</f>
        <v>136</v>
      </c>
      <c r="Q189" s="2">
        <v>4</v>
      </c>
    </row>
    <row r="190" spans="7:17" x14ac:dyDescent="0.15">
      <c r="G190" s="2" t="s">
        <v>1</v>
      </c>
      <c r="H190" s="17">
        <f>ROUND(VLOOKUP(H$187&amp;"_1",管理者用人口入力シート!BH:CE,J190,FALSE),0)</f>
        <v>141</v>
      </c>
      <c r="I190" s="17">
        <f>ROUND(VLOOKUP(H$187&amp;"_2",管理者用人口入力シート!BH:CE,J190,FALSE),0)</f>
        <v>158</v>
      </c>
      <c r="J190" s="2">
        <v>5</v>
      </c>
      <c r="N190" s="2" t="s">
        <v>1</v>
      </c>
      <c r="O190" s="17">
        <f>ROUND(VLOOKUP(O$187&amp;"_1",管理者用人口入力シート!CO:DL,Q190,FALSE),0)</f>
        <v>143</v>
      </c>
      <c r="P190" s="17">
        <f>ROUND(VLOOKUP(O$187&amp;"_2",管理者用人口入力シート!CO:DL,Q190,FALSE),0)</f>
        <v>161</v>
      </c>
      <c r="Q190" s="2">
        <v>5</v>
      </c>
    </row>
    <row r="191" spans="7:17" x14ac:dyDescent="0.15">
      <c r="G191" s="2" t="s">
        <v>2</v>
      </c>
      <c r="H191" s="17">
        <f>ROUND(VLOOKUP(H$187&amp;"_1",管理者用人口入力シート!BH:CE,J191,FALSE),0)</f>
        <v>160</v>
      </c>
      <c r="I191" s="17">
        <f>ROUND(VLOOKUP(H$187&amp;"_2",管理者用人口入力シート!BH:CE,J191,FALSE),0)</f>
        <v>178</v>
      </c>
      <c r="J191" s="2">
        <v>6</v>
      </c>
      <c r="N191" s="2" t="s">
        <v>2</v>
      </c>
      <c r="O191" s="17">
        <f>ROUND(VLOOKUP(O$187&amp;"_1",管理者用人口入力シート!CO:DL,Q191,FALSE),0)</f>
        <v>163</v>
      </c>
      <c r="P191" s="17">
        <f>ROUND(VLOOKUP(O$187&amp;"_2",管理者用人口入力シート!CO:DL,Q191,FALSE),0)</f>
        <v>182</v>
      </c>
      <c r="Q191" s="2">
        <v>6</v>
      </c>
    </row>
    <row r="192" spans="7:17" x14ac:dyDescent="0.15">
      <c r="G192" s="2" t="s">
        <v>3</v>
      </c>
      <c r="H192" s="17">
        <f>ROUND(VLOOKUP(H$187&amp;"_1",管理者用人口入力シート!BH:CE,J192,FALSE),0)</f>
        <v>203</v>
      </c>
      <c r="I192" s="17">
        <f>ROUND(VLOOKUP(H$187&amp;"_2",管理者用人口入力シート!BH:CE,J192,FALSE),0)</f>
        <v>190</v>
      </c>
      <c r="J192" s="2">
        <v>7</v>
      </c>
      <c r="N192" s="2" t="s">
        <v>3</v>
      </c>
      <c r="O192" s="17">
        <f>ROUND(VLOOKUP(O$187&amp;"_1",管理者用人口入力シート!CO:DL,Q192,FALSE),0)</f>
        <v>207</v>
      </c>
      <c r="P192" s="17">
        <f>ROUND(VLOOKUP(O$187&amp;"_2",管理者用人口入力シート!CO:DL,Q192,FALSE),0)</f>
        <v>193</v>
      </c>
      <c r="Q192" s="2">
        <v>7</v>
      </c>
    </row>
    <row r="193" spans="7:17" x14ac:dyDescent="0.15">
      <c r="G193" s="2" t="s">
        <v>4</v>
      </c>
      <c r="H193" s="17">
        <f>ROUND(VLOOKUP(H$187&amp;"_1",管理者用人口入力シート!BH:CE,J193,FALSE),0)</f>
        <v>98</v>
      </c>
      <c r="I193" s="17">
        <f>ROUND(VLOOKUP(H$187&amp;"_2",管理者用人口入力シート!BH:CE,J193,FALSE),0)</f>
        <v>109</v>
      </c>
      <c r="J193" s="2">
        <v>8</v>
      </c>
      <c r="N193" s="2" t="s">
        <v>4</v>
      </c>
      <c r="O193" s="17">
        <f>ROUND(VLOOKUP(O$187&amp;"_1",管理者用人口入力シート!CO:DL,Q193,FALSE),0)</f>
        <v>100</v>
      </c>
      <c r="P193" s="17">
        <f>ROUND(VLOOKUP(O$187&amp;"_2",管理者用人口入力シート!CO:DL,Q193,FALSE),0)</f>
        <v>111</v>
      </c>
      <c r="Q193" s="2">
        <v>8</v>
      </c>
    </row>
    <row r="194" spans="7:17" x14ac:dyDescent="0.15">
      <c r="G194" s="2" t="s">
        <v>5</v>
      </c>
      <c r="H194" s="17">
        <f>ROUND(VLOOKUP(H$187&amp;"_1",管理者用人口入力シート!BH:CE,J194,FALSE),0)</f>
        <v>142</v>
      </c>
      <c r="I194" s="17">
        <f>ROUND(VLOOKUP(H$187&amp;"_2",管理者用人口入力シート!BH:CE,J194,FALSE),0)</f>
        <v>128</v>
      </c>
      <c r="J194" s="2">
        <v>9</v>
      </c>
      <c r="N194" s="2" t="s">
        <v>5</v>
      </c>
      <c r="O194" s="17">
        <f>ROUND(VLOOKUP(O$187&amp;"_1",管理者用人口入力シート!CO:DL,Q194,FALSE),0)</f>
        <v>146</v>
      </c>
      <c r="P194" s="17">
        <f>ROUND(VLOOKUP(O$187&amp;"_2",管理者用人口入力シート!CO:DL,Q194,FALSE),0)</f>
        <v>132</v>
      </c>
      <c r="Q194" s="2">
        <v>9</v>
      </c>
    </row>
    <row r="195" spans="7:17" x14ac:dyDescent="0.15">
      <c r="G195" s="2" t="s">
        <v>6</v>
      </c>
      <c r="H195" s="17">
        <f>ROUND(VLOOKUP(H$187&amp;"_1",管理者用人口入力シート!BH:CE,J195,FALSE),0)</f>
        <v>164</v>
      </c>
      <c r="I195" s="17">
        <f>ROUND(VLOOKUP(H$187&amp;"_2",管理者用人口入力シート!BH:CE,J195,FALSE),0)</f>
        <v>152</v>
      </c>
      <c r="J195" s="2">
        <v>10</v>
      </c>
      <c r="N195" s="2" t="s">
        <v>6</v>
      </c>
      <c r="O195" s="17">
        <f>ROUND(VLOOKUP(O$187&amp;"_1",管理者用人口入力シート!CO:DL,Q195,FALSE),0)</f>
        <v>166</v>
      </c>
      <c r="P195" s="17">
        <f>ROUND(VLOOKUP(O$187&amp;"_2",管理者用人口入力シート!CO:DL,Q195,FALSE),0)</f>
        <v>155</v>
      </c>
      <c r="Q195" s="2">
        <v>10</v>
      </c>
    </row>
    <row r="196" spans="7:17" x14ac:dyDescent="0.15">
      <c r="G196" s="2" t="s">
        <v>7</v>
      </c>
      <c r="H196" s="17">
        <f>ROUND(VLOOKUP(H$187&amp;"_1",管理者用人口入力シート!BH:CE,J196,FALSE),0)</f>
        <v>217</v>
      </c>
      <c r="I196" s="17">
        <f>ROUND(VLOOKUP(H$187&amp;"_2",管理者用人口入力シート!BH:CE,J196,FALSE),0)</f>
        <v>171</v>
      </c>
      <c r="J196" s="2">
        <v>11</v>
      </c>
      <c r="N196" s="2" t="s">
        <v>7</v>
      </c>
      <c r="O196" s="17">
        <f>ROUND(VLOOKUP(O$187&amp;"_1",管理者用人口入力シート!CO:DL,Q196,FALSE),0)</f>
        <v>220</v>
      </c>
      <c r="P196" s="17">
        <f>ROUND(VLOOKUP(O$187&amp;"_2",管理者用人口入力シート!CO:DL,Q196,FALSE),0)</f>
        <v>174</v>
      </c>
      <c r="Q196" s="2">
        <v>11</v>
      </c>
    </row>
    <row r="197" spans="7:17" x14ac:dyDescent="0.15">
      <c r="G197" s="2" t="s">
        <v>8</v>
      </c>
      <c r="H197" s="17">
        <f>ROUND(VLOOKUP(H$187&amp;"_1",管理者用人口入力シート!BH:CE,J197,FALSE),0)</f>
        <v>247</v>
      </c>
      <c r="I197" s="17">
        <f>ROUND(VLOOKUP(H$187&amp;"_2",管理者用人口入力シート!BH:CE,J197,FALSE),0)</f>
        <v>174</v>
      </c>
      <c r="J197" s="2">
        <v>12</v>
      </c>
      <c r="N197" s="2" t="s">
        <v>8</v>
      </c>
      <c r="O197" s="17">
        <f>ROUND(VLOOKUP(O$187&amp;"_1",管理者用人口入力シート!CO:DL,Q197,FALSE),0)</f>
        <v>249</v>
      </c>
      <c r="P197" s="17">
        <f>ROUND(VLOOKUP(O$187&amp;"_2",管理者用人口入力シート!CO:DL,Q197,FALSE),0)</f>
        <v>177</v>
      </c>
      <c r="Q197" s="2">
        <v>12</v>
      </c>
    </row>
    <row r="198" spans="7:17" x14ac:dyDescent="0.15">
      <c r="G198" s="2" t="s">
        <v>9</v>
      </c>
      <c r="H198" s="17">
        <f>ROUND(VLOOKUP(H$187&amp;"_1",管理者用人口入力シート!BH:CE,J198,FALSE),0)</f>
        <v>291</v>
      </c>
      <c r="I198" s="17">
        <f>ROUND(VLOOKUP(H$187&amp;"_2",管理者用人口入力シート!BH:CE,J198,FALSE),0)</f>
        <v>186</v>
      </c>
      <c r="J198" s="2">
        <v>13</v>
      </c>
      <c r="N198" s="2" t="s">
        <v>9</v>
      </c>
      <c r="O198" s="17">
        <f>ROUND(VLOOKUP(O$187&amp;"_1",管理者用人口入力シート!CO:DL,Q198,FALSE),0)</f>
        <v>293</v>
      </c>
      <c r="P198" s="17">
        <f>ROUND(VLOOKUP(O$187&amp;"_2",管理者用人口入力シート!CO:DL,Q198,FALSE),0)</f>
        <v>189</v>
      </c>
      <c r="Q198" s="2">
        <v>13</v>
      </c>
    </row>
    <row r="199" spans="7:17" x14ac:dyDescent="0.15">
      <c r="G199" s="2" t="s">
        <v>10</v>
      </c>
      <c r="H199" s="17">
        <f>ROUND(VLOOKUP(H$187&amp;"_1",管理者用人口入力シート!BH:CE,J199,FALSE),0)</f>
        <v>263</v>
      </c>
      <c r="I199" s="17">
        <f>ROUND(VLOOKUP(H$187&amp;"_2",管理者用人口入力シート!BH:CE,J199,FALSE),0)</f>
        <v>208</v>
      </c>
      <c r="J199" s="2">
        <v>14</v>
      </c>
      <c r="N199" s="2" t="s">
        <v>10</v>
      </c>
      <c r="O199" s="17">
        <f>ROUND(VLOOKUP(O$187&amp;"_1",管理者用人口入力シート!CO:DL,Q199,FALSE),0)</f>
        <v>265</v>
      </c>
      <c r="P199" s="17">
        <f>ROUND(VLOOKUP(O$187&amp;"_2",管理者用人口入力シート!CO:DL,Q199,FALSE),0)</f>
        <v>210</v>
      </c>
      <c r="Q199" s="2">
        <v>14</v>
      </c>
    </row>
    <row r="200" spans="7:17" x14ac:dyDescent="0.15">
      <c r="G200" s="2" t="s">
        <v>11</v>
      </c>
      <c r="H200" s="17">
        <f>ROUND(VLOOKUP(H$187&amp;"_1",管理者用人口入力シート!BH:CE,J200,FALSE),0)</f>
        <v>258</v>
      </c>
      <c r="I200" s="17">
        <f>ROUND(VLOOKUP(H$187&amp;"_2",管理者用人口入力シート!BH:CE,J200,FALSE),0)</f>
        <v>208</v>
      </c>
      <c r="J200" s="2">
        <v>15</v>
      </c>
      <c r="N200" s="2" t="s">
        <v>11</v>
      </c>
      <c r="O200" s="17">
        <f>ROUND(VLOOKUP(O$187&amp;"_1",管理者用人口入力シート!CO:DL,Q200,FALSE),0)</f>
        <v>258</v>
      </c>
      <c r="P200" s="17">
        <f>ROUND(VLOOKUP(O$187&amp;"_2",管理者用人口入力シート!CO:DL,Q200,FALSE),0)</f>
        <v>209</v>
      </c>
      <c r="Q200" s="2">
        <v>15</v>
      </c>
    </row>
    <row r="201" spans="7:17" x14ac:dyDescent="0.15">
      <c r="G201" s="2" t="s">
        <v>12</v>
      </c>
      <c r="H201" s="17">
        <f>ROUND(VLOOKUP(H$187&amp;"_1",管理者用人口入力シート!BH:CE,J201,FALSE),0)</f>
        <v>300</v>
      </c>
      <c r="I201" s="17">
        <f>ROUND(VLOOKUP(H$187&amp;"_2",管理者用人口入力シート!BH:CE,J201,FALSE),0)</f>
        <v>275</v>
      </c>
      <c r="J201" s="2">
        <v>16</v>
      </c>
      <c r="N201" s="2" t="s">
        <v>12</v>
      </c>
      <c r="O201" s="17">
        <f>ROUND(VLOOKUP(O$187&amp;"_1",管理者用人口入力シート!CO:DL,Q201,FALSE),0)</f>
        <v>300</v>
      </c>
      <c r="P201" s="17">
        <f>ROUND(VLOOKUP(O$187&amp;"_2",管理者用人口入力シート!CO:DL,Q201,FALSE),0)</f>
        <v>276</v>
      </c>
      <c r="Q201" s="2">
        <v>16</v>
      </c>
    </row>
    <row r="202" spans="7:17" x14ac:dyDescent="0.15">
      <c r="G202" s="2" t="s">
        <v>13</v>
      </c>
      <c r="H202" s="17">
        <f>ROUND(VLOOKUP(H$187&amp;"_1",管理者用人口入力シート!BH:CE,J202,FALSE),0)</f>
        <v>330</v>
      </c>
      <c r="I202" s="17">
        <f>ROUND(VLOOKUP(H$187&amp;"_2",管理者用人口入力シート!BH:CE,J202,FALSE),0)</f>
        <v>349</v>
      </c>
      <c r="J202" s="2">
        <v>17</v>
      </c>
      <c r="N202" s="2" t="s">
        <v>13</v>
      </c>
      <c r="O202" s="17">
        <f>ROUND(VLOOKUP(O$187&amp;"_1",管理者用人口入力シート!CO:DL,Q202,FALSE),0)</f>
        <v>330</v>
      </c>
      <c r="P202" s="17">
        <f>ROUND(VLOOKUP(O$187&amp;"_2",管理者用人口入力シート!CO:DL,Q202,FALSE),0)</f>
        <v>350</v>
      </c>
      <c r="Q202" s="2">
        <v>17</v>
      </c>
    </row>
    <row r="203" spans="7:17" x14ac:dyDescent="0.15">
      <c r="G203" s="2" t="s">
        <v>14</v>
      </c>
      <c r="H203" s="17">
        <f>ROUND(VLOOKUP(H$187&amp;"_1",管理者用人口入力シート!BH:CE,J203,FALSE),0)</f>
        <v>366</v>
      </c>
      <c r="I203" s="17">
        <f>ROUND(VLOOKUP(H$187&amp;"_2",管理者用人口入力シート!BH:CE,J203,FALSE),0)</f>
        <v>402</v>
      </c>
      <c r="J203" s="2">
        <v>18</v>
      </c>
      <c r="N203" s="2" t="s">
        <v>14</v>
      </c>
      <c r="O203" s="17">
        <f>ROUND(VLOOKUP(O$187&amp;"_1",管理者用人口入力シート!CO:DL,Q203,FALSE),0)</f>
        <v>366</v>
      </c>
      <c r="P203" s="17">
        <f>ROUND(VLOOKUP(O$187&amp;"_2",管理者用人口入力シート!CO:DL,Q203,FALSE),0)</f>
        <v>402</v>
      </c>
      <c r="Q203" s="2">
        <v>18</v>
      </c>
    </row>
    <row r="204" spans="7:17" x14ac:dyDescent="0.15">
      <c r="G204" s="2" t="s">
        <v>15</v>
      </c>
      <c r="H204" s="17">
        <f>ROUND(VLOOKUP(H$187&amp;"_1",管理者用人口入力シート!BH:CE,J204,FALSE),0)</f>
        <v>377</v>
      </c>
      <c r="I204" s="17">
        <f>ROUND(VLOOKUP(H$187&amp;"_2",管理者用人口入力シート!BH:CE,J204,FALSE),0)</f>
        <v>397</v>
      </c>
      <c r="J204" s="2">
        <v>19</v>
      </c>
      <c r="N204" s="2" t="s">
        <v>15</v>
      </c>
      <c r="O204" s="17">
        <f>ROUND(VLOOKUP(O$187&amp;"_1",管理者用人口入力シート!CO:DL,Q204,FALSE),0)</f>
        <v>377</v>
      </c>
      <c r="P204" s="17">
        <f>ROUND(VLOOKUP(O$187&amp;"_2",管理者用人口入力シート!CO:DL,Q204,FALSE),0)</f>
        <v>397</v>
      </c>
      <c r="Q204" s="2">
        <v>19</v>
      </c>
    </row>
    <row r="205" spans="7:17" x14ac:dyDescent="0.15">
      <c r="G205" s="2" t="s">
        <v>16</v>
      </c>
      <c r="H205" s="17">
        <f>ROUND(VLOOKUP(H$187&amp;"_1",管理者用人口入力シート!BH:CE,J205,FALSE),0)</f>
        <v>262</v>
      </c>
      <c r="I205" s="17">
        <f>ROUND(VLOOKUP(H$187&amp;"_2",管理者用人口入力シート!BH:CE,J205,FALSE),0)</f>
        <v>340</v>
      </c>
      <c r="J205" s="2">
        <v>20</v>
      </c>
      <c r="N205" s="2" t="s">
        <v>16</v>
      </c>
      <c r="O205" s="17">
        <f>ROUND(VLOOKUP(O$187&amp;"_1",管理者用人口入力シート!CO:DL,Q205,FALSE),0)</f>
        <v>262</v>
      </c>
      <c r="P205" s="17">
        <f>ROUND(VLOOKUP(O$187&amp;"_2",管理者用人口入力シート!CO:DL,Q205,FALSE),0)</f>
        <v>340</v>
      </c>
      <c r="Q205" s="2">
        <v>20</v>
      </c>
    </row>
    <row r="206" spans="7:17" x14ac:dyDescent="0.15">
      <c r="G206" s="2" t="s">
        <v>17</v>
      </c>
      <c r="H206" s="17">
        <f>ROUND(VLOOKUP(H$187&amp;"_1",管理者用人口入力シート!BH:CE,J206,FALSE),0)</f>
        <v>175</v>
      </c>
      <c r="I206" s="17">
        <f>ROUND(VLOOKUP(H$187&amp;"_2",管理者用人口入力シート!BH:CE,J206,FALSE),0)</f>
        <v>306</v>
      </c>
      <c r="J206" s="2">
        <v>21</v>
      </c>
      <c r="N206" s="2" t="s">
        <v>17</v>
      </c>
      <c r="O206" s="17">
        <f>ROUND(VLOOKUP(O$187&amp;"_1",管理者用人口入力シート!CO:DL,Q206,FALSE),0)</f>
        <v>175</v>
      </c>
      <c r="P206" s="17">
        <f>ROUND(VLOOKUP(O$187&amp;"_2",管理者用人口入力シート!CO:DL,Q206,FALSE),0)</f>
        <v>306</v>
      </c>
      <c r="Q206" s="2">
        <v>21</v>
      </c>
    </row>
    <row r="207" spans="7:17" x14ac:dyDescent="0.15">
      <c r="G207" s="2" t="s">
        <v>18</v>
      </c>
      <c r="H207" s="17">
        <f>ROUND(VLOOKUP(H$187&amp;"_1",管理者用人口入力シート!BH:CE,J207,FALSE),0)</f>
        <v>85</v>
      </c>
      <c r="I207" s="17">
        <f>ROUND(VLOOKUP(H$187&amp;"_2",管理者用人口入力シート!BH:CE,J207,FALSE),0)</f>
        <v>196</v>
      </c>
      <c r="J207" s="2">
        <v>22</v>
      </c>
      <c r="N207" s="2" t="s">
        <v>18</v>
      </c>
      <c r="O207" s="17">
        <f>ROUND(VLOOKUP(O$187&amp;"_1",管理者用人口入力シート!CO:DL,Q207,FALSE),0)</f>
        <v>85</v>
      </c>
      <c r="P207" s="17">
        <f>ROUND(VLOOKUP(O$187&amp;"_2",管理者用人口入力シート!CO:DL,Q207,FALSE),0)</f>
        <v>196</v>
      </c>
      <c r="Q207" s="2">
        <v>22</v>
      </c>
    </row>
    <row r="208" spans="7:17" x14ac:dyDescent="0.15">
      <c r="G208" s="2" t="s">
        <v>19</v>
      </c>
      <c r="H208" s="17">
        <f>ROUND(VLOOKUP(H$187&amp;"_1",管理者用人口入力シート!BH:CE,J208,FALSE),0)</f>
        <v>37</v>
      </c>
      <c r="I208" s="17">
        <f>ROUND(VLOOKUP(H$187&amp;"_2",管理者用人口入力シート!BH:CE,J208,FALSE),0)</f>
        <v>81</v>
      </c>
      <c r="J208" s="2">
        <v>23</v>
      </c>
      <c r="N208" s="2" t="s">
        <v>19</v>
      </c>
      <c r="O208" s="17">
        <f>ROUND(VLOOKUP(O$187&amp;"_1",管理者用人口入力シート!CO:DL,Q208,FALSE),0)</f>
        <v>37</v>
      </c>
      <c r="P208" s="17">
        <f>ROUND(VLOOKUP(O$187&amp;"_2",管理者用人口入力シート!CO:DL,Q208,FALSE),0)</f>
        <v>81</v>
      </c>
      <c r="Q208" s="2">
        <v>23</v>
      </c>
    </row>
    <row r="209" spans="7:17" x14ac:dyDescent="0.15">
      <c r="G209" s="2" t="s">
        <v>20</v>
      </c>
      <c r="H209" s="17">
        <f>ROUND(VLOOKUP(H$187&amp;"_1",管理者用人口入力シート!BH:CE,J209,FALSE),0)</f>
        <v>1</v>
      </c>
      <c r="I209" s="17">
        <f>ROUND(VLOOKUP(H$187&amp;"_2",管理者用人口入力シート!BH:CE,J209,FALSE),0)</f>
        <v>16</v>
      </c>
      <c r="J209" s="2">
        <v>24</v>
      </c>
      <c r="N209" s="2" t="s">
        <v>20</v>
      </c>
      <c r="O209" s="17">
        <f>ROUND(VLOOKUP(O$187&amp;"_1",管理者用人口入力シート!CO:DL,Q209,FALSE),0)</f>
        <v>1</v>
      </c>
      <c r="P209" s="17">
        <f>ROUND(VLOOKUP(O$187&amp;"_2",管理者用人口入力シート!CO:DL,Q209,FALSE),0)</f>
        <v>16</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377</v>
      </c>
      <c r="P214" s="17">
        <f>O93+P93</f>
        <v>381</v>
      </c>
      <c r="Q214" s="2">
        <v>4</v>
      </c>
    </row>
    <row r="215" spans="7:17" x14ac:dyDescent="0.15">
      <c r="N215" s="2" t="s">
        <v>1</v>
      </c>
      <c r="O215" s="17">
        <f t="shared" ref="O215:O233" si="37">H94+I94</f>
        <v>455</v>
      </c>
      <c r="P215" s="17">
        <f t="shared" ref="P215:P233" si="38">O94+P94</f>
        <v>457</v>
      </c>
      <c r="Q215" s="2">
        <v>5</v>
      </c>
    </row>
    <row r="216" spans="7:17" x14ac:dyDescent="0.15">
      <c r="N216" s="2" t="s">
        <v>2</v>
      </c>
      <c r="O216" s="17">
        <f t="shared" si="37"/>
        <v>563</v>
      </c>
      <c r="P216" s="17">
        <f t="shared" si="38"/>
        <v>565</v>
      </c>
      <c r="Q216" s="2">
        <v>6</v>
      </c>
    </row>
    <row r="217" spans="7:17" x14ac:dyDescent="0.15">
      <c r="N217" s="2" t="s">
        <v>3</v>
      </c>
      <c r="O217" s="17">
        <f t="shared" si="37"/>
        <v>714</v>
      </c>
      <c r="P217" s="17">
        <f t="shared" si="38"/>
        <v>716</v>
      </c>
      <c r="Q217" s="2">
        <v>7</v>
      </c>
    </row>
    <row r="218" spans="7:17" x14ac:dyDescent="0.15">
      <c r="N218" s="2" t="s">
        <v>4</v>
      </c>
      <c r="O218" s="17">
        <f t="shared" si="37"/>
        <v>395</v>
      </c>
      <c r="P218" s="17">
        <f t="shared" si="38"/>
        <v>395</v>
      </c>
      <c r="Q218" s="2">
        <v>8</v>
      </c>
    </row>
    <row r="219" spans="7:17" x14ac:dyDescent="0.15">
      <c r="N219" s="2" t="s">
        <v>5</v>
      </c>
      <c r="O219" s="17">
        <f t="shared" si="37"/>
        <v>514</v>
      </c>
      <c r="P219" s="17">
        <f t="shared" si="38"/>
        <v>518</v>
      </c>
      <c r="Q219" s="2">
        <v>9</v>
      </c>
    </row>
    <row r="220" spans="7:17" x14ac:dyDescent="0.15">
      <c r="N220" s="2" t="s">
        <v>6</v>
      </c>
      <c r="O220" s="17">
        <f t="shared" si="37"/>
        <v>500</v>
      </c>
      <c r="P220" s="17">
        <f t="shared" si="38"/>
        <v>504</v>
      </c>
      <c r="Q220" s="2">
        <v>10</v>
      </c>
    </row>
    <row r="221" spans="7:17" x14ac:dyDescent="0.15">
      <c r="N221" s="2" t="s">
        <v>7</v>
      </c>
      <c r="O221" s="17">
        <f t="shared" si="37"/>
        <v>513</v>
      </c>
      <c r="P221" s="17">
        <f t="shared" si="38"/>
        <v>513</v>
      </c>
      <c r="Q221" s="2">
        <v>11</v>
      </c>
    </row>
    <row r="222" spans="7:17" x14ac:dyDescent="0.15">
      <c r="N222" s="2" t="s">
        <v>8</v>
      </c>
      <c r="O222" s="17">
        <f t="shared" si="37"/>
        <v>603</v>
      </c>
      <c r="P222" s="17">
        <f t="shared" si="38"/>
        <v>604</v>
      </c>
      <c r="Q222" s="2">
        <v>12</v>
      </c>
    </row>
    <row r="223" spans="7:17" x14ac:dyDescent="0.15">
      <c r="N223" s="2" t="s">
        <v>9</v>
      </c>
      <c r="O223" s="17">
        <f t="shared" si="37"/>
        <v>736</v>
      </c>
      <c r="P223" s="17">
        <f t="shared" si="38"/>
        <v>737</v>
      </c>
      <c r="Q223" s="2">
        <v>13</v>
      </c>
    </row>
    <row r="224" spans="7:17" x14ac:dyDescent="0.15">
      <c r="N224" s="2" t="s">
        <v>10</v>
      </c>
      <c r="O224" s="17">
        <f t="shared" si="37"/>
        <v>883</v>
      </c>
      <c r="P224" s="17">
        <f t="shared" si="38"/>
        <v>883</v>
      </c>
      <c r="Q224" s="2">
        <v>14</v>
      </c>
    </row>
    <row r="225" spans="14:17" x14ac:dyDescent="0.15">
      <c r="N225" s="2" t="s">
        <v>11</v>
      </c>
      <c r="O225" s="17">
        <f t="shared" si="37"/>
        <v>959</v>
      </c>
      <c r="P225" s="17">
        <f t="shared" si="38"/>
        <v>959</v>
      </c>
      <c r="Q225" s="2">
        <v>15</v>
      </c>
    </row>
    <row r="226" spans="14:17" x14ac:dyDescent="0.15">
      <c r="N226" s="2" t="s">
        <v>12</v>
      </c>
      <c r="O226" s="17">
        <f t="shared" si="37"/>
        <v>879</v>
      </c>
      <c r="P226" s="17">
        <f t="shared" si="38"/>
        <v>879</v>
      </c>
      <c r="Q226" s="2">
        <v>16</v>
      </c>
    </row>
    <row r="227" spans="14:17" x14ac:dyDescent="0.15">
      <c r="N227" s="2" t="s">
        <v>13</v>
      </c>
      <c r="O227" s="17">
        <f t="shared" si="37"/>
        <v>980</v>
      </c>
      <c r="P227" s="17">
        <f t="shared" si="38"/>
        <v>980</v>
      </c>
      <c r="Q227" s="2">
        <v>17</v>
      </c>
    </row>
    <row r="228" spans="14:17" x14ac:dyDescent="0.15">
      <c r="N228" s="2" t="s">
        <v>14</v>
      </c>
      <c r="O228" s="17">
        <f t="shared" si="37"/>
        <v>1022</v>
      </c>
      <c r="P228" s="17">
        <f t="shared" si="38"/>
        <v>1022</v>
      </c>
      <c r="Q228" s="2">
        <v>18</v>
      </c>
    </row>
    <row r="229" spans="14:17" x14ac:dyDescent="0.15">
      <c r="N229" s="2" t="s">
        <v>15</v>
      </c>
      <c r="O229" s="17">
        <f t="shared" si="37"/>
        <v>1133</v>
      </c>
      <c r="P229" s="17">
        <f t="shared" si="38"/>
        <v>1133</v>
      </c>
      <c r="Q229" s="2">
        <v>19</v>
      </c>
    </row>
    <row r="230" spans="14:17" x14ac:dyDescent="0.15">
      <c r="N230" s="2" t="s">
        <v>16</v>
      </c>
      <c r="O230" s="17">
        <f t="shared" si="37"/>
        <v>1129</v>
      </c>
      <c r="P230" s="17">
        <f t="shared" si="38"/>
        <v>1129</v>
      </c>
      <c r="Q230" s="2">
        <v>20</v>
      </c>
    </row>
    <row r="231" spans="14:17" x14ac:dyDescent="0.15">
      <c r="N231" s="2" t="s">
        <v>17</v>
      </c>
      <c r="O231" s="17">
        <f t="shared" si="37"/>
        <v>564</v>
      </c>
      <c r="P231" s="17">
        <f t="shared" si="38"/>
        <v>564</v>
      </c>
      <c r="Q231" s="2">
        <v>21</v>
      </c>
    </row>
    <row r="232" spans="14:17" x14ac:dyDescent="0.15">
      <c r="N232" s="2" t="s">
        <v>18</v>
      </c>
      <c r="O232" s="17">
        <f t="shared" si="37"/>
        <v>325</v>
      </c>
      <c r="P232" s="17">
        <f t="shared" si="38"/>
        <v>325</v>
      </c>
      <c r="Q232" s="2">
        <v>22</v>
      </c>
    </row>
    <row r="233" spans="14:17" x14ac:dyDescent="0.15">
      <c r="N233" s="2" t="s">
        <v>19</v>
      </c>
      <c r="O233" s="17">
        <f t="shared" si="37"/>
        <v>119</v>
      </c>
      <c r="P233" s="17">
        <f t="shared" si="38"/>
        <v>119</v>
      </c>
      <c r="Q233" s="2">
        <v>23</v>
      </c>
    </row>
    <row r="234" spans="14:17" x14ac:dyDescent="0.15">
      <c r="N234" s="2" t="s">
        <v>20</v>
      </c>
      <c r="O234" s="17">
        <f>H113+I113</f>
        <v>12</v>
      </c>
      <c r="P234" s="17">
        <f>O113+P113</f>
        <v>12</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317</v>
      </c>
      <c r="P238" s="17">
        <f>O141+P141</f>
        <v>321</v>
      </c>
      <c r="Q238" s="2">
        <v>4</v>
      </c>
    </row>
    <row r="239" spans="14:17" x14ac:dyDescent="0.15">
      <c r="N239" s="2" t="s">
        <v>1</v>
      </c>
      <c r="O239" s="17">
        <f t="shared" ref="O239:O257" si="39">H142+I142</f>
        <v>365</v>
      </c>
      <c r="P239" s="17">
        <f t="shared" ref="P239:P257" si="40">O142+P142</f>
        <v>370</v>
      </c>
      <c r="Q239" s="2">
        <v>5</v>
      </c>
    </row>
    <row r="240" spans="14:17" x14ac:dyDescent="0.15">
      <c r="N240" s="2" t="s">
        <v>2</v>
      </c>
      <c r="O240" s="17">
        <f t="shared" si="39"/>
        <v>402</v>
      </c>
      <c r="P240" s="17">
        <f t="shared" si="40"/>
        <v>408</v>
      </c>
      <c r="Q240" s="2">
        <v>6</v>
      </c>
    </row>
    <row r="241" spans="14:17" x14ac:dyDescent="0.15">
      <c r="N241" s="2" t="s">
        <v>3</v>
      </c>
      <c r="O241" s="17">
        <f t="shared" si="39"/>
        <v>488</v>
      </c>
      <c r="P241" s="17">
        <f t="shared" si="40"/>
        <v>493</v>
      </c>
      <c r="Q241" s="2">
        <v>7</v>
      </c>
    </row>
    <row r="242" spans="14:17" x14ac:dyDescent="0.15">
      <c r="N242" s="2" t="s">
        <v>4</v>
      </c>
      <c r="O242" s="17">
        <f t="shared" si="39"/>
        <v>290</v>
      </c>
      <c r="P242" s="17">
        <f t="shared" si="40"/>
        <v>291</v>
      </c>
      <c r="Q242" s="2">
        <v>8</v>
      </c>
    </row>
    <row r="243" spans="14:17" x14ac:dyDescent="0.15">
      <c r="N243" s="2" t="s">
        <v>5</v>
      </c>
      <c r="O243" s="17">
        <f t="shared" si="39"/>
        <v>396</v>
      </c>
      <c r="P243" s="17">
        <f t="shared" si="40"/>
        <v>402</v>
      </c>
      <c r="Q243" s="2">
        <v>9</v>
      </c>
    </row>
    <row r="244" spans="14:17" x14ac:dyDescent="0.15">
      <c r="N244" s="2" t="s">
        <v>6</v>
      </c>
      <c r="O244" s="17">
        <f t="shared" si="39"/>
        <v>436</v>
      </c>
      <c r="P244" s="17">
        <f t="shared" si="40"/>
        <v>440</v>
      </c>
      <c r="Q244" s="2">
        <v>10</v>
      </c>
    </row>
    <row r="245" spans="14:17" x14ac:dyDescent="0.15">
      <c r="N245" s="2" t="s">
        <v>7</v>
      </c>
      <c r="O245" s="17">
        <f t="shared" si="39"/>
        <v>504</v>
      </c>
      <c r="P245" s="17">
        <f t="shared" si="40"/>
        <v>507</v>
      </c>
      <c r="Q245" s="2">
        <v>11</v>
      </c>
    </row>
    <row r="246" spans="14:17" x14ac:dyDescent="0.15">
      <c r="N246" s="2" t="s">
        <v>8</v>
      </c>
      <c r="O246" s="17">
        <f t="shared" si="39"/>
        <v>484</v>
      </c>
      <c r="P246" s="17">
        <f t="shared" si="40"/>
        <v>488</v>
      </c>
      <c r="Q246" s="2">
        <v>12</v>
      </c>
    </row>
    <row r="247" spans="14:17" x14ac:dyDescent="0.15">
      <c r="N247" s="2" t="s">
        <v>9</v>
      </c>
      <c r="O247" s="17">
        <f t="shared" si="39"/>
        <v>485</v>
      </c>
      <c r="P247" s="17">
        <f t="shared" si="40"/>
        <v>486</v>
      </c>
      <c r="Q247" s="2">
        <v>13</v>
      </c>
    </row>
    <row r="248" spans="14:17" x14ac:dyDescent="0.15">
      <c r="N248" s="2" t="s">
        <v>10</v>
      </c>
      <c r="O248" s="17">
        <f t="shared" si="39"/>
        <v>586</v>
      </c>
      <c r="P248" s="17">
        <f t="shared" si="40"/>
        <v>587</v>
      </c>
      <c r="Q248" s="2">
        <v>14</v>
      </c>
    </row>
    <row r="249" spans="14:17" x14ac:dyDescent="0.15">
      <c r="N249" s="2" t="s">
        <v>11</v>
      </c>
      <c r="O249" s="17">
        <f t="shared" si="39"/>
        <v>706</v>
      </c>
      <c r="P249" s="17">
        <f t="shared" si="40"/>
        <v>707</v>
      </c>
      <c r="Q249" s="2">
        <v>15</v>
      </c>
    </row>
    <row r="250" spans="14:17" x14ac:dyDescent="0.15">
      <c r="N250" s="2" t="s">
        <v>12</v>
      </c>
      <c r="O250" s="17">
        <f t="shared" si="39"/>
        <v>864</v>
      </c>
      <c r="P250" s="17">
        <f t="shared" si="40"/>
        <v>864</v>
      </c>
      <c r="Q250" s="2">
        <v>16</v>
      </c>
    </row>
    <row r="251" spans="14:17" x14ac:dyDescent="0.15">
      <c r="N251" s="2" t="s">
        <v>13</v>
      </c>
      <c r="O251" s="17">
        <f t="shared" si="39"/>
        <v>922</v>
      </c>
      <c r="P251" s="17">
        <f t="shared" si="40"/>
        <v>922</v>
      </c>
      <c r="Q251" s="2">
        <v>17</v>
      </c>
    </row>
    <row r="252" spans="14:17" x14ac:dyDescent="0.15">
      <c r="N252" s="2" t="s">
        <v>14</v>
      </c>
      <c r="O252" s="17">
        <f t="shared" si="39"/>
        <v>782</v>
      </c>
      <c r="P252" s="17">
        <f t="shared" si="40"/>
        <v>782</v>
      </c>
      <c r="Q252" s="2">
        <v>18</v>
      </c>
    </row>
    <row r="253" spans="14:17" x14ac:dyDescent="0.15">
      <c r="N253" s="2" t="s">
        <v>15</v>
      </c>
      <c r="O253" s="17">
        <f t="shared" si="39"/>
        <v>828</v>
      </c>
      <c r="P253" s="17">
        <f t="shared" si="40"/>
        <v>828</v>
      </c>
      <c r="Q253" s="2">
        <v>19</v>
      </c>
    </row>
    <row r="254" spans="14:17" x14ac:dyDescent="0.15">
      <c r="N254" s="2" t="s">
        <v>16</v>
      </c>
      <c r="O254" s="17">
        <f t="shared" si="39"/>
        <v>791</v>
      </c>
      <c r="P254" s="17">
        <f t="shared" si="40"/>
        <v>791</v>
      </c>
      <c r="Q254" s="2">
        <v>20</v>
      </c>
    </row>
    <row r="255" spans="14:17" x14ac:dyDescent="0.15">
      <c r="N255" s="2" t="s">
        <v>17</v>
      </c>
      <c r="O255" s="17">
        <f t="shared" si="39"/>
        <v>657</v>
      </c>
      <c r="P255" s="17">
        <f t="shared" si="40"/>
        <v>657</v>
      </c>
      <c r="Q255" s="2">
        <v>21</v>
      </c>
    </row>
    <row r="256" spans="14:17" x14ac:dyDescent="0.15">
      <c r="N256" s="2" t="s">
        <v>18</v>
      </c>
      <c r="O256" s="17">
        <f t="shared" si="39"/>
        <v>402</v>
      </c>
      <c r="P256" s="17">
        <f t="shared" si="40"/>
        <v>402</v>
      </c>
      <c r="Q256" s="2">
        <v>22</v>
      </c>
    </row>
    <row r="257" spans="14:17" x14ac:dyDescent="0.15">
      <c r="N257" s="2" t="s">
        <v>19</v>
      </c>
      <c r="O257" s="17">
        <f t="shared" si="39"/>
        <v>102</v>
      </c>
      <c r="P257" s="17">
        <f t="shared" si="40"/>
        <v>102</v>
      </c>
      <c r="Q257" s="2">
        <v>23</v>
      </c>
    </row>
    <row r="258" spans="14:17" x14ac:dyDescent="0.15">
      <c r="N258" s="2" t="s">
        <v>20</v>
      </c>
      <c r="O258" s="17">
        <f>H161+I161</f>
        <v>13</v>
      </c>
      <c r="P258" s="17">
        <f>O161+P161</f>
        <v>13</v>
      </c>
      <c r="Q258" s="2">
        <v>24</v>
      </c>
    </row>
  </sheetData>
  <mergeCells count="17">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 ref="O236:P236"/>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2019-03-15T11:21:37Z</cp:lastPrinted>
  <dcterms:created xsi:type="dcterms:W3CDTF">2018-08-17T00:57:13Z</dcterms:created>
  <dcterms:modified xsi:type="dcterms:W3CDTF">2023-03-06T05:46:12Z</dcterms:modified>
</cp:coreProperties>
</file>