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8aphPhQAOdekMrfFkoTIEqyhhFtMwJ4lE0FoLpS74Yi4tps3EFv4H2UDU9ynQ477jTyQpYY1TIfe9s+AfkhbMg==" workbookSaltValue="PlaHfzKVZIkNU2BdtNSVF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DI7" i="17" l="1"/>
  <c r="BZ7" i="17"/>
  <c r="EQ4" i="17"/>
  <c r="ER7" i="17" s="1"/>
  <c r="EJ4" i="17"/>
  <c r="EK7" i="17" s="1"/>
  <c r="BU5" i="17"/>
  <c r="DB7" i="17"/>
  <c r="DC10" i="17" s="1"/>
  <c r="BU7" i="17"/>
  <c r="BU8" i="17" s="1"/>
  <c r="O75" i="18"/>
  <c r="BQ5" i="17"/>
  <c r="CC5" i="17"/>
  <c r="CJ5" i="17" s="1"/>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5" i="17" l="1"/>
  <c r="EQ21" i="17"/>
  <c r="EQ22" i="17" s="1"/>
  <c r="EJ21" i="17"/>
  <c r="EJ22" i="17" s="1"/>
  <c r="BV10" i="17"/>
  <c r="BW13" i="17" s="1"/>
  <c r="BW14" i="17" s="1"/>
  <c r="EJ5" i="17"/>
  <c r="DH7" i="17"/>
  <c r="P85" i="18"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P6" i="17"/>
  <c r="BP11" i="17"/>
  <c r="BQ12" i="17"/>
  <c r="H147" i="18" s="1"/>
  <c r="CZ8" i="17"/>
  <c r="DI9" i="17"/>
  <c r="O134" i="18" s="1"/>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BX16" i="17" l="1"/>
  <c r="I178" i="18" s="1"/>
  <c r="I153" i="18"/>
  <c r="I128" i="18"/>
  <c r="BV11" i="17"/>
  <c r="BU16" i="17"/>
  <c r="EO8" i="17"/>
  <c r="DP7" i="17"/>
  <c r="DQ7" i="17"/>
  <c r="DH8" i="17"/>
  <c r="DP8" i="17" s="1"/>
  <c r="DI10" i="17"/>
  <c r="DJ13" i="17" s="1"/>
  <c r="DK16" i="17" s="1"/>
  <c r="O247" i="18"/>
  <c r="I161" i="18"/>
  <c r="O258" i="18" s="1"/>
  <c r="DE13" i="17"/>
  <c r="DF16" i="17" s="1"/>
  <c r="DG19" i="17" s="1"/>
  <c r="P204" i="18" s="1"/>
  <c r="CE14" i="17"/>
  <c r="CD11" i="17"/>
  <c r="I136" i="18"/>
  <c r="BS11" i="17"/>
  <c r="I125"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49" i="18" l="1"/>
  <c r="P250" i="18"/>
  <c r="P226" i="18"/>
  <c r="DB16" i="17"/>
  <c r="DC19" i="17" s="1"/>
  <c r="P200" i="18" s="1"/>
  <c r="DP10" i="17"/>
  <c r="P179" i="18"/>
  <c r="P134" i="18"/>
  <c r="Q45" i="18" s="1"/>
  <c r="DQ10" i="17"/>
  <c r="DQ8" i="17"/>
  <c r="EY8" i="17"/>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O215" i="18"/>
  <c r="CJ19" i="17"/>
  <c r="H142" i="18"/>
  <c r="Q37" i="18"/>
  <c r="DB17"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DW9" i="17" s="1"/>
  <c r="DW10" i="17"/>
  <c r="DW16" i="17" s="1"/>
  <c r="CF12" i="17"/>
  <c r="CK12" i="17" s="1"/>
  <c r="DN8" i="17"/>
  <c r="Q18" i="18"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0" i="17"/>
  <c r="EE12" i="17"/>
  <c r="EG3" i="17"/>
  <c r="EE6" i="17"/>
  <c r="EF9" i="17" s="1"/>
  <c r="EF3" i="17"/>
  <c r="EE4" i="17"/>
  <c r="EG4" i="17"/>
  <c r="EF4" i="17"/>
  <c r="EF21" i="17" s="1"/>
  <c r="EE3" i="17"/>
  <c r="EE1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1" i="17"/>
  <c r="EH7" i="17"/>
  <c r="EF29" i="17"/>
  <c r="EE21" i="17"/>
  <c r="EU4" i="17"/>
  <c r="FB4" i="17"/>
  <c r="EE30" i="17"/>
  <c r="EG7" i="17"/>
  <c r="EG6" i="17"/>
  <c r="EF5" i="17"/>
  <c r="EF20" i="17"/>
  <c r="EF22" i="17" s="1"/>
  <c r="EF6" i="17"/>
  <c r="EE5" i="17"/>
  <c r="EE20" i="17"/>
  <c r="EU3" i="17"/>
  <c r="FB3" i="17"/>
  <c r="EG12" i="17"/>
  <c r="FB12" i="17" s="1"/>
  <c r="EF26" i="17"/>
  <c r="EF11" i="17"/>
  <c r="EE23" i="17"/>
  <c r="EE8" i="17"/>
  <c r="EF7" i="17"/>
  <c r="EH6" i="17"/>
  <c r="EG5" i="17"/>
  <c r="EG20" i="17"/>
  <c r="EG22" i="17" s="1"/>
  <c r="EE29" i="17"/>
  <c r="EE14" i="17"/>
  <c r="EG13" i="17"/>
  <c r="EG30" i="17" s="1"/>
  <c r="EF27" i="17"/>
  <c r="EF13" i="17"/>
  <c r="EF30" i="17" s="1"/>
  <c r="EE27"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E28" i="17"/>
  <c r="EF28" i="17"/>
  <c r="FB6" i="17"/>
  <c r="EE31" i="17"/>
  <c r="EG8" i="17"/>
  <c r="EH10" i="17"/>
  <c r="EG24" i="17"/>
  <c r="FB13" i="17"/>
  <c r="EG23" i="17"/>
  <c r="EH9" i="17"/>
  <c r="FB30" i="17"/>
  <c r="EG29" i="17"/>
  <c r="EG14" i="17"/>
  <c r="FB7" i="17"/>
  <c r="FA4" i="17"/>
  <c r="EZ4" i="17"/>
  <c r="EZ3" i="17"/>
  <c r="FA3" i="17"/>
  <c r="EU21" i="17"/>
  <c r="FB21" i="17"/>
  <c r="FB20" i="17"/>
  <c r="EE22" i="17"/>
  <c r="EU20" i="17"/>
  <c r="EF31" i="17"/>
  <c r="EU5" i="17"/>
  <c r="FB5" i="17"/>
  <c r="EF14" i="17"/>
  <c r="EI9" i="17"/>
  <c r="EH23" i="17"/>
  <c r="EH8" i="17"/>
  <c r="EF23" i="17"/>
  <c r="EG9" i="17"/>
  <c r="EI10" i="17"/>
  <c r="EH24" i="17"/>
  <c r="EF8" i="17"/>
  <c r="EG10" i="17"/>
  <c r="EF24" i="17"/>
  <c r="D11" i="19"/>
  <c r="CK18" i="17"/>
  <c r="DS20" i="17"/>
  <c r="DS18" i="17"/>
  <c r="CK19" i="17"/>
  <c r="CL19" i="17"/>
  <c r="CF20" i="17"/>
  <c r="FB8" i="17" l="1"/>
  <c r="EH25" i="17"/>
  <c r="FB14" i="17"/>
  <c r="DZ7" i="17"/>
  <c r="DZ6" i="17"/>
  <c r="FB29" i="17"/>
  <c r="EG31" i="17"/>
  <c r="FB31" i="17" s="1"/>
  <c r="FB22" i="17"/>
  <c r="EU22" i="17"/>
  <c r="EH26" i="17"/>
  <c r="EI12" i="17"/>
  <c r="EH11" i="17"/>
  <c r="EJ13" i="17"/>
  <c r="EJ30" i="17" s="1"/>
  <c r="EI27" i="17"/>
  <c r="FB23" i="17"/>
  <c r="EG26" i="17"/>
  <c r="FB26" i="17" s="1"/>
  <c r="EH12" i="17"/>
  <c r="EG11" i="17"/>
  <c r="FB11" i="17" s="1"/>
  <c r="FB9" i="17"/>
  <c r="FA21" i="17"/>
  <c r="EZ21" i="17"/>
  <c r="DZ13" i="17"/>
  <c r="DZ12" i="17"/>
  <c r="EI11" i="17"/>
  <c r="EJ12" i="17"/>
  <c r="EI26" i="17"/>
  <c r="EI28" i="17" s="1"/>
  <c r="EG25" i="17"/>
  <c r="EH27" i="17"/>
  <c r="EI13" i="17"/>
  <c r="EI30" i="17" s="1"/>
  <c r="EF25" i="17"/>
  <c r="FB24" i="17"/>
  <c r="FA20" i="17"/>
  <c r="EZ20" i="17"/>
  <c r="FB10" i="17"/>
  <c r="EH13" i="17"/>
  <c r="EH30" i="17" s="1"/>
  <c r="EG27" i="17"/>
  <c r="EZ5" i="17"/>
  <c r="FA5" i="17"/>
  <c r="CK20" i="17"/>
  <c r="CL20" i="17"/>
  <c r="EH28" i="17" l="1"/>
  <c r="EG28" i="17"/>
  <c r="FB28" i="17" s="1"/>
  <c r="FB27" i="17"/>
  <c r="EI29" i="17"/>
  <c r="EI31" i="17" s="1"/>
  <c r="EI14" i="17"/>
  <c r="FA22" i="17"/>
  <c r="EZ22" i="17"/>
  <c r="H36" i="21"/>
  <c r="EJ29" i="17"/>
  <c r="EJ31" i="17" s="1"/>
  <c r="EJ14" i="17"/>
  <c r="DZ14" i="17"/>
  <c r="DZ29" i="17"/>
  <c r="DZ10" i="17"/>
  <c r="DZ9" i="17"/>
  <c r="FB25" i="17"/>
  <c r="DZ30" i="17"/>
  <c r="EH29" i="17"/>
  <c r="EH31" i="17" s="1"/>
  <c r="EH14" i="17"/>
  <c r="DZ23" i="17"/>
  <c r="EU6" i="17"/>
  <c r="EA9" i="17"/>
  <c r="DZ8" i="17"/>
  <c r="EU8" i="17" s="1"/>
  <c r="EA10" i="17"/>
  <c r="DZ24" i="17"/>
  <c r="EU24" i="17" s="1"/>
  <c r="EU7" i="17"/>
  <c r="DZ31" i="17" l="1"/>
  <c r="EZ6" i="17"/>
  <c r="FA6" i="17"/>
  <c r="EU9" i="17"/>
  <c r="EA11" i="17"/>
  <c r="EV11" i="17" s="1"/>
  <c r="EV9" i="17"/>
  <c r="EA26" i="17"/>
  <c r="EB12" i="17"/>
  <c r="DZ25" i="17"/>
  <c r="EU25" i="17" s="1"/>
  <c r="EU23" i="17"/>
  <c r="EZ7" i="17"/>
  <c r="FA7" i="17"/>
  <c r="EV10" i="17"/>
  <c r="EA27" i="17"/>
  <c r="EV27" i="17" s="1"/>
  <c r="EB13" i="17"/>
  <c r="EA12" i="17"/>
  <c r="DZ26" i="17"/>
  <c r="DZ11" i="17"/>
  <c r="EU11" i="17" s="1"/>
  <c r="FA24" i="17"/>
  <c r="EZ24" i="17"/>
  <c r="FA8" i="17"/>
  <c r="EZ8" i="17"/>
  <c r="EA13" i="17"/>
  <c r="DZ27" i="17"/>
  <c r="EU10" i="17"/>
  <c r="DZ28" i="17" l="1"/>
  <c r="FA11" i="17"/>
  <c r="EZ11" i="17"/>
  <c r="EB29" i="17"/>
  <c r="EB14" i="17"/>
  <c r="EW14" i="17" s="1"/>
  <c r="EW12" i="17"/>
  <c r="H37" i="21"/>
  <c r="FA25" i="17"/>
  <c r="EZ25" i="17"/>
  <c r="EZ23" i="17"/>
  <c r="FA23" i="17"/>
  <c r="EU28" i="17"/>
  <c r="EU26" i="17"/>
  <c r="EA28" i="17"/>
  <c r="EV28" i="17" s="1"/>
  <c r="EV26" i="17"/>
  <c r="EA14" i="17"/>
  <c r="EA29" i="17"/>
  <c r="EV12" i="17"/>
  <c r="EU12" i="17"/>
  <c r="EV13" i="17"/>
  <c r="EW13" i="17"/>
  <c r="EB30" i="17"/>
  <c r="EW30" i="17" s="1"/>
  <c r="FA10" i="17"/>
  <c r="EZ10" i="17"/>
  <c r="EA30" i="17"/>
  <c r="EU13" i="17"/>
  <c r="EZ9" i="17"/>
  <c r="FA9" i="17"/>
  <c r="EU27" i="17"/>
  <c r="FA28" i="17" l="1"/>
  <c r="EZ28" i="17"/>
  <c r="H38" i="21"/>
  <c r="EZ12" i="17"/>
  <c r="FA12" i="17"/>
  <c r="FA27" i="17"/>
  <c r="EZ27" i="17"/>
  <c r="EA31" i="17"/>
  <c r="EV29" i="17"/>
  <c r="EU29" i="17"/>
  <c r="EZ26" i="17"/>
  <c r="FA26" i="17"/>
  <c r="EV14" i="17"/>
  <c r="EU14" i="17"/>
  <c r="EB31" i="17"/>
  <c r="EW31" i="17" s="1"/>
  <c r="EW29" i="17"/>
  <c r="EV30" i="17"/>
  <c r="EU30" i="17"/>
  <c r="FA13" i="17"/>
  <c r="EZ13" i="17"/>
  <c r="FA29" i="17" l="1"/>
  <c r="EZ29" i="17"/>
  <c r="EV31" i="17"/>
  <c r="EU31" i="17"/>
  <c r="FA30" i="17"/>
  <c r="EZ30" i="17"/>
  <c r="EZ14" i="17"/>
  <c r="FA14" i="17"/>
  <c r="H39" i="21" l="1"/>
  <c r="FA31" i="17"/>
  <c r="EZ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<sst xmlns="http://schemas.openxmlformats.org/spreadsheetml/2006/main" count="1366" uniqueCount="450">
  <si>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</si>
  <si>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</si>
  <si>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</si>
  <si>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</si>
  <si>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</si>
  <si>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</si>
  <si>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</si>
  <si>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</si>
  <si>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</si>
  <si>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</si>
  <si>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</si>
  <si>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</si>
  <si>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</si>
  <si>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</si>
  <si>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</si>
  <si>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</si>
  <si>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</si>
  <si>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</si>
  <si>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</si>
  <si>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</si>
  <si>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</si>
  <si>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</si>
  <si>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</si>
  <si>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</si>
  <si>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</si>
  <si>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</si>
  <si>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</si>
  <si>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</si>
  <si>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</si>
  <si>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</si>
  <si>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</si>
  <si>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</si>
  <si>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</si>
  <si>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</si>
  <si>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</si>
  <si>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</si>
  <si>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</si>
  <si>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</si>
  <si>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</si>
  <si>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</si>
  <si>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</si>
  <si>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</si>
  <si>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</si>
  <si>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</si>
  <si>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</si>
  <si>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</si>
  <si>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</si>
  <si>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</si>
  <si>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</si>
  <si>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</si>
  <si>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</si>
  <si>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</si>
  <si>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</si>
  <si>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</si>
  <si>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</si>
  <si>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</si>
  <si>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</si>
  <si>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</si>
  <si>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</si>
  <si>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</si>
  <si>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</si>
  <si>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</si>
  <si>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</si>
  <si>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</si>
  <si>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</si>
  <si>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</si>
  <si>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</si>
  <si>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</si>
  <si>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</si>
  <si>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</si>
  <si>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</si>
  <si>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</si>
  <si>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</si>
  <si>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</si>
  <si>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</si>
  <si>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</si>
  <si>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</si>
  <si>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</si>
  <si>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</si>
  <si>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</si>
  <si>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</si>
  <si>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</si>
  <si>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</si>
  <si>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</si>
  <si>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</si>
  <si>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</si>
  <si>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</si>
  <si>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</si>
  <si>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</si>
  <si>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</si>
  <si>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</si>
  <si>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</si>
  <si>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</si>
  <si>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</si>
  <si>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</si>
  <si>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</si>
  <si>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</si>
  <si>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</si>
  <si>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</si>
  <si>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</si>
  <si>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</si>
  <si>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</si>
  <si>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</si>
  <si>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</si>
  <si>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</si>
  <si>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</si>
  <si>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</si>
  <si>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</si>
  <si>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</si>
  <si>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</si>
  <si>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</si>
  <si>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</si>
  <si>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</si>
  <si>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</si>
  <si>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</si>
  <si>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</si>
  <si>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</si>
  <si>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</si>
  <si>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</si>
  <si>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</si>
  <si>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</si>
  <si>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</si>
  <si>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</si>
  <si>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</si>
  <si>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</si>
  <si>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</si>
  <si>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</si>
  <si>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</si>
  <si>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</si>
  <si>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</si>
  <si>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</si>
  <si>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</si>
  <si>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</si>
  <si>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</si>
  <si>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</si>
  <si>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</si>
  <si>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</si>
  <si>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</si>
  <si>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</si>
  <si>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</si>
  <si>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</si>
  <si>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</si>
  <si>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</si>
  <si>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</si>
  <si>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</si>
  <si>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</si>
  <si>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</si>
  <si>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</si>
  <si>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</si>
  <si>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</si>
  <si>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</si>
  <si>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</si>
  <si>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</si>
  <si>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</si>
  <si>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</si>
  <si>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</si>
  <si>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</si>
  <si>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</si>
  <si>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</si>
  <si>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</si>
  <si>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</si>
  <si>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</si>
  <si>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</si>
  <si>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</si>
  <si>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</si>
  <si>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</si>
  <si>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</si>
  <si>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</si>
  <si>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</si>
  <si>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</si>
  <si>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</si>
  <si>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</si>
  <si>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</si>
  <si>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</si>
  <si>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</si>
  <si>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</si>
  <si>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</si>
  <si>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</si>
  <si>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</si>
  <si>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</si>
  <si>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</si>
  <si>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</si>
  <si>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</si>
  <si>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</si>
  <si>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</si>
  <si>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</si>
  <si>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</si>
  <si>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</si>
  <si>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</si>
  <si>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</si>
  <si>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</si>
  <si>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</si>
  <si>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</si>
  <si>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</si>
  <si>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</si>
  <si>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</si>
  <si>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</si>
  <si>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</si>
  <si>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</si>
  <si>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</si>
  <si>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</si>
  <si>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</si>
  <si>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</si>
  <si>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</si>
  <si>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</si>
  <si>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</si>
  <si>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</si>
  <si>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</si>
  <si>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</si>
  <si>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</si>
  <si>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</si>
  <si>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</si>
  <si>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</si>
  <si>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</si>
  <si>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</si>
  <si>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</si>
  <si>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</si>
  <si>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</si>
  <si>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</si>
  <si>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</si>
  <si>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</si>
  <si>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</si>
  <si>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</si>
  <si>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</si>
  <si>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</si>
  <si>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</si>
  <si>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</si>
  <si>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</si>
  <si>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</si>
  <si>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</si>
  <si>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</si>
  <si>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</si>
  <si>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</si>
  <si>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</si>
  <si>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</si>
  <si>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</si>
  <si>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</si>
  <si>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</si>
  <si>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</si>
  <si>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</si>
  <si>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</si>
  <si>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</si>
  <si>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</si>
  <si>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</si>
  <si>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</si>
  <si>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</si>
  <si>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</si>
  <si>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</si>
  <si>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</si>
  <si>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</si>
  <si>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</si>
  <si>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</si>
  <si>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</si>
  <si>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</si>
  <si>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</si>
  <si>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</si>
  <si>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</si>
  <si>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</si>
  <si>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</si>
  <si>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</si>
  <si>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</si>
  <si>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</si>
  <si>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</si>
  <si>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</si>
  <si>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</si>
  <si>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</si>
  <si>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</si>
  <si>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</si>
  <si>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</si>
  <si>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</si>
  <si>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</si>
  <si>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</si>
  <si>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</si>
  <si>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</si>
  <si>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</si>
  <si>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</si>
  <si>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</si>
  <si>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</si>
  <si>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</si>
  <si>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</si>
  <si>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</si>
  <si>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</si>
  <si>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</si>
  <si>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</si>
  <si>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</si>
  <si>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</si>
  <si>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</si>
  <si>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</si>
  <si>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</si>
  <si>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</si>
  <si>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</si>
  <si>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</si>
  <si>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</si>
  <si>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</si>
  <si>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</si>
  <si>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</si>
  <si>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</si>
  <si>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</si>
  <si>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</si>
  <si>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</si>
  <si>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</si>
  <si>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</si>
  <si>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</si>
  <si>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</si>
  <si>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</si>
  <si>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</si>
  <si>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</si>
  <si>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</si>
  <si>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</si>
  <si>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</si>
  <si>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</si>
  <si>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</si>
  <si>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</si>
  <si>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</si>
  <si>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</si>
  <si>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</si>
  <si>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</si>
  <si>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</si>
  <si>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</si>
  <si>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</si>
  <si>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</si>
  <si>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</si>
  <si>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</si>
  <si>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</si>
  <si>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</si>
  <si>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</si>
  <si>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</si>
  <si>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</si>
  <si>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</si>
  <si>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</si>
  <si>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</si>
  <si>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</si>
  <si>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</si>
  <si>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</si>
  <si>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</si>
  <si>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</si>
  <si>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</si>
  <si>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</si>
  <si>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</si>
  <si>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</si>
  <si>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</si>
  <si>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</si>
  <si>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</si>
  <si>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</si>
  <si>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</si>
  <si>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</si>
  <si>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</si>
  <si>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</si>
  <si>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</si>
  <si>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</si>
  <si>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</si>
  <si>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</si>
  <si>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</si>
  <si>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</si>
  <si>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</si>
  <si>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</si>
  <si>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</si>
  <si>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</si>
  <si>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</si>
  <si>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</si>
  <si>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</si>
  <si>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</si>
  <si>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</si>
  <si>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</si>
  <si>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</si>
  <si>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</si>
  <si>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</si>
  <si>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</si>
  <si>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</si>
  <si>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</si>
  <si>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</si>
  <si>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</si>
  <si>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</si>
  <si>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</si>
  <si>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</si>
  <si>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</si>
  <si>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</si>
  <si>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</si>
  <si>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</si>
  <si>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</si>
  <si>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</si>
  <si>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</si>
  <si>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</si>
  <si>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</si>
  <si>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</si>
  <si>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</si>
  <si>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</si>
  <si>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</si>
  <si>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</si>
  <si>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</si>
  <si>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</si>
  <si>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</si>
  <si>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</si>
  <si>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</si>
  <si>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</si>
  <si>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</si>
  <si>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</si>
  <si>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</si>
  <si>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</si>
  <si>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</si>
  <si>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</si>
  <si>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</si>
  <si>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</si>
  <si>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</si>
  <si>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</si>
  <si>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</si>
  <si>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</si>
  <si>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</si>
  <si>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</si>
  <si>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</si>
  <si>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</si>
  <si>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</si>
  <si>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</si>
  <si>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</si>
  <si>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</si>
  <si>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</si>
  <si>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</si>
  <si>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</si>
  <si>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</si>
  <si>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</si>
  <si>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</si>
  <si>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</si>
  <si>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</si>
  <si>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</si>
  <si>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</si>
  <si>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</si>
  <si>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</si>
  <si>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</si>
  <si>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45204_2</t>
  </si>
  <si>
    <t>45204_2</t>
    <phoneticPr fontId="2"/>
  </si>
  <si>
    <t>45204_1</t>
  </si>
  <si>
    <t>日南市</t>
    <rPh sb="0" eb="3">
      <t>ニチナンシ</t>
    </rPh>
    <phoneticPr fontId="1"/>
  </si>
  <si>
    <t>飫肥地区</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</si>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</sst>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1109</c:v>
                </c:pt>
                <c:pt idx="1">
                  <c:v>1019</c:v>
                </c:pt>
                <c:pt idx="2">
                  <c:v>1070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403336"/>
        <c:axId val="393402552"/>
      </c:barChart>
      <c:catAx>
        <c:axId val="393403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2552"/>
        <c:crosses val="autoZero"/>
        <c:auto val="1"/>
        <c:lblAlgn val="ctr"/>
        <c:lblOffset val="100"/>
        <c:noMultiLvlLbl val="0"/>
      </c:catAx>
      <c:valAx>
        <c:axId val="393402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3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593</c:v>
                </c:pt>
                <c:pt idx="1">
                  <c:v>507</c:v>
                </c:pt>
                <c:pt idx="2">
                  <c:v>525</c:v>
                </c:pt>
                <c:pt idx="3">
                  <c:v>517</c:v>
                </c:pt>
                <c:pt idx="4">
                  <c:v>478</c:v>
                </c:pt>
                <c:pt idx="5">
                  <c:v>419</c:v>
                </c:pt>
                <c:pt idx="6">
                  <c:v>371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494248"/>
        <c:axId val="394495032"/>
      </c:barChart>
      <c:catAx>
        <c:axId val="394494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5032"/>
        <c:crosses val="autoZero"/>
        <c:auto val="1"/>
        <c:lblAlgn val="ctr"/>
        <c:lblOffset val="100"/>
        <c:noMultiLvlLbl val="0"/>
      </c:catAx>
      <c:valAx>
        <c:axId val="394495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4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0.28000000000000003</c:v>
                </c:pt>
                <c:pt idx="2">
                  <c:v>0.31</c:v>
                </c:pt>
                <c:pt idx="3">
                  <c:v>0.33</c:v>
                </c:pt>
                <c:pt idx="4">
                  <c:v>0.34</c:v>
                </c:pt>
                <c:pt idx="5">
                  <c:v>0.34</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490328"/>
        <c:axId val="394495424"/>
      </c:barChart>
      <c:catAx>
        <c:axId val="39449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5424"/>
        <c:crosses val="autoZero"/>
        <c:auto val="1"/>
        <c:lblAlgn val="ctr"/>
        <c:lblOffset val="100"/>
        <c:noMultiLvlLbl val="0"/>
      </c:catAx>
      <c:valAx>
        <c:axId val="394495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0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0.15</c:v>
                </c:pt>
                <c:pt idx="2">
                  <c:v>0.17</c:v>
                </c:pt>
                <c:pt idx="3">
                  <c:v>0.18</c:v>
                </c:pt>
                <c:pt idx="4">
                  <c:v>0.2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4491112"/>
        <c:axId val="394491504"/>
      </c:barChart>
      <c:catAx>
        <c:axId val="394491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1504"/>
        <c:crosses val="autoZero"/>
        <c:auto val="1"/>
        <c:lblAlgn val="ctr"/>
        <c:lblOffset val="100"/>
        <c:noMultiLvlLbl val="0"/>
      </c:catAx>
      <c:valAx>
        <c:axId val="394491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1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3225853802997476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44E-45EA-88AC-747A3ADAB5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339</c:v>
                </c:pt>
                <c:pt idx="1">
                  <c:v>360</c:v>
                </c:pt>
                <c:pt idx="2">
                  <c:v>394</c:v>
                </c:pt>
                <c:pt idx="3">
                  <c:v>408</c:v>
                </c:pt>
                <c:pt idx="4">
                  <c:v>279</c:v>
                </c:pt>
                <c:pt idx="5">
                  <c:v>349</c:v>
                </c:pt>
                <c:pt idx="6">
                  <c:v>371</c:v>
                </c:pt>
                <c:pt idx="7">
                  <c:v>478</c:v>
                </c:pt>
                <c:pt idx="8">
                  <c:v>437</c:v>
                </c:pt>
                <c:pt idx="9">
                  <c:v>494</c:v>
                </c:pt>
                <c:pt idx="10">
                  <c:v>544</c:v>
                </c:pt>
                <c:pt idx="11">
                  <c:v>587</c:v>
                </c:pt>
                <c:pt idx="12">
                  <c:v>469</c:v>
                </c:pt>
                <c:pt idx="13">
                  <c:v>457</c:v>
                </c:pt>
                <c:pt idx="14">
                  <c:v>600</c:v>
                </c:pt>
                <c:pt idx="15">
                  <c:v>511</c:v>
                </c:pt>
                <c:pt idx="16">
                  <c:v>389</c:v>
                </c:pt>
                <c:pt idx="17">
                  <c:v>248</c:v>
                </c:pt>
                <c:pt idx="18">
                  <c:v>108</c:v>
                </c:pt>
                <c:pt idx="19">
                  <c:v>29</c:v>
                </c:pt>
                <c:pt idx="20">
                  <c:v>7</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406080"/>
        <c:axId val="3934100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315</c:v>
                </c:pt>
                <c:pt idx="1">
                  <c:v>335</c:v>
                </c:pt>
                <c:pt idx="2">
                  <c:v>379</c:v>
                </c:pt>
                <c:pt idx="3">
                  <c:v>437</c:v>
                </c:pt>
                <c:pt idx="4">
                  <c:v>283</c:v>
                </c:pt>
                <c:pt idx="5">
                  <c:v>291</c:v>
                </c:pt>
                <c:pt idx="6">
                  <c:v>324</c:v>
                </c:pt>
                <c:pt idx="7">
                  <c:v>439</c:v>
                </c:pt>
                <c:pt idx="8">
                  <c:v>457</c:v>
                </c:pt>
                <c:pt idx="9">
                  <c:v>534</c:v>
                </c:pt>
                <c:pt idx="10">
                  <c:v>577</c:v>
                </c:pt>
                <c:pt idx="11">
                  <c:v>579</c:v>
                </c:pt>
                <c:pt idx="12">
                  <c:v>491</c:v>
                </c:pt>
                <c:pt idx="13">
                  <c:v>603</c:v>
                </c:pt>
                <c:pt idx="14">
                  <c:v>615</c:v>
                </c:pt>
                <c:pt idx="15">
                  <c:v>606</c:v>
                </c:pt>
                <c:pt idx="16">
                  <c:v>584</c:v>
                </c:pt>
                <c:pt idx="17">
                  <c:v>403</c:v>
                </c:pt>
                <c:pt idx="18">
                  <c:v>262</c:v>
                </c:pt>
                <c:pt idx="19">
                  <c:v>134</c:v>
                </c:pt>
                <c:pt idx="20">
                  <c:v>26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734496"/>
        <c:axId val="393732144"/>
      </c:barChart>
      <c:catAx>
        <c:axId val="393406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10000"/>
        <c:crosses val="autoZero"/>
        <c:auto val="1"/>
        <c:lblAlgn val="ctr"/>
        <c:lblOffset val="100"/>
        <c:noMultiLvlLbl val="0"/>
      </c:catAx>
      <c:valAx>
        <c:axId val="3934100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6080"/>
        <c:crosses val="autoZero"/>
        <c:crossBetween val="between"/>
        <c:majorUnit val="500"/>
      </c:valAx>
      <c:valAx>
        <c:axId val="3937321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4496"/>
        <c:crosses val="max"/>
        <c:crossBetween val="between"/>
        <c:majorUnit val="500"/>
      </c:valAx>
      <c:catAx>
        <c:axId val="393734496"/>
        <c:scaling>
          <c:orientation val="minMax"/>
        </c:scaling>
        <c:delete val="1"/>
        <c:axPos val="l"/>
        <c:numFmt formatCode="General" sourceLinked="1"/>
        <c:majorTickMark val="out"/>
        <c:minorTickMark val="none"/>
        <c:tickLblPos val="nextTo"/>
        <c:crossAx val="393732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4.2195092473623352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2BD-4C3A-91AD-CA7D0A8653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303</c:v>
                </c:pt>
                <c:pt idx="1">
                  <c:v>296</c:v>
                </c:pt>
                <c:pt idx="2">
                  <c:v>304</c:v>
                </c:pt>
                <c:pt idx="3">
                  <c:v>336</c:v>
                </c:pt>
                <c:pt idx="4">
                  <c:v>232</c:v>
                </c:pt>
                <c:pt idx="5">
                  <c:v>326</c:v>
                </c:pt>
                <c:pt idx="6">
                  <c:v>414</c:v>
                </c:pt>
                <c:pt idx="7">
                  <c:v>379</c:v>
                </c:pt>
                <c:pt idx="8">
                  <c:v>358</c:v>
                </c:pt>
                <c:pt idx="9">
                  <c:v>445</c:v>
                </c:pt>
                <c:pt idx="10">
                  <c:v>435</c:v>
                </c:pt>
                <c:pt idx="11">
                  <c:v>495</c:v>
                </c:pt>
                <c:pt idx="12">
                  <c:v>493</c:v>
                </c:pt>
                <c:pt idx="13">
                  <c:v>536</c:v>
                </c:pt>
                <c:pt idx="14">
                  <c:v>431</c:v>
                </c:pt>
                <c:pt idx="15">
                  <c:v>382</c:v>
                </c:pt>
                <c:pt idx="16">
                  <c:v>414</c:v>
                </c:pt>
                <c:pt idx="17">
                  <c:v>270</c:v>
                </c:pt>
                <c:pt idx="18">
                  <c:v>132</c:v>
                </c:pt>
                <c:pt idx="19">
                  <c:v>30</c:v>
                </c:pt>
                <c:pt idx="20">
                  <c:v>7</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294560"/>
        <c:axId val="4562976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282</c:v>
                </c:pt>
                <c:pt idx="1">
                  <c:v>276</c:v>
                </c:pt>
                <c:pt idx="2">
                  <c:v>292</c:v>
                </c:pt>
                <c:pt idx="3">
                  <c:v>326</c:v>
                </c:pt>
                <c:pt idx="4">
                  <c:v>253</c:v>
                </c:pt>
                <c:pt idx="5">
                  <c:v>325</c:v>
                </c:pt>
                <c:pt idx="6">
                  <c:v>325</c:v>
                </c:pt>
                <c:pt idx="7">
                  <c:v>292</c:v>
                </c:pt>
                <c:pt idx="8">
                  <c:v>314</c:v>
                </c:pt>
                <c:pt idx="9">
                  <c:v>429</c:v>
                </c:pt>
                <c:pt idx="10">
                  <c:v>447</c:v>
                </c:pt>
                <c:pt idx="11">
                  <c:v>528</c:v>
                </c:pt>
                <c:pt idx="12">
                  <c:v>569</c:v>
                </c:pt>
                <c:pt idx="13">
                  <c:v>561</c:v>
                </c:pt>
                <c:pt idx="14">
                  <c:v>458</c:v>
                </c:pt>
                <c:pt idx="15">
                  <c:v>533</c:v>
                </c:pt>
                <c:pt idx="16">
                  <c:v>515</c:v>
                </c:pt>
                <c:pt idx="17">
                  <c:v>444</c:v>
                </c:pt>
                <c:pt idx="18">
                  <c:v>316</c:v>
                </c:pt>
                <c:pt idx="19">
                  <c:v>113</c:v>
                </c:pt>
                <c:pt idx="20">
                  <c:v>25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298088"/>
        <c:axId val="456298480"/>
      </c:barChart>
      <c:catAx>
        <c:axId val="456294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7696"/>
        <c:crosses val="autoZero"/>
        <c:auto val="1"/>
        <c:lblAlgn val="ctr"/>
        <c:lblOffset val="100"/>
        <c:noMultiLvlLbl val="0"/>
      </c:catAx>
      <c:valAx>
        <c:axId val="4562976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4560"/>
        <c:crosses val="autoZero"/>
        <c:crossBetween val="between"/>
        <c:majorUnit val="500"/>
      </c:valAx>
      <c:valAx>
        <c:axId val="4562984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8088"/>
        <c:crosses val="max"/>
        <c:crossBetween val="between"/>
        <c:majorUnit val="500"/>
      </c:valAx>
      <c:catAx>
        <c:axId val="456298088"/>
        <c:scaling>
          <c:orientation val="minMax"/>
        </c:scaling>
        <c:delete val="1"/>
        <c:axPos val="l"/>
        <c:numFmt formatCode="General" sourceLinked="1"/>
        <c:majorTickMark val="out"/>
        <c:minorTickMark val="none"/>
        <c:tickLblPos val="nextTo"/>
        <c:crossAx val="456298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19022</c:v>
                </c:pt>
                <c:pt idx="1">
                  <c:v>18494</c:v>
                </c:pt>
                <c:pt idx="2">
                  <c:v>18211</c:v>
                </c:pt>
                <c:pt idx="3">
                  <c:v>17454</c:v>
                </c:pt>
                <c:pt idx="4">
                  <c:v>16532</c:v>
                </c:pt>
                <c:pt idx="5">
                  <c:v>15580</c:v>
                </c:pt>
                <c:pt idx="6">
                  <c:v>14641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AFF-4593-A722-4704ECBB607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AFF-4593-A722-4704ECBB607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AFF-4593-A722-4704ECBB607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AFF-4593-A722-4704ECBB60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17463</c:v>
                </c:pt>
                <c:pt idx="4" formatCode="#,##0_);[Red]\(#,##0\)">
                  <c:v>16552</c:v>
                </c:pt>
                <c:pt idx="5" formatCode="#,##0_);[Red]\(#,##0\)">
                  <c:v>15613</c:v>
                </c:pt>
                <c:pt idx="6" formatCode="#,##0_);[Red]\(#,##0\)">
                  <c:v>14684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299656"/>
        <c:axId val="456298872"/>
      </c:barChart>
      <c:catAx>
        <c:axId val="45629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8872"/>
        <c:crosses val="autoZero"/>
        <c:auto val="1"/>
        <c:lblAlgn val="ctr"/>
        <c:lblOffset val="100"/>
        <c:noMultiLvlLbl val="0"/>
      </c:catAx>
      <c:valAx>
        <c:axId val="456298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96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1109</c:v>
                </c:pt>
                <c:pt idx="1">
                  <c:v>1019</c:v>
                </c:pt>
                <c:pt idx="2">
                  <c:v>1070</c:v>
                </c:pt>
                <c:pt idx="3">
                  <c:v>994</c:v>
                </c:pt>
                <c:pt idx="4">
                  <c:v>881</c:v>
                </c:pt>
                <c:pt idx="5">
                  <c:v>772</c:v>
                </c:pt>
                <c:pt idx="6">
                  <c:v>700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995</c:v>
                </c:pt>
                <c:pt idx="4">
                  <c:v>883</c:v>
                </c:pt>
                <c:pt idx="5">
                  <c:v>777</c:v>
                </c:pt>
                <c:pt idx="6">
                  <c:v>707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300440"/>
        <c:axId val="456300048"/>
      </c:barChart>
      <c:catAx>
        <c:axId val="45630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00048"/>
        <c:crosses val="autoZero"/>
        <c:auto val="1"/>
        <c:lblAlgn val="ctr"/>
        <c:lblOffset val="100"/>
        <c:noMultiLvlLbl val="0"/>
      </c:catAx>
      <c:valAx>
        <c:axId val="456300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00440"/>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0.28000000000000003</c:v>
                </c:pt>
                <c:pt idx="2">
                  <c:v>0.31</c:v>
                </c:pt>
                <c:pt idx="3">
                  <c:v>0.33</c:v>
                </c:pt>
                <c:pt idx="4">
                  <c:v>0.34</c:v>
                </c:pt>
                <c:pt idx="5">
                  <c:v>0.34</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820-4D72-B6D8-C722ADAC566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820-4D72-B6D8-C722ADAC566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820-4D72-B6D8-C722ADAC566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820-4D72-B6D8-C722ADAC56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0.34</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301224"/>
        <c:axId val="456299264"/>
      </c:barChart>
      <c:catAx>
        <c:axId val="456301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9264"/>
        <c:crosses val="autoZero"/>
        <c:auto val="1"/>
        <c:lblAlgn val="ctr"/>
        <c:lblOffset val="100"/>
        <c:noMultiLvlLbl val="0"/>
      </c:catAx>
      <c:valAx>
        <c:axId val="456299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012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0.15</c:v>
                </c:pt>
                <c:pt idx="2">
                  <c:v>0.17</c:v>
                </c:pt>
                <c:pt idx="3">
                  <c:v>0.18</c:v>
                </c:pt>
                <c:pt idx="4">
                  <c:v>0.2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487-49E0-B24F-6B853CF035E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487-49E0-B24F-6B853CF035E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487-49E0-B24F-6B853CF035E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487-49E0-B24F-6B853CF035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c:v>
                </c:pt>
                <c:pt idx="5" formatCode="0%">
                  <c:v>0.21</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294952"/>
        <c:axId val="456295736"/>
      </c:barChart>
      <c:catAx>
        <c:axId val="45629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5736"/>
        <c:crosses val="autoZero"/>
        <c:auto val="1"/>
        <c:lblAlgn val="ctr"/>
        <c:lblOffset val="100"/>
        <c:noMultiLvlLbl val="0"/>
      </c:catAx>
      <c:valAx>
        <c:axId val="456295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4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593</c:v>
                </c:pt>
                <c:pt idx="1">
                  <c:v>507</c:v>
                </c:pt>
                <c:pt idx="2">
                  <c:v>525</c:v>
                </c:pt>
                <c:pt idx="3">
                  <c:v>517</c:v>
                </c:pt>
                <c:pt idx="4">
                  <c:v>478</c:v>
                </c:pt>
                <c:pt idx="5">
                  <c:v>419</c:v>
                </c:pt>
                <c:pt idx="6">
                  <c:v>371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518</c:v>
                </c:pt>
                <c:pt idx="4">
                  <c:v>480</c:v>
                </c:pt>
                <c:pt idx="5">
                  <c:v>421</c:v>
                </c:pt>
                <c:pt idx="6">
                  <c:v>374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296128"/>
        <c:axId val="456296520"/>
      </c:barChart>
      <c:catAx>
        <c:axId val="45629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6520"/>
        <c:crosses val="autoZero"/>
        <c:auto val="1"/>
        <c:lblAlgn val="ctr"/>
        <c:lblOffset val="100"/>
        <c:noMultiLvlLbl val="0"/>
      </c:catAx>
      <c:valAx>
        <c:axId val="456296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96128"/>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593</c:v>
                </c:pt>
                <c:pt idx="1">
                  <c:v>507</c:v>
                </c:pt>
                <c:pt idx="2">
                  <c:v>525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404120"/>
        <c:axId val="393408824"/>
      </c:barChart>
      <c:catAx>
        <c:axId val="393404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8824"/>
        <c:crosses val="autoZero"/>
        <c:auto val="1"/>
        <c:lblAlgn val="ctr"/>
        <c:lblOffset val="100"/>
        <c:noMultiLvlLbl val="0"/>
      </c:catAx>
      <c:valAx>
        <c:axId val="393408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4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3014500061173869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A66-4536-9906-132563D531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341</c:v>
                </c:pt>
                <c:pt idx="1">
                  <c:v>361</c:v>
                </c:pt>
                <c:pt idx="2">
                  <c:v>395</c:v>
                </c:pt>
                <c:pt idx="3">
                  <c:v>409</c:v>
                </c:pt>
                <c:pt idx="4">
                  <c:v>279</c:v>
                </c:pt>
                <c:pt idx="5">
                  <c:v>351</c:v>
                </c:pt>
                <c:pt idx="6">
                  <c:v>373</c:v>
                </c:pt>
                <c:pt idx="7">
                  <c:v>478</c:v>
                </c:pt>
                <c:pt idx="8">
                  <c:v>437</c:v>
                </c:pt>
                <c:pt idx="9">
                  <c:v>494</c:v>
                </c:pt>
                <c:pt idx="10">
                  <c:v>544</c:v>
                </c:pt>
                <c:pt idx="11">
                  <c:v>587</c:v>
                </c:pt>
                <c:pt idx="12">
                  <c:v>469</c:v>
                </c:pt>
                <c:pt idx="13">
                  <c:v>457</c:v>
                </c:pt>
                <c:pt idx="14">
                  <c:v>600</c:v>
                </c:pt>
                <c:pt idx="15">
                  <c:v>511</c:v>
                </c:pt>
                <c:pt idx="16">
                  <c:v>389</c:v>
                </c:pt>
                <c:pt idx="17">
                  <c:v>248</c:v>
                </c:pt>
                <c:pt idx="18">
                  <c:v>108</c:v>
                </c:pt>
                <c:pt idx="19">
                  <c:v>29</c:v>
                </c:pt>
                <c:pt idx="20">
                  <c:v>7</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527216"/>
        <c:axId val="4565276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317</c:v>
                </c:pt>
                <c:pt idx="1">
                  <c:v>336</c:v>
                </c:pt>
                <c:pt idx="2">
                  <c:v>380</c:v>
                </c:pt>
                <c:pt idx="3">
                  <c:v>438</c:v>
                </c:pt>
                <c:pt idx="4">
                  <c:v>283</c:v>
                </c:pt>
                <c:pt idx="5">
                  <c:v>293</c:v>
                </c:pt>
                <c:pt idx="6">
                  <c:v>326</c:v>
                </c:pt>
                <c:pt idx="7">
                  <c:v>439</c:v>
                </c:pt>
                <c:pt idx="8">
                  <c:v>458</c:v>
                </c:pt>
                <c:pt idx="9">
                  <c:v>535</c:v>
                </c:pt>
                <c:pt idx="10">
                  <c:v>577</c:v>
                </c:pt>
                <c:pt idx="11">
                  <c:v>579</c:v>
                </c:pt>
                <c:pt idx="12">
                  <c:v>491</c:v>
                </c:pt>
                <c:pt idx="13">
                  <c:v>603</c:v>
                </c:pt>
                <c:pt idx="14">
                  <c:v>615</c:v>
                </c:pt>
                <c:pt idx="15">
                  <c:v>606</c:v>
                </c:pt>
                <c:pt idx="16">
                  <c:v>584</c:v>
                </c:pt>
                <c:pt idx="17">
                  <c:v>403</c:v>
                </c:pt>
                <c:pt idx="18">
                  <c:v>262</c:v>
                </c:pt>
                <c:pt idx="19">
                  <c:v>134</c:v>
                </c:pt>
                <c:pt idx="20">
                  <c:v>26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528784"/>
        <c:axId val="456529960"/>
      </c:barChart>
      <c:catAx>
        <c:axId val="456527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7608"/>
        <c:crosses val="autoZero"/>
        <c:auto val="1"/>
        <c:lblAlgn val="ctr"/>
        <c:lblOffset val="100"/>
        <c:noMultiLvlLbl val="0"/>
      </c:catAx>
      <c:valAx>
        <c:axId val="4565276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7216"/>
        <c:crosses val="autoZero"/>
        <c:crossBetween val="between"/>
        <c:majorUnit val="500"/>
      </c:valAx>
      <c:valAx>
        <c:axId val="4565299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8784"/>
        <c:crosses val="max"/>
        <c:crossBetween val="between"/>
        <c:majorUnit val="500"/>
      </c:valAx>
      <c:catAx>
        <c:axId val="456528784"/>
        <c:scaling>
          <c:orientation val="minMax"/>
        </c:scaling>
        <c:delete val="1"/>
        <c:axPos val="l"/>
        <c:numFmt formatCode="General" sourceLinked="1"/>
        <c:majorTickMark val="out"/>
        <c:minorTickMark val="none"/>
        <c:tickLblPos val="nextTo"/>
        <c:crossAx val="45652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3.6288022473850157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AC6-486F-9343-3A3DA2438B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306</c:v>
                </c:pt>
                <c:pt idx="1">
                  <c:v>299</c:v>
                </c:pt>
                <c:pt idx="2">
                  <c:v>306</c:v>
                </c:pt>
                <c:pt idx="3">
                  <c:v>338</c:v>
                </c:pt>
                <c:pt idx="4">
                  <c:v>233</c:v>
                </c:pt>
                <c:pt idx="5">
                  <c:v>329</c:v>
                </c:pt>
                <c:pt idx="6">
                  <c:v>416</c:v>
                </c:pt>
                <c:pt idx="7">
                  <c:v>381</c:v>
                </c:pt>
                <c:pt idx="8">
                  <c:v>360</c:v>
                </c:pt>
                <c:pt idx="9">
                  <c:v>445</c:v>
                </c:pt>
                <c:pt idx="10">
                  <c:v>435</c:v>
                </c:pt>
                <c:pt idx="11">
                  <c:v>495</c:v>
                </c:pt>
                <c:pt idx="12">
                  <c:v>493</c:v>
                </c:pt>
                <c:pt idx="13">
                  <c:v>536</c:v>
                </c:pt>
                <c:pt idx="14">
                  <c:v>431</c:v>
                </c:pt>
                <c:pt idx="15">
                  <c:v>382</c:v>
                </c:pt>
                <c:pt idx="16">
                  <c:v>414</c:v>
                </c:pt>
                <c:pt idx="17">
                  <c:v>270</c:v>
                </c:pt>
                <c:pt idx="18">
                  <c:v>132</c:v>
                </c:pt>
                <c:pt idx="19">
                  <c:v>30</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25256"/>
        <c:axId val="4565295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284</c:v>
                </c:pt>
                <c:pt idx="1">
                  <c:v>278</c:v>
                </c:pt>
                <c:pt idx="2">
                  <c:v>295</c:v>
                </c:pt>
                <c:pt idx="3">
                  <c:v>328</c:v>
                </c:pt>
                <c:pt idx="4">
                  <c:v>254</c:v>
                </c:pt>
                <c:pt idx="5">
                  <c:v>328</c:v>
                </c:pt>
                <c:pt idx="6">
                  <c:v>327</c:v>
                </c:pt>
                <c:pt idx="7">
                  <c:v>294</c:v>
                </c:pt>
                <c:pt idx="8">
                  <c:v>317</c:v>
                </c:pt>
                <c:pt idx="9">
                  <c:v>430</c:v>
                </c:pt>
                <c:pt idx="10">
                  <c:v>448</c:v>
                </c:pt>
                <c:pt idx="11">
                  <c:v>529</c:v>
                </c:pt>
                <c:pt idx="12">
                  <c:v>569</c:v>
                </c:pt>
                <c:pt idx="13">
                  <c:v>561</c:v>
                </c:pt>
                <c:pt idx="14">
                  <c:v>458</c:v>
                </c:pt>
                <c:pt idx="15">
                  <c:v>533</c:v>
                </c:pt>
                <c:pt idx="16">
                  <c:v>515</c:v>
                </c:pt>
                <c:pt idx="17">
                  <c:v>444</c:v>
                </c:pt>
                <c:pt idx="18">
                  <c:v>316</c:v>
                </c:pt>
                <c:pt idx="19">
                  <c:v>113</c:v>
                </c:pt>
                <c:pt idx="20">
                  <c:v>25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24864"/>
        <c:axId val="456524472"/>
      </c:barChart>
      <c:catAx>
        <c:axId val="456525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9568"/>
        <c:crosses val="autoZero"/>
        <c:auto val="1"/>
        <c:lblAlgn val="ctr"/>
        <c:lblOffset val="100"/>
        <c:noMultiLvlLbl val="0"/>
      </c:catAx>
      <c:valAx>
        <c:axId val="4565295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5256"/>
        <c:crosses val="autoZero"/>
        <c:crossBetween val="between"/>
        <c:majorUnit val="500"/>
      </c:valAx>
      <c:valAx>
        <c:axId val="4565244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4864"/>
        <c:crosses val="max"/>
        <c:crossBetween val="between"/>
        <c:majorUnit val="500"/>
      </c:valAx>
      <c:catAx>
        <c:axId val="456524864"/>
        <c:scaling>
          <c:orientation val="minMax"/>
        </c:scaling>
        <c:delete val="1"/>
        <c:axPos val="l"/>
        <c:numFmt formatCode="General" sourceLinked="1"/>
        <c:majorTickMark val="out"/>
        <c:minorTickMark val="none"/>
        <c:tickLblPos val="nextTo"/>
        <c:crossAx val="456524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654</c:v>
                </c:pt>
                <c:pt idx="1">
                  <c:v>695</c:v>
                </c:pt>
                <c:pt idx="2">
                  <c:v>773</c:v>
                </c:pt>
                <c:pt idx="3">
                  <c:v>845</c:v>
                </c:pt>
                <c:pt idx="4">
                  <c:v>562</c:v>
                </c:pt>
                <c:pt idx="5">
                  <c:v>640</c:v>
                </c:pt>
                <c:pt idx="6">
                  <c:v>695</c:v>
                </c:pt>
                <c:pt idx="7">
                  <c:v>917</c:v>
                </c:pt>
                <c:pt idx="8">
                  <c:v>894</c:v>
                </c:pt>
                <c:pt idx="9">
                  <c:v>1028</c:v>
                </c:pt>
                <c:pt idx="10">
                  <c:v>1121</c:v>
                </c:pt>
                <c:pt idx="11">
                  <c:v>1166</c:v>
                </c:pt>
                <c:pt idx="12">
                  <c:v>960</c:v>
                </c:pt>
                <c:pt idx="13">
                  <c:v>1060</c:v>
                </c:pt>
                <c:pt idx="14">
                  <c:v>1215</c:v>
                </c:pt>
                <c:pt idx="15">
                  <c:v>1117</c:v>
                </c:pt>
                <c:pt idx="16">
                  <c:v>973</c:v>
                </c:pt>
                <c:pt idx="17">
                  <c:v>651</c:v>
                </c:pt>
                <c:pt idx="18">
                  <c:v>370</c:v>
                </c:pt>
                <c:pt idx="19">
                  <c:v>163</c:v>
                </c:pt>
                <c:pt idx="20">
                  <c:v>33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26824"/>
        <c:axId val="4565256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658</c:v>
                </c:pt>
                <c:pt idx="1">
                  <c:v>697</c:v>
                </c:pt>
                <c:pt idx="2">
                  <c:v>775</c:v>
                </c:pt>
                <c:pt idx="3">
                  <c:v>847</c:v>
                </c:pt>
                <c:pt idx="4">
                  <c:v>562</c:v>
                </c:pt>
                <c:pt idx="5">
                  <c:v>644</c:v>
                </c:pt>
                <c:pt idx="6">
                  <c:v>699</c:v>
                </c:pt>
                <c:pt idx="7">
                  <c:v>917</c:v>
                </c:pt>
                <c:pt idx="8">
                  <c:v>895</c:v>
                </c:pt>
                <c:pt idx="9">
                  <c:v>1029</c:v>
                </c:pt>
                <c:pt idx="10">
                  <c:v>1121</c:v>
                </c:pt>
                <c:pt idx="11">
                  <c:v>1166</c:v>
                </c:pt>
                <c:pt idx="12">
                  <c:v>960</c:v>
                </c:pt>
                <c:pt idx="13">
                  <c:v>1060</c:v>
                </c:pt>
                <c:pt idx="14">
                  <c:v>1215</c:v>
                </c:pt>
                <c:pt idx="15">
                  <c:v>1117</c:v>
                </c:pt>
                <c:pt idx="16">
                  <c:v>973</c:v>
                </c:pt>
                <c:pt idx="17">
                  <c:v>651</c:v>
                </c:pt>
                <c:pt idx="18">
                  <c:v>370</c:v>
                </c:pt>
                <c:pt idx="19">
                  <c:v>163</c:v>
                </c:pt>
                <c:pt idx="20">
                  <c:v>33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26040"/>
        <c:axId val="456528000"/>
      </c:barChart>
      <c:catAx>
        <c:axId val="456526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5648"/>
        <c:crosses val="autoZero"/>
        <c:auto val="1"/>
        <c:lblAlgn val="ctr"/>
        <c:lblOffset val="100"/>
        <c:noMultiLvlLbl val="0"/>
      </c:catAx>
      <c:valAx>
        <c:axId val="45652564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6824"/>
        <c:crosses val="autoZero"/>
        <c:crossBetween val="between"/>
        <c:majorUnit val="1000"/>
      </c:valAx>
      <c:valAx>
        <c:axId val="45652800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6040"/>
        <c:crosses val="max"/>
        <c:crossBetween val="between"/>
        <c:majorUnit val="1000"/>
      </c:valAx>
      <c:catAx>
        <c:axId val="456526040"/>
        <c:scaling>
          <c:orientation val="minMax"/>
        </c:scaling>
        <c:delete val="1"/>
        <c:axPos val="l"/>
        <c:numFmt formatCode="General" sourceLinked="1"/>
        <c:majorTickMark val="out"/>
        <c:minorTickMark val="none"/>
        <c:tickLblPos val="nextTo"/>
        <c:crossAx val="4565280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585</c:v>
                </c:pt>
                <c:pt idx="1">
                  <c:v>572</c:v>
                </c:pt>
                <c:pt idx="2">
                  <c:v>596</c:v>
                </c:pt>
                <c:pt idx="3">
                  <c:v>662</c:v>
                </c:pt>
                <c:pt idx="4">
                  <c:v>485</c:v>
                </c:pt>
                <c:pt idx="5">
                  <c:v>651</c:v>
                </c:pt>
                <c:pt idx="6">
                  <c:v>739</c:v>
                </c:pt>
                <c:pt idx="7">
                  <c:v>671</c:v>
                </c:pt>
                <c:pt idx="8">
                  <c:v>672</c:v>
                </c:pt>
                <c:pt idx="9">
                  <c:v>874</c:v>
                </c:pt>
                <c:pt idx="10">
                  <c:v>882</c:v>
                </c:pt>
                <c:pt idx="11">
                  <c:v>1023</c:v>
                </c:pt>
                <c:pt idx="12">
                  <c:v>1062</c:v>
                </c:pt>
                <c:pt idx="13">
                  <c:v>1097</c:v>
                </c:pt>
                <c:pt idx="14">
                  <c:v>889</c:v>
                </c:pt>
                <c:pt idx="15">
                  <c:v>915</c:v>
                </c:pt>
                <c:pt idx="16">
                  <c:v>929</c:v>
                </c:pt>
                <c:pt idx="17">
                  <c:v>714</c:v>
                </c:pt>
                <c:pt idx="18">
                  <c:v>448</c:v>
                </c:pt>
                <c:pt idx="19">
                  <c:v>143</c:v>
                </c:pt>
                <c:pt idx="20">
                  <c:v>32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530744"/>
        <c:axId val="4565311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590</c:v>
                </c:pt>
                <c:pt idx="1">
                  <c:v>577</c:v>
                </c:pt>
                <c:pt idx="2">
                  <c:v>601</c:v>
                </c:pt>
                <c:pt idx="3">
                  <c:v>666</c:v>
                </c:pt>
                <c:pt idx="4">
                  <c:v>487</c:v>
                </c:pt>
                <c:pt idx="5">
                  <c:v>657</c:v>
                </c:pt>
                <c:pt idx="6">
                  <c:v>743</c:v>
                </c:pt>
                <c:pt idx="7">
                  <c:v>675</c:v>
                </c:pt>
                <c:pt idx="8">
                  <c:v>677</c:v>
                </c:pt>
                <c:pt idx="9">
                  <c:v>875</c:v>
                </c:pt>
                <c:pt idx="10">
                  <c:v>883</c:v>
                </c:pt>
                <c:pt idx="11">
                  <c:v>1024</c:v>
                </c:pt>
                <c:pt idx="12">
                  <c:v>1062</c:v>
                </c:pt>
                <c:pt idx="13">
                  <c:v>1097</c:v>
                </c:pt>
                <c:pt idx="14">
                  <c:v>889</c:v>
                </c:pt>
                <c:pt idx="15">
                  <c:v>915</c:v>
                </c:pt>
                <c:pt idx="16">
                  <c:v>929</c:v>
                </c:pt>
                <c:pt idx="17">
                  <c:v>714</c:v>
                </c:pt>
                <c:pt idx="18">
                  <c:v>448</c:v>
                </c:pt>
                <c:pt idx="19">
                  <c:v>143</c:v>
                </c:pt>
                <c:pt idx="20">
                  <c:v>32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524080"/>
        <c:axId val="456523688"/>
      </c:barChart>
      <c:catAx>
        <c:axId val="456530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31136"/>
        <c:crosses val="autoZero"/>
        <c:auto val="1"/>
        <c:lblAlgn val="ctr"/>
        <c:lblOffset val="100"/>
        <c:noMultiLvlLbl val="0"/>
      </c:catAx>
      <c:valAx>
        <c:axId val="45653113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30744"/>
        <c:crosses val="autoZero"/>
        <c:crossBetween val="between"/>
        <c:majorUnit val="1000"/>
      </c:valAx>
      <c:valAx>
        <c:axId val="4565236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524080"/>
        <c:crosses val="max"/>
        <c:crossBetween val="between"/>
        <c:majorUnit val="1000"/>
      </c:valAx>
      <c:catAx>
        <c:axId val="456524080"/>
        <c:scaling>
          <c:orientation val="minMax"/>
        </c:scaling>
        <c:delete val="1"/>
        <c:axPos val="l"/>
        <c:numFmt formatCode="General" sourceLinked="1"/>
        <c:majorTickMark val="out"/>
        <c:minorTickMark val="none"/>
        <c:tickLblPos val="nextTo"/>
        <c:crossAx val="4565236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吾田地区</c:v>
                </c:pt>
              </c:strCache>
            </c:strRef>
          </c:cat>
          <c:val>
            <c:numRef>
              <c:f>管理者用地域特徴シート!$H$3:$H$5</c:f>
              <c:numCache>
                <c:formatCode>0.0%</c:formatCode>
                <c:ptCount val="3"/>
                <c:pt idx="0">
                  <c:v>0.46108733927332846</c:v>
                </c:pt>
                <c:pt idx="1">
                  <c:v>0.54890710382513663</c:v>
                </c:pt>
                <c:pt idx="2">
                  <c:v>0.43480453972257249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529616"/>
        <c:axId val="457535888"/>
      </c:barChart>
      <c:catAx>
        <c:axId val="457529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5888"/>
        <c:crosses val="autoZero"/>
        <c:auto val="1"/>
        <c:lblAlgn val="ctr"/>
        <c:lblOffset val="100"/>
        <c:noMultiLvlLbl val="0"/>
      </c:catAx>
      <c:valAx>
        <c:axId val="457535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29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吾田地区</c:v>
                </c:pt>
              </c:strCache>
            </c:strRef>
          </c:cat>
          <c:val>
            <c:numRef>
              <c:f>管理者用地域特徴シート!$J$3:$J$5</c:f>
              <c:numCache>
                <c:formatCode>0.0%</c:formatCode>
                <c:ptCount val="3"/>
                <c:pt idx="0">
                  <c:v>0.15075281438403673</c:v>
                </c:pt>
                <c:pt idx="1">
                  <c:v>0.18647540983606559</c:v>
                </c:pt>
                <c:pt idx="2">
                  <c:v>0.15182849936948298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533536"/>
        <c:axId val="457531968"/>
      </c:barChart>
      <c:catAx>
        <c:axId val="457533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1968"/>
        <c:crosses val="autoZero"/>
        <c:auto val="1"/>
        <c:lblAlgn val="ctr"/>
        <c:lblOffset val="100"/>
        <c:noMultiLvlLbl val="0"/>
      </c:catAx>
      <c:valAx>
        <c:axId val="457531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3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吾田地区</c:v>
                </c:pt>
              </c:strCache>
            </c:strRef>
          </c:cat>
          <c:val>
            <c:numRef>
              <c:f>管理者用地域特徴シート!$P$3:$P$5</c:f>
              <c:numCache>
                <c:formatCode>0.0%</c:formatCode>
                <c:ptCount val="3"/>
                <c:pt idx="0">
                  <c:v>0.34758352842621743</c:v>
                </c:pt>
                <c:pt idx="1">
                  <c:v>0.3382630585273757</c:v>
                </c:pt>
                <c:pt idx="2">
                  <c:v>0.41010433827567272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530008"/>
        <c:axId val="457533928"/>
      </c:barChart>
      <c:catAx>
        <c:axId val="457530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3928"/>
        <c:crosses val="autoZero"/>
        <c:auto val="1"/>
        <c:lblAlgn val="ctr"/>
        <c:lblOffset val="100"/>
        <c:noMultiLvlLbl val="0"/>
      </c:catAx>
      <c:valAx>
        <c:axId val="457533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0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吾田地区</c:v>
                </c:pt>
              </c:strCache>
            </c:strRef>
          </c:cat>
          <c:val>
            <c:numRef>
              <c:f>管理者用地域特徴シート!$AO$3:$AO$5</c:f>
              <c:numCache>
                <c:formatCode>0.0%</c:formatCode>
                <c:ptCount val="3"/>
                <c:pt idx="0">
                  <c:v>0.5259093009439566</c:v>
                </c:pt>
                <c:pt idx="1">
                  <c:v>0.5262963986368242</c:v>
                </c:pt>
                <c:pt idx="2">
                  <c:v>0.52632661456190866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532752"/>
        <c:axId val="457535496"/>
      </c:barChart>
      <c:catAx>
        <c:axId val="457532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5496"/>
        <c:crosses val="autoZero"/>
        <c:auto val="1"/>
        <c:lblAlgn val="ctr"/>
        <c:lblOffset val="100"/>
        <c:noMultiLvlLbl val="0"/>
      </c:catAx>
      <c:valAx>
        <c:axId val="457535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2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吾田地区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4.4473280641736467E-2</c:v>
                </c:pt>
                <c:pt idx="1">
                  <c:v>3.3030553261767133E-3</c:v>
                </c:pt>
                <c:pt idx="2">
                  <c:v>2.3593252329833669E-4</c:v>
                </c:pt>
                <c:pt idx="3">
                  <c:v>6.4645511383744247E-2</c:v>
                </c:pt>
                <c:pt idx="4">
                  <c:v>0.13377374071015691</c:v>
                </c:pt>
                <c:pt idx="5">
                  <c:v>8.6115371003892879E-3</c:v>
                </c:pt>
                <c:pt idx="6">
                  <c:v>6.8420431756517639E-3</c:v>
                </c:pt>
                <c:pt idx="7">
                  <c:v>5.0371593724194877E-2</c:v>
                </c:pt>
                <c:pt idx="8">
                  <c:v>0.13955408753096615</c:v>
                </c:pt>
                <c:pt idx="9">
                  <c:v>2.2885454759938657E-2</c:v>
                </c:pt>
                <c:pt idx="10">
                  <c:v>9.5552671935826353E-3</c:v>
                </c:pt>
                <c:pt idx="11">
                  <c:v>2.0172230742007784E-2</c:v>
                </c:pt>
                <c:pt idx="12">
                  <c:v>4.9191931107703195E-2</c:v>
                </c:pt>
                <c:pt idx="13">
                  <c:v>3.6805473634540523E-2</c:v>
                </c:pt>
                <c:pt idx="14">
                  <c:v>6.7240769140025955E-2</c:v>
                </c:pt>
                <c:pt idx="15">
                  <c:v>0.2000707797569895</c:v>
                </c:pt>
                <c:pt idx="16">
                  <c:v>1.9228500648814439E-2</c:v>
                </c:pt>
                <c:pt idx="17">
                  <c:v>5.6505839329951631E-2</c:v>
                </c:pt>
                <c:pt idx="18">
                  <c:v>6.4999410168691749E-2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532360"/>
        <c:axId val="457533144"/>
      </c:barChart>
      <c:catAx>
        <c:axId val="457532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3144"/>
        <c:crosses val="autoZero"/>
        <c:auto val="1"/>
        <c:lblAlgn val="ctr"/>
        <c:lblOffset val="100"/>
        <c:noMultiLvlLbl val="0"/>
      </c:catAx>
      <c:valAx>
        <c:axId val="4575331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2360"/>
        <c:crosses val="autoZero"/>
        <c:crossBetween val="between"/>
      </c:valAx>
      <c:spPr>
        <a:noFill/>
        <a:ln>
          <a:noFill/>
        </a:ln>
        <a:effectLst/>
      </c:spPr>
    </c:plotArea>
    <c:legend>
      <c:legendPos val="b"/>
      <c:layout>
        <c:manualLayout>
          <c:xMode val="edge"/>
          <c:yMode val="edge"/>
          <c:x val="0.5364218698014861"/>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吾田地区</c:v>
                </c:pt>
              </c:strCache>
            </c:strRef>
          </c:cat>
          <c:val>
            <c:numRef>
              <c:f>管理者用地域特徴シート!$CK$3:$CK$5</c:f>
              <c:numCache>
                <c:formatCode>0.0%</c:formatCode>
                <c:ptCount val="3"/>
                <c:pt idx="0">
                  <c:v>0.82747216160708559</c:v>
                </c:pt>
                <c:pt idx="1">
                  <c:v>0.89961086091556997</c:v>
                </c:pt>
                <c:pt idx="2">
                  <c:v>0.91730565058393299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534712"/>
        <c:axId val="457528440"/>
      </c:barChart>
      <c:catAx>
        <c:axId val="457534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28440"/>
        <c:crosses val="autoZero"/>
        <c:auto val="1"/>
        <c:lblAlgn val="ctr"/>
        <c:lblOffset val="100"/>
        <c:noMultiLvlLbl val="0"/>
      </c:catAx>
      <c:valAx>
        <c:axId val="457528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4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0.28000000000000003</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407256"/>
        <c:axId val="393407648"/>
      </c:barChart>
      <c:catAx>
        <c:axId val="393407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7648"/>
        <c:crosses val="autoZero"/>
        <c:auto val="1"/>
        <c:lblAlgn val="ctr"/>
        <c:lblOffset val="100"/>
        <c:noMultiLvlLbl val="0"/>
      </c:catAx>
      <c:valAx>
        <c:axId val="393407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7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0.15</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409216"/>
        <c:axId val="393405688"/>
      </c:barChart>
      <c:catAx>
        <c:axId val="393409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5688"/>
        <c:crosses val="autoZero"/>
        <c:auto val="1"/>
        <c:lblAlgn val="ctr"/>
        <c:lblOffset val="100"/>
        <c:noMultiLvlLbl val="0"/>
      </c:catAx>
      <c:valAx>
        <c:axId val="393405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092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8000481889786779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16-4AE7-B6AA-6A23556B502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491</c:v>
                </c:pt>
                <c:pt idx="1">
                  <c:v>478</c:v>
                </c:pt>
                <c:pt idx="2">
                  <c:v>504</c:v>
                </c:pt>
                <c:pt idx="3">
                  <c:v>500</c:v>
                </c:pt>
                <c:pt idx="4">
                  <c:v>299</c:v>
                </c:pt>
                <c:pt idx="5">
                  <c:v>501</c:v>
                </c:pt>
                <c:pt idx="6">
                  <c:v>544</c:v>
                </c:pt>
                <c:pt idx="7">
                  <c:v>617</c:v>
                </c:pt>
                <c:pt idx="8">
                  <c:v>522</c:v>
                </c:pt>
                <c:pt idx="9">
                  <c:v>542</c:v>
                </c:pt>
                <c:pt idx="10">
                  <c:v>678</c:v>
                </c:pt>
                <c:pt idx="11">
                  <c:v>672</c:v>
                </c:pt>
                <c:pt idx="12">
                  <c:v>637</c:v>
                </c:pt>
                <c:pt idx="13">
                  <c:v>532</c:v>
                </c:pt>
                <c:pt idx="14">
                  <c:v>478</c:v>
                </c:pt>
                <c:pt idx="15">
                  <c:v>445</c:v>
                </c:pt>
                <c:pt idx="16">
                  <c:v>303</c:v>
                </c:pt>
                <c:pt idx="17">
                  <c:v>127</c:v>
                </c:pt>
                <c:pt idx="18">
                  <c:v>34</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731752"/>
        <c:axId val="3937329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471</c:v>
                </c:pt>
                <c:pt idx="1">
                  <c:v>404</c:v>
                </c:pt>
                <c:pt idx="2">
                  <c:v>461</c:v>
                </c:pt>
                <c:pt idx="3">
                  <c:v>535</c:v>
                </c:pt>
                <c:pt idx="4">
                  <c:v>403</c:v>
                </c:pt>
                <c:pt idx="5">
                  <c:v>542</c:v>
                </c:pt>
                <c:pt idx="6">
                  <c:v>604</c:v>
                </c:pt>
                <c:pt idx="7">
                  <c:v>608</c:v>
                </c:pt>
                <c:pt idx="8">
                  <c:v>518</c:v>
                </c:pt>
                <c:pt idx="9">
                  <c:v>617</c:v>
                </c:pt>
                <c:pt idx="10">
                  <c:v>669</c:v>
                </c:pt>
                <c:pt idx="11">
                  <c:v>714</c:v>
                </c:pt>
                <c:pt idx="12">
                  <c:v>759</c:v>
                </c:pt>
                <c:pt idx="13">
                  <c:v>597</c:v>
                </c:pt>
                <c:pt idx="14">
                  <c:v>594</c:v>
                </c:pt>
                <c:pt idx="15">
                  <c:v>620</c:v>
                </c:pt>
                <c:pt idx="16">
                  <c:v>499</c:v>
                </c:pt>
                <c:pt idx="17">
                  <c:v>280</c:v>
                </c:pt>
                <c:pt idx="18">
                  <c:v>161</c:v>
                </c:pt>
                <c:pt idx="19">
                  <c:v>53</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733320"/>
        <c:axId val="393735280"/>
      </c:barChart>
      <c:catAx>
        <c:axId val="393731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2928"/>
        <c:crosses val="autoZero"/>
        <c:auto val="1"/>
        <c:lblAlgn val="ctr"/>
        <c:lblOffset val="100"/>
        <c:noMultiLvlLbl val="0"/>
      </c:catAx>
      <c:valAx>
        <c:axId val="3937329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1752"/>
        <c:crosses val="autoZero"/>
        <c:crossBetween val="between"/>
        <c:majorUnit val="500"/>
      </c:valAx>
      <c:valAx>
        <c:axId val="3937352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3320"/>
        <c:crosses val="max"/>
        <c:crossBetween val="between"/>
        <c:majorUnit val="500"/>
      </c:valAx>
      <c:catAx>
        <c:axId val="393733320"/>
        <c:scaling>
          <c:orientation val="minMax"/>
        </c:scaling>
        <c:delete val="1"/>
        <c:axPos val="l"/>
        <c:numFmt formatCode="General" sourceLinked="1"/>
        <c:majorTickMark val="out"/>
        <c:minorTickMark val="none"/>
        <c:tickLblPos val="nextTo"/>
        <c:crossAx val="393735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8910</c:v>
                </c:pt>
                <c:pt idx="1">
                  <c:v>8682</c:v>
                </c:pt>
                <c:pt idx="2">
                  <c:v>8585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10112</c:v>
                </c:pt>
                <c:pt idx="1">
                  <c:v>9812</c:v>
                </c:pt>
                <c:pt idx="2">
                  <c:v>9626</c:v>
                </c:pt>
              </c:numCache>
            </c:numRef>
          </c:val>
          <c:extLst xmlns:c16r2="http://schemas.microsoft.com/office/drawing/2015/06/chart">
            <c:ext xmlns:c16="http://schemas.microsoft.com/office/drawing/2014/chart" uri="{C3380CC4-5D6E-409C-BE32-E72D297353CC}">
              <c16:uniqueId val="{00000000-FFDF-4BE1-9B03-46DEEDBCA993}"/>
            </c:ext>
          </c:extLst>
        </c:ser>
        <c:dLbls>
          <c:showLegendKey val="0"/>
          <c:showVal val="0"/>
          <c:showCatName val="0"/>
          <c:showSerName val="0"/>
          <c:showPercent val="0"/>
          <c:showBubbleSize val="0"/>
        </c:dLbls>
        <c:gapWidth val="219"/>
        <c:overlap val="100"/>
        <c:axId val="393733712"/>
        <c:axId val="3937341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DF-4BE1-9B03-46DEEDBCA99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19022</c:v>
                </c:pt>
                <c:pt idx="1">
                  <c:v>18494</c:v>
                </c:pt>
                <c:pt idx="2">
                  <c:v>18211</c:v>
                </c:pt>
              </c:numCache>
            </c:numRef>
          </c:val>
          <c:smooth val="0"/>
          <c:extLst xmlns:c16r2="http://schemas.microsoft.com/office/drawing/2015/06/chart">
            <c:ext xmlns:c16="http://schemas.microsoft.com/office/drawing/2014/chart" uri="{C3380CC4-5D6E-409C-BE32-E72D297353CC}">
              <c16:uniqueId val="{00000002-FFDF-4BE1-9B03-46DEEDBCA993}"/>
            </c:ext>
          </c:extLst>
        </c:ser>
        <c:dLbls>
          <c:showLegendKey val="0"/>
          <c:showVal val="0"/>
          <c:showCatName val="0"/>
          <c:showSerName val="0"/>
          <c:showPercent val="0"/>
          <c:showBubbleSize val="0"/>
        </c:dLbls>
        <c:marker val="1"/>
        <c:smooth val="0"/>
        <c:axId val="393733712"/>
        <c:axId val="393734104"/>
      </c:lineChart>
      <c:catAx>
        <c:axId val="393733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4104"/>
        <c:crosses val="autoZero"/>
        <c:auto val="1"/>
        <c:lblAlgn val="ctr"/>
        <c:lblOffset val="100"/>
        <c:noMultiLvlLbl val="0"/>
      </c:catAx>
      <c:valAx>
        <c:axId val="393734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3371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E8-4BE9-AF84-19165CDC1D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441</c:v>
                </c:pt>
                <c:pt idx="1">
                  <c:v>437</c:v>
                </c:pt>
                <c:pt idx="2">
                  <c:v>474</c:v>
                </c:pt>
                <c:pt idx="3">
                  <c:v>437</c:v>
                </c:pt>
                <c:pt idx="4">
                  <c:v>250</c:v>
                </c:pt>
                <c:pt idx="5">
                  <c:v>439</c:v>
                </c:pt>
                <c:pt idx="6">
                  <c:v>452</c:v>
                </c:pt>
                <c:pt idx="7">
                  <c:v>530</c:v>
                </c:pt>
                <c:pt idx="8">
                  <c:v>546</c:v>
                </c:pt>
                <c:pt idx="9">
                  <c:v>586</c:v>
                </c:pt>
                <c:pt idx="10">
                  <c:v>517</c:v>
                </c:pt>
                <c:pt idx="11">
                  <c:v>500</c:v>
                </c:pt>
                <c:pt idx="12">
                  <c:v>653</c:v>
                </c:pt>
                <c:pt idx="13">
                  <c:v>611</c:v>
                </c:pt>
                <c:pt idx="14">
                  <c:v>563</c:v>
                </c:pt>
                <c:pt idx="15">
                  <c:v>470</c:v>
                </c:pt>
                <c:pt idx="16">
                  <c:v>318</c:v>
                </c:pt>
                <c:pt idx="17">
                  <c:v>241</c:v>
                </c:pt>
                <c:pt idx="18">
                  <c:v>103</c:v>
                </c:pt>
                <c:pt idx="19">
                  <c:v>15</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493072"/>
        <c:axId val="3944918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409</c:v>
                </c:pt>
                <c:pt idx="1">
                  <c:v>449</c:v>
                </c:pt>
                <c:pt idx="2">
                  <c:v>424</c:v>
                </c:pt>
                <c:pt idx="3">
                  <c:v>392</c:v>
                </c:pt>
                <c:pt idx="4">
                  <c:v>282</c:v>
                </c:pt>
                <c:pt idx="5">
                  <c:v>437</c:v>
                </c:pt>
                <c:pt idx="6">
                  <c:v>471</c:v>
                </c:pt>
                <c:pt idx="7">
                  <c:v>546</c:v>
                </c:pt>
                <c:pt idx="8">
                  <c:v>589</c:v>
                </c:pt>
                <c:pt idx="9">
                  <c:v>585</c:v>
                </c:pt>
                <c:pt idx="10">
                  <c:v>499</c:v>
                </c:pt>
                <c:pt idx="11">
                  <c:v>622</c:v>
                </c:pt>
                <c:pt idx="12">
                  <c:v>660</c:v>
                </c:pt>
                <c:pt idx="13">
                  <c:v>684</c:v>
                </c:pt>
                <c:pt idx="14">
                  <c:v>698</c:v>
                </c:pt>
                <c:pt idx="15">
                  <c:v>550</c:v>
                </c:pt>
                <c:pt idx="16">
                  <c:v>484</c:v>
                </c:pt>
                <c:pt idx="17">
                  <c:v>477</c:v>
                </c:pt>
                <c:pt idx="18">
                  <c:v>267</c:v>
                </c:pt>
                <c:pt idx="19">
                  <c:v>82</c:v>
                </c:pt>
                <c:pt idx="20">
                  <c:v>19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492680"/>
        <c:axId val="394489936"/>
      </c:barChart>
      <c:catAx>
        <c:axId val="394493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1896"/>
        <c:crosses val="autoZero"/>
        <c:auto val="1"/>
        <c:lblAlgn val="ctr"/>
        <c:lblOffset val="100"/>
        <c:noMultiLvlLbl val="0"/>
      </c:catAx>
      <c:valAx>
        <c:axId val="3944918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3072"/>
        <c:crosses val="autoZero"/>
        <c:crossBetween val="between"/>
        <c:majorUnit val="500"/>
      </c:valAx>
      <c:valAx>
        <c:axId val="3944899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2680"/>
        <c:crosses val="max"/>
        <c:crossBetween val="between"/>
        <c:majorUnit val="500"/>
      </c:valAx>
      <c:catAx>
        <c:axId val="394492680"/>
        <c:scaling>
          <c:orientation val="minMax"/>
        </c:scaling>
        <c:delete val="1"/>
        <c:axPos val="l"/>
        <c:numFmt formatCode="General" sourceLinked="1"/>
        <c:majorTickMark val="out"/>
        <c:minorTickMark val="none"/>
        <c:tickLblPos val="nextTo"/>
        <c:crossAx val="394489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14D-43CA-8478-E5ED5EA5B82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14D-43CA-8478-E5ED5EA5B82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14D-43CA-8478-E5ED5EA5B82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14D-43CA-8478-E5ED5EA5B82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14D-43CA-8478-E5ED5EA5B82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8910</c:v>
                </c:pt>
                <c:pt idx="1">
                  <c:v>8682</c:v>
                </c:pt>
                <c:pt idx="2">
                  <c:v>8585</c:v>
                </c:pt>
                <c:pt idx="3">
                  <c:v>8265</c:v>
                </c:pt>
                <c:pt idx="4">
                  <c:v>7858</c:v>
                </c:pt>
                <c:pt idx="5">
                  <c:v>7443</c:v>
                </c:pt>
                <c:pt idx="6">
                  <c:v>7018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14D-43CA-8478-E5ED5EA5B82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14D-43CA-8478-E5ED5EA5B82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14D-43CA-8478-E5ED5EA5B82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10112</c:v>
                </c:pt>
                <c:pt idx="1">
                  <c:v>9812</c:v>
                </c:pt>
                <c:pt idx="2">
                  <c:v>9626</c:v>
                </c:pt>
                <c:pt idx="3">
                  <c:v>9189</c:v>
                </c:pt>
                <c:pt idx="4">
                  <c:v>8674</c:v>
                </c:pt>
                <c:pt idx="5">
                  <c:v>8137</c:v>
                </c:pt>
                <c:pt idx="6">
                  <c:v>7623</c:v>
                </c:pt>
              </c:numCache>
            </c:numRef>
          </c:val>
          <c:extLst xmlns:c16r2="http://schemas.microsoft.com/office/drawing/2015/06/chart">
            <c:ext xmlns:c16="http://schemas.microsoft.com/office/drawing/2014/chart" uri="{C3380CC4-5D6E-409C-BE32-E72D297353CC}">
              <c16:uniqueId val="{00000010-114D-43CA-8478-E5ED5EA5B829}"/>
            </c:ext>
          </c:extLst>
        </c:ser>
        <c:dLbls>
          <c:showLegendKey val="0"/>
          <c:showVal val="0"/>
          <c:showCatName val="0"/>
          <c:showSerName val="0"/>
          <c:showPercent val="0"/>
          <c:showBubbleSize val="0"/>
        </c:dLbls>
        <c:gapWidth val="219"/>
        <c:overlap val="100"/>
        <c:axId val="394493464"/>
        <c:axId val="3944922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19022</c:v>
                </c:pt>
                <c:pt idx="1">
                  <c:v>18494</c:v>
                </c:pt>
                <c:pt idx="2">
                  <c:v>18211</c:v>
                </c:pt>
                <c:pt idx="3">
                  <c:v>17454</c:v>
                </c:pt>
                <c:pt idx="4">
                  <c:v>16532</c:v>
                </c:pt>
                <c:pt idx="5">
                  <c:v>15580</c:v>
                </c:pt>
                <c:pt idx="6">
                  <c:v>14641</c:v>
                </c:pt>
              </c:numCache>
            </c:numRef>
          </c:val>
          <c:smooth val="0"/>
          <c:extLst xmlns:c16r2="http://schemas.microsoft.com/office/drawing/2015/06/chart">
            <c:ext xmlns:c16="http://schemas.microsoft.com/office/drawing/2014/chart" uri="{C3380CC4-5D6E-409C-BE32-E72D297353CC}">
              <c16:uniqueId val="{00000011-114D-43CA-8478-E5ED5EA5B829}"/>
            </c:ext>
          </c:extLst>
        </c:ser>
        <c:dLbls>
          <c:showLegendKey val="0"/>
          <c:showVal val="0"/>
          <c:showCatName val="0"/>
          <c:showSerName val="0"/>
          <c:showPercent val="0"/>
          <c:showBubbleSize val="0"/>
        </c:dLbls>
        <c:marker val="1"/>
        <c:smooth val="0"/>
        <c:axId val="394493464"/>
        <c:axId val="394492288"/>
      </c:lineChart>
      <c:catAx>
        <c:axId val="39449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2288"/>
        <c:crosses val="autoZero"/>
        <c:auto val="1"/>
        <c:lblAlgn val="ctr"/>
        <c:lblOffset val="100"/>
        <c:noMultiLvlLbl val="0"/>
      </c:catAx>
      <c:valAx>
        <c:axId val="394492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34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1109</c:v>
                </c:pt>
                <c:pt idx="1">
                  <c:v>1019</c:v>
                </c:pt>
                <c:pt idx="2">
                  <c:v>1070</c:v>
                </c:pt>
                <c:pt idx="3">
                  <c:v>994</c:v>
                </c:pt>
                <c:pt idx="4">
                  <c:v>881</c:v>
                </c:pt>
                <c:pt idx="5">
                  <c:v>772</c:v>
                </c:pt>
                <c:pt idx="6">
                  <c:v>700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493856"/>
        <c:axId val="394496208"/>
      </c:barChart>
      <c:catAx>
        <c:axId val="39449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6208"/>
        <c:crosses val="autoZero"/>
        <c:auto val="1"/>
        <c:lblAlgn val="ctr"/>
        <c:lblOffset val="100"/>
        <c:noMultiLvlLbl val="0"/>
      </c:catAx>
      <c:valAx>
        <c:axId val="394496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3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吾田地区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45204_2</v>
      </c>
      <c r="B5" s="201" t="str">
        <f>VLOOKUP($A$5,$A$7:$CP$50,2,FALSE)</f>
        <v>日南市</v>
      </c>
      <c r="C5" s="201" t="str">
        <f>VLOOKUP($A$5,$A$7:$CP$50,3,FALSE)</f>
        <v>吾田地区</v>
      </c>
      <c r="D5" s="188">
        <f>VLOOKUP($A$5,$A$7:$CP$70,4,FALSE)</f>
        <v>7930</v>
      </c>
      <c r="E5" s="189">
        <f>VLOOKUP($A$5,$A$7:$CP$70,5,FALSE)</f>
        <v>3448</v>
      </c>
      <c r="F5" s="189">
        <f>VLOOKUP($A$5,$A$7:$CP$70,6,FALSE)</f>
        <v>1208</v>
      </c>
      <c r="G5" s="190">
        <f>VLOOKUP($A$5,$A$7:$CP$70,7,FALSE)</f>
        <v>1204</v>
      </c>
      <c r="H5" s="178">
        <f>VLOOKUP($A$5,$A$7:$CP$70,8,FALSE)</f>
        <v>0.43480453972257249</v>
      </c>
      <c r="I5" s="179">
        <f>VLOOKUP($A$5,$A$7:$CP$70,9,FALSE)</f>
        <v>0.1523329129886507</v>
      </c>
      <c r="J5" s="180">
        <f>VLOOKUP($A$5,$A$7:$CP$70,10,FALSE)</f>
        <v>0.15182849936948298</v>
      </c>
      <c r="K5" s="188">
        <f>VLOOKUP($A$5,$A$7:$CP$70,11,FALSE)</f>
        <v>18210</v>
      </c>
      <c r="L5" s="189">
        <f>VLOOKUP($A$5,$A$7:$CP$70,12,FALSE)</f>
        <v>1543</v>
      </c>
      <c r="M5" s="189">
        <f>VLOOKUP($A$5,$A$7:$CP$70,13,FALSE)</f>
        <v>7468</v>
      </c>
      <c r="N5" s="190">
        <f>VLOOKUP($A$5,$A$7:$CP$70,14,FALSE)</f>
        <v>8414</v>
      </c>
      <c r="O5" s="178">
        <f>VLOOKUP($A$5,$A$7:$CP$70,15,FALSE)</f>
        <v>8.4733662822624928E-2</v>
      </c>
      <c r="P5" s="179">
        <f>VLOOKUP($A$5,$A$7:$CP$70,16,FALSE)</f>
        <v>0.41010433827567272</v>
      </c>
      <c r="Q5" s="180">
        <f>VLOOKUP($A$5,$A$7:$CP$70,17,FALSE)</f>
        <v>0.46205381658429434</v>
      </c>
      <c r="R5" s="188">
        <f>VLOOKUP($A$5,$A$7:$CP$70,18,FALSE)</f>
        <v>18210</v>
      </c>
      <c r="S5" s="189">
        <f>VLOOKUP($A$5,$A$7:$CP$70,19,FALSE)</f>
        <v>3071</v>
      </c>
      <c r="T5" s="189">
        <f>VLOOKUP($A$5,$A$7:$CP$70,20,FALSE)</f>
        <v>894</v>
      </c>
      <c r="U5" s="189">
        <f>VLOOKUP($A$5,$A$7:$CP$70,21,FALSE)</f>
        <v>862</v>
      </c>
      <c r="V5" s="189">
        <f>VLOOKUP($A$5,$A$7:$CP$70,22,FALSE)</f>
        <v>35</v>
      </c>
      <c r="W5" s="190">
        <f>VLOOKUP($A$5,$A$7:$CP$70,23,FALSE)</f>
        <v>4862</v>
      </c>
      <c r="X5" s="188">
        <f>VLOOKUP($A$5,$A$7:$CP$70,24,FALSE)</f>
        <v>8582</v>
      </c>
      <c r="Y5" s="189">
        <f>VLOOKUP($A$5,$A$7:$CP$70,25,FALSE)</f>
        <v>1345</v>
      </c>
      <c r="Z5" s="189">
        <f>VLOOKUP($A$5,$A$7:$CP$70,26,FALSE)</f>
        <v>435</v>
      </c>
      <c r="AA5" s="189">
        <f>VLOOKUP($A$5,$A$7:$CP$70,27,FALSE)</f>
        <v>502</v>
      </c>
      <c r="AB5" s="189">
        <f>VLOOKUP($A$5,$A$7:$CP$70,28,FALSE)</f>
        <v>21</v>
      </c>
      <c r="AC5" s="191">
        <f>VLOOKUP($A$5,$A$7:$CP$70,29,FALSE)</f>
        <v>2303</v>
      </c>
      <c r="AD5" s="188">
        <f>VLOOKUP($A$5,$A$7:$CP$70,30,FALSE)</f>
        <v>9628</v>
      </c>
      <c r="AE5" s="189">
        <f>VLOOKUP($A$5,$A$7:$CP$70,31,FALSE)</f>
        <v>1726</v>
      </c>
      <c r="AF5" s="189">
        <f>VLOOKUP($A$5,$A$7:$CP$70,32,FALSE)</f>
        <v>459</v>
      </c>
      <c r="AG5" s="189">
        <f>VLOOKUP($A$5,$A$7:$CP$70,33,FALSE)</f>
        <v>360</v>
      </c>
      <c r="AH5" s="189">
        <f>VLOOKUP($A$5,$A$7:$CP$70,34,FALSE)</f>
        <v>14</v>
      </c>
      <c r="AI5" s="191">
        <f>VLOOKUP($A$5,$A$7:$CP$70,35,FALSE)</f>
        <v>2559</v>
      </c>
      <c r="AJ5" s="178">
        <f>VLOOKUP($A$5,$A$7:$CP$70,36,FALSE)</f>
        <v>0.2669961559582647</v>
      </c>
      <c r="AK5" s="179">
        <f>VLOOKUP($A$5,$A$7:$CP$70,37,FALSE)</f>
        <v>0.18387494858083092</v>
      </c>
      <c r="AL5" s="179">
        <f>VLOOKUP($A$5,$A$7:$CP$70,38,FALSE)</f>
        <v>0.17729329494035376</v>
      </c>
      <c r="AM5" s="179">
        <f>VLOOKUP($A$5,$A$7:$CP$70,39,FALSE)</f>
        <v>7.1986836692719044E-3</v>
      </c>
      <c r="AN5" s="182">
        <f>VLOOKUP($A$5,$A$7:$CP$70,40,FALSE)</f>
        <v>0.47367338543809134</v>
      </c>
      <c r="AO5" s="180">
        <f>VLOOKUP($A$5,$A$7:$CP$70,41,FALSE)</f>
        <v>0.52632661456190866</v>
      </c>
      <c r="AP5" s="192">
        <f>VLOOKUP($A$5,$A$7:$CP$70,42,FALSE)</f>
        <v>8477</v>
      </c>
      <c r="AQ5" s="189">
        <f>VLOOKUP($A$5,$A$7:$CP$70,43,FALSE)</f>
        <v>377</v>
      </c>
      <c r="AR5" s="189">
        <f>VLOOKUP($A$5,$A$7:$CP$70,44,FALSE)</f>
        <v>28</v>
      </c>
      <c r="AS5" s="189">
        <f>VLOOKUP($A$5,$A$7:$CP$70,45,FALSE)</f>
        <v>2</v>
      </c>
      <c r="AT5" s="189">
        <f>VLOOKUP($A$5,$A$7:$CP$70,46,FALSE)</f>
        <v>548</v>
      </c>
      <c r="AU5" s="189">
        <f>VLOOKUP($A$5,$A$7:$CP$70,47,FALSE)</f>
        <v>1134</v>
      </c>
      <c r="AV5" s="189">
        <f>VLOOKUP($A$5,$A$7:$CP$70,48,FALSE)</f>
        <v>73</v>
      </c>
      <c r="AW5" s="189">
        <f>VLOOKUP($A$5,$A$7:$CP$70,49,FALSE)</f>
        <v>58</v>
      </c>
      <c r="AX5" s="189">
        <f>VLOOKUP($A$5,$A$7:$CP$70,50,FALSE)</f>
        <v>427</v>
      </c>
      <c r="AY5" s="189">
        <f>VLOOKUP($A$5,$A$7:$CP$70,51,FALSE)</f>
        <v>1183</v>
      </c>
      <c r="AZ5" s="189">
        <f>VLOOKUP($A$5,$A$7:$CP$70,52,FALSE)</f>
        <v>194</v>
      </c>
      <c r="BA5" s="189">
        <f>VLOOKUP($A$5,$A$7:$CP$70,53,FALSE)</f>
        <v>81</v>
      </c>
      <c r="BB5" s="189">
        <f>VLOOKUP($A$5,$A$7:$CP$70,54,FALSE)</f>
        <v>171</v>
      </c>
      <c r="BC5" s="189">
        <f>VLOOKUP($A$5,$A$7:$CP$70,55,FALSE)</f>
        <v>417</v>
      </c>
      <c r="BD5" s="189">
        <f>VLOOKUP($A$5,$A$7:$CP$70,56,FALSE)</f>
        <v>312</v>
      </c>
      <c r="BE5" s="189">
        <f>VLOOKUP($A$5,$A$7:$CP$70,57,FALSE)</f>
        <v>570</v>
      </c>
      <c r="BF5" s="189">
        <f>VLOOKUP($A$5,$A$7:$CP$70,58,FALSE)</f>
        <v>1696</v>
      </c>
      <c r="BG5" s="189">
        <f>VLOOKUP($A$5,$A$7:$CP$70,59,FALSE)</f>
        <v>163</v>
      </c>
      <c r="BH5" s="189">
        <f>VLOOKUP($A$5,$A$7:$CP$70,60,FALSE)</f>
        <v>479</v>
      </c>
      <c r="BI5" s="189">
        <f>VLOOKUP($A$5,$A$7:$CP$70,61,FALSE)</f>
        <v>551</v>
      </c>
      <c r="BJ5" s="178">
        <f>VLOOKUP($A$5,$A$7:$CP$70,62,FALSE)</f>
        <v>4.4473280641736467E-2</v>
      </c>
      <c r="BK5" s="179">
        <f>VLOOKUP($A$5,$A$7:$CP$70,63,FALSE)</f>
        <v>3.3030553261767133E-3</v>
      </c>
      <c r="BL5" s="179">
        <f>VLOOKUP($A$5,$A$7:$CP$70,64,FALSE)</f>
        <v>2.3593252329833669E-4</v>
      </c>
      <c r="BM5" s="179">
        <f>VLOOKUP($A$5,$A$7:$CP$70,65,FALSE)</f>
        <v>6.4645511383744247E-2</v>
      </c>
      <c r="BN5" s="179">
        <f>VLOOKUP($A$5,$A$7:$CP$70,66,FALSE)</f>
        <v>0.13377374071015691</v>
      </c>
      <c r="BO5" s="179">
        <f>VLOOKUP($A$5,$A$7:$CP$70,67,FALSE)</f>
        <v>8.6115371003892879E-3</v>
      </c>
      <c r="BP5" s="179">
        <f>VLOOKUP($A$5,$A$7:$CP$70,68,FALSE)</f>
        <v>6.8420431756517639E-3</v>
      </c>
      <c r="BQ5" s="179">
        <f>VLOOKUP($A$5,$A$7:$CP$70,69,FALSE)</f>
        <v>5.0371593724194877E-2</v>
      </c>
      <c r="BR5" s="179">
        <f>VLOOKUP($A$5,$A$7:$CP$70,70,FALSE)</f>
        <v>0.13955408753096615</v>
      </c>
      <c r="BS5" s="179">
        <f>VLOOKUP($A$5,$A$7:$CP$70,71,FALSE)</f>
        <v>2.2885454759938657E-2</v>
      </c>
      <c r="BT5" s="179">
        <f>VLOOKUP($A$5,$A$7:$CP$70,72,FALSE)</f>
        <v>9.5552671935826353E-3</v>
      </c>
      <c r="BU5" s="179">
        <f>VLOOKUP($A$5,$A$7:$CP$70,73,FALSE)</f>
        <v>2.0172230742007784E-2</v>
      </c>
      <c r="BV5" s="179">
        <f>VLOOKUP($A$5,$A$7:$CP$70,74,FALSE)</f>
        <v>4.9191931107703195E-2</v>
      </c>
      <c r="BW5" s="179">
        <f>VLOOKUP($A$5,$A$7:$CP$70,75,FALSE)</f>
        <v>3.6805473634540523E-2</v>
      </c>
      <c r="BX5" s="179">
        <f>VLOOKUP($A$5,$A$7:$CP$70,76,FALSE)</f>
        <v>6.7240769140025955E-2</v>
      </c>
      <c r="BY5" s="179">
        <f>VLOOKUP($A$5,$A$7:$CP$70,77,FALSE)</f>
        <v>0.2000707797569895</v>
      </c>
      <c r="BZ5" s="179">
        <f>VLOOKUP($A$5,$A$7:$CP$70,78,FALSE)</f>
        <v>1.9228500648814439E-2</v>
      </c>
      <c r="CA5" s="179">
        <f>VLOOKUP($A$5,$A$7:$CP$70,79,FALSE)</f>
        <v>5.6505839329951631E-2</v>
      </c>
      <c r="CB5" s="180">
        <f>VLOOKUP($A$5,$A$7:$CP$70,80,FALSE)</f>
        <v>6.4999410168691749E-2</v>
      </c>
      <c r="CC5" s="188">
        <f>VLOOKUP($A$5,$A$7:$CP$70,81,FALSE)</f>
        <v>8477</v>
      </c>
      <c r="CD5" s="190">
        <f>VLOOKUP($A$5,$A$7:$CP$70,82,FALSE)</f>
        <v>7776</v>
      </c>
      <c r="CE5" s="189">
        <f>VLOOKUP($A$5,$A$7:$CP$70,83,FALSE)</f>
        <v>541</v>
      </c>
      <c r="CF5" s="191">
        <f>VLOOKUP($A$5,$A$7:$CP$70,84,FALSE)</f>
        <v>128</v>
      </c>
      <c r="CG5" s="188">
        <f>VLOOKUP($A$5,$A$7:$CP$70,85,FALSE)</f>
        <v>784</v>
      </c>
      <c r="CH5" s="189">
        <f>VLOOKUP($A$5,$A$7:$CP$70,86,FALSE)</f>
        <v>650</v>
      </c>
      <c r="CI5" s="189">
        <f>VLOOKUP($A$5,$A$7:$CP$70,87,FALSE)</f>
        <v>116</v>
      </c>
      <c r="CJ5" s="191">
        <f>VLOOKUP($A$5,$A$7:$CP$70,88,FALSE)</f>
        <v>8</v>
      </c>
      <c r="CK5" s="178">
        <f>VLOOKUP($A$5,$A$7:$CP$70,89,FALSE)</f>
        <v>0.91730565058393299</v>
      </c>
      <c r="CL5" s="179">
        <f>VLOOKUP($A$5,$A$7:$CP$70,90,FALSE)</f>
        <v>6.3819747552200073E-2</v>
      </c>
      <c r="CM5" s="180">
        <f>VLOOKUP($A$5,$A$7:$CP$70,91,FALSE)</f>
        <v>1.5099681491093548E-2</v>
      </c>
      <c r="CN5" s="178">
        <f>VLOOKUP($A$5,$A$7:$CP$70,92,FALSE)</f>
        <v>0.82908163265306123</v>
      </c>
      <c r="CO5" s="179">
        <f>VLOOKUP($A$5,$A$7:$CP$70,93,FALSE)</f>
        <v>0.14795918367346939</v>
      </c>
      <c r="CP5" s="180">
        <f>VLOOKUP($A$5,$A$7:$CP$70,94,FALSE)</f>
        <v>1.020408163265306E-2</v>
      </c>
    </row>
    <row r="6" spans="1:94" s="242" customFormat="1" x14ac:dyDescent="0.15"/>
    <row r="7" spans="1:94" x14ac:dyDescent="0.15">
      <c r="A7" t="s">
        <v>430</v>
      </c>
      <c r="B7" t="s">
        <v>431</v>
      </c>
      <c r="C7" t="s">
        <v>432</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428</v>
      </c>
      <c r="B8" t="s">
        <v>431</v>
      </c>
      <c r="C8" t="s">
        <v>433</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434</v>
      </c>
      <c r="B9" t="s">
        <v>431</v>
      </c>
      <c r="C9" t="s">
        <v>435</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436</v>
      </c>
      <c r="B10" t="s">
        <v>431</v>
      </c>
      <c r="C10" t="s">
        <v>437</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438</v>
      </c>
      <c r="B11" t="s">
        <v>431</v>
      </c>
      <c r="C11" t="s">
        <v>439</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440</v>
      </c>
      <c r="B12" t="s">
        <v>431</v>
      </c>
      <c r="C12" t="s">
        <v>441</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442</v>
      </c>
      <c r="B13" t="s">
        <v>431</v>
      </c>
      <c r="C13" t="s">
        <v>443</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444</v>
      </c>
      <c r="B14" t="s">
        <v>431</v>
      </c>
      <c r="C14" t="s">
        <v>445</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446</v>
      </c>
      <c r="B15" t="s">
        <v>431</v>
      </c>
      <c r="C15" t="s">
        <v>447</v>
      </c>
      <c r="D15" s="202">
        <v>3755</v>
      </c>
      <c r="E15" s="202">
        <v>2255</v>
      </c>
      <c r="F15" s="202">
        <v>753</v>
      </c>
      <c r="G15" s="202">
        <v>680</v>
      </c>
      <c r="H15" s="202">
        <v>0.60053262316910783</v>
      </c>
      <c r="I15" s="202">
        <v>0.20053262316910786</v>
      </c>
      <c r="J15" s="202">
        <v>0.18109187749667111</v>
      </c>
      <c r="K15" s="202">
        <v>8922</v>
      </c>
      <c r="L15" s="202">
        <v>1352</v>
      </c>
      <c r="M15" s="202">
        <v>2451</v>
      </c>
      <c r="N15" s="202">
        <v>4948</v>
      </c>
      <c r="O15" s="202">
        <v>0.15153553015019053</v>
      </c>
      <c r="P15" s="202">
        <v>0.27471418964357769</v>
      </c>
      <c r="Q15" s="202">
        <v>0.55458417395202875</v>
      </c>
      <c r="R15" s="202">
        <v>8922</v>
      </c>
      <c r="S15" s="202">
        <v>1009</v>
      </c>
      <c r="T15" s="202">
        <v>129</v>
      </c>
      <c r="U15" s="202">
        <v>172</v>
      </c>
      <c r="V15" s="202">
        <v>140</v>
      </c>
      <c r="W15" s="202">
        <v>1450</v>
      </c>
      <c r="X15" s="202">
        <v>4232</v>
      </c>
      <c r="Y15" s="202">
        <v>423</v>
      </c>
      <c r="Z15" s="202">
        <v>60</v>
      </c>
      <c r="AA15" s="202">
        <v>84</v>
      </c>
      <c r="AB15" s="202">
        <v>139</v>
      </c>
      <c r="AC15" s="202">
        <v>706</v>
      </c>
      <c r="AD15" s="202">
        <v>4690</v>
      </c>
      <c r="AE15" s="202">
        <v>586</v>
      </c>
      <c r="AF15" s="202">
        <v>69</v>
      </c>
      <c r="AG15" s="202">
        <v>88</v>
      </c>
      <c r="AH15" s="202">
        <v>1</v>
      </c>
      <c r="AI15" s="202">
        <v>744</v>
      </c>
      <c r="AJ15" s="202">
        <v>0.16251961443622506</v>
      </c>
      <c r="AK15" s="202">
        <v>8.8965517241379313E-2</v>
      </c>
      <c r="AL15" s="202">
        <v>0.11862068965517242</v>
      </c>
      <c r="AM15" s="202">
        <v>9.6551724137931033E-2</v>
      </c>
      <c r="AN15" s="202">
        <v>0.48689655172413793</v>
      </c>
      <c r="AO15" s="202">
        <v>0.51310344827586207</v>
      </c>
      <c r="AP15" s="202">
        <v>4049</v>
      </c>
      <c r="AQ15" s="202">
        <v>522</v>
      </c>
      <c r="AR15" s="202">
        <v>341</v>
      </c>
      <c r="AS15" s="202">
        <v>0</v>
      </c>
      <c r="AT15" s="202">
        <v>235</v>
      </c>
      <c r="AU15" s="202">
        <v>378</v>
      </c>
      <c r="AV15" s="202">
        <v>9</v>
      </c>
      <c r="AW15" s="202">
        <v>10</v>
      </c>
      <c r="AX15" s="202">
        <v>468</v>
      </c>
      <c r="AY15" s="202">
        <v>482</v>
      </c>
      <c r="AZ15" s="202">
        <v>84</v>
      </c>
      <c r="BA15" s="202">
        <v>20</v>
      </c>
      <c r="BB15" s="202">
        <v>45</v>
      </c>
      <c r="BC15" s="202">
        <v>159</v>
      </c>
      <c r="BD15" s="202">
        <v>130</v>
      </c>
      <c r="BE15" s="202">
        <v>118</v>
      </c>
      <c r="BF15" s="202">
        <v>683</v>
      </c>
      <c r="BG15" s="202">
        <v>94</v>
      </c>
      <c r="BH15" s="202">
        <v>183</v>
      </c>
      <c r="BI15" s="202">
        <v>85</v>
      </c>
      <c r="BJ15" s="202">
        <v>0.12892072116571993</v>
      </c>
      <c r="BK15" s="202">
        <v>8.4218325512472214E-2</v>
      </c>
      <c r="BL15" s="202">
        <v>0</v>
      </c>
      <c r="BM15" s="202">
        <v>5.8039021980735982E-2</v>
      </c>
      <c r="BN15" s="202">
        <v>9.3356384292417882E-2</v>
      </c>
      <c r="BO15" s="202">
        <v>2.2227710545813782E-3</v>
      </c>
      <c r="BP15" s="202">
        <v>2.4697456162015314E-3</v>
      </c>
      <c r="BQ15" s="202">
        <v>0.11558409483823166</v>
      </c>
      <c r="BR15" s="202">
        <v>0.11904173870091381</v>
      </c>
      <c r="BS15" s="202">
        <v>2.0745863176092862E-2</v>
      </c>
      <c r="BT15" s="202">
        <v>4.9394912324030628E-3</v>
      </c>
      <c r="BU15" s="202">
        <v>1.111385527290689E-2</v>
      </c>
      <c r="BV15" s="202">
        <v>3.9268955297604345E-2</v>
      </c>
      <c r="BW15" s="202">
        <v>3.2106693010619906E-2</v>
      </c>
      <c r="BX15" s="202">
        <v>2.9142998271178069E-2</v>
      </c>
      <c r="BY15" s="202">
        <v>0.16868362558656458</v>
      </c>
      <c r="BZ15" s="202">
        <v>2.3215608792294392E-2</v>
      </c>
      <c r="CA15" s="202">
        <v>4.5196344776488019E-2</v>
      </c>
      <c r="CB15" s="202">
        <v>2.0992837737713016E-2</v>
      </c>
      <c r="CC15" s="202">
        <v>4049</v>
      </c>
      <c r="CD15" s="202">
        <v>3341</v>
      </c>
      <c r="CE15" s="202">
        <v>276</v>
      </c>
      <c r="CF15" s="202">
        <v>406</v>
      </c>
      <c r="CG15" s="202">
        <v>312</v>
      </c>
      <c r="CH15" s="202">
        <v>240</v>
      </c>
      <c r="CI15" s="202">
        <v>61</v>
      </c>
      <c r="CJ15" s="202">
        <v>6</v>
      </c>
      <c r="CK15" s="202">
        <v>0.82514201037293156</v>
      </c>
      <c r="CL15" s="202">
        <v>6.8164979007162257E-2</v>
      </c>
      <c r="CM15" s="202">
        <v>0.10027167201778217</v>
      </c>
      <c r="CN15" s="202">
        <v>0.76923076923076927</v>
      </c>
      <c r="CO15" s="202">
        <v>0.19551282051282051</v>
      </c>
      <c r="CP15" s="202">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吾田地区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18211</v>
      </c>
      <c r="F6" s="256"/>
      <c r="G6" s="20" t="s">
        <v>54</v>
      </c>
    </row>
    <row r="7" spans="1:10" ht="22.5" customHeight="1" x14ac:dyDescent="0.15">
      <c r="A7" s="249">
        <f>管理者用グラフシート!B4</f>
        <v>2010</v>
      </c>
      <c r="B7" s="249"/>
      <c r="C7" s="82" t="s">
        <v>226</v>
      </c>
      <c r="D7" s="248">
        <f>E6-管理者用グラフシート!E4</f>
        <v>-811</v>
      </c>
      <c r="E7" s="248"/>
      <c r="F7" s="20" t="s">
        <v>356</v>
      </c>
    </row>
    <row r="8" spans="1:10" ht="22.5" customHeight="1" x14ac:dyDescent="0.15">
      <c r="A8" s="257" t="s">
        <v>380</v>
      </c>
      <c r="B8" s="257"/>
      <c r="C8" s="204">
        <f>管理者用グラフシート!C6-管理者用グラフシート!C4</f>
        <v>-325</v>
      </c>
      <c r="D8" s="207" t="s">
        <v>381</v>
      </c>
      <c r="F8" s="204">
        <f>管理者用グラフシート!D6-管理者用グラフシート!D4</f>
        <v>-486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1070</v>
      </c>
      <c r="G36" s="253"/>
      <c r="H36" s="20" t="s">
        <v>54</v>
      </c>
    </row>
    <row r="37" spans="1:9" ht="22.5" customHeight="1" x14ac:dyDescent="0.15">
      <c r="A37" s="20" t="s">
        <v>66</v>
      </c>
      <c r="F37" s="253">
        <f>管理者用グラフシート!C16</f>
        <v>525</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-39</v>
      </c>
      <c r="E40" s="248"/>
      <c r="F40" s="20" t="s">
        <v>60</v>
      </c>
    </row>
    <row r="41" spans="1:9" ht="22.5" customHeight="1" x14ac:dyDescent="0.15">
      <c r="B41" s="20" t="s">
        <v>69</v>
      </c>
      <c r="D41" s="248">
        <f>F37-管理者用グラフシート!C14</f>
        <v>-68</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5584</v>
      </c>
      <c r="D70" s="253"/>
      <c r="E70" s="20" t="s">
        <v>76</v>
      </c>
      <c r="F70" s="37"/>
      <c r="G70" s="252">
        <f>管理者用グラフシート!C32</f>
        <v>0.31</v>
      </c>
      <c r="H70" s="252"/>
      <c r="I70" s="20" t="s">
        <v>77</v>
      </c>
    </row>
    <row r="71" spans="1:9" ht="22.5" customHeight="1" x14ac:dyDescent="0.15">
      <c r="A71" s="20" t="s">
        <v>78</v>
      </c>
      <c r="C71" s="253">
        <f>管理者用グラフシート!C26</f>
        <v>3028</v>
      </c>
      <c r="D71" s="253"/>
      <c r="E71" s="20" t="s">
        <v>76</v>
      </c>
      <c r="F71" s="37"/>
      <c r="G71" s="252">
        <f>管理者用グラフシート!C36</f>
        <v>0.17</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-337</v>
      </c>
      <c r="G135" s="208" t="s">
        <v>386</v>
      </c>
      <c r="H135" s="111"/>
    </row>
    <row r="136" spans="1:8" ht="22.5" customHeight="1" x14ac:dyDescent="0.15">
      <c r="A136" s="35" t="s">
        <v>387</v>
      </c>
      <c r="C136" s="206">
        <f>SUM(管理者用グラフシート!B95:C96)-SUM(管理者用グラフシート!B47:C48)</f>
        <v>-374</v>
      </c>
      <c r="D136" s="20" t="s">
        <v>388</v>
      </c>
      <c r="E136" s="34"/>
      <c r="F136" s="206">
        <f>SUM(管理者用グラフシート!B97:C98)-SUM(管理者用グラフシート!B49:C50)</f>
        <v>107</v>
      </c>
      <c r="G136" s="20" t="s">
        <v>386</v>
      </c>
    </row>
    <row r="137" spans="1:8" ht="18.75" x14ac:dyDescent="0.15">
      <c r="A137" s="20" t="s">
        <v>389</v>
      </c>
      <c r="C137" s="206">
        <f>SUM(管理者用グラフシート!B99:C100)-SUM(管理者用グラフシート!B51:C52)</f>
        <v>-595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吾田地区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16532</v>
      </c>
      <c r="E6" s="253"/>
      <c r="F6" s="20" t="s">
        <v>231</v>
      </c>
      <c r="H6" s="34"/>
      <c r="I6" s="34"/>
    </row>
    <row r="7" spans="1:9" ht="22.5" customHeight="1" x14ac:dyDescent="0.15">
      <c r="A7" s="249">
        <f>管理者入力シート!B5</f>
        <v>2020</v>
      </c>
      <c r="B7" s="249"/>
      <c r="C7" s="195" t="s">
        <v>362</v>
      </c>
      <c r="D7" s="248">
        <f>D6-現況シート!E6</f>
        <v>-1679</v>
      </c>
      <c r="E7" s="248"/>
      <c r="F7" s="20" t="s">
        <v>232</v>
      </c>
      <c r="I7" s="34"/>
    </row>
    <row r="8" spans="1:9" ht="22.5" customHeight="1" x14ac:dyDescent="0.15">
      <c r="A8" s="257" t="s">
        <v>397</v>
      </c>
      <c r="B8" s="257"/>
      <c r="C8" s="206">
        <f>管理者用グラフシート!I8-管理者用グラフシート!C6</f>
        <v>-727</v>
      </c>
      <c r="D8" s="207" t="s">
        <v>398</v>
      </c>
      <c r="F8" s="258">
        <f>管理者用グラフシート!J8-管理者用グラフシート!D6</f>
        <v>-952</v>
      </c>
      <c r="G8" s="258"/>
      <c r="H8" s="20" t="s">
        <v>399</v>
      </c>
    </row>
    <row r="10" spans="1:9" ht="22.5" customHeight="1" x14ac:dyDescent="0.15">
      <c r="A10" s="249">
        <f>管理者入力シート!B11</f>
        <v>2040</v>
      </c>
      <c r="B10" s="249"/>
      <c r="C10" s="20" t="s">
        <v>361</v>
      </c>
      <c r="D10" s="253">
        <f>管理者用グラフシート!K10</f>
        <v>14641</v>
      </c>
      <c r="E10" s="253"/>
      <c r="F10" s="20" t="s">
        <v>231</v>
      </c>
      <c r="H10" s="34"/>
    </row>
    <row r="11" spans="1:9" ht="22.5" customHeight="1" x14ac:dyDescent="0.15">
      <c r="A11" s="249">
        <f>管理者入力シート!B5</f>
        <v>2020</v>
      </c>
      <c r="B11" s="249"/>
      <c r="C11" s="195" t="s">
        <v>362</v>
      </c>
      <c r="D11" s="248">
        <f>D10-現況シート!E6</f>
        <v>-3570</v>
      </c>
      <c r="E11" s="248"/>
      <c r="F11" s="20" t="s">
        <v>232</v>
      </c>
      <c r="H11" s="34"/>
    </row>
    <row r="12" spans="1:9" ht="22.5" customHeight="1" x14ac:dyDescent="0.15">
      <c r="A12" s="257" t="s">
        <v>397</v>
      </c>
      <c r="B12" s="257"/>
      <c r="C12" s="206">
        <f>管理者用グラフシート!I10-管理者用グラフシート!C6</f>
        <v>-1567</v>
      </c>
      <c r="D12" s="207" t="s">
        <v>398</v>
      </c>
      <c r="F12" s="258">
        <f>管理者用グラフシート!J10-管理者用グラフシート!D6</f>
        <v>-2003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700</v>
      </c>
      <c r="G36" s="253"/>
      <c r="H36" s="82" t="s">
        <v>233</v>
      </c>
      <c r="I36" s="34"/>
    </row>
    <row r="37" spans="1:9" ht="22.5" customHeight="1" x14ac:dyDescent="0.15">
      <c r="A37" s="20" t="s">
        <v>234</v>
      </c>
      <c r="F37" s="253">
        <f>管理者用グラフシート!I28</f>
        <v>371</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-370</v>
      </c>
      <c r="G40" s="248"/>
      <c r="H40" s="35" t="s">
        <v>60</v>
      </c>
    </row>
    <row r="41" spans="1:9" ht="22.5" customHeight="1" x14ac:dyDescent="0.15">
      <c r="A41" s="20" t="s">
        <v>69</v>
      </c>
      <c r="C41" s="199">
        <f>管理者入力シート!B5</f>
        <v>2020</v>
      </c>
      <c r="D41" s="20" t="s">
        <v>374</v>
      </c>
      <c r="F41" s="248">
        <f>F37-現況シート!F37</f>
        <v>-154</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5167</v>
      </c>
      <c r="D70" s="253"/>
      <c r="E70" s="82" t="s">
        <v>239</v>
      </c>
      <c r="F70" s="34"/>
      <c r="G70" s="252">
        <f>管理者用グラフシート!I56</f>
        <v>0.35</v>
      </c>
      <c r="H70" s="252"/>
      <c r="I70" s="110" t="s">
        <v>240</v>
      </c>
    </row>
    <row r="71" spans="1:9" ht="22.5" customHeight="1" x14ac:dyDescent="0.15">
      <c r="A71" s="20" t="s">
        <v>241</v>
      </c>
      <c r="C71" s="253">
        <f>管理者用グラフシート!I46</f>
        <v>3181</v>
      </c>
      <c r="D71" s="253"/>
      <c r="E71" s="20" t="s">
        <v>239</v>
      </c>
      <c r="G71" s="260">
        <f>管理者用グラフシート!I64</f>
        <v>0.22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-206</v>
      </c>
      <c r="H103" s="208" t="s">
        <v>60</v>
      </c>
    </row>
    <row r="104" spans="1:8" ht="22.5" customHeight="1" x14ac:dyDescent="0.15">
      <c r="A104" s="35" t="s">
        <v>387</v>
      </c>
      <c r="C104" s="206">
        <f>SUM(管理者用グラフシート!H99:I100)-SUM(管理者用グラフシート!B95:C96)</f>
        <v>-387</v>
      </c>
      <c r="D104" s="20" t="s">
        <v>423</v>
      </c>
      <c r="E104" s="34"/>
      <c r="G104" s="206">
        <f>SUM(管理者用グラフシート!H101:I102)-SUM(管理者用グラフシート!B97:C98)</f>
        <v>-384</v>
      </c>
      <c r="H104" s="20" t="s">
        <v>60</v>
      </c>
    </row>
    <row r="105" spans="1:8" ht="22.5" customHeight="1" x14ac:dyDescent="0.15">
      <c r="A105" s="20" t="s">
        <v>389</v>
      </c>
      <c r="C105" s="206">
        <f>SUM(管理者用グラフシート!H103:I104)-SUM(管理者用グラフシート!B99:C100)</f>
        <v>149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-272</v>
      </c>
      <c r="H137" s="208" t="s">
        <v>60</v>
      </c>
    </row>
    <row r="138" spans="1:8" ht="22.5" customHeight="1" x14ac:dyDescent="0.15">
      <c r="A138" s="35" t="s">
        <v>387</v>
      </c>
      <c r="C138" s="206">
        <f>SUM(管理者用グラフシート!H147:I148)-SUM(管理者用グラフシート!B95:C96)</f>
        <v>-589</v>
      </c>
      <c r="D138" s="20" t="s">
        <v>423</v>
      </c>
      <c r="E138" s="34"/>
      <c r="G138" s="206">
        <f>SUM(管理者用グラフシート!H149:I150)-SUM(管理者用グラフシート!B97:C98)</f>
        <v>-760</v>
      </c>
      <c r="H138" s="20" t="s">
        <v>60</v>
      </c>
    </row>
    <row r="139" spans="1:8" ht="22.5" customHeight="1" x14ac:dyDescent="0.15">
      <c r="A139" s="20" t="s">
        <v>389</v>
      </c>
      <c r="C139" s="206">
        <f>SUM(管理者用グラフシート!H151:I152)-SUM(管理者用グラフシート!B99:C100)</f>
        <v>-233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吾田地区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18240</v>
      </c>
      <c r="I36" s="270"/>
    </row>
    <row r="37" spans="1:9" s="130" customFormat="1" ht="17.25" customHeight="1" x14ac:dyDescent="0.15">
      <c r="A37" s="165"/>
      <c r="B37" s="226" t="s">
        <v>5</v>
      </c>
      <c r="C37" s="227">
        <f>管理者用人口入力シート!DX1</f>
        <v>131</v>
      </c>
      <c r="D37" s="228">
        <f>C37</f>
        <v>131</v>
      </c>
      <c r="F37" s="162"/>
      <c r="G37" s="238">
        <f>管理者入力シート!B9</f>
        <v>2030</v>
      </c>
      <c r="H37" s="269">
        <f>管理者用人口入力シート!EU25</f>
        <v>18430</v>
      </c>
      <c r="I37" s="270"/>
    </row>
    <row r="38" spans="1:9" s="132" customFormat="1" ht="17.25" customHeight="1" x14ac:dyDescent="0.15">
      <c r="A38" s="160"/>
      <c r="B38" s="226" t="s">
        <v>6</v>
      </c>
      <c r="C38" s="227">
        <f>C37</f>
        <v>131</v>
      </c>
      <c r="D38" s="228">
        <f>C37</f>
        <v>131</v>
      </c>
      <c r="F38" s="162"/>
      <c r="G38" s="238">
        <f>管理者入力シート!B10</f>
        <v>2035</v>
      </c>
      <c r="H38" s="269">
        <f>管理者用人口入力シート!EU28</f>
        <v>18628</v>
      </c>
      <c r="I38" s="270"/>
    </row>
    <row r="39" spans="1:9" ht="17.25" customHeight="1" thickBot="1" x14ac:dyDescent="0.2">
      <c r="A39" s="166"/>
      <c r="B39" s="229" t="s">
        <v>7</v>
      </c>
      <c r="C39" s="230">
        <f>C37</f>
        <v>131</v>
      </c>
      <c r="D39" s="231">
        <f>C37</f>
        <v>131</v>
      </c>
      <c r="F39" s="162"/>
      <c r="G39" s="239">
        <f>管理者入力シート!B11</f>
        <v>2040</v>
      </c>
      <c r="H39" s="271">
        <f>管理者用人口入力シート!EU31</f>
        <v>18813</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16552</v>
      </c>
      <c r="E43" s="253"/>
      <c r="F43" s="20" t="s">
        <v>231</v>
      </c>
      <c r="H43" s="34"/>
      <c r="I43" s="34"/>
    </row>
    <row r="44" spans="1:9" ht="22.5" customHeight="1" x14ac:dyDescent="0.15">
      <c r="A44" s="249">
        <f>管理者入力シート!B11</f>
        <v>2040</v>
      </c>
      <c r="B44" s="249"/>
      <c r="C44" s="20" t="s">
        <v>417</v>
      </c>
      <c r="D44" s="253">
        <f>管理者用グラフシート!U10</f>
        <v>14684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43</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707</v>
      </c>
      <c r="G78" s="253"/>
      <c r="H78" s="82" t="s">
        <v>264</v>
      </c>
      <c r="I78" s="34"/>
    </row>
    <row r="79" spans="1:9" ht="22.5" customHeight="1" x14ac:dyDescent="0.15">
      <c r="A79" s="20" t="s">
        <v>234</v>
      </c>
      <c r="F79" s="253">
        <f>管理者用グラフシート!Q28</f>
        <v>374</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5167</v>
      </c>
      <c r="D112" s="253"/>
      <c r="E112" s="20" t="s">
        <v>270</v>
      </c>
      <c r="F112" s="36"/>
      <c r="G112" s="111">
        <f>管理者用グラフシート!Q56</f>
        <v>0.35</v>
      </c>
      <c r="H112" s="82" t="s">
        <v>271</v>
      </c>
      <c r="I112" s="34"/>
    </row>
    <row r="113" spans="1:9" ht="22.5" customHeight="1" x14ac:dyDescent="0.15">
      <c r="A113" s="20" t="s">
        <v>268</v>
      </c>
      <c r="C113" s="253">
        <f>管理者用グラフシート!Q46</f>
        <v>3181</v>
      </c>
      <c r="D113" s="253"/>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吾田地区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0.43480453972257249</v>
      </c>
      <c r="G7" s="280"/>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吾田地区</v>
      </c>
      <c r="B11" s="255"/>
      <c r="C11" s="256">
        <f>管理者用地域特徴シート!D5</f>
        <v>7930</v>
      </c>
      <c r="D11" s="255"/>
      <c r="E11" s="20" t="s">
        <v>413</v>
      </c>
    </row>
    <row r="12" spans="1:8" ht="22.5" customHeight="1" x14ac:dyDescent="0.15">
      <c r="A12" s="255" t="str">
        <f>A8</f>
        <v>日南市</v>
      </c>
      <c r="B12" s="255"/>
      <c r="C12" s="256">
        <f>管理者用地域特徴シート!D4</f>
        <v>21960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0.15182849936948298</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0.41010433827567272</v>
      </c>
      <c r="G37" s="280"/>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4862</v>
      </c>
      <c r="F70" s="281"/>
      <c r="G70" s="20" t="s">
        <v>290</v>
      </c>
    </row>
    <row r="71" spans="1:8" ht="22.5" customHeight="1" x14ac:dyDescent="0.15">
      <c r="A71" s="20" t="s">
        <v>295</v>
      </c>
      <c r="F71" s="280">
        <f>管理者用地域特徴シート!AK5</f>
        <v>0.18387494858083092</v>
      </c>
      <c r="G71" s="280"/>
      <c r="H71" s="20" t="s">
        <v>271</v>
      </c>
    </row>
    <row r="72" spans="1:8" ht="22.5" customHeight="1" x14ac:dyDescent="0.15">
      <c r="A72" s="20" t="s">
        <v>296</v>
      </c>
      <c r="F72" s="280">
        <f>管理者用地域特徴シート!AL5</f>
        <v>0.17729329494035376</v>
      </c>
      <c r="G72" s="280"/>
      <c r="H72" s="20" t="s">
        <v>297</v>
      </c>
    </row>
    <row r="73" spans="1:8" ht="22.5" customHeight="1" x14ac:dyDescent="0.15">
      <c r="A73" s="20" t="s">
        <v>298</v>
      </c>
      <c r="E73" s="280"/>
      <c r="F73" s="280"/>
    </row>
    <row r="74" spans="1:8" ht="22.5" customHeight="1" x14ac:dyDescent="0.15">
      <c r="A74" s="20" t="s">
        <v>339</v>
      </c>
      <c r="C74" s="177">
        <f>管理者用地域特徴シート!AN5</f>
        <v>0.47367338543809134</v>
      </c>
      <c r="D74" s="156" t="s">
        <v>299</v>
      </c>
      <c r="E74" s="177">
        <f>管理者用地域特徴シート!AO5</f>
        <v>0.52632661456190866</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0.91730565058393299</v>
      </c>
      <c r="D139" s="280"/>
      <c r="E139" s="20" t="s">
        <v>316</v>
      </c>
      <c r="F139" s="157" t="str">
        <f>管理者入力シート!B3</f>
        <v>日南市</v>
      </c>
      <c r="G139" s="158" t="s">
        <v>317</v>
      </c>
    </row>
    <row r="140" spans="1:8" ht="22.5" customHeight="1" x14ac:dyDescent="0.15">
      <c r="A140" s="20" t="s">
        <v>318</v>
      </c>
    </row>
    <row r="141" spans="1:8" ht="22.5" customHeight="1" x14ac:dyDescent="0.15">
      <c r="C141" s="280">
        <f>管理者用地域特徴シート!CN5</f>
        <v>0.82908163265306123</v>
      </c>
      <c r="D141" s="280"/>
      <c r="E141" s="20" t="s">
        <v>316</v>
      </c>
      <c r="F141" s="157" t="str">
        <f>管理者入力シート!B3</f>
        <v>日南市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日南市</v>
      </c>
    </row>
    <row r="4" spans="1:3" x14ac:dyDescent="0.15">
      <c r="A4" s="153" t="s">
        <v>24</v>
      </c>
      <c r="B4" s="154" t="str">
        <f>管理者用地域特徴シート!C5</f>
        <v>吾田地区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45204_2</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449</v>
      </c>
      <c r="DW1" s="312"/>
      <c r="DX1" s="307">
        <f>DW17</f>
        <v>131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447.00961538461536</v>
      </c>
      <c r="E3" s="9">
        <v>527.03846153846155</v>
      </c>
      <c r="F3" s="9">
        <v>558.03846153846155</v>
      </c>
      <c r="G3" s="9">
        <v>465.02884615384619</v>
      </c>
      <c r="H3" s="9">
        <v>335.05769230769232</v>
      </c>
      <c r="I3" s="9">
        <v>477.01923076923077</v>
      </c>
      <c r="J3" s="9">
        <v>614.07692307692309</v>
      </c>
      <c r="K3" s="9">
        <v>501.02884615384619</v>
      </c>
      <c r="L3" s="9">
        <v>533.02884615384619</v>
      </c>
      <c r="M3" s="9">
        <v>697.09615384615381</v>
      </c>
      <c r="N3" s="9">
        <v>694.09615384615381</v>
      </c>
      <c r="O3" s="9">
        <v>678.11538461538464</v>
      </c>
      <c r="P3" s="9">
        <v>548.06730769230762</v>
      </c>
      <c r="Q3" s="9">
        <v>505.07692307692309</v>
      </c>
      <c r="R3" s="9">
        <v>523.07692307692309</v>
      </c>
      <c r="S3" s="9">
        <v>385.06730769230768</v>
      </c>
      <c r="T3" s="9">
        <v>194.05769230769232</v>
      </c>
      <c r="U3" s="9">
        <v>76.009615384615387</v>
      </c>
      <c r="V3" s="9">
        <v>33.009615384615387</v>
      </c>
      <c r="W3" s="9">
        <v>9</v>
      </c>
      <c r="X3" s="9">
        <v>1</v>
      </c>
      <c r="Y3" s="9">
        <f>SUM(D3:X3)</f>
        <v>8801</v>
      </c>
      <c r="Z3" s="9">
        <f>E3*3/5+F3*3/5</f>
        <v>651.04615384615386</v>
      </c>
      <c r="AA3" s="9">
        <f>F3*2/5+G3*1/5</f>
        <v>316.22115384615381</v>
      </c>
      <c r="AB3" s="9">
        <f t="shared" ref="AB3:AB20" si="0">SUM(Q3:X3)</f>
        <v>1726.2980769230771</v>
      </c>
      <c r="AC3" s="9">
        <f>SUM(S3:X3)</f>
        <v>698.14423076923072</v>
      </c>
      <c r="AD3" s="13">
        <f>AB3/Y3</f>
        <v>0.19614794647461392</v>
      </c>
      <c r="AE3" s="13">
        <f>AC3/Y3</f>
        <v>7.9325557410434122E-2</v>
      </c>
      <c r="AF3" s="9">
        <f>SUM(H3:K3)</f>
        <v>1927.1826923076924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0.97514804271837019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1.0299961688775876</v>
      </c>
      <c r="AO3" s="6">
        <f t="shared" si="1"/>
        <v>1.0705897225714396</v>
      </c>
      <c r="AP3" s="6">
        <f t="shared" si="1"/>
        <v>0.53337621427579729</v>
      </c>
      <c r="AQ3" s="6">
        <f t="shared" si="1"/>
        <v>1.3473860565046447</v>
      </c>
      <c r="AR3" s="6">
        <f t="shared" si="1"/>
        <v>1.1111582785289151</v>
      </c>
      <c r="AS3" s="6">
        <f t="shared" si="1"/>
        <v>0.97931731087924401</v>
      </c>
      <c r="AT3" s="6">
        <f t="shared" si="1"/>
        <v>0.99918453410188157</v>
      </c>
      <c r="AU3" s="6">
        <f t="shared" si="1"/>
        <v>0.99997217052151888</v>
      </c>
      <c r="AV3" s="6">
        <f t="shared" si="1"/>
        <v>1.0818638217659007</v>
      </c>
      <c r="AW3" s="6">
        <f t="shared" si="1"/>
        <v>0.92160041805649573</v>
      </c>
      <c r="AX3" s="6">
        <f t="shared" si="1"/>
        <v>0.95751612025106314</v>
      </c>
      <c r="AY3" s="6">
        <f t="shared" si="1"/>
        <v>0.98153203808959</v>
      </c>
      <c r="AZ3" s="6">
        <f t="shared" si="1"/>
        <v>0.92063710094715934</v>
      </c>
      <c r="BA3" s="6">
        <f t="shared" si="1"/>
        <v>0.90694659349581563</v>
      </c>
      <c r="BB3" s="6">
        <f t="shared" si="1"/>
        <v>0.77276007729449481</v>
      </c>
      <c r="BC3" s="6">
        <f t="shared" si="1"/>
        <v>0.68371184481725911</v>
      </c>
      <c r="BD3" s="6">
        <f t="shared" si="1"/>
        <v>0.50713012872533381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0.2414232119072631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0.25118184386477066</v>
      </c>
      <c r="BH3" s="7" t="str">
        <f>BI3&amp;"_"&amp;IF(BJ3="男性",1,IF(BJ3="女性",2,IF(BJ3="合計",3)))</f>
        <v>2025_1</v>
      </c>
      <c r="BI3" s="28">
        <f>管理者入力シート!B8</f>
        <v>2025</v>
      </c>
      <c r="BJ3" s="3" t="s">
        <v>21</v>
      </c>
      <c r="BK3" s="9">
        <f>CM4*AK$13</f>
        <v>376.69897087862591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420.93296225702846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409.52402166042032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472.71190582178298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257.55109517494338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338.27723508926158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481.63052330448443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448.58769467640576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516.26032614303858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522.58487042674835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609.31695870304873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497.96381624665241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470.50882743644553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633.35555882151687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578.27134048265486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496.91173097920051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367.32765211443802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214.73344643740441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120.88628918859564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24.554470691165335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4.4251858552813026</v>
      </c>
      <c r="CF3" s="9">
        <f t="shared" ref="CF3:CF14" si="2">SUM(BK3:CE3)</f>
        <v>8263.014882389145</v>
      </c>
      <c r="CG3" s="9">
        <f>BL3*3/5+BM3*3/5</f>
        <v>498.27419035046927</v>
      </c>
      <c r="CH3" s="9">
        <f>BM3*2/5+BN3*1/5</f>
        <v>258.35198982852472</v>
      </c>
      <c r="CI3" s="9">
        <f t="shared" ref="CI3:CI14" si="3">SUM(BX3:CE3)</f>
        <v>2440.4656745702569</v>
      </c>
      <c r="CJ3" s="9">
        <f>SUM(BZ3:CE3)</f>
        <v>1228.8387752660851</v>
      </c>
      <c r="CK3" s="13">
        <f>CI3/CF3</f>
        <v>0.2953480913814629</v>
      </c>
      <c r="CL3" s="13">
        <f>CJ3/CF3</f>
        <v>0.14871554665659542</v>
      </c>
      <c r="CM3" s="9">
        <f>SUM(BO3:BR3)</f>
        <v>1526.0465482450952</v>
      </c>
      <c r="CO3" s="7" t="str">
        <f>CP3&amp;"_"&amp;IF(CQ3="男性",1,IF(CQ3="女性",2,IF(CQ3="合計",3)))</f>
        <v>2025_1</v>
      </c>
      <c r="CP3" s="28">
        <f>管理者入力シート!B8</f>
        <v>2025</v>
      </c>
      <c r="CQ3" s="3" t="s">
        <v>21</v>
      </c>
      <c r="CR3" s="9">
        <f>BK3+将来予測シート②!$G17</f>
        <v>377.69897087862591</v>
      </c>
      <c r="CS3" s="9">
        <f>BL3+将来予測シート②!$G18</f>
        <v>420.93296225702846</v>
      </c>
      <c r="CT3" s="9">
        <f>BM3+将来予測シート②!$G19</f>
        <v>410.52402166042032</v>
      </c>
      <c r="CU3" s="9">
        <f>BN3+将来予測シート②!$G20</f>
        <v>472.71190582178298</v>
      </c>
      <c r="CV3" s="9">
        <f>BO3+将来予測シート②!$G21</f>
        <v>257.55109517494338</v>
      </c>
      <c r="CW3" s="9">
        <f>BP3+将来予測シート②!$G22</f>
        <v>340.27723508926158</v>
      </c>
      <c r="CX3" s="9">
        <f>BQ3+将来予測シート②!$G23</f>
        <v>481.63052330448443</v>
      </c>
      <c r="CY3" s="9">
        <f>BR3+将来予測シート②!$G24</f>
        <v>448.58769467640576</v>
      </c>
      <c r="CZ3" s="9">
        <f>BS3+将来予測シート②!$G25</f>
        <v>516.26032614303858</v>
      </c>
      <c r="DA3" s="9">
        <f>BT3+将来予測シート②!$G26</f>
        <v>522.58487042674835</v>
      </c>
      <c r="DB3" s="9">
        <f>BU3+将来予測シート②!$G27</f>
        <v>609.31695870304873</v>
      </c>
      <c r="DC3" s="9">
        <f>BV3+将来予測シート②!$G28</f>
        <v>497.96381624665241</v>
      </c>
      <c r="DD3" s="9">
        <f>BW3+将来予測シート②!$G29</f>
        <v>470.50882743644553</v>
      </c>
      <c r="DE3" s="9">
        <f>BX3</f>
        <v>633.35555882151687</v>
      </c>
      <c r="DF3" s="9">
        <f t="shared" ref="DF3:DL3" si="4">BY3</f>
        <v>578.27134048265486</v>
      </c>
      <c r="DG3" s="9">
        <f t="shared" si="4"/>
        <v>496.91173097920051</v>
      </c>
      <c r="DH3" s="9">
        <f t="shared" si="4"/>
        <v>367.32765211443802</v>
      </c>
      <c r="DI3" s="9">
        <f t="shared" si="4"/>
        <v>214.73344643740441</v>
      </c>
      <c r="DJ3" s="9">
        <f t="shared" si="4"/>
        <v>120.88628918859564</v>
      </c>
      <c r="DK3" s="9">
        <f t="shared" si="4"/>
        <v>24.554470691165335</v>
      </c>
      <c r="DL3" s="9">
        <f t="shared" si="4"/>
        <v>4.4251858552813026</v>
      </c>
      <c r="DM3" s="9">
        <f t="shared" ref="DM3:DM4" si="5">SUM(CR3:DL3)</f>
        <v>8267.014882389145</v>
      </c>
      <c r="DN3" s="9">
        <f>CS3*3/5+CT3*3/5</f>
        <v>498.87419035046923</v>
      </c>
      <c r="DO3" s="9">
        <f>CT3*2/5+CU3*1/5</f>
        <v>258.7519898285247</v>
      </c>
      <c r="DP3" s="9">
        <f t="shared" ref="DP3:DP14" si="6">SUM(DE3:DL3)</f>
        <v>2440.4656745702569</v>
      </c>
      <c r="DQ3" s="9">
        <f>SUM(DG3:DL3)</f>
        <v>1228.8387752660851</v>
      </c>
      <c r="DR3" s="13">
        <f>DP3/DM3</f>
        <v>0.29520518703420656</v>
      </c>
      <c r="DS3" s="13">
        <f>DQ3/DM3</f>
        <v>0.14864359055211401</v>
      </c>
      <c r="DT3" s="9">
        <f>SUM(CV3:CY3)</f>
        <v>1528.0465482450952</v>
      </c>
      <c r="DV3" s="311"/>
      <c r="DW3" s="312"/>
      <c r="DX3" s="28">
        <f>管理者入力シート!B8</f>
        <v>2025</v>
      </c>
      <c r="DY3" s="3" t="s">
        <v>21</v>
      </c>
      <c r="DZ3" s="9">
        <f>BK$3</f>
        <v>376.69897087862591</v>
      </c>
      <c r="EA3" s="9">
        <f>BL$3</f>
        <v>420.93296225702846</v>
      </c>
      <c r="EB3" s="9">
        <f t="shared" ref="EB3:ED3" si="7">BM$3</f>
        <v>409.52402166042032</v>
      </c>
      <c r="EC3" s="9">
        <f t="shared" si="7"/>
        <v>472.71190582178298</v>
      </c>
      <c r="ED3" s="9">
        <f t="shared" si="7"/>
        <v>257.55109517494338</v>
      </c>
      <c r="EE3" s="9">
        <f>BP$3+DX1</f>
        <v>469.27723508926158</v>
      </c>
      <c r="EF3" s="9">
        <f>BQ$3+DX1</f>
        <v>612.63052330448443</v>
      </c>
      <c r="EG3" s="9">
        <f>BR$3+DX1</f>
        <v>579.58769467640582</v>
      </c>
      <c r="EH3" s="9">
        <f t="shared" ref="EH3:ET3" si="8">BS$3</f>
        <v>516.26032614303858</v>
      </c>
      <c r="EI3" s="9">
        <f t="shared" si="8"/>
        <v>522.58487042674835</v>
      </c>
      <c r="EJ3" s="9">
        <f t="shared" si="8"/>
        <v>609.31695870304873</v>
      </c>
      <c r="EK3" s="9">
        <f t="shared" si="8"/>
        <v>497.96381624665241</v>
      </c>
      <c r="EL3" s="9">
        <f t="shared" si="8"/>
        <v>470.50882743644553</v>
      </c>
      <c r="EM3" s="9">
        <f t="shared" si="8"/>
        <v>633.35555882151687</v>
      </c>
      <c r="EN3" s="9">
        <f t="shared" si="8"/>
        <v>578.27134048265486</v>
      </c>
      <c r="EO3" s="9">
        <f t="shared" si="8"/>
        <v>496.91173097920051</v>
      </c>
      <c r="EP3" s="9">
        <f t="shared" si="8"/>
        <v>367.32765211443802</v>
      </c>
      <c r="EQ3" s="9">
        <f t="shared" si="8"/>
        <v>214.73344643740441</v>
      </c>
      <c r="ER3" s="9">
        <f t="shared" si="8"/>
        <v>120.88628918859564</v>
      </c>
      <c r="ES3" s="9">
        <f t="shared" si="8"/>
        <v>24.554470691165335</v>
      </c>
      <c r="ET3" s="9">
        <f t="shared" si="8"/>
        <v>4.4251858552813026</v>
      </c>
      <c r="EU3" s="9">
        <f t="shared" ref="EU3:EU4" si="9">SUM(DZ3:ET3)</f>
        <v>8656.014882389145</v>
      </c>
      <c r="EV3" s="9">
        <f>EA3*3/5+EB3*3/5</f>
        <v>498.27419035046927</v>
      </c>
      <c r="EW3" s="9">
        <f>EB3*2/5+EC3*1/5</f>
        <v>258.35198982852472</v>
      </c>
      <c r="EX3" s="9">
        <f t="shared" ref="EX3:EX14" si="10">SUM(EM3:ET3)</f>
        <v>2440.4656745702569</v>
      </c>
      <c r="EY3" s="9">
        <f>SUM(EO3:ET3)</f>
        <v>1228.8387752660851</v>
      </c>
      <c r="EZ3" s="13">
        <f>EX3/EU3</f>
        <v>0.28193871056477021</v>
      </c>
      <c r="FA3" s="13">
        <f>EY3/EU3</f>
        <v>0.14196357006804425</v>
      </c>
      <c r="FB3" s="9">
        <f>SUM(ED3:EG3)</f>
        <v>1919.0465482450952</v>
      </c>
    </row>
    <row r="4" spans="1:158" x14ac:dyDescent="0.15">
      <c r="A4" s="7" t="str">
        <f t="shared" ref="A4:A14" si="11">B4&amp;"_"&amp;IF(C4="男性",1,IF(C4="女性",2,IF(C4="合計",3)))</f>
        <v>2005_2</v>
      </c>
      <c r="B4" s="29">
        <v>2005</v>
      </c>
      <c r="C4" s="4" t="s">
        <v>22</v>
      </c>
      <c r="D4" s="10">
        <v>436.02857142857147</v>
      </c>
      <c r="E4" s="10">
        <v>449.03571428571428</v>
      </c>
      <c r="F4" s="10">
        <v>543.07857142857142</v>
      </c>
      <c r="G4" s="10">
        <v>619.07142857142856</v>
      </c>
      <c r="H4" s="10">
        <v>456.04285714285714</v>
      </c>
      <c r="I4" s="10">
        <v>570.02857142857147</v>
      </c>
      <c r="J4" s="10">
        <v>618.03571428571422</v>
      </c>
      <c r="K4" s="10">
        <v>532.05714285714282</v>
      </c>
      <c r="L4" s="10">
        <v>629.0428571428572</v>
      </c>
      <c r="M4" s="10">
        <v>694.1</v>
      </c>
      <c r="N4" s="10">
        <v>731.05714285714294</v>
      </c>
      <c r="O4" s="10">
        <v>753.09285714285716</v>
      </c>
      <c r="P4" s="10">
        <v>598.05714285714282</v>
      </c>
      <c r="Q4" s="10">
        <v>623.04999999999995</v>
      </c>
      <c r="R4" s="10">
        <v>667.07857142857142</v>
      </c>
      <c r="S4" s="10">
        <v>516.05714285714282</v>
      </c>
      <c r="T4" s="10">
        <v>357.02857142857141</v>
      </c>
      <c r="U4" s="10">
        <v>235.05</v>
      </c>
      <c r="V4" s="10">
        <v>97.007142857142853</v>
      </c>
      <c r="W4" s="10">
        <v>25</v>
      </c>
      <c r="X4" s="10">
        <v>4</v>
      </c>
      <c r="Y4" s="10">
        <f>SUM(D4:X4)</f>
        <v>10153</v>
      </c>
      <c r="Z4" s="10">
        <f t="shared" ref="Z4:Z11" si="12">E4*3/5+F4*3/5</f>
        <v>595.26857142857148</v>
      </c>
      <c r="AA4" s="10">
        <f t="shared" ref="AA4:AA11" si="13">F4*2/5+G4*1/5</f>
        <v>341.04571428571433</v>
      </c>
      <c r="AB4" s="10">
        <f t="shared" si="0"/>
        <v>2524.2714285714287</v>
      </c>
      <c r="AC4" s="10">
        <f t="shared" ref="AC4:AC11" si="14">SUM(S4:X4)</f>
        <v>1234.1428571428569</v>
      </c>
      <c r="AD4" s="14">
        <f t="shared" ref="AD4:AD11" si="15">AB4/Y4</f>
        <v>0.24862320777813737</v>
      </c>
      <c r="AE4" s="14">
        <f t="shared" ref="AE4:AE11" si="16">AC4/Y4</f>
        <v>0.12155450183619196</v>
      </c>
      <c r="AF4" s="10">
        <f t="shared" ref="AF4:AF20" si="17">SUM(H4:K4)</f>
        <v>2176.1642857142856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0.98582643472884779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0.96675732884362664</v>
      </c>
      <c r="AO4" s="193">
        <f t="shared" si="18"/>
        <v>1.0007961833303907</v>
      </c>
      <c r="AP4" s="193">
        <f t="shared" si="18"/>
        <v>0.6041197456377575</v>
      </c>
      <c r="AQ4" s="193">
        <f t="shared" si="18"/>
        <v>1.1231497253290552</v>
      </c>
      <c r="AR4" s="193">
        <f t="shared" si="18"/>
        <v>1.0436599541223275</v>
      </c>
      <c r="AS4" s="193">
        <f t="shared" si="18"/>
        <v>0.99949629399615991</v>
      </c>
      <c r="AT4" s="193">
        <f t="shared" si="18"/>
        <v>1.0200139606509553</v>
      </c>
      <c r="AU4" s="193">
        <f t="shared" si="18"/>
        <v>0.99927769489109419</v>
      </c>
      <c r="AV4" s="193">
        <f t="shared" si="18"/>
        <v>0.98892198389658048</v>
      </c>
      <c r="AW4" s="193">
        <f t="shared" si="18"/>
        <v>1.0108199827738138</v>
      </c>
      <c r="AX4" s="193">
        <f t="shared" si="18"/>
        <v>1.005797332643219</v>
      </c>
      <c r="AY4" s="193">
        <f t="shared" si="18"/>
        <v>0.98527737680094141</v>
      </c>
      <c r="AZ4" s="193">
        <f t="shared" si="18"/>
        <v>0.94527470168113115</v>
      </c>
      <c r="BA4" s="193">
        <f t="shared" si="18"/>
        <v>0.96059595370807571</v>
      </c>
      <c r="BB4" s="193">
        <f t="shared" si="18"/>
        <v>0.9050675416097872</v>
      </c>
      <c r="BC4" s="193">
        <f t="shared" si="18"/>
        <v>0.85945956826511105</v>
      </c>
      <c r="BD4" s="193">
        <f t="shared" si="18"/>
        <v>0.69493545206802798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0.46001502926120907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0.3056470988298966</v>
      </c>
      <c r="BH4" s="7" t="str">
        <f t="shared" ref="BH4:BH20" si="19">BI4&amp;"_"&amp;IF(BJ4="男性",1,IF(BJ4="女性",2,IF(BJ4="合計",3)))</f>
        <v>2025_2</v>
      </c>
      <c r="BI4" s="29">
        <f>BI3</f>
        <v>2025</v>
      </c>
      <c r="BJ4" s="4" t="s">
        <v>22</v>
      </c>
      <c r="BK4" s="10">
        <f>CM4*AK$14</f>
        <v>349.70371927410395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391.67525053509661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434.62524003366724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426.39137175222788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259.7160007922497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316.06017674926397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448.65421816902654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460.75306340342394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541.54703191494411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581.22886192327951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581.23253762261538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496.84430693065082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615.45829382153897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646.4806113200973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651.47370302531522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649.13812746928227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494.88512800035528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393.81826902530554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317.37246660029228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112.80911879946318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18.753877732200007</v>
      </c>
      <c r="CF4" s="10">
        <f t="shared" si="2"/>
        <v>9188.621374894401</v>
      </c>
      <c r="CG4" s="10">
        <f t="shared" ref="CG4:CG14" si="20">BL4*3/5+BM4*3/5</f>
        <v>495.7802943412583</v>
      </c>
      <c r="CH4" s="10">
        <f t="shared" ref="CH4:CH14" si="21">BM4*2/5+BN4*1/5</f>
        <v>259.1283703639125</v>
      </c>
      <c r="CI4" s="10">
        <f t="shared" si="3"/>
        <v>3284.731301972311</v>
      </c>
      <c r="CJ4" s="10">
        <f t="shared" ref="CJ4:CJ14" si="22">SUM(BZ4:CE4)</f>
        <v>1986.7769876268987</v>
      </c>
      <c r="CK4" s="14">
        <f t="shared" ref="CK4:CK14" si="23">CI4/CF4</f>
        <v>0.35747814258045435</v>
      </c>
      <c r="CL4" s="14">
        <f t="shared" ref="CL4:CL14" si="24">CJ4/CF4</f>
        <v>0.21622144460705145</v>
      </c>
      <c r="CM4" s="10">
        <f t="shared" ref="CM4:CM14" si="25">SUM(BO4:BR4)</f>
        <v>1485.1834591139643</v>
      </c>
      <c r="CO4" s="7" t="str">
        <f t="shared" ref="CO4:CO20" si="26">CP4&amp;"_"&amp;IF(CQ4="男性",1,IF(CQ4="女性",2,IF(CQ4="合計",3)))</f>
        <v>2025_2</v>
      </c>
      <c r="CP4" s="29">
        <f>CP3</f>
        <v>2025</v>
      </c>
      <c r="CQ4" s="4" t="s">
        <v>22</v>
      </c>
      <c r="CR4" s="10">
        <f>BK4+将来予測シート②!$H17</f>
        <v>350.70371927410395</v>
      </c>
      <c r="CS4" s="10">
        <f>BL4+将来予測シート②!$H18</f>
        <v>391.67525053509661</v>
      </c>
      <c r="CT4" s="10">
        <f>BM4+将来予測シート②!$H19</f>
        <v>435.62524003366724</v>
      </c>
      <c r="CU4" s="10">
        <f>BN4+将来予測シート②!$H20</f>
        <v>426.39137175222788</v>
      </c>
      <c r="CV4" s="10">
        <f>BO4+将来予測シート②!$H21</f>
        <v>259.7160007922497</v>
      </c>
      <c r="CW4" s="10">
        <f>BP4+将来予測シート②!$H22</f>
        <v>318.06017674926397</v>
      </c>
      <c r="CX4" s="10">
        <f>BQ4+将来予測シート②!$H23</f>
        <v>448.65421816902654</v>
      </c>
      <c r="CY4" s="10">
        <f>BR4+将来予測シート②!$H24</f>
        <v>460.75306340342394</v>
      </c>
      <c r="CZ4" s="10">
        <f>BS4+将来予測シート②!$H25</f>
        <v>542.54703191494411</v>
      </c>
      <c r="DA4" s="10">
        <f>BT4+将来予測シート②!$H26</f>
        <v>581.22886192327951</v>
      </c>
      <c r="DB4" s="10">
        <f>BU4+将来予測シート②!$H27</f>
        <v>581.23253762261538</v>
      </c>
      <c r="DC4" s="10">
        <f>BV4+将来予測シート②!$H28</f>
        <v>496.84430693065082</v>
      </c>
      <c r="DD4" s="10">
        <f>BW4+将来予測シート②!$H29</f>
        <v>615.45829382153897</v>
      </c>
      <c r="DE4" s="10">
        <f>BX4</f>
        <v>646.4806113200973</v>
      </c>
      <c r="DF4" s="10">
        <f t="shared" ref="DF4" si="27">BY4</f>
        <v>651.47370302531522</v>
      </c>
      <c r="DG4" s="10">
        <f t="shared" ref="DG4" si="28">BZ4</f>
        <v>649.13812746928227</v>
      </c>
      <c r="DH4" s="10">
        <f t="shared" ref="DH4" si="29">CA4</f>
        <v>494.88512800035528</v>
      </c>
      <c r="DI4" s="10">
        <f t="shared" ref="DI4" si="30">CB4</f>
        <v>393.81826902530554</v>
      </c>
      <c r="DJ4" s="10">
        <f t="shared" ref="DJ4" si="31">CC4</f>
        <v>317.37246660029228</v>
      </c>
      <c r="DK4" s="10">
        <f t="shared" ref="DK4" si="32">CD4</f>
        <v>112.80911879946318</v>
      </c>
      <c r="DL4" s="10">
        <f t="shared" ref="DL4" si="33">CE4</f>
        <v>18.753877732200007</v>
      </c>
      <c r="DM4" s="10">
        <f t="shared" si="5"/>
        <v>9193.621374894401</v>
      </c>
      <c r="DN4" s="10">
        <f t="shared" ref="DN4:DN14" si="34">CS4*3/5+CT4*3/5</f>
        <v>496.38029434125826</v>
      </c>
      <c r="DO4" s="10">
        <f t="shared" ref="DO4:DO14" si="35">CT4*2/5+CU4*1/5</f>
        <v>259.52837036391247</v>
      </c>
      <c r="DP4" s="10">
        <f t="shared" si="6"/>
        <v>3284.731301972311</v>
      </c>
      <c r="DQ4" s="10">
        <f t="shared" ref="DQ4:DQ14" si="36">SUM(DG4:DL4)</f>
        <v>1986.7769876268987</v>
      </c>
      <c r="DR4" s="14">
        <f t="shared" ref="DR4:DR14" si="37">DP4/DM4</f>
        <v>0.35728372618673782</v>
      </c>
      <c r="DS4" s="14">
        <f t="shared" ref="DS4:DS14" si="38">DQ4/DM4</f>
        <v>0.21610385142162972</v>
      </c>
      <c r="DT4" s="10">
        <f>SUM(CV4:CY4)</f>
        <v>1487.1834591139643</v>
      </c>
      <c r="DV4" s="311"/>
      <c r="DW4" s="312"/>
      <c r="DX4" s="29">
        <f>DX3</f>
        <v>2025</v>
      </c>
      <c r="DY4" s="4" t="s">
        <v>22</v>
      </c>
      <c r="DZ4" s="10">
        <f>BK$4</f>
        <v>349.70371927410395</v>
      </c>
      <c r="EA4" s="10">
        <f>BL$4</f>
        <v>391.67525053509661</v>
      </c>
      <c r="EB4" s="10">
        <f t="shared" ref="EB4:ED4" si="39">BM$4</f>
        <v>434.62524003366724</v>
      </c>
      <c r="EC4" s="10">
        <f t="shared" si="39"/>
        <v>426.39137175222788</v>
      </c>
      <c r="ED4" s="10">
        <f t="shared" si="39"/>
        <v>259.7160007922497</v>
      </c>
      <c r="EE4" s="10">
        <f>BP$4+DX1</f>
        <v>447.06017674926397</v>
      </c>
      <c r="EF4" s="10">
        <f>BQ$4+DX1</f>
        <v>579.65421816902654</v>
      </c>
      <c r="EG4" s="10">
        <f>BR$4+DX1</f>
        <v>591.75306340342399</v>
      </c>
      <c r="EH4" s="10">
        <f t="shared" ref="EH4:ET4" si="40">BS$4</f>
        <v>541.54703191494411</v>
      </c>
      <c r="EI4" s="10">
        <f t="shared" si="40"/>
        <v>581.22886192327951</v>
      </c>
      <c r="EJ4" s="10">
        <f t="shared" si="40"/>
        <v>581.23253762261538</v>
      </c>
      <c r="EK4" s="10">
        <f t="shared" si="40"/>
        <v>496.84430693065082</v>
      </c>
      <c r="EL4" s="10">
        <f t="shared" si="40"/>
        <v>615.45829382153897</v>
      </c>
      <c r="EM4" s="10">
        <f t="shared" si="40"/>
        <v>646.4806113200973</v>
      </c>
      <c r="EN4" s="10">
        <f t="shared" si="40"/>
        <v>651.47370302531522</v>
      </c>
      <c r="EO4" s="10">
        <f t="shared" si="40"/>
        <v>649.13812746928227</v>
      </c>
      <c r="EP4" s="10">
        <f t="shared" si="40"/>
        <v>494.88512800035528</v>
      </c>
      <c r="EQ4" s="10">
        <f t="shared" si="40"/>
        <v>393.81826902530554</v>
      </c>
      <c r="ER4" s="10">
        <f t="shared" si="40"/>
        <v>317.37246660029228</v>
      </c>
      <c r="ES4" s="10">
        <f t="shared" si="40"/>
        <v>112.80911879946318</v>
      </c>
      <c r="ET4" s="10">
        <f t="shared" si="40"/>
        <v>18.753877732200007</v>
      </c>
      <c r="EU4" s="10">
        <f t="shared" si="9"/>
        <v>9581.621374894401</v>
      </c>
      <c r="EV4" s="10">
        <f t="shared" ref="EV4:EV14" si="41">EA4*3/5+EB4*3/5</f>
        <v>495.7802943412583</v>
      </c>
      <c r="EW4" s="10">
        <f t="shared" ref="EW4:EW14" si="42">EB4*2/5+EC4*1/5</f>
        <v>259.1283703639125</v>
      </c>
      <c r="EX4" s="10">
        <f t="shared" si="10"/>
        <v>3284.731301972311</v>
      </c>
      <c r="EY4" s="10">
        <f t="shared" ref="EY4:EY14" si="43">SUM(EO4:ET4)</f>
        <v>1986.7769876268987</v>
      </c>
      <c r="EZ4" s="14">
        <f t="shared" ref="EZ4:EZ14" si="44">EX4/EU4</f>
        <v>0.34281581096273617</v>
      </c>
      <c r="FA4" s="14">
        <f t="shared" ref="FA4:FA14" si="45">EY4/EU4</f>
        <v>0.20735290092265779</v>
      </c>
      <c r="FB4" s="10">
        <f>SUM(ED4:EG4)</f>
        <v>1878.1834591139643</v>
      </c>
    </row>
    <row r="5" spans="1:158" x14ac:dyDescent="0.15">
      <c r="A5" s="7" t="str">
        <f t="shared" si="11"/>
        <v>2005_3</v>
      </c>
      <c r="B5" s="30">
        <v>2005</v>
      </c>
      <c r="C5" s="5" t="s">
        <v>23</v>
      </c>
      <c r="D5" s="11">
        <v>883.03818681318683</v>
      </c>
      <c r="E5" s="11">
        <v>976.07417582417588</v>
      </c>
      <c r="F5" s="11">
        <v>1101.1170329670331</v>
      </c>
      <c r="G5" s="11">
        <v>1084.1002747252746</v>
      </c>
      <c r="H5" s="11">
        <v>791.10054945054947</v>
      </c>
      <c r="I5" s="11">
        <v>1047.0478021978022</v>
      </c>
      <c r="J5" s="11">
        <v>1232.1126373626373</v>
      </c>
      <c r="K5" s="11">
        <v>1033.0859890109891</v>
      </c>
      <c r="L5" s="11">
        <v>1162.0717032967034</v>
      </c>
      <c r="M5" s="11">
        <v>1391.1961538461537</v>
      </c>
      <c r="N5" s="11">
        <v>1425.1532967032967</v>
      </c>
      <c r="O5" s="11">
        <v>1431.2082417582419</v>
      </c>
      <c r="P5" s="11">
        <v>1146.1244505494506</v>
      </c>
      <c r="Q5" s="11">
        <v>1128.126923076923</v>
      </c>
      <c r="R5" s="11">
        <v>1190.1554945054945</v>
      </c>
      <c r="S5" s="11">
        <v>901.12445054945056</v>
      </c>
      <c r="T5" s="11">
        <v>551.08626373626373</v>
      </c>
      <c r="U5" s="11">
        <v>311.05961538461543</v>
      </c>
      <c r="V5" s="11">
        <v>130.01675824175823</v>
      </c>
      <c r="W5" s="11">
        <v>34</v>
      </c>
      <c r="X5" s="11">
        <v>5</v>
      </c>
      <c r="Y5" s="11">
        <f>SUM(D5:X5)</f>
        <v>18954.000000000004</v>
      </c>
      <c r="Z5" s="11">
        <f t="shared" si="12"/>
        <v>1246.3147252747253</v>
      </c>
      <c r="AA5" s="11">
        <f t="shared" si="13"/>
        <v>657.26686813186814</v>
      </c>
      <c r="AB5" s="11">
        <f t="shared" si="0"/>
        <v>4250.5695054945054</v>
      </c>
      <c r="AC5" s="11">
        <f t="shared" si="14"/>
        <v>1932.2870879120881</v>
      </c>
      <c r="AD5" s="15">
        <f t="shared" si="15"/>
        <v>0.2242571227970088</v>
      </c>
      <c r="AE5" s="15">
        <f t="shared" si="16"/>
        <v>0.1019461373806103</v>
      </c>
      <c r="AF5" s="11">
        <f t="shared" si="17"/>
        <v>4103.3469780219784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0.93631689209674285</v>
      </c>
      <c r="AN5" s="6">
        <f t="shared" si="1"/>
        <v>0.85217094352548428</v>
      </c>
      <c r="AO5" s="6">
        <f t="shared" si="1"/>
        <v>0.92902176518482804</v>
      </c>
      <c r="AP5" s="6">
        <f t="shared" si="1"/>
        <v>0.65269623284817901</v>
      </c>
      <c r="AQ5" s="6">
        <f t="shared" si="1"/>
        <v>1.3593681242961275</v>
      </c>
      <c r="AR5" s="6">
        <f t="shared" si="1"/>
        <v>1.0812109079003198</v>
      </c>
      <c r="AS5" s="6">
        <f t="shared" si="1"/>
        <v>1.0046015468510163</v>
      </c>
      <c r="AT5" s="6">
        <f t="shared" si="1"/>
        <v>0.94904477628860728</v>
      </c>
      <c r="AU5" s="6">
        <f t="shared" si="1"/>
        <v>0.91659726172688594</v>
      </c>
      <c r="AV5" s="6">
        <f t="shared" si="1"/>
        <v>1.0010331984406426</v>
      </c>
      <c r="AW5" s="6">
        <f t="shared" si="1"/>
        <v>1.005368014242638</v>
      </c>
      <c r="AX5" s="6">
        <f t="shared" si="1"/>
        <v>0.92587345594225257</v>
      </c>
      <c r="AY5" s="6">
        <f t="shared" si="1"/>
        <v>0.95988744861497821</v>
      </c>
      <c r="AZ5" s="6">
        <f t="shared" si="1"/>
        <v>0.97416608805288951</v>
      </c>
      <c r="BA5" s="6">
        <f t="shared" si="1"/>
        <v>0.86017147921849713</v>
      </c>
      <c r="BB5" s="6">
        <f t="shared" si="1"/>
        <v>0.79136993516328369</v>
      </c>
      <c r="BC5" s="6">
        <f t="shared" si="1"/>
        <v>0.66875835726864041</v>
      </c>
      <c r="BD5" s="6">
        <f t="shared" si="1"/>
        <v>0.49807380616168612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0.23614096819752428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0.33333333333333331</v>
      </c>
      <c r="BH5" s="7" t="str">
        <f t="shared" si="19"/>
        <v>2025_3</v>
      </c>
      <c r="BI5" s="30">
        <f>BI4</f>
        <v>2025</v>
      </c>
      <c r="BJ5" s="5" t="s">
        <v>23</v>
      </c>
      <c r="BK5" s="16">
        <f>BK3+BK4</f>
        <v>726.40269015272986</v>
      </c>
      <c r="BL5" s="16">
        <f t="shared" ref="BL5:CE5" si="46">BL3+BL4</f>
        <v>812.60821279212507</v>
      </c>
      <c r="BM5" s="16">
        <f t="shared" si="46"/>
        <v>844.1492616940875</v>
      </c>
      <c r="BN5" s="16">
        <f t="shared" si="46"/>
        <v>899.10327757401092</v>
      </c>
      <c r="BO5" s="16">
        <f t="shared" si="46"/>
        <v>517.26709596719309</v>
      </c>
      <c r="BP5" s="16">
        <f t="shared" si="46"/>
        <v>654.33741183852555</v>
      </c>
      <c r="BQ5" s="16">
        <f t="shared" si="46"/>
        <v>930.28474147351096</v>
      </c>
      <c r="BR5" s="16">
        <f t="shared" si="46"/>
        <v>909.3407580798297</v>
      </c>
      <c r="BS5" s="16">
        <f t="shared" si="46"/>
        <v>1057.8073580579826</v>
      </c>
      <c r="BT5" s="16">
        <f t="shared" si="46"/>
        <v>1103.8137323500277</v>
      </c>
      <c r="BU5" s="16">
        <f t="shared" si="46"/>
        <v>1190.5494963256642</v>
      </c>
      <c r="BV5" s="16">
        <f t="shared" si="46"/>
        <v>994.80812317730329</v>
      </c>
      <c r="BW5" s="16">
        <f t="shared" si="46"/>
        <v>1085.9671212579844</v>
      </c>
      <c r="BX5" s="16">
        <f t="shared" si="46"/>
        <v>1279.8361701416143</v>
      </c>
      <c r="BY5" s="16">
        <f t="shared" si="46"/>
        <v>1229.74504350797</v>
      </c>
      <c r="BZ5" s="16">
        <f t="shared" si="46"/>
        <v>1146.0498584484828</v>
      </c>
      <c r="CA5" s="16">
        <f t="shared" si="46"/>
        <v>862.2127801147933</v>
      </c>
      <c r="CB5" s="16">
        <f t="shared" si="46"/>
        <v>608.55171546270992</v>
      </c>
      <c r="CC5" s="16">
        <f t="shared" si="46"/>
        <v>438.25875578888792</v>
      </c>
      <c r="CD5" s="16">
        <f t="shared" si="46"/>
        <v>137.3635894906285</v>
      </c>
      <c r="CE5" s="16">
        <f t="shared" si="46"/>
        <v>23.179063587481309</v>
      </c>
      <c r="CF5" s="11">
        <f>SUM(BK5:CE5)</f>
        <v>17451.636257283542</v>
      </c>
      <c r="CG5" s="11">
        <f t="shared" si="20"/>
        <v>994.05448469172757</v>
      </c>
      <c r="CH5" s="11">
        <f t="shared" si="21"/>
        <v>517.48036019243716</v>
      </c>
      <c r="CI5" s="11">
        <f t="shared" si="3"/>
        <v>5725.1969765425683</v>
      </c>
      <c r="CJ5" s="11">
        <f t="shared" si="22"/>
        <v>3215.6157628929836</v>
      </c>
      <c r="CK5" s="15">
        <f t="shared" si="23"/>
        <v>0.32806075557259706</v>
      </c>
      <c r="CL5" s="15">
        <f t="shared" si="24"/>
        <v>0.18425869732134301</v>
      </c>
      <c r="CM5" s="11">
        <f t="shared" si="25"/>
        <v>3011.2300073590595</v>
      </c>
      <c r="CO5" s="7" t="str">
        <f t="shared" si="26"/>
        <v>2025_3</v>
      </c>
      <c r="CP5" s="30">
        <f>CP4</f>
        <v>2025</v>
      </c>
      <c r="CQ5" s="5" t="s">
        <v>23</v>
      </c>
      <c r="CR5" s="16">
        <f>CR3+CR4</f>
        <v>728.40269015272986</v>
      </c>
      <c r="CS5" s="16">
        <f t="shared" ref="CS5" si="47">CS3+CS4</f>
        <v>812.60821279212507</v>
      </c>
      <c r="CT5" s="16">
        <f t="shared" ref="CT5" si="48">CT3+CT4</f>
        <v>846.1492616940875</v>
      </c>
      <c r="CU5" s="16">
        <f t="shared" ref="CU5" si="49">CU3+CU4</f>
        <v>899.10327757401092</v>
      </c>
      <c r="CV5" s="16">
        <f t="shared" ref="CV5" si="50">CV3+CV4</f>
        <v>517.26709596719309</v>
      </c>
      <c r="CW5" s="16">
        <f t="shared" ref="CW5" si="51">CW3+CW4</f>
        <v>658.33741183852555</v>
      </c>
      <c r="CX5" s="16">
        <f t="shared" ref="CX5" si="52">CX3+CX4</f>
        <v>930.28474147351096</v>
      </c>
      <c r="CY5" s="16">
        <f t="shared" ref="CY5" si="53">CY3+CY4</f>
        <v>909.3407580798297</v>
      </c>
      <c r="CZ5" s="16">
        <f t="shared" ref="CZ5" si="54">CZ3+CZ4</f>
        <v>1058.8073580579826</v>
      </c>
      <c r="DA5" s="16">
        <f t="shared" ref="DA5" si="55">DA3+DA4</f>
        <v>1103.8137323500277</v>
      </c>
      <c r="DB5" s="16">
        <f t="shared" ref="DB5" si="56">DB3+DB4</f>
        <v>1190.5494963256642</v>
      </c>
      <c r="DC5" s="16">
        <f t="shared" ref="DC5" si="57">DC3+DC4</f>
        <v>994.80812317730329</v>
      </c>
      <c r="DD5" s="16">
        <f t="shared" ref="DD5" si="58">DD3+DD4</f>
        <v>1085.9671212579844</v>
      </c>
      <c r="DE5" s="16">
        <f t="shared" ref="DE5" si="59">DE3+DE4</f>
        <v>1279.8361701416143</v>
      </c>
      <c r="DF5" s="16">
        <f t="shared" ref="DF5" si="60">DF3+DF4</f>
        <v>1229.74504350797</v>
      </c>
      <c r="DG5" s="16">
        <f t="shared" ref="DG5" si="61">DG3+DG4</f>
        <v>1146.0498584484828</v>
      </c>
      <c r="DH5" s="16">
        <f t="shared" ref="DH5" si="62">DH3+DH4</f>
        <v>862.2127801147933</v>
      </c>
      <c r="DI5" s="16">
        <f t="shared" ref="DI5" si="63">DI3+DI4</f>
        <v>608.55171546270992</v>
      </c>
      <c r="DJ5" s="16">
        <f t="shared" ref="DJ5" si="64">DJ3+DJ4</f>
        <v>438.25875578888792</v>
      </c>
      <c r="DK5" s="16">
        <f t="shared" ref="DK5" si="65">DK3+DK4</f>
        <v>137.3635894906285</v>
      </c>
      <c r="DL5" s="16">
        <f t="shared" ref="DL5" si="66">DL3+DL4</f>
        <v>23.179063587481309</v>
      </c>
      <c r="DM5" s="11">
        <f>SUM(CR5:DL5)</f>
        <v>17460.636257283542</v>
      </c>
      <c r="DN5" s="11">
        <f t="shared" si="34"/>
        <v>995.2544846917275</v>
      </c>
      <c r="DO5" s="11">
        <f t="shared" si="35"/>
        <v>518.28036019243723</v>
      </c>
      <c r="DP5" s="11">
        <f t="shared" si="6"/>
        <v>5725.1969765425683</v>
      </c>
      <c r="DQ5" s="11">
        <f t="shared" si="36"/>
        <v>3215.6157628929836</v>
      </c>
      <c r="DR5" s="15">
        <f t="shared" si="37"/>
        <v>0.32789165825239364</v>
      </c>
      <c r="DS5" s="15">
        <f t="shared" si="38"/>
        <v>0.18416372207236259</v>
      </c>
      <c r="DT5" s="11">
        <f>SUM(CV5:CY5)</f>
        <v>3015.2300073590595</v>
      </c>
      <c r="DV5" s="311"/>
      <c r="DW5" s="312"/>
      <c r="DX5" s="30">
        <f>DX4</f>
        <v>2025</v>
      </c>
      <c r="DY5" s="5" t="s">
        <v>23</v>
      </c>
      <c r="DZ5" s="16">
        <f>DZ3+DZ4</f>
        <v>726.40269015272986</v>
      </c>
      <c r="EA5" s="16">
        <f t="shared" ref="EA5:ET5" si="67">EA3+EA4</f>
        <v>812.60821279212507</v>
      </c>
      <c r="EB5" s="16">
        <f t="shared" si="67"/>
        <v>844.1492616940875</v>
      </c>
      <c r="EC5" s="16">
        <f t="shared" si="67"/>
        <v>899.10327757401092</v>
      </c>
      <c r="ED5" s="16">
        <f t="shared" si="67"/>
        <v>517.26709596719309</v>
      </c>
      <c r="EE5" s="16">
        <f t="shared" si="67"/>
        <v>916.33741183852555</v>
      </c>
      <c r="EF5" s="16">
        <f t="shared" si="67"/>
        <v>1192.2847414735111</v>
      </c>
      <c r="EG5" s="16">
        <f t="shared" si="67"/>
        <v>1171.3407580798298</v>
      </c>
      <c r="EH5" s="16">
        <f t="shared" si="67"/>
        <v>1057.8073580579826</v>
      </c>
      <c r="EI5" s="16">
        <f t="shared" si="67"/>
        <v>1103.8137323500277</v>
      </c>
      <c r="EJ5" s="16">
        <f t="shared" si="67"/>
        <v>1190.5494963256642</v>
      </c>
      <c r="EK5" s="16">
        <f t="shared" si="67"/>
        <v>994.80812317730329</v>
      </c>
      <c r="EL5" s="16">
        <f t="shared" si="67"/>
        <v>1085.9671212579844</v>
      </c>
      <c r="EM5" s="16">
        <f t="shared" si="67"/>
        <v>1279.8361701416143</v>
      </c>
      <c r="EN5" s="16">
        <f t="shared" si="67"/>
        <v>1229.74504350797</v>
      </c>
      <c r="EO5" s="16">
        <f t="shared" si="67"/>
        <v>1146.0498584484828</v>
      </c>
      <c r="EP5" s="16">
        <f t="shared" si="67"/>
        <v>862.2127801147933</v>
      </c>
      <c r="EQ5" s="16">
        <f t="shared" si="67"/>
        <v>608.55171546270992</v>
      </c>
      <c r="ER5" s="16">
        <f t="shared" si="67"/>
        <v>438.25875578888792</v>
      </c>
      <c r="ES5" s="16">
        <f t="shared" si="67"/>
        <v>137.3635894906285</v>
      </c>
      <c r="ET5" s="16">
        <f t="shared" si="67"/>
        <v>23.179063587481309</v>
      </c>
      <c r="EU5" s="11">
        <f>SUM(DZ5:ET5)</f>
        <v>18237.636257283542</v>
      </c>
      <c r="EV5" s="11">
        <f t="shared" si="41"/>
        <v>994.05448469172757</v>
      </c>
      <c r="EW5" s="11">
        <f t="shared" si="42"/>
        <v>517.48036019243716</v>
      </c>
      <c r="EX5" s="11">
        <f t="shared" si="10"/>
        <v>5725.1969765425683</v>
      </c>
      <c r="EY5" s="11">
        <f t="shared" si="43"/>
        <v>3215.6157628929836</v>
      </c>
      <c r="EZ5" s="15">
        <f t="shared" si="44"/>
        <v>0.31392209471532273</v>
      </c>
      <c r="FA5" s="15">
        <f t="shared" si="45"/>
        <v>0.17631757304123044</v>
      </c>
      <c r="FB5" s="11">
        <f>SUM(ED5:EG5)</f>
        <v>3797.2300073590595</v>
      </c>
    </row>
    <row r="6" spans="1:158" x14ac:dyDescent="0.15">
      <c r="A6" s="7" t="str">
        <f t="shared" si="11"/>
        <v>2010_1</v>
      </c>
      <c r="B6" s="28">
        <v>2010</v>
      </c>
      <c r="C6" s="3" t="s">
        <v>21</v>
      </c>
      <c r="D6" s="9">
        <v>491.48876355627698</v>
      </c>
      <c r="E6" s="9">
        <v>478.45515011089884</v>
      </c>
      <c r="F6" s="9">
        <v>504.42740524823137</v>
      </c>
      <c r="G6" s="9">
        <v>499.65205198616974</v>
      </c>
      <c r="H6" s="9">
        <v>299.41648729117873</v>
      </c>
      <c r="I6" s="9">
        <v>500.68974738954461</v>
      </c>
      <c r="J6" s="9">
        <v>543.79354973290651</v>
      </c>
      <c r="K6" s="9">
        <v>616.9615651613509</v>
      </c>
      <c r="L6" s="9">
        <v>521.69030937843149</v>
      </c>
      <c r="M6" s="9">
        <v>541.66125070238263</v>
      </c>
      <c r="N6" s="9">
        <v>677.81945801214249</v>
      </c>
      <c r="O6" s="9">
        <v>671.91574136930615</v>
      </c>
      <c r="P6" s="9">
        <v>636.62998201134656</v>
      </c>
      <c r="Q6" s="9">
        <v>531.65118923394391</v>
      </c>
      <c r="R6" s="9">
        <v>477.74793184701127</v>
      </c>
      <c r="S6" s="9">
        <v>444.54715764745367</v>
      </c>
      <c r="T6" s="9">
        <v>303.22622553884958</v>
      </c>
      <c r="U6" s="9">
        <v>127.18189587783833</v>
      </c>
      <c r="V6" s="9">
        <v>34.044137904736488</v>
      </c>
      <c r="W6" s="9">
        <v>6</v>
      </c>
      <c r="X6" s="9">
        <v>0</v>
      </c>
      <c r="Y6" s="9">
        <f t="shared" ref="Y6:Y11" si="68">SUM(D6:X6)</f>
        <v>8909</v>
      </c>
      <c r="Z6" s="9">
        <f t="shared" si="12"/>
        <v>589.72953321547811</v>
      </c>
      <c r="AA6" s="9">
        <f t="shared" si="13"/>
        <v>301.70137249652646</v>
      </c>
      <c r="AB6" s="9">
        <f t="shared" si="0"/>
        <v>1924.3985380498332</v>
      </c>
      <c r="AC6" s="9">
        <f t="shared" si="14"/>
        <v>914.99941696887799</v>
      </c>
      <c r="AD6" s="13">
        <f t="shared" si="15"/>
        <v>0.21600612168030453</v>
      </c>
      <c r="AE6" s="13">
        <f t="shared" si="16"/>
        <v>0.10270506420124347</v>
      </c>
      <c r="AF6" s="9">
        <f t="shared" si="17"/>
        <v>1960.8613495749805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0.9304814208587161</v>
      </c>
      <c r="AN6" s="193">
        <f t="shared" si="18"/>
        <v>0.96863907814510708</v>
      </c>
      <c r="AO6" s="193">
        <f t="shared" si="18"/>
        <v>1.0114718675090562</v>
      </c>
      <c r="AP6" s="193">
        <f t="shared" si="18"/>
        <v>0.72770151408795614</v>
      </c>
      <c r="AQ6" s="193">
        <f t="shared" si="18"/>
        <v>1.1204154381102684</v>
      </c>
      <c r="AR6" s="193">
        <f t="shared" si="18"/>
        <v>1.0083642562192872</v>
      </c>
      <c r="AS6" s="193">
        <f t="shared" si="18"/>
        <v>0.95618818559046115</v>
      </c>
      <c r="AT6" s="193">
        <f t="shared" si="18"/>
        <v>0.96301863989021286</v>
      </c>
      <c r="AU6" s="193">
        <f t="shared" si="18"/>
        <v>0.97380426976566126</v>
      </c>
      <c r="AV6" s="193">
        <f t="shared" si="18"/>
        <v>0.99757657953424006</v>
      </c>
      <c r="AW6" s="193">
        <f t="shared" si="18"/>
        <v>0.9810182727345963</v>
      </c>
      <c r="AX6" s="193">
        <f t="shared" si="18"/>
        <v>0.97255962583012368</v>
      </c>
      <c r="AY6" s="193">
        <f t="shared" si="18"/>
        <v>0.973056037867427</v>
      </c>
      <c r="AZ6" s="193">
        <f t="shared" si="18"/>
        <v>0.95878472701931694</v>
      </c>
      <c r="BA6" s="193">
        <f t="shared" si="18"/>
        <v>0.89969714559432457</v>
      </c>
      <c r="BB6" s="193">
        <f t="shared" si="18"/>
        <v>0.89472607889265265</v>
      </c>
      <c r="BC6" s="193">
        <f t="shared" si="18"/>
        <v>0.77090982902880811</v>
      </c>
      <c r="BD6" s="193">
        <f t="shared" si="18"/>
        <v>0.63743482101138005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0.38692439276007801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0.17062436181152635</v>
      </c>
      <c r="BH6" s="7" t="str">
        <f t="shared" si="19"/>
        <v>2030_1</v>
      </c>
      <c r="BI6" s="28">
        <f>管理者入力シート!B9</f>
        <v>2030</v>
      </c>
      <c r="BJ6" s="3" t="s">
        <v>21</v>
      </c>
      <c r="BK6" s="9">
        <f>CM7*$AK$13</f>
        <v>339.08794883531516</v>
      </c>
      <c r="BL6" s="9">
        <f>IF(管理者入力シート!$B$14=1,BK3*管理者用人口入力シート!AM$3,IF(管理者入力シート!$B$14=2,BK3*管理者用人口入力シート!AM$7))</f>
        <v>359.94913953775244</v>
      </c>
      <c r="BM6" s="9">
        <f>IF(管理者入力シート!$B$14=1,BL3*管理者用人口入力シート!AN$3,IF(管理者入力シート!$B$14=2,BL3*管理者用人口入力シート!AN$7))</f>
        <v>394.36112902789205</v>
      </c>
      <c r="BN6" s="9">
        <f>IF(管理者入力シート!$B$14=1,BM3*管理者用人口入力シート!AO$3,IF(管理者入力シート!$B$14=2,BM3*管理者用人口入力シート!AO$7))</f>
        <v>408.41704694840257</v>
      </c>
      <c r="BO6" s="9">
        <f>IF(管理者入力シート!$B$14=1,BN3*管理者用人口入力シート!AP$3,IF(管理者入力シート!$B$14=2,BN3*管理者用人口入力シート!AP$7))</f>
        <v>278.91310212320565</v>
      </c>
      <c r="BP6" s="9">
        <f>IF(管理者入力シート!$B$14=1,BO3*管理者用人口入力シート!AQ$3,IF(管理者入力シート!$B$14=2,BO3*管理者用人口入力シート!AQ$7))</f>
        <v>348.56033658486763</v>
      </c>
      <c r="BQ6" s="9">
        <f>IF(管理者入力シート!$B$14=1,BP3*管理者用人口入力シート!AR$3,IF(管理者入力シート!$B$14=2,BP3*管理者用人口入力シート!AR$7))</f>
        <v>370.77969647511412</v>
      </c>
      <c r="BR6" s="9">
        <f>IF(管理者入力シート!$B$14=1,BQ3*管理者用人口入力シート!AS$3,IF(管理者入力シート!$B$14=2,BQ3*管理者用人口入力シート!AS$7))</f>
        <v>477.71913741972776</v>
      </c>
      <c r="BS6" s="9">
        <f>IF(管理者入力シート!$B$14=1,BR3*管理者用人口入力シート!AT$3,IF(管理者入力シート!$B$14=2,BR3*管理者用人口入力シート!AT$7))</f>
        <v>436.83110915140503</v>
      </c>
      <c r="BT6" s="9">
        <f>IF(管理者入力シート!$B$14=1,BS3*管理者用人口入力シート!AU$3,IF(管理者入力シート!$B$14=2,BS3*管理者用人口入力シート!AU$7))</f>
        <v>494.25604082851885</v>
      </c>
      <c r="BU6" s="9">
        <f>IF(管理者入力シート!$B$14=1,BT3*管理者用人口入力シート!AV$3,IF(管理者入力シート!$B$14=2,BT3*管理者用人口入力シート!AV$7))</f>
        <v>543.83527186291894</v>
      </c>
      <c r="BV6" s="9">
        <f>IF(管理者入力シート!$B$14=1,BU3*管理者用人口入力シート!AW$3,IF(管理者入力シート!$B$14=2,BU3*管理者用人口入力シート!AW$7))</f>
        <v>586.51230669365543</v>
      </c>
      <c r="BW6" s="9">
        <f>IF(管理者入力シート!$B$14=1,BV3*管理者用人口入力シート!AX$3,IF(管理者入力シート!$B$14=2,BV3*管理者用人口入力シート!AX$7))</f>
        <v>468.86374316501633</v>
      </c>
      <c r="BX6" s="9">
        <f>IF(管理者入力シート!$B$14=1,BW3*管理者用人口入力シート!AY$3,IF(管理者入力シート!$B$14=2,BW3*管理者用人口入力シート!AY$7))</f>
        <v>456.69911736086584</v>
      </c>
      <c r="BY6" s="9">
        <f>IF(管理者入力シート!$B$14=1,BX3*管理者用人口入力シート!AZ$3,IF(管理者入力シート!$B$14=2,BX3*管理者用人口入力シート!AZ$7))</f>
        <v>599.80257585385652</v>
      </c>
      <c r="BZ6" s="9">
        <f>IF(管理者入力シート!$B$14=1,BY3*管理者用人口入力シート!BA$3,IF(管理者入力シート!$B$14=2,BY3*管理者用人口入力シート!BA$7))</f>
        <v>510.75784407832111</v>
      </c>
      <c r="CA6" s="9">
        <f>IF(管理者入力シート!$B$14=1,BZ3*管理者用人口入力シート!BB$3,IF(管理者入力シート!$B$14=2,BZ3*管理者用人口入力シート!BB$7))</f>
        <v>388.58976868801915</v>
      </c>
      <c r="CB6" s="9">
        <f>IF(管理者入力シート!$B$14=1,CA3*管理者用人口入力シート!BC$3,IF(管理者入力シート!$B$14=2,CA3*管理者用人口入力シート!BC$7))</f>
        <v>248.3846687129431</v>
      </c>
      <c r="CC6" s="9">
        <f>IF(管理者入力シート!$B$14=1,CB3*管理者用人口入力シート!BD$3,IF(管理者入力シート!$B$14=2,CB3*管理者用人口入力シート!BD$7))</f>
        <v>107.92107241340028</v>
      </c>
      <c r="CD6" s="9">
        <f>IF(管理者入力シート!$B$14=1,CC3*管理者用人口入力シート!BE$3,IF(管理者入力シート!$B$14=2,CC3*管理者用人口入力シート!BE$7))</f>
        <v>28.863715015727323</v>
      </c>
      <c r="CE6" s="9">
        <f>IF(管理者入力シート!$B$14=1,CD3*管理者用人口入力シート!BF$3,IF(管理者入力シート!$B$14=2,CD3*管理者用人口入力シート!BF$7))</f>
        <v>7.1049998225194928</v>
      </c>
      <c r="CF6" s="9">
        <f t="shared" si="2"/>
        <v>7856.2097705994456</v>
      </c>
      <c r="CG6" s="9">
        <f t="shared" si="20"/>
        <v>452.58616113938672</v>
      </c>
      <c r="CH6" s="9">
        <f t="shared" si="21"/>
        <v>239.42786100083734</v>
      </c>
      <c r="CI6" s="9">
        <f t="shared" si="3"/>
        <v>2348.1237619456529</v>
      </c>
      <c r="CJ6" s="9">
        <f t="shared" si="22"/>
        <v>1291.6220687309303</v>
      </c>
      <c r="CK6" s="13">
        <f t="shared" si="23"/>
        <v>0.29888760999395847</v>
      </c>
      <c r="CL6" s="13">
        <f t="shared" si="24"/>
        <v>0.16440778778140705</v>
      </c>
      <c r="CM6" s="9">
        <f t="shared" si="25"/>
        <v>1475.9722726029152</v>
      </c>
      <c r="CO6" s="7" t="str">
        <f t="shared" si="26"/>
        <v>2030_1</v>
      </c>
      <c r="CP6" s="28">
        <f>管理者入力シート!B9</f>
        <v>2030</v>
      </c>
      <c r="CQ6" s="3" t="s">
        <v>21</v>
      </c>
      <c r="CR6" s="9">
        <f>DT7*$AK$13+将来予測シート②!$G17</f>
        <v>341.11561917798826</v>
      </c>
      <c r="CS6" s="9">
        <f>IF(管理者入力シート!$B$14=1,CR3*管理者用人口入力シート!AM$3,IF(管理者入力シート!$B$14=2,CR3*管理者用人口入力シート!AM$7))+将来予測シート②!$G18</f>
        <v>360.90467477242061</v>
      </c>
      <c r="CT6" s="9">
        <f>IF(管理者入力シート!$B$14=1,CS3*管理者用人口入力シート!AN$3,IF(管理者入力シート!$B$14=2,CS3*管理者用人口入力シート!AN$7))+将来予測シート②!$G19</f>
        <v>395.36112902789205</v>
      </c>
      <c r="CU6" s="9">
        <f>IF(管理者入力シート!$B$14=1,CT3*管理者用人口入力シート!AO$3,IF(管理者入力シート!$B$14=2,CT3*管理者用人口入力シート!AO$7))+将来予測シート②!$G20</f>
        <v>409.41434387201764</v>
      </c>
      <c r="CV6" s="9">
        <f>IF(管理者入力シート!$B$14=1,CU3*管理者用人口入力シート!AP$3,IF(管理者入力シート!$B$14=2,CU3*管理者用人口入力シート!AP$7))+将来予測シート②!$G21</f>
        <v>278.91310212320565</v>
      </c>
      <c r="CW6" s="9">
        <f>IF(管理者入力シート!$B$14=1,CV3*管理者用人口入力シート!AQ$3,IF(管理者入力シート!$B$14=2,CV3*管理者用人口入力シート!AQ$7))+将来予測シート②!$G22</f>
        <v>350.56033658486763</v>
      </c>
      <c r="CX6" s="9">
        <f>IF(管理者入力シート!$B$14=1,CW3*管理者用人口入力シート!AR$3,IF(管理者入力シート!$B$14=2,CW3*管理者用人口入力シート!AR$7))+将来予測シート②!$G23</f>
        <v>372.97186111414027</v>
      </c>
      <c r="CY6" s="9">
        <f>IF(管理者入力シート!$B$14=1,CX3*管理者用人口入力シート!AS$3,IF(管理者入力シート!$B$14=2,CX3*管理者用人口入力シート!AS$7))+将来予測シート②!$G24</f>
        <v>477.71913741972776</v>
      </c>
      <c r="CZ6" s="9">
        <f>IF(管理者入力シート!$B$14=1,CY3*管理者用人口入力シート!AT$3,IF(管理者入力シート!$B$14=2,CY3*管理者用人口入力シート!AT$7))+将来予測シート②!$G25</f>
        <v>436.83110915140503</v>
      </c>
      <c r="DA6" s="9">
        <f>IF(管理者入力シート!$B$14=1,CZ3*管理者用人口入力シート!AU$3,IF(管理者入力シート!$B$14=2,CZ3*管理者用人口入力シート!AU$7))+将来予測シート②!$G26</f>
        <v>494.25604082851885</v>
      </c>
      <c r="DB6" s="9">
        <f>IF(管理者入力シート!$B$14=1,DA3*管理者用人口入力シート!AV$3,IF(管理者入力シート!$B$14=2,DA3*管理者用人口入力シート!AV$7))+将来予測シート②!$G27</f>
        <v>543.83527186291894</v>
      </c>
      <c r="DC6" s="9">
        <f>IF(管理者入力シート!$B$14=1,DB3*管理者用人口入力シート!AW$3,IF(管理者入力シート!$B$14=2,DB3*管理者用人口入力シート!AW$7))+将来予測シート②!$G28</f>
        <v>586.51230669365543</v>
      </c>
      <c r="DD6" s="9">
        <f>IF(管理者入力シート!$B$14=1,DC3*管理者用人口入力シート!AX$3,IF(管理者入力シート!$B$14=2,DC3*管理者用人口入力シート!AX$7))+将来予測シート②!$G29</f>
        <v>468.86374316501633</v>
      </c>
      <c r="DE6" s="9">
        <f>IF(管理者入力シート!$B$14=1,DD3*管理者用人口入力シート!AY$3,IF(管理者入力シート!$B$14=2,DD3*管理者用人口入力シート!AY$7))</f>
        <v>456.69911736086584</v>
      </c>
      <c r="DF6" s="9">
        <f>IF(管理者入力シート!$B$14=1,DE3*管理者用人口入力シート!AZ$3,IF(管理者入力シート!$B$14=2,DE3*管理者用人口入力シート!AZ$7))</f>
        <v>599.80257585385652</v>
      </c>
      <c r="DG6" s="9">
        <f>IF(管理者入力シート!$B$14=1,DF3*管理者用人口入力シート!BA$3,IF(管理者入力シート!$B$14=2,DF3*管理者用人口入力シート!BA$7))</f>
        <v>510.75784407832111</v>
      </c>
      <c r="DH6" s="9">
        <f>IF(管理者入力シート!$B$14=1,DG3*管理者用人口入力シート!BB$3,IF(管理者入力シート!$B$14=2,DG3*管理者用人口入力シート!BB$7))</f>
        <v>388.58976868801915</v>
      </c>
      <c r="DI6" s="9">
        <f>IF(管理者入力シート!$B$14=1,DH3*管理者用人口入力シート!BC$3,IF(管理者入力シート!$B$14=2,DH3*管理者用人口入力シート!BC$7))</f>
        <v>248.3846687129431</v>
      </c>
      <c r="DJ6" s="9">
        <f>IF(管理者入力シート!$B$14=1,DI3*管理者用人口入力シート!BD$3,IF(管理者入力シート!$B$14=2,DI3*管理者用人口入力シート!BD$7))</f>
        <v>107.92107241340028</v>
      </c>
      <c r="DK6" s="9">
        <f>IF(管理者入力シート!$B$14=1,DJ3*管理者用人口入力シート!BE$3,IF(管理者入力シート!$B$14=2,DJ3*管理者用人口入力シート!BE$7))</f>
        <v>28.863715015727323</v>
      </c>
      <c r="DL6" s="9">
        <f>IF(管理者入力シート!$B$14=1,DK3*管理者用人口入力シート!BF$3,IF(管理者入力シート!$B$14=2,DK3*管理者用人口入力シート!BF$7))</f>
        <v>7.1049998225194928</v>
      </c>
      <c r="DM6" s="9">
        <f t="shared" ref="DM6:DM14" si="69">SUM(CR6:DL6)</f>
        <v>7865.3824377394285</v>
      </c>
      <c r="DN6" s="9">
        <f t="shared" si="34"/>
        <v>453.75948228018763</v>
      </c>
      <c r="DO6" s="9">
        <f t="shared" si="35"/>
        <v>240.02732038556036</v>
      </c>
      <c r="DP6" s="9">
        <f t="shared" si="6"/>
        <v>2348.1237619456529</v>
      </c>
      <c r="DQ6" s="9">
        <f t="shared" si="36"/>
        <v>1291.6220687309303</v>
      </c>
      <c r="DR6" s="13">
        <f t="shared" si="37"/>
        <v>0.2985390450537993</v>
      </c>
      <c r="DS6" s="13">
        <f t="shared" si="38"/>
        <v>0.16421605420399016</v>
      </c>
      <c r="DT6" s="9">
        <f t="shared" ref="DT6:DT14" si="70">SUM(CV6:CY6)</f>
        <v>1480.1644372419412</v>
      </c>
      <c r="DV6" s="7" t="s">
        <v>400</v>
      </c>
      <c r="DX6" s="28">
        <f>管理者入力シート!B9</f>
        <v>2030</v>
      </c>
      <c r="DY6" s="3" t="s">
        <v>21</v>
      </c>
      <c r="DZ6" s="9">
        <f>FB7*$AK$13</f>
        <v>505.33589857639458</v>
      </c>
      <c r="EA6" s="129">
        <f>IF(管理者入力シート!$B$14=1,DZ3*管理者用人口入力シート!AM$3,IF(管理者入力シート!$B$14=2,DZ3*管理者用人口入力シート!AM$7))</f>
        <v>359.94913953775244</v>
      </c>
      <c r="EB6" s="9">
        <f>IF(管理者入力シート!$B$14=1,EA3*管理者用人口入力シート!AN$3,IF(管理者入力シート!$B$14=2,EA3*管理者用人口入力シート!AN$7))</f>
        <v>394.36112902789205</v>
      </c>
      <c r="EC6" s="9">
        <f>IF(管理者入力シート!$B$14=1,EB3*管理者用人口入力シート!AO$3,IF(管理者入力シート!$B$14=2,EB3*管理者用人口入力シート!AO$7))</f>
        <v>408.41704694840257</v>
      </c>
      <c r="ED6" s="9">
        <f>IF(管理者入力シート!$B$14=1,EC3*管理者用人口入力シート!AP$3,IF(管理者入力シート!$B$14=2,EC3*管理者用人口入力シート!AP$7))</f>
        <v>278.91310212320565</v>
      </c>
      <c r="EE6" s="9">
        <f>IF(管理者入力シート!$B$14=1,ED3*管理者用人口入力シート!AQ$3,IF(管理者入力シート!$B$14=2,ED3*管理者用人口入力シート!AQ$7))+DX1</f>
        <v>479.56033658486763</v>
      </c>
      <c r="EF6" s="9">
        <f>IF(管理者入力シート!$B$14=1,EE3*管理者用人口入力シート!AR$3,IF(管理者入力シート!$B$14=2,EE3*管理者用人口入力シート!AR$7))+DX1</f>
        <v>645.3664803313294</v>
      </c>
      <c r="EG6" s="9">
        <f>IF(管理者入力シート!$B$14=1,EF3*管理者用人口入力シート!AS$3,IF(管理者入力シート!$B$14=2,EF3*管理者用人口入力シート!AS$7))+DX1</f>
        <v>738.6552689020358</v>
      </c>
      <c r="EH6" s="9">
        <f>IF(管理者入力シート!$B$14=1,EG3*管理者用人口入力シート!AT$3,IF(管理者入力シート!$B$14=2,EG3*管理者用人口入力シート!AT$7))</f>
        <v>564.39786137833346</v>
      </c>
      <c r="EI6" s="9">
        <f>IF(管理者入力シート!$B$14=1,EH3*管理者用人口入力シート!AU$3,IF(管理者入力シート!$B$14=2,EH3*管理者用人口入力シート!AU$7))</f>
        <v>494.25604082851885</v>
      </c>
      <c r="EJ6" s="9">
        <f>IF(管理者入力シート!$B$14=1,EI3*管理者用人口入力シート!AV$3,IF(管理者入力シート!$B$14=2,EI3*管理者用人口入力シート!AV$7))</f>
        <v>543.83527186291894</v>
      </c>
      <c r="EK6" s="9">
        <f>IF(管理者入力シート!$B$14=1,EJ3*管理者用人口入力シート!AW$3,IF(管理者入力シート!$B$14=2,EJ3*管理者用人口入力シート!AW$7))</f>
        <v>586.51230669365543</v>
      </c>
      <c r="EL6" s="9">
        <f>IF(管理者入力シート!$B$14=1,EK3*管理者用人口入力シート!AX$3,IF(管理者入力シート!$B$14=2,EK3*管理者用人口入力シート!AX$7))</f>
        <v>468.86374316501633</v>
      </c>
      <c r="EM6" s="9">
        <f>IF(管理者入力シート!$B$14=1,EL3*管理者用人口入力シート!AY$3,IF(管理者入力シート!$B$14=2,EL3*管理者用人口入力シート!AY$7))</f>
        <v>456.69911736086584</v>
      </c>
      <c r="EN6" s="9">
        <f>IF(管理者入力シート!$B$14=1,EM3*管理者用人口入力シート!AZ$3,IF(管理者入力シート!$B$14=2,EM3*管理者用人口入力シート!AZ$7))</f>
        <v>599.80257585385652</v>
      </c>
      <c r="EO6" s="9">
        <f>IF(管理者入力シート!$B$14=1,EN3*管理者用人口入力シート!BA$3,IF(管理者入力シート!$B$14=2,EN3*管理者用人口入力シート!BA$7))</f>
        <v>510.75784407832111</v>
      </c>
      <c r="EP6" s="9">
        <f>IF(管理者入力シート!$B$14=1,EO3*管理者用人口入力シート!BB$3,IF(管理者入力シート!$B$14=2,EO3*管理者用人口入力シート!BB$7))</f>
        <v>388.58976868801915</v>
      </c>
      <c r="EQ6" s="9">
        <f>IF(管理者入力シート!$B$14=1,EP3*管理者用人口入力シート!BC$3,IF(管理者入力シート!$B$14=2,EP3*管理者用人口入力シート!BC$7))</f>
        <v>248.3846687129431</v>
      </c>
      <c r="ER6" s="9">
        <f>IF(管理者入力シート!$B$14=1,EQ3*管理者用人口入力シート!BD$3,IF(管理者入力シート!$B$14=2,EQ3*管理者用人口入力シート!BD$7))</f>
        <v>107.92107241340028</v>
      </c>
      <c r="ES6" s="9">
        <f>IF(管理者入力シート!$B$14=1,ER3*管理者用人口入力シート!BE$3,IF(管理者入力シート!$B$14=2,ER3*管理者用人口入力シート!BE$7))</f>
        <v>28.863715015727323</v>
      </c>
      <c r="ET6" s="9">
        <f>IF(管理者入力シート!$B$14=1,ES3*管理者用人口入力シート!BF$3,IF(管理者入力シート!$B$14=2,ES3*管理者用人口入力シート!BF$7))</f>
        <v>7.1049998225194928</v>
      </c>
      <c r="EU6" s="9">
        <f t="shared" ref="EU6:EU14" si="71">SUM(DZ6:ET6)</f>
        <v>8816.5473879059755</v>
      </c>
      <c r="EV6" s="9">
        <f t="shared" si="41"/>
        <v>452.58616113938672</v>
      </c>
      <c r="EW6" s="9">
        <f t="shared" si="42"/>
        <v>239.42786100083734</v>
      </c>
      <c r="EX6" s="9">
        <f t="shared" si="10"/>
        <v>2348.1237619456529</v>
      </c>
      <c r="EY6" s="9">
        <f t="shared" si="43"/>
        <v>1291.6220687309303</v>
      </c>
      <c r="EZ6" s="13">
        <f t="shared" si="44"/>
        <v>0.26633144003362041</v>
      </c>
      <c r="FA6" s="13">
        <f t="shared" si="45"/>
        <v>0.1464997591350444</v>
      </c>
      <c r="FB6" s="9">
        <f t="shared" ref="FB6:FB14" si="72">SUM(ED6:EG6)</f>
        <v>2142.4951879414384</v>
      </c>
    </row>
    <row r="7" spans="1:158" x14ac:dyDescent="0.15">
      <c r="A7" s="7" t="str">
        <f t="shared" si="11"/>
        <v>2010_2</v>
      </c>
      <c r="B7" s="29">
        <v>2010</v>
      </c>
      <c r="C7" s="4" t="s">
        <v>22</v>
      </c>
      <c r="D7" s="10">
        <v>471.12212988611884</v>
      </c>
      <c r="E7" s="10">
        <v>404.06657433056324</v>
      </c>
      <c r="F7" s="10">
        <v>461.08879655278548</v>
      </c>
      <c r="G7" s="10">
        <v>535.09709141274243</v>
      </c>
      <c r="H7" s="10">
        <v>403.05827947060635</v>
      </c>
      <c r="I7" s="10">
        <v>542.14710680209294</v>
      </c>
      <c r="J7" s="10">
        <v>604.11378885811018</v>
      </c>
      <c r="K7" s="10">
        <v>608.0998461064944</v>
      </c>
      <c r="L7" s="10">
        <v>518.09709141274243</v>
      </c>
      <c r="M7" s="10">
        <v>617.11372730070798</v>
      </c>
      <c r="N7" s="10">
        <v>669.144244382887</v>
      </c>
      <c r="O7" s="10">
        <v>714.13870421668207</v>
      </c>
      <c r="P7" s="10">
        <v>759.14141274238227</v>
      </c>
      <c r="Q7" s="10">
        <v>597.11365035395511</v>
      </c>
      <c r="R7" s="10">
        <v>594.16081871345023</v>
      </c>
      <c r="S7" s="10">
        <v>620.10263157894735</v>
      </c>
      <c r="T7" s="10">
        <v>499.11094182825485</v>
      </c>
      <c r="U7" s="10">
        <v>280.06098799630655</v>
      </c>
      <c r="V7" s="10">
        <v>161.02217605417053</v>
      </c>
      <c r="W7" s="10">
        <v>53</v>
      </c>
      <c r="X7" s="10">
        <v>3</v>
      </c>
      <c r="Y7" s="10">
        <f t="shared" si="68"/>
        <v>10114</v>
      </c>
      <c r="Z7" s="10">
        <f t="shared" si="12"/>
        <v>519.09322253000926</v>
      </c>
      <c r="AA7" s="10">
        <f t="shared" si="13"/>
        <v>291.45493690366266</v>
      </c>
      <c r="AB7" s="10">
        <f t="shared" si="0"/>
        <v>2807.5712065250846</v>
      </c>
      <c r="AC7" s="10">
        <f t="shared" si="14"/>
        <v>1616.2967374576792</v>
      </c>
      <c r="AD7" s="14">
        <f t="shared" si="15"/>
        <v>0.27759256540687016</v>
      </c>
      <c r="AE7" s="14">
        <f t="shared" si="16"/>
        <v>0.15980786409508396</v>
      </c>
      <c r="AF7" s="10">
        <f t="shared" si="17"/>
        <v>2157.4190212373042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0.95553523466813417</v>
      </c>
      <c r="AN7" s="48">
        <f t="shared" si="73"/>
        <v>0.93687395473459922</v>
      </c>
      <c r="AO7" s="48">
        <f t="shared" si="73"/>
        <v>0.99729692361505562</v>
      </c>
      <c r="AP7" s="48">
        <f t="shared" si="73"/>
        <v>0.59002766524005978</v>
      </c>
      <c r="AQ7" s="48">
        <f t="shared" si="73"/>
        <v>1.3533638299930566</v>
      </c>
      <c r="AR7" s="48">
        <f t="shared" si="73"/>
        <v>1.0960823195130942</v>
      </c>
      <c r="AS7" s="48">
        <f t="shared" si="73"/>
        <v>0.99187886627716093</v>
      </c>
      <c r="AT7" s="48">
        <f t="shared" si="73"/>
        <v>0.97379200173227776</v>
      </c>
      <c r="AU7" s="48">
        <f t="shared" si="73"/>
        <v>0.95737753958567196</v>
      </c>
      <c r="AV7" s="48">
        <f t="shared" si="73"/>
        <v>1.040664019643005</v>
      </c>
      <c r="AW7" s="48">
        <f t="shared" si="73"/>
        <v>0.96257341653852257</v>
      </c>
      <c r="AX7" s="48">
        <f t="shared" si="73"/>
        <v>0.94156187230434796</v>
      </c>
      <c r="AY7" s="48">
        <f t="shared" si="73"/>
        <v>0.97064941342158972</v>
      </c>
      <c r="AZ7" s="48">
        <f t="shared" si="73"/>
        <v>0.94702346493951628</v>
      </c>
      <c r="BA7" s="48">
        <f t="shared" si="73"/>
        <v>0.88324945111756092</v>
      </c>
      <c r="BB7" s="48">
        <f t="shared" si="73"/>
        <v>0.78200964972647136</v>
      </c>
      <c r="BC7" s="48">
        <f t="shared" si="73"/>
        <v>0.67619376674522946</v>
      </c>
      <c r="BD7" s="48">
        <f t="shared" si="73"/>
        <v>0.50258156893532502</v>
      </c>
      <c r="BE7" s="48">
        <f t="shared" si="73"/>
        <v>0.23876748314026594</v>
      </c>
      <c r="BF7" s="48">
        <f t="shared" si="73"/>
        <v>0.28935666795195314</v>
      </c>
      <c r="BH7" s="7" t="str">
        <f t="shared" si="19"/>
        <v>2030_2</v>
      </c>
      <c r="BI7" s="29">
        <f>BI6</f>
        <v>2030</v>
      </c>
      <c r="BJ7" s="4" t="s">
        <v>22</v>
      </c>
      <c r="BK7" s="10">
        <f>CM7*$AK$14</f>
        <v>314.78800324873703</v>
      </c>
      <c r="BL7" s="10">
        <f>IF(管理者入力シート!$B$14=1,BK4*管理者用人口入力シート!AM$4,IF(管理者入力シート!$B$14=2,BK4*管理者用人口入力シート!AM$8))</f>
        <v>334.93021941639972</v>
      </c>
      <c r="BM7" s="10">
        <f>IF(管理者入力シート!$B$14=1,BL4*管理者用人口入力シート!AN$4,IF(管理者入力シート!$B$14=2,BL4*管理者用人口入力シート!AN$8))</f>
        <v>379.02325714477109</v>
      </c>
      <c r="BN7" s="10">
        <f>IF(管理者入力シート!$B$14=1,BM4*管理者用人口入力シート!AO$4,IF(管理者入力シート!$B$14=2,BM4*管理者用人口入力シート!AO$8))</f>
        <v>437.28508821737501</v>
      </c>
      <c r="BO7" s="10">
        <f>IF(管理者入力シート!$B$14=1,BN4*管理者用人口入力シート!AP$4,IF(管理者入力シート!$B$14=2,BN4*管理者用人口入力シート!AP$8))</f>
        <v>282.7135100436584</v>
      </c>
      <c r="BP7" s="10">
        <f>IF(管理者入力シート!$B$14=1,BO4*管理者用人口入力シート!AQ$4,IF(管理者入力シート!$B$14=2,BO4*管理者用人口入力シート!AQ$8))</f>
        <v>291.34466951691599</v>
      </c>
      <c r="BQ7" s="10">
        <f>IF(管理者入力シート!$B$14=1,BP4*管理者用人口入力シート!AR$4,IF(管理者入力シート!$B$14=2,BP4*管理者用人口入力シート!AR$8))</f>
        <v>324.23359363315086</v>
      </c>
      <c r="BR7" s="10">
        <f>IF(管理者入力シート!$B$14=1,BQ4*管理者用人口入力シート!AS$4,IF(管理者入力シート!$B$14=2,BQ4*管理者用人口入力シート!AS$8))</f>
        <v>438.60546233749966</v>
      </c>
      <c r="BS7" s="10">
        <f>IF(管理者入力シート!$B$14=1,BR4*管理者用人口入力シート!AT$4,IF(管理者入力シート!$B$14=2,BR4*管理者用人口入力シート!AT$8))</f>
        <v>456.65544034438307</v>
      </c>
      <c r="BT7" s="10">
        <f>IF(管理者入力シート!$B$14=1,BS4*管理者用人口入力シート!AU$4,IF(管理者入力シート!$B$14=2,BS4*管理者用人口入力シート!AU$8))</f>
        <v>534.21381380019011</v>
      </c>
      <c r="BU7" s="10">
        <f>IF(管理者入力シート!$B$14=1,BT4*管理者用人口入力シート!AV$4,IF(管理者入力シート!$B$14=2,BT4*管理者用人口入力シート!AV$8))</f>
        <v>577.29967070273824</v>
      </c>
      <c r="BV7" s="10">
        <f>IF(管理者入力シート!$B$14=1,BU4*管理者用人口入力シート!AW$4,IF(管理者入力シート!$B$14=2,BU4*管理者用人口入力シート!AW$8))</f>
        <v>578.79580673624878</v>
      </c>
      <c r="BW7" s="10">
        <f>IF(管理者入力シート!$B$14=1,BV4*管理者用人口入力シート!AX$4,IF(管理者入力シート!$B$14=2,BV4*管理者用人口入力シート!AX$8))</f>
        <v>491.39832966358085</v>
      </c>
      <c r="BX7" s="10">
        <f>IF(管理者入力シート!$B$14=1,BW4*管理者用人口入力シート!AY$4,IF(管理者入力シート!$B$14=2,BW4*管理者用人口入力シート!AY$8))</f>
        <v>602.62453577322867</v>
      </c>
      <c r="BY7" s="10">
        <f>IF(管理者入力シート!$B$14=1,BX4*管理者用人口入力シート!AZ$4,IF(管理者入力シート!$B$14=2,BX4*管理者用人口入力シート!AZ$8))</f>
        <v>615.45325882484133</v>
      </c>
      <c r="BZ7" s="10">
        <f>IF(管理者入力シート!$B$14=1,BY4*管理者用人口入力シート!BA$4,IF(管理者入力シート!$B$14=2,BY4*管理者用人口入力シート!BA$8))</f>
        <v>605.64123688395136</v>
      </c>
      <c r="CA7" s="10">
        <f>IF(管理者入力シート!$B$14=1,BZ4*管理者用人口入力シート!BB$4,IF(管理者入力シート!$B$14=2,BZ4*管理者用人口入力シート!BB$8))</f>
        <v>584.14768710494468</v>
      </c>
      <c r="CB7" s="10">
        <f>IF(管理者入力シート!$B$14=1,CA4*管理者用人口入力シート!BC$4,IF(管理者入力シート!$B$14=2,CA4*管理者用人口入力シート!BC$8))</f>
        <v>402.82732254973314</v>
      </c>
      <c r="CC7" s="10">
        <f>IF(管理者入力シート!$B$14=1,CB4*管理者用人口入力シート!BD$4,IF(管理者入力シート!$B$14=2,CB4*管理者用人口入力シート!BD$8))</f>
        <v>262.11144506736628</v>
      </c>
      <c r="CD7" s="10">
        <f>IF(管理者入力シート!$B$14=1,CC4*管理者用人口入力シート!BE$4,IF(管理者入力シート!$B$14=2,CC4*管理者用人口入力シート!BE$8))</f>
        <v>133.89621868881801</v>
      </c>
      <c r="CE7" s="10">
        <f>IF(管理者入力シート!$B$14=1,CD4*管理者用人口入力シート!BF$4,IF(管理者入力シート!$B$14=2,CD4*管理者用人口入力シート!BF$8))</f>
        <v>25.761720596923919</v>
      </c>
      <c r="CF7" s="10">
        <f t="shared" si="2"/>
        <v>8673.7502902954566</v>
      </c>
      <c r="CG7" s="10">
        <f t="shared" si="20"/>
        <v>428.37208593670243</v>
      </c>
      <c r="CH7" s="10">
        <f t="shared" si="21"/>
        <v>239.06632050138342</v>
      </c>
      <c r="CI7" s="10">
        <f t="shared" si="3"/>
        <v>3232.4634254898078</v>
      </c>
      <c r="CJ7" s="10">
        <f t="shared" si="22"/>
        <v>2014.3856308917373</v>
      </c>
      <c r="CK7" s="14">
        <f t="shared" si="23"/>
        <v>0.37267194896150274</v>
      </c>
      <c r="CL7" s="14">
        <f t="shared" si="24"/>
        <v>0.23223929251750694</v>
      </c>
      <c r="CM7" s="10">
        <f t="shared" si="25"/>
        <v>1336.8972355312249</v>
      </c>
      <c r="CO7" s="7" t="str">
        <f t="shared" si="26"/>
        <v>2030_2</v>
      </c>
      <c r="CP7" s="29">
        <f>CP6</f>
        <v>2030</v>
      </c>
      <c r="CQ7" s="4" t="s">
        <v>22</v>
      </c>
      <c r="CR7" s="10">
        <f>DT7*$AK$14+将来予測シート②!$H17</f>
        <v>316.74202799741693</v>
      </c>
      <c r="CS7" s="10">
        <f>IF(管理者入力シート!$B$14=1,CR4*管理者用人口入力シート!AM$4,IF(管理者入力シート!$B$14=2,CR4*管理者用人口入力シート!AM$8))+将来予測シート②!$H18</f>
        <v>335.88797365507816</v>
      </c>
      <c r="CT7" s="10">
        <f>IF(管理者入力シート!$B$14=1,CS4*管理者用人口入力シート!AN$4,IF(管理者入力シート!$B$14=2,CS4*管理者用人口入力シート!AN$8))+将来予測シート②!$H19</f>
        <v>380.02325714477109</v>
      </c>
      <c r="CU7" s="10">
        <f>IF(管理者入力シート!$B$14=1,CT4*管理者用人口入力シート!AO$4,IF(管理者入力シート!$B$14=2,CT4*管理者用人口入力シート!AO$8))+将来予測シート②!$H20</f>
        <v>438.29120808327025</v>
      </c>
      <c r="CV7" s="10">
        <f>IF(管理者入力シート!$B$14=1,CU4*管理者用人口入力シート!AP$4,IF(管理者入力シート!$B$14=2,CU4*管理者用人口入力シート!AP$8))+将来予測シート②!$H21</f>
        <v>282.7135100436584</v>
      </c>
      <c r="CW7" s="10">
        <f>IF(管理者入力シート!$B$14=1,CV4*管理者用人口入力シート!AQ$4,IF(管理者入力シート!$B$14=2,CV4*管理者用人口入力シート!AQ$8))+将来予測シート②!$H22</f>
        <v>293.34466951691599</v>
      </c>
      <c r="CX7" s="10">
        <f>IF(管理者入力シート!$B$14=1,CW4*管理者用人口入力シート!AR$4,IF(管理者入力シート!$B$14=2,CW4*管理者用人口入力シート!AR$8))+将来予測シート②!$H23</f>
        <v>326.28531427045448</v>
      </c>
      <c r="CY7" s="10">
        <f>IF(管理者入力シート!$B$14=1,CX4*管理者用人口入力シート!AS$4,IF(管理者入力シート!$B$14=2,CX4*管理者用人口入力シート!AS$8))+将来予測シート②!$H24</f>
        <v>438.60546233749966</v>
      </c>
      <c r="CZ7" s="10">
        <f>IF(管理者入力シート!$B$14=1,CY4*管理者用人口入力シート!AT$4,IF(管理者入力シート!$B$14=2,CY4*管理者用人口入力シート!AT$8))+将来予測シート②!$H25</f>
        <v>457.65544034438307</v>
      </c>
      <c r="DA7" s="10">
        <f>IF(管理者入力シート!$B$14=1,CZ4*管理者用人口入力シート!AU$4,IF(管理者入力シート!$B$14=2,CZ4*管理者用人口入力シート!AU$8))+将来予測シート②!$H26</f>
        <v>535.20027256058847</v>
      </c>
      <c r="DB7" s="10">
        <f>IF(管理者入力シート!$B$14=1,DA4*管理者用人口入力シート!AV$4,IF(管理者入力シート!$B$14=2,DA4*管理者用人口入力シート!AV$8))+将来予測シート②!$H27</f>
        <v>577.29967070273824</v>
      </c>
      <c r="DC7" s="10">
        <f>IF(管理者入力シート!$B$14=1,DB4*管理者用人口入力シート!AW$4,IF(管理者入力シート!$B$14=2,DB4*管理者用人口入力シート!AW$8))+将来予測シート②!$H28</f>
        <v>578.79580673624878</v>
      </c>
      <c r="DD7" s="10">
        <f>IF(管理者入力シート!$B$14=1,DC4*管理者用人口入力シート!AX$4,IF(管理者入力シート!$B$14=2,DC4*管理者用人口入力シート!AX$8))+将来予測シート②!$H29</f>
        <v>491.39832966358085</v>
      </c>
      <c r="DE7" s="10">
        <f>IF(管理者入力シート!$B$14=1,DD4*管理者用人口入力シート!AY$4,IF(管理者入力シート!$B$14=2,DD4*管理者用人口入力シート!AY$8))</f>
        <v>602.62453577322867</v>
      </c>
      <c r="DF7" s="10">
        <f>IF(管理者入力シート!$B$14=1,DE4*管理者用人口入力シート!AZ$4,IF(管理者入力シート!$B$14=2,DE4*管理者用人口入力シート!AZ$8))</f>
        <v>615.45325882484133</v>
      </c>
      <c r="DG7" s="10">
        <f>IF(管理者入力シート!$B$14=1,DF4*管理者用人口入力シート!BA$4,IF(管理者入力シート!$B$14=2,DF4*管理者用人口入力シート!BA$8))</f>
        <v>605.64123688395136</v>
      </c>
      <c r="DH7" s="10">
        <f>IF(管理者入力シート!$B$14=1,DG4*管理者用人口入力シート!BB$4,IF(管理者入力シート!$B$14=2,DG4*管理者用人口入力シート!BB$8))</f>
        <v>584.14768710494468</v>
      </c>
      <c r="DI7" s="10">
        <f>IF(管理者入力シート!$B$14=1,DH4*管理者用人口入力シート!BC$4,IF(管理者入力シート!$B$14=2,DH4*管理者用人口入力シート!BC$8))</f>
        <v>402.82732254973314</v>
      </c>
      <c r="DJ7" s="10">
        <f>IF(管理者入力シート!$B$14=1,DI4*管理者用人口入力シート!BD$4,IF(管理者入力シート!$B$14=2,DI4*管理者用人口入力シート!BD$8))</f>
        <v>262.11144506736628</v>
      </c>
      <c r="DK7" s="10">
        <f>IF(管理者入力シート!$B$14=1,DJ4*管理者用人口入力シート!BE$4,IF(管理者入力シート!$B$14=2,DJ4*管理者用人口入力シート!BE$8))</f>
        <v>133.89621868881801</v>
      </c>
      <c r="DL7" s="10">
        <f>IF(管理者入力シート!$B$14=1,DK4*管理者用人口入力シート!BF$4,IF(管理者入力シート!$B$14=2,DK4*管理者用人口入力シート!BF$8))</f>
        <v>25.761720596923919</v>
      </c>
      <c r="DM7" s="10">
        <f t="shared" si="69"/>
        <v>8684.7063685464109</v>
      </c>
      <c r="DN7" s="10">
        <f t="shared" si="34"/>
        <v>429.54673847990955</v>
      </c>
      <c r="DO7" s="10">
        <f t="shared" si="35"/>
        <v>239.66754447456248</v>
      </c>
      <c r="DP7" s="10">
        <f t="shared" si="6"/>
        <v>3232.4634254898078</v>
      </c>
      <c r="DQ7" s="10">
        <f t="shared" si="36"/>
        <v>2014.3856308917373</v>
      </c>
      <c r="DR7" s="14">
        <f t="shared" si="37"/>
        <v>0.37220180951619625</v>
      </c>
      <c r="DS7" s="14">
        <f t="shared" si="38"/>
        <v>0.23194631406161081</v>
      </c>
      <c r="DT7" s="10">
        <f t="shared" si="70"/>
        <v>1340.9489561685286</v>
      </c>
      <c r="DV7" s="7" t="s">
        <v>401</v>
      </c>
      <c r="DW7" s="210">
        <f>(SUM(BK12:BW12)-SUM(D12:P12))/4</f>
        <v>-360.9291412889379</v>
      </c>
      <c r="DX7" s="29">
        <f>DX6</f>
        <v>2030</v>
      </c>
      <c r="DY7" s="4" t="s">
        <v>22</v>
      </c>
      <c r="DZ7" s="10">
        <f>FB7*$AK$14</f>
        <v>469.12218210393206</v>
      </c>
      <c r="EA7" s="10">
        <f>IF(管理者入力シート!$B$14=1,DZ4*管理者用人口入力シート!AM$4,IF(管理者入力シート!$B$14=2,DZ4*管理者用人口入力シート!AM$8))</f>
        <v>334.93021941639972</v>
      </c>
      <c r="EB7" s="10">
        <f>IF(管理者入力シート!$B$14=1,EA4*管理者用人口入力シート!AN$4,IF(管理者入力シート!$B$14=2,EA4*管理者用人口入力シート!AN$8))</f>
        <v>379.02325714477109</v>
      </c>
      <c r="EC7" s="10">
        <f>IF(管理者入力シート!$B$14=1,EB4*管理者用人口入力シート!AO$4,IF(管理者入力シート!$B$14=2,EB4*管理者用人口入力シート!AO$8))</f>
        <v>437.28508821737501</v>
      </c>
      <c r="ED7" s="10">
        <f>IF(管理者入力シート!$B$14=1,EC4*管理者用人口入力シート!AP$4,IF(管理者入力シート!$B$14=2,EC4*管理者用人口入力シート!AP$8))</f>
        <v>282.7135100436584</v>
      </c>
      <c r="EE7" s="10">
        <f>IF(管理者入力シート!$B$14=1,ED4*管理者用人口入力シート!AQ$4,IF(管理者入力シート!$B$14=2,ED4*管理者用人口入力シート!AQ$8))+DX1</f>
        <v>422.34466951691599</v>
      </c>
      <c r="EF7" s="10">
        <f>IF(管理者入力シート!$B$14=1,EE4*管理者用人口入力シート!AR$4,IF(管理者入力シート!$B$14=2,EE4*管理者用人口入力シート!AR$8))+DX1</f>
        <v>589.62129537653936</v>
      </c>
      <c r="EG7" s="10">
        <f>IF(管理者入力シート!$B$14=1,EF4*管理者用人口入力シート!AS$4,IF(管理者入力シート!$B$14=2,EF4*管理者用人口入力シート!AS$8))+DX1</f>
        <v>697.67138312767474</v>
      </c>
      <c r="EH7" s="10">
        <f>IF(管理者入力シート!$B$14=1,EG4*管理者用人口入力シート!AT$4,IF(管理者入力シート!$B$14=2,EG4*管理者用人口入力シート!AT$8))</f>
        <v>586.4904158152583</v>
      </c>
      <c r="EI7" s="10">
        <f>IF(管理者入力シート!$B$14=1,EH4*管理者用人口入力シート!AU$4,IF(管理者入力シート!$B$14=2,EH4*管理者用人口入力シート!AU$8))</f>
        <v>534.21381380019011</v>
      </c>
      <c r="EJ7" s="10">
        <f>IF(管理者入力シート!$B$14=1,EI4*管理者用人口入力シート!AV$4,IF(管理者入力シート!$B$14=2,EI4*管理者用人口入力シート!AV$8))</f>
        <v>577.29967070273824</v>
      </c>
      <c r="EK7" s="10">
        <f>IF(管理者入力シート!$B$14=1,EJ4*管理者用人口入力シート!AW$4,IF(管理者入力シート!$B$14=2,EJ4*管理者用人口入力シート!AW$8))</f>
        <v>578.79580673624878</v>
      </c>
      <c r="EL7" s="10">
        <f>IF(管理者入力シート!$B$14=1,EK4*管理者用人口入力シート!AX$4,IF(管理者入力シート!$B$14=2,EK4*管理者用人口入力シート!AX$8))</f>
        <v>491.39832966358085</v>
      </c>
      <c r="EM7" s="10">
        <f>IF(管理者入力シート!$B$14=1,EL4*管理者用人口入力シート!AY$4,IF(管理者入力シート!$B$14=2,EL4*管理者用人口入力シート!AY$8))</f>
        <v>602.62453577322867</v>
      </c>
      <c r="EN7" s="10">
        <f>IF(管理者入力シート!$B$14=1,EM4*管理者用人口入力シート!AZ$4,IF(管理者入力シート!$B$14=2,EM4*管理者用人口入力シート!AZ$8))</f>
        <v>615.45325882484133</v>
      </c>
      <c r="EO7" s="10">
        <f>IF(管理者入力シート!$B$14=1,EN4*管理者用人口入力シート!BA$4,IF(管理者入力シート!$B$14=2,EN4*管理者用人口入力シート!BA$8))</f>
        <v>605.64123688395136</v>
      </c>
      <c r="EP7" s="10">
        <f>IF(管理者入力シート!$B$14=1,EO4*管理者用人口入力シート!BB$4,IF(管理者入力シート!$B$14=2,EO4*管理者用人口入力シート!BB$8))</f>
        <v>584.14768710494468</v>
      </c>
      <c r="EQ7" s="10">
        <f>IF(管理者入力シート!$B$14=1,EP4*管理者用人口入力シート!BC$4,IF(管理者入力シート!$B$14=2,EP4*管理者用人口入力シート!BC$8))</f>
        <v>402.82732254973314</v>
      </c>
      <c r="ER7" s="10">
        <f>IF(管理者入力シート!$B$14=1,EQ4*管理者用人口入力シート!BD$4,IF(管理者入力シート!$B$14=2,EQ4*管理者用人口入力シート!BD$8))</f>
        <v>262.11144506736628</v>
      </c>
      <c r="ES7" s="10">
        <f>IF(管理者入力シート!$B$14=1,ER4*管理者用人口入力シート!BE$4,IF(管理者入力シート!$B$14=2,ER4*管理者用人口入力シート!BE$8))</f>
        <v>133.89621868881801</v>
      </c>
      <c r="ET7" s="10">
        <f>IF(管理者入力シート!$B$14=1,ES4*管理者用人口入力シート!BF$4,IF(管理者入力シート!$B$14=2,ES4*管理者用人口入力シート!BF$8))</f>
        <v>25.761720596923919</v>
      </c>
      <c r="EU7" s="10">
        <f t="shared" si="71"/>
        <v>9613.3730671550893</v>
      </c>
      <c r="EV7" s="10">
        <f t="shared" si="41"/>
        <v>428.37208593670243</v>
      </c>
      <c r="EW7" s="10">
        <f t="shared" si="42"/>
        <v>239.06632050138342</v>
      </c>
      <c r="EX7" s="10">
        <f t="shared" si="10"/>
        <v>3232.4634254898078</v>
      </c>
      <c r="EY7" s="10">
        <f t="shared" si="43"/>
        <v>2014.3856308917373</v>
      </c>
      <c r="EZ7" s="14">
        <f t="shared" si="44"/>
        <v>0.33624653936855892</v>
      </c>
      <c r="FA7" s="14">
        <f t="shared" si="45"/>
        <v>0.209539941581385</v>
      </c>
      <c r="FB7" s="10">
        <f t="shared" si="72"/>
        <v>1992.3508580647886</v>
      </c>
    </row>
    <row r="8" spans="1:158" x14ac:dyDescent="0.15">
      <c r="A8" s="7" t="str">
        <f t="shared" si="11"/>
        <v>2010_3</v>
      </c>
      <c r="B8" s="30">
        <v>2010</v>
      </c>
      <c r="C8" s="5" t="s">
        <v>23</v>
      </c>
      <c r="D8" s="11">
        <v>962.61089344239576</v>
      </c>
      <c r="E8" s="11">
        <v>882.52172444146208</v>
      </c>
      <c r="F8" s="11">
        <v>965.5162018010169</v>
      </c>
      <c r="G8" s="11">
        <v>1034.7491433989121</v>
      </c>
      <c r="H8" s="11">
        <v>702.47476676178508</v>
      </c>
      <c r="I8" s="11">
        <v>1042.8368541916375</v>
      </c>
      <c r="J8" s="11">
        <v>1147.9073385910167</v>
      </c>
      <c r="K8" s="11">
        <v>1225.0614112678454</v>
      </c>
      <c r="L8" s="11">
        <v>1039.7874007911739</v>
      </c>
      <c r="M8" s="11">
        <v>1158.7749780030906</v>
      </c>
      <c r="N8" s="11">
        <v>1346.9637023950295</v>
      </c>
      <c r="O8" s="11">
        <v>1386.0544455859881</v>
      </c>
      <c r="P8" s="11">
        <v>1395.7713947537288</v>
      </c>
      <c r="Q8" s="11">
        <v>1128.7648395878991</v>
      </c>
      <c r="R8" s="11">
        <v>1071.9087505604616</v>
      </c>
      <c r="S8" s="11">
        <v>1064.649789226401</v>
      </c>
      <c r="T8" s="11">
        <v>802.33716736710448</v>
      </c>
      <c r="U8" s="11">
        <v>407.24288387414487</v>
      </c>
      <c r="V8" s="11">
        <v>195.06631395890702</v>
      </c>
      <c r="W8" s="11">
        <v>59</v>
      </c>
      <c r="X8" s="11">
        <v>3</v>
      </c>
      <c r="Y8" s="11">
        <f t="shared" si="68"/>
        <v>19023.000000000004</v>
      </c>
      <c r="Z8" s="11">
        <f t="shared" si="12"/>
        <v>1108.8227557454875</v>
      </c>
      <c r="AA8" s="11">
        <f t="shared" si="13"/>
        <v>593.15630940018923</v>
      </c>
      <c r="AB8" s="11">
        <f t="shared" si="0"/>
        <v>4731.969744574918</v>
      </c>
      <c r="AC8" s="11">
        <f t="shared" si="14"/>
        <v>2531.2961544265572</v>
      </c>
      <c r="AD8" s="15">
        <f t="shared" si="15"/>
        <v>0.24874992086289843</v>
      </c>
      <c r="AE8" s="15">
        <f t="shared" si="16"/>
        <v>0.13306503466469835</v>
      </c>
      <c r="AF8" s="11">
        <f t="shared" si="17"/>
        <v>4118.2803708122847</v>
      </c>
      <c r="AH8" s="7"/>
      <c r="AI8" s="30" t="s">
        <v>88</v>
      </c>
      <c r="AJ8" s="5">
        <f>AJ7</f>
        <v>2010</v>
      </c>
      <c r="AK8" s="5">
        <f>AK7</f>
        <v>2020</v>
      </c>
      <c r="AL8" s="33" t="s">
        <v>22</v>
      </c>
      <c r="AM8" s="47">
        <f t="shared" si="73"/>
        <v>0.95775423867847254</v>
      </c>
      <c r="AN8" s="47">
        <f t="shared" si="73"/>
        <v>0.9676977460969497</v>
      </c>
      <c r="AO8" s="47">
        <f t="shared" si="73"/>
        <v>1.006119865895275</v>
      </c>
      <c r="AP8" s="47">
        <f t="shared" si="73"/>
        <v>0.66303759591068978</v>
      </c>
      <c r="AQ8" s="47">
        <f t="shared" si="73"/>
        <v>1.1217817486338335</v>
      </c>
      <c r="AR8" s="47">
        <f t="shared" si="73"/>
        <v>1.0258603186518211</v>
      </c>
      <c r="AS8" s="47">
        <f t="shared" si="73"/>
        <v>0.97760244877996205</v>
      </c>
      <c r="AT8" s="47">
        <f t="shared" si="73"/>
        <v>0.99110668298378057</v>
      </c>
      <c r="AU8" s="47">
        <f t="shared" si="73"/>
        <v>0.98645876039829217</v>
      </c>
      <c r="AV8" s="47">
        <f t="shared" si="73"/>
        <v>0.99323985528258252</v>
      </c>
      <c r="AW8" s="47">
        <f t="shared" si="73"/>
        <v>0.9958076488691886</v>
      </c>
      <c r="AX8" s="47">
        <f t="shared" si="73"/>
        <v>0.98903886551359821</v>
      </c>
      <c r="AY8" s="47">
        <f t="shared" si="73"/>
        <v>0.979147639771621</v>
      </c>
      <c r="AZ8" s="47">
        <f t="shared" si="73"/>
        <v>0.95200574935743409</v>
      </c>
      <c r="BA8" s="47">
        <f t="shared" si="73"/>
        <v>0.92964801813407516</v>
      </c>
      <c r="BB8" s="47">
        <f t="shared" si="73"/>
        <v>0.8998819548349315</v>
      </c>
      <c r="BC8" s="47">
        <f t="shared" si="73"/>
        <v>0.8139814671283554</v>
      </c>
      <c r="BD8" s="47">
        <f t="shared" si="73"/>
        <v>0.66556446382258561</v>
      </c>
      <c r="BE8" s="47">
        <f t="shared" si="73"/>
        <v>0.42188983853300238</v>
      </c>
      <c r="BF8" s="47">
        <f t="shared" si="73"/>
        <v>0.22836558667495335</v>
      </c>
      <c r="BH8" s="7" t="str">
        <f t="shared" si="19"/>
        <v>2030_3</v>
      </c>
      <c r="BI8" s="30">
        <f>BI7</f>
        <v>2030</v>
      </c>
      <c r="BJ8" s="5" t="s">
        <v>23</v>
      </c>
      <c r="BK8" s="16">
        <f>BK6+BK7</f>
        <v>653.87595208405219</v>
      </c>
      <c r="BL8" s="16">
        <f t="shared" ref="BL8" si="74">BL6+BL7</f>
        <v>694.87935895415217</v>
      </c>
      <c r="BM8" s="16">
        <f t="shared" ref="BM8" si="75">BM6+BM7</f>
        <v>773.3843861726632</v>
      </c>
      <c r="BN8" s="16">
        <f t="shared" ref="BN8" si="76">BN6+BN7</f>
        <v>845.70213516577758</v>
      </c>
      <c r="BO8" s="16">
        <f t="shared" ref="BO8" si="77">BO6+BO7</f>
        <v>561.62661216686411</v>
      </c>
      <c r="BP8" s="16">
        <f t="shared" ref="BP8" si="78">BP6+BP7</f>
        <v>639.90500610178356</v>
      </c>
      <c r="BQ8" s="16">
        <f t="shared" ref="BQ8" si="79">BQ6+BQ7</f>
        <v>695.01329010826498</v>
      </c>
      <c r="BR8" s="16">
        <f t="shared" ref="BR8" si="80">BR6+BR7</f>
        <v>916.32459975722736</v>
      </c>
      <c r="BS8" s="16">
        <f t="shared" ref="BS8" si="81">BS6+BS7</f>
        <v>893.48654949578804</v>
      </c>
      <c r="BT8" s="16">
        <f t="shared" ref="BT8" si="82">BT6+BT7</f>
        <v>1028.4698546287091</v>
      </c>
      <c r="BU8" s="16">
        <f t="shared" ref="BU8" si="83">BU6+BU7</f>
        <v>1121.1349425656572</v>
      </c>
      <c r="BV8" s="16">
        <f t="shared" ref="BV8" si="84">BV6+BV7</f>
        <v>1165.3081134299041</v>
      </c>
      <c r="BW8" s="16">
        <f t="shared" ref="BW8" si="85">BW6+BW7</f>
        <v>960.26207282859718</v>
      </c>
      <c r="BX8" s="16">
        <f t="shared" ref="BX8" si="86">BX6+BX7</f>
        <v>1059.3236531340945</v>
      </c>
      <c r="BY8" s="16">
        <f t="shared" ref="BY8" si="87">BY6+BY7</f>
        <v>1215.2558346786977</v>
      </c>
      <c r="BZ8" s="16">
        <f t="shared" ref="BZ8" si="88">BZ6+BZ7</f>
        <v>1116.3990809622724</v>
      </c>
      <c r="CA8" s="16">
        <f t="shared" ref="CA8" si="89">CA6+CA7</f>
        <v>972.73745579296383</v>
      </c>
      <c r="CB8" s="16">
        <f t="shared" ref="CB8" si="90">CB6+CB7</f>
        <v>651.21199126267629</v>
      </c>
      <c r="CC8" s="16">
        <f t="shared" ref="CC8" si="91">CC6+CC7</f>
        <v>370.03251748076656</v>
      </c>
      <c r="CD8" s="16">
        <f t="shared" ref="CD8" si="92">CD6+CD7</f>
        <v>162.75993370454535</v>
      </c>
      <c r="CE8" s="16">
        <f t="shared" ref="CE8" si="93">CE6+CE7</f>
        <v>32.866720419443411</v>
      </c>
      <c r="CF8" s="11">
        <f t="shared" si="2"/>
        <v>16529.9600608949</v>
      </c>
      <c r="CG8" s="11">
        <f t="shared" si="20"/>
        <v>880.95824707608926</v>
      </c>
      <c r="CH8" s="11">
        <f t="shared" si="21"/>
        <v>478.49418150222078</v>
      </c>
      <c r="CI8" s="11">
        <f t="shared" si="3"/>
        <v>5580.5871874354607</v>
      </c>
      <c r="CJ8" s="11">
        <f t="shared" si="22"/>
        <v>3306.007699622668</v>
      </c>
      <c r="CK8" s="15">
        <f t="shared" si="23"/>
        <v>0.33760439631294176</v>
      </c>
      <c r="CL8" s="15">
        <f t="shared" si="24"/>
        <v>0.20000094903094928</v>
      </c>
      <c r="CM8" s="11">
        <f t="shared" si="25"/>
        <v>2812.8695081341402</v>
      </c>
      <c r="CO8" s="7" t="str">
        <f t="shared" si="26"/>
        <v>2030_3</v>
      </c>
      <c r="CP8" s="30">
        <f>CP7</f>
        <v>2030</v>
      </c>
      <c r="CQ8" s="5" t="s">
        <v>23</v>
      </c>
      <c r="CR8" s="16">
        <f>CR6+CR7</f>
        <v>657.85764717540519</v>
      </c>
      <c r="CS8" s="16">
        <f t="shared" ref="CS8" si="94">CS6+CS7</f>
        <v>696.79264842749876</v>
      </c>
      <c r="CT8" s="16">
        <f t="shared" ref="CT8" si="95">CT6+CT7</f>
        <v>775.3843861726632</v>
      </c>
      <c r="CU8" s="16">
        <f t="shared" ref="CU8" si="96">CU6+CU7</f>
        <v>847.70555195528789</v>
      </c>
      <c r="CV8" s="16">
        <f t="shared" ref="CV8" si="97">CV6+CV7</f>
        <v>561.62661216686411</v>
      </c>
      <c r="CW8" s="16">
        <f t="shared" ref="CW8" si="98">CW6+CW7</f>
        <v>643.90500610178356</v>
      </c>
      <c r="CX8" s="16">
        <f t="shared" ref="CX8" si="99">CX6+CX7</f>
        <v>699.2571753845948</v>
      </c>
      <c r="CY8" s="16">
        <f t="shared" ref="CY8" si="100">CY6+CY7</f>
        <v>916.32459975722736</v>
      </c>
      <c r="CZ8" s="16">
        <f t="shared" ref="CZ8" si="101">CZ6+CZ7</f>
        <v>894.48654949578804</v>
      </c>
      <c r="DA8" s="16">
        <f t="shared" ref="DA8" si="102">DA6+DA7</f>
        <v>1029.4563133891074</v>
      </c>
      <c r="DB8" s="16">
        <f t="shared" ref="DB8" si="103">DB6+DB7</f>
        <v>1121.1349425656572</v>
      </c>
      <c r="DC8" s="16">
        <f t="shared" ref="DC8" si="104">DC6+DC7</f>
        <v>1165.3081134299041</v>
      </c>
      <c r="DD8" s="16">
        <f t="shared" ref="DD8" si="105">DD6+DD7</f>
        <v>960.26207282859718</v>
      </c>
      <c r="DE8" s="16">
        <f t="shared" ref="DE8" si="106">DE6+DE7</f>
        <v>1059.3236531340945</v>
      </c>
      <c r="DF8" s="16">
        <f t="shared" ref="DF8" si="107">DF6+DF7</f>
        <v>1215.2558346786977</v>
      </c>
      <c r="DG8" s="16">
        <f t="shared" ref="DG8" si="108">DG6+DG7</f>
        <v>1116.3990809622724</v>
      </c>
      <c r="DH8" s="16">
        <f t="shared" ref="DH8" si="109">DH6+DH7</f>
        <v>972.73745579296383</v>
      </c>
      <c r="DI8" s="16">
        <f t="shared" ref="DI8" si="110">DI6+DI7</f>
        <v>651.21199126267629</v>
      </c>
      <c r="DJ8" s="16">
        <f t="shared" ref="DJ8" si="111">DJ6+DJ7</f>
        <v>370.03251748076656</v>
      </c>
      <c r="DK8" s="16">
        <f t="shared" ref="DK8" si="112">DK6+DK7</f>
        <v>162.75993370454535</v>
      </c>
      <c r="DL8" s="16">
        <f t="shared" ref="DL8" si="113">DL6+DL7</f>
        <v>32.866720419443411</v>
      </c>
      <c r="DM8" s="11">
        <f t="shared" si="69"/>
        <v>16550.088806285839</v>
      </c>
      <c r="DN8" s="11">
        <f t="shared" si="34"/>
        <v>883.30622076009718</v>
      </c>
      <c r="DO8" s="11">
        <f t="shared" si="35"/>
        <v>479.69486486012283</v>
      </c>
      <c r="DP8" s="11">
        <f t="shared" si="6"/>
        <v>5580.5871874354607</v>
      </c>
      <c r="DQ8" s="11">
        <f t="shared" si="36"/>
        <v>3306.007699622668</v>
      </c>
      <c r="DR8" s="15">
        <f t="shared" si="37"/>
        <v>0.33719379108805231</v>
      </c>
      <c r="DS8" s="15">
        <f t="shared" si="38"/>
        <v>0.19975770150351238</v>
      </c>
      <c r="DT8" s="11">
        <f t="shared" si="70"/>
        <v>2821.1133934104701</v>
      </c>
      <c r="DV8" s="7" t="s">
        <v>402</v>
      </c>
      <c r="DW8" s="210">
        <f>(SUM(BK13:BW13)-SUM(D13:P13))/4</f>
        <v>-427.0320227355046</v>
      </c>
      <c r="DX8" s="30">
        <f>DX7</f>
        <v>2030</v>
      </c>
      <c r="DY8" s="5" t="s">
        <v>23</v>
      </c>
      <c r="DZ8" s="16">
        <f>DZ6+DZ7</f>
        <v>974.4580806803267</v>
      </c>
      <c r="EA8" s="16">
        <f t="shared" ref="EA8:ET8" si="114">EA6+EA7</f>
        <v>694.87935895415217</v>
      </c>
      <c r="EB8" s="16">
        <f t="shared" si="114"/>
        <v>773.3843861726632</v>
      </c>
      <c r="EC8" s="16">
        <f t="shared" si="114"/>
        <v>845.70213516577758</v>
      </c>
      <c r="ED8" s="16">
        <f t="shared" si="114"/>
        <v>561.62661216686411</v>
      </c>
      <c r="EE8" s="16">
        <f t="shared" si="114"/>
        <v>901.90500610178356</v>
      </c>
      <c r="EF8" s="16">
        <f t="shared" si="114"/>
        <v>1234.9877757078689</v>
      </c>
      <c r="EG8" s="16">
        <f t="shared" si="114"/>
        <v>1436.3266520297107</v>
      </c>
      <c r="EH8" s="16">
        <f t="shared" si="114"/>
        <v>1150.8882771935919</v>
      </c>
      <c r="EI8" s="16">
        <f t="shared" si="114"/>
        <v>1028.4698546287091</v>
      </c>
      <c r="EJ8" s="16">
        <f t="shared" si="114"/>
        <v>1121.1349425656572</v>
      </c>
      <c r="EK8" s="16">
        <f t="shared" si="114"/>
        <v>1165.3081134299041</v>
      </c>
      <c r="EL8" s="16">
        <f t="shared" si="114"/>
        <v>960.26207282859718</v>
      </c>
      <c r="EM8" s="16">
        <f t="shared" si="114"/>
        <v>1059.3236531340945</v>
      </c>
      <c r="EN8" s="16">
        <f t="shared" si="114"/>
        <v>1215.2558346786977</v>
      </c>
      <c r="EO8" s="16">
        <f t="shared" si="114"/>
        <v>1116.3990809622724</v>
      </c>
      <c r="EP8" s="16">
        <f t="shared" si="114"/>
        <v>972.73745579296383</v>
      </c>
      <c r="EQ8" s="16">
        <f t="shared" si="114"/>
        <v>651.21199126267629</v>
      </c>
      <c r="ER8" s="16">
        <f t="shared" si="114"/>
        <v>370.03251748076656</v>
      </c>
      <c r="ES8" s="16">
        <f t="shared" si="114"/>
        <v>162.75993370454535</v>
      </c>
      <c r="ET8" s="16">
        <f t="shared" si="114"/>
        <v>32.866720419443411</v>
      </c>
      <c r="EU8" s="11">
        <f t="shared" si="71"/>
        <v>18429.920455061067</v>
      </c>
      <c r="EV8" s="11">
        <f t="shared" si="41"/>
        <v>880.95824707608926</v>
      </c>
      <c r="EW8" s="11">
        <f t="shared" si="42"/>
        <v>478.49418150222078</v>
      </c>
      <c r="EX8" s="11">
        <f t="shared" si="10"/>
        <v>5580.5871874354607</v>
      </c>
      <c r="EY8" s="11">
        <f t="shared" si="43"/>
        <v>3306.007699622668</v>
      </c>
      <c r="EZ8" s="15">
        <f t="shared" si="44"/>
        <v>0.30280039466491393</v>
      </c>
      <c r="FA8" s="15">
        <f t="shared" si="45"/>
        <v>0.17938263530132603</v>
      </c>
      <c r="FB8" s="11">
        <f t="shared" si="72"/>
        <v>4134.846046006227</v>
      </c>
    </row>
    <row r="9" spans="1:158" x14ac:dyDescent="0.15">
      <c r="A9" s="7" t="str">
        <f t="shared" si="11"/>
        <v>2015_1</v>
      </c>
      <c r="B9" s="28">
        <v>2015</v>
      </c>
      <c r="C9" s="3" t="s">
        <v>21</v>
      </c>
      <c r="D9" s="9">
        <v>448.2576008986577</v>
      </c>
      <c r="E9" s="9">
        <v>460.18923159348412</v>
      </c>
      <c r="F9" s="9">
        <v>407.72557670463186</v>
      </c>
      <c r="G9" s="9">
        <v>468.62403843131449</v>
      </c>
      <c r="H9" s="9">
        <v>326.12101206623549</v>
      </c>
      <c r="I9" s="9">
        <v>407.01722871234495</v>
      </c>
      <c r="J9" s="9">
        <v>541.35121635143128</v>
      </c>
      <c r="K9" s="9">
        <v>546.29584122928293</v>
      </c>
      <c r="L9" s="9">
        <v>585.52415058722329</v>
      </c>
      <c r="M9" s="9">
        <v>478.1799090457223</v>
      </c>
      <c r="N9" s="9">
        <v>542.22089426196487</v>
      </c>
      <c r="O9" s="9">
        <v>681.45800251668879</v>
      </c>
      <c r="P9" s="9">
        <v>622.10894956360028</v>
      </c>
      <c r="Q9" s="9">
        <v>611.09312914467091</v>
      </c>
      <c r="R9" s="9">
        <v>517.91655922469761</v>
      </c>
      <c r="S9" s="9">
        <v>410.94514523042142</v>
      </c>
      <c r="T9" s="9">
        <v>351.80125532448744</v>
      </c>
      <c r="U9" s="9">
        <v>202.7850724721313</v>
      </c>
      <c r="V9" s="9">
        <v>63.345970954734192</v>
      </c>
      <c r="W9" s="9">
        <v>8.0392156862745097</v>
      </c>
      <c r="X9" s="9">
        <v>2</v>
      </c>
      <c r="Y9" s="9">
        <f t="shared" si="68"/>
        <v>8683</v>
      </c>
      <c r="Z9" s="9">
        <f t="shared" si="12"/>
        <v>520.74888497886957</v>
      </c>
      <c r="AA9" s="9">
        <f t="shared" si="13"/>
        <v>256.81503836811567</v>
      </c>
      <c r="AB9" s="9">
        <f t="shared" si="0"/>
        <v>2167.9263480374175</v>
      </c>
      <c r="AC9" s="9">
        <f t="shared" si="14"/>
        <v>1038.9166596680489</v>
      </c>
      <c r="AD9" s="13">
        <f t="shared" si="15"/>
        <v>0.24967480686829638</v>
      </c>
      <c r="AE9" s="13">
        <f t="shared" si="16"/>
        <v>0.11964950589289979</v>
      </c>
      <c r="AF9" s="9">
        <f t="shared" si="17"/>
        <v>1820.7852983592948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310.18147573068825</v>
      </c>
      <c r="BL9" s="9">
        <f>IF(管理者入力シート!$B$14=1,BK6*管理者用人口入力シート!AM$3,IF(管理者入力シート!$B$14=2,BK6*管理者用人口入力シート!AM$7))</f>
        <v>324.01048276348916</v>
      </c>
      <c r="BM9" s="9">
        <f>IF(管理者入力シート!$B$14=1,BL6*管理者用人口入力シート!AN$3,IF(管理者入力シート!$B$14=2,BL6*管理者用人口入力シート!AN$7))</f>
        <v>337.22697386205022</v>
      </c>
      <c r="BN9" s="9">
        <f>IF(管理者入力シート!$B$14=1,BM6*管理者用人口入力シート!AO$3,IF(管理者入力シート!$B$14=2,BM6*管理者用人口入力シート!AO$7))</f>
        <v>393.29514077287672</v>
      </c>
      <c r="BO9" s="9">
        <f>IF(管理者入力シート!$B$14=1,BN6*管理者用人口入力シート!AP$3,IF(管理者入力シート!$B$14=2,BN6*管理者用人口入力シート!AP$7))</f>
        <v>240.97735665520585</v>
      </c>
      <c r="BP9" s="9">
        <f>IF(管理者入力シート!$B$14=1,BO6*管理者用人口入力シート!AQ$3,IF(管理者入力シート!$B$14=2,BO6*管理者用人口入力シート!AQ$7))</f>
        <v>377.47090412470612</v>
      </c>
      <c r="BQ9" s="9">
        <f>IF(管理者入力シート!$B$14=1,BP6*管理者用人口入力シート!AR$3,IF(管理者入力シート!$B$14=2,BP6*管理者用人口入力シート!AR$7))</f>
        <v>382.05082221420656</v>
      </c>
      <c r="BR9" s="9">
        <f>IF(管理者入力シート!$B$14=1,BQ6*管理者用人口入力シート!AS$3,IF(管理者入力シート!$B$14=2,BQ6*管理者用人口入力シート!AS$7))</f>
        <v>367.76854497832602</v>
      </c>
      <c r="BS9" s="9">
        <f>IF(管理者入力シート!$B$14=1,BR6*管理者用人口入力シート!AT$3,IF(管理者入力シート!$B$14=2,BR6*管理者用人口入力シート!AT$7))</f>
        <v>465.19907509377379</v>
      </c>
      <c r="BT9" s="9">
        <f>IF(管理者入力シート!$B$14=1,BS6*管理者用人口入力シート!AU$3,IF(管理者入力シート!$B$14=2,BS6*管理者用人口入力シート!AU$7))</f>
        <v>418.21229249385226</v>
      </c>
      <c r="BU9" s="9">
        <f>IF(管理者入力シート!$B$14=1,BT6*管理者用人口入力シート!AV$3,IF(管理者入力シート!$B$14=2,BT6*管理者用人口入力シート!AV$7))</f>
        <v>514.3544781814436</v>
      </c>
      <c r="BV9" s="9">
        <f>IF(管理者入力シート!$B$14=1,BU6*管理者用人口入力シート!AW$3,IF(管理者入力シート!$B$14=2,BU6*管理者用人口入力シート!AW$7))</f>
        <v>523.48137567124616</v>
      </c>
      <c r="BW9" s="9">
        <f>IF(管理者入力シート!$B$14=1,BV6*管理者用人口入力シート!AX$3,IF(管理者入力シート!$B$14=2,BV6*管理者用人口入力シート!AX$7))</f>
        <v>552.23762562002014</v>
      </c>
      <c r="BX9" s="9">
        <f>IF(管理者入力シート!$B$14=1,BW6*管理者用人口入力シート!AY$3,IF(管理者入力シート!$B$14=2,BW6*管理者用人口入力シート!AY$7))</f>
        <v>455.10231727777398</v>
      </c>
      <c r="BY9" s="9">
        <f>IF(管理者入力シート!$B$14=1,BX6*管理者用人口入力シート!AZ$3,IF(管理者入力シート!$B$14=2,BX6*管理者用人口入力シート!AZ$7))</f>
        <v>432.50478055790597</v>
      </c>
      <c r="BZ9" s="9">
        <f>IF(管理者入力シート!$B$14=1,BY6*管理者用人口入力シート!BA$3,IF(管理者入力シート!$B$14=2,BY6*管理者用人口入力シート!BA$7))</f>
        <v>529.77529590181803</v>
      </c>
      <c r="CA9" s="9">
        <f>IF(管理者入力シート!$B$14=1,BZ6*管理者用人口入力シート!BB$3,IF(管理者入力シート!$B$14=2,BZ6*管理者用人口入力シート!BB$7))</f>
        <v>399.41756274273558</v>
      </c>
      <c r="CB9" s="9">
        <f>IF(管理者入力シート!$B$14=1,CA6*管理者用人口入力シート!BC$3,IF(管理者入力シート!$B$14=2,CA6*管理者用人口入力シート!BC$7))</f>
        <v>262.76197940780906</v>
      </c>
      <c r="CC9" s="9">
        <f>IF(管理者入力シート!$B$14=1,CB6*管理者用人口入力シート!BD$3,IF(管理者入力シート!$B$14=2,CB6*管理者用人口入力シート!BD$7))</f>
        <v>124.83355650123188</v>
      </c>
      <c r="CD9" s="9">
        <f>IF(管理者入力シート!$B$14=1,CC6*管理者用人口入力シート!BE$3,IF(管理者入力シート!$B$14=2,CC6*管理者用人口入力シート!BE$7))</f>
        <v>25.76804283794597</v>
      </c>
      <c r="CE9" s="9">
        <f>IF(管理者入力シート!$B$14=1,CD6*管理者用人口入力シート!BF$3,IF(管理者入力シート!$B$14=2,CD6*管理者用人口入力シート!BF$7))</f>
        <v>8.3519084016656144</v>
      </c>
      <c r="CF9" s="9">
        <f t="shared" si="2"/>
        <v>7444.9819917907726</v>
      </c>
      <c r="CG9" s="9">
        <f t="shared" si="20"/>
        <v>396.74247397532361</v>
      </c>
      <c r="CH9" s="9">
        <f t="shared" si="21"/>
        <v>213.54981769939542</v>
      </c>
      <c r="CI9" s="9">
        <f t="shared" si="3"/>
        <v>2238.5154436288858</v>
      </c>
      <c r="CJ9" s="9">
        <f t="shared" si="22"/>
        <v>1350.9083457932063</v>
      </c>
      <c r="CK9" s="13">
        <f t="shared" si="23"/>
        <v>0.30067439331581869</v>
      </c>
      <c r="CL9" s="13">
        <f t="shared" si="24"/>
        <v>0.18145219790763614</v>
      </c>
      <c r="CM9" s="9">
        <f t="shared" si="25"/>
        <v>1368.2676279724444</v>
      </c>
      <c r="CO9" s="7" t="str">
        <f t="shared" si="26"/>
        <v>2035_1</v>
      </c>
      <c r="CP9" s="28">
        <f>管理者入力シート!B10</f>
        <v>2035</v>
      </c>
      <c r="CQ9" s="3" t="s">
        <v>21</v>
      </c>
      <c r="CR9" s="9">
        <f>DT10*$AK$13+将来予測シート②!$G17</f>
        <v>312.88708556652608</v>
      </c>
      <c r="CS9" s="9">
        <f>IF(管理者入力シート!$B$14=1,CR6*管理者用人口入力シート!AM$3,IF(管理者入力シート!$B$14=2,CR6*管理者用人口入力シート!AM$7))+将来予測シート②!$G18</f>
        <v>325.94799322020492</v>
      </c>
      <c r="CT9" s="9">
        <f>IF(管理者入力シート!$B$14=1,CS6*管理者用人口入力シート!AN$3,IF(管理者入力シート!$B$14=2,CS6*管理者用人口入力シート!AN$7))+将来予測シート②!$G19</f>
        <v>339.12218993624202</v>
      </c>
      <c r="CU9" s="9">
        <f>IF(管理者入力シート!$B$14=1,CT6*管理者用人口入力シート!AO$3,IF(管理者入力シート!$B$14=2,CT6*管理者用人口入力シート!AO$7))+将来予測シート②!$G20</f>
        <v>394.29243769649179</v>
      </c>
      <c r="CV9" s="9">
        <f>IF(管理者入力シート!$B$14=1,CU6*管理者用人口入力シート!AP$3,IF(管理者入力シート!$B$14=2,CU6*管理者用人口入力シート!AP$7))+将来予測シート②!$G21</f>
        <v>241.56578943059753</v>
      </c>
      <c r="CW9" s="9">
        <f>IF(管理者入力シート!$B$14=1,CV6*管理者用人口入力シート!AQ$3,IF(管理者入力シート!$B$14=2,CV6*管理者用人口入力シート!AQ$7))+将来予測シート②!$G22</f>
        <v>379.47090412470612</v>
      </c>
      <c r="CX9" s="9">
        <f>IF(管理者入力シート!$B$14=1,CW6*管理者用人口入力シート!AR$3,IF(管理者入力シート!$B$14=2,CW6*管理者用人口入力シート!AR$7))+将来予測シート②!$G23</f>
        <v>384.24298685323271</v>
      </c>
      <c r="CY9" s="9">
        <f>IF(管理者入力シート!$B$14=1,CX6*管理者用人口入力シート!AS$3,IF(管理者入力シート!$B$14=2,CX6*管理者用人口入力シート!AS$7))+将来予測シート②!$G24</f>
        <v>369.94290675517618</v>
      </c>
      <c r="CZ9" s="9">
        <f>IF(管理者入力シート!$B$14=1,CY6*管理者用人口入力シート!AT$3,IF(管理者入力シート!$B$14=2,CY6*管理者用人口入力シート!AT$7))+将来予測シート②!$G25</f>
        <v>465.19907509377379</v>
      </c>
      <c r="DA9" s="9">
        <f>IF(管理者入力シート!$B$14=1,CZ6*管理者用人口入力シート!AU$3,IF(管理者入力シート!$B$14=2,CZ6*管理者用人口入力シート!AU$7))+将来予測シート②!$G26</f>
        <v>418.21229249385226</v>
      </c>
      <c r="DB9" s="9">
        <f>IF(管理者入力シート!$B$14=1,DA6*管理者用人口入力シート!AV$3,IF(管理者入力シート!$B$14=2,DA6*管理者用人口入力シート!AV$7))+将来予測シート②!$G27</f>
        <v>514.3544781814436</v>
      </c>
      <c r="DC9" s="9">
        <f>IF(管理者入力シート!$B$14=1,DB6*管理者用人口入力シート!AW$3,IF(管理者入力シート!$B$14=2,DB6*管理者用人口入力シート!AW$7))+将来予測シート②!$G28</f>
        <v>523.48137567124616</v>
      </c>
      <c r="DD9" s="9">
        <f>IF(管理者入力シート!$B$14=1,DC6*管理者用人口入力シート!AX$3,IF(管理者入力シート!$B$14=2,DC6*管理者用人口入力シート!AX$7))+将来予測シート②!$G29</f>
        <v>552.23762562002014</v>
      </c>
      <c r="DE9" s="9">
        <f>IF(管理者入力シート!$B$14=1,DD6*管理者用人口入力シート!AY$3,IF(管理者入力シート!$B$14=2,DD6*管理者用人口入力シート!AY$7))</f>
        <v>455.10231727777398</v>
      </c>
      <c r="DF9" s="9">
        <f>IF(管理者入力シート!$B$14=1,DE6*管理者用人口入力シート!AZ$3,IF(管理者入力シート!$B$14=2,DE6*管理者用人口入力シート!AZ$7))</f>
        <v>432.50478055790597</v>
      </c>
      <c r="DG9" s="9">
        <f>IF(管理者入力シート!$B$14=1,DF6*管理者用人口入力シート!BA$3,IF(管理者入力シート!$B$14=2,DF6*管理者用人口入力シート!BA$7))</f>
        <v>529.77529590181803</v>
      </c>
      <c r="DH9" s="9">
        <f>IF(管理者入力シート!$B$14=1,DG6*管理者用人口入力シート!BB$3,IF(管理者入力シート!$B$14=2,DG6*管理者用人口入力シート!BB$7))</f>
        <v>399.41756274273558</v>
      </c>
      <c r="DI9" s="9">
        <f>IF(管理者入力シート!$B$14=1,DH6*管理者用人口入力シート!BC$3,IF(管理者入力シート!$B$14=2,DH6*管理者用人口入力シート!BC$7))</f>
        <v>262.76197940780906</v>
      </c>
      <c r="DJ9" s="9">
        <f>IF(管理者入力シート!$B$14=1,DI6*管理者用人口入力シート!BD$3,IF(管理者入力シート!$B$14=2,DI6*管理者用人口入力シート!BD$7))</f>
        <v>124.83355650123188</v>
      </c>
      <c r="DK9" s="9">
        <f>IF(管理者入力シート!$B$14=1,DJ6*管理者用人口入力シート!BE$3,IF(管理者入力シート!$B$14=2,DJ6*管理者用人口入力シート!BE$7))</f>
        <v>25.76804283794597</v>
      </c>
      <c r="DL9" s="9">
        <f>IF(管理者入力シート!$B$14=1,DK6*管理者用人口入力シート!BF$3,IF(管理者入力シート!$B$14=2,DK6*管理者用人口入力シート!BF$7))</f>
        <v>8.3519084016656144</v>
      </c>
      <c r="DM9" s="9">
        <f t="shared" si="69"/>
        <v>7459.4725842724001</v>
      </c>
      <c r="DN9" s="9">
        <f t="shared" si="34"/>
        <v>399.0421098938682</v>
      </c>
      <c r="DO9" s="9">
        <f t="shared" si="35"/>
        <v>214.50736351379516</v>
      </c>
      <c r="DP9" s="9">
        <f t="shared" si="6"/>
        <v>2238.5154436288858</v>
      </c>
      <c r="DQ9" s="9">
        <f t="shared" si="36"/>
        <v>1350.9083457932063</v>
      </c>
      <c r="DR9" s="13">
        <f t="shared" si="37"/>
        <v>0.30009031045285778</v>
      </c>
      <c r="DS9" s="13">
        <f t="shared" si="38"/>
        <v>0.18109971322120952</v>
      </c>
      <c r="DT9" s="9">
        <f t="shared" si="70"/>
        <v>1375.2225871637124</v>
      </c>
      <c r="DV9" s="7" t="s">
        <v>403</v>
      </c>
      <c r="DW9" s="210">
        <f>DW7+DW8</f>
        <v>-787.9611640244425</v>
      </c>
      <c r="DX9" s="28">
        <f>管理者入力シート!B10</f>
        <v>2035</v>
      </c>
      <c r="DY9" s="3" t="s">
        <v>21</v>
      </c>
      <c r="DZ9" s="9">
        <f>FB10*$AK$13</f>
        <v>509.7518150578652</v>
      </c>
      <c r="EA9" s="129">
        <f>IF(管理者入力シート!$B$14=1,DZ6*管理者用人口入力シート!AM$3,IF(管理者入力シート!$B$14=2,DZ6*管理者用人口入力シート!AM$7))</f>
        <v>482.86625643242763</v>
      </c>
      <c r="EB9" s="9">
        <f>IF(管理者入力シート!$B$14=1,EA6*管理者用人口入力シート!AN$3,IF(管理者入力シート!$B$14=2,EA6*管理者用人口入力シート!AN$7))</f>
        <v>337.22697386205022</v>
      </c>
      <c r="EC9" s="9">
        <f>IF(管理者入力シート!$B$14=1,EB6*管理者用人口入力シート!AO$3,IF(管理者入力シート!$B$14=2,EB6*管理者用人口入力シート!AO$7))</f>
        <v>393.29514077287672</v>
      </c>
      <c r="ED9" s="9">
        <f>IF(管理者入力シート!$B$14=1,EC6*管理者用人口入力シート!AP$3,IF(管理者入力シート!$B$14=2,EC6*管理者用人口入力シート!AP$7))</f>
        <v>240.97735665520585</v>
      </c>
      <c r="EE9" s="9">
        <f>IF(管理者入力シート!$B$14=1,ED6*管理者用人口入力シート!AQ$3,IF(管理者入力シート!$B$14=2,ED6*管理者用人口入力シート!AQ$7))+DX1</f>
        <v>508.47090412470612</v>
      </c>
      <c r="EF9" s="9">
        <f>IF(管理者入力シート!$B$14=1,EE6*管理者用人口入力シート!AR$3,IF(管理者入力シート!$B$14=2,EE6*管理者用人口入力シート!AR$7))+DX1</f>
        <v>656.63760607042184</v>
      </c>
      <c r="EG9" s="9">
        <f>IF(管理者入力シート!$B$14=1,EF6*管理者用人口入力シート!AS$3,IF(管理者入力シート!$B$14=2,EF6*管理者用人口入力シート!AS$7))+DX1</f>
        <v>771.12537284432074</v>
      </c>
      <c r="EH9" s="9">
        <f>IF(管理者入力シート!$B$14=1,EG6*管理者用人口入力シート!AT$3,IF(管理者入力シート!$B$14=2,EG6*管理者用人口入力シート!AT$7))</f>
        <v>719.29659289420738</v>
      </c>
      <c r="EI9" s="9">
        <f>IF(管理者入力シート!$B$14=1,EH6*管理者用人口入力シート!AU$3,IF(管理者入力シート!$B$14=2,EH6*管理者用人口入力シート!AU$7))</f>
        <v>540.34183587380403</v>
      </c>
      <c r="EJ9" s="9">
        <f>IF(管理者入力シート!$B$14=1,EI6*管理者用人口入力シート!AV$3,IF(管理者入力シート!$B$14=2,EI6*管理者用人口入力シート!AV$7))</f>
        <v>514.3544781814436</v>
      </c>
      <c r="EK9" s="9">
        <f>IF(管理者入力シート!$B$14=1,EJ6*管理者用人口入力シート!AW$3,IF(管理者入力シート!$B$14=2,EJ6*管理者用人口入力シート!AW$7))</f>
        <v>523.48137567124616</v>
      </c>
      <c r="EL9" s="9">
        <f>IF(管理者入力シート!$B$14=1,EK6*管理者用人口入力シート!AX$3,IF(管理者入力シート!$B$14=2,EK6*管理者用人口入力シート!AX$7))</f>
        <v>552.23762562002014</v>
      </c>
      <c r="EM9" s="9">
        <f>IF(管理者入力シート!$B$14=1,EL6*管理者用人口入力シート!AY$3,IF(管理者入力シート!$B$14=2,EL6*管理者用人口入力シート!AY$7))</f>
        <v>455.10231727777398</v>
      </c>
      <c r="EN9" s="9">
        <f>IF(管理者入力シート!$B$14=1,EM6*管理者用人口入力シート!AZ$3,IF(管理者入力シート!$B$14=2,EM6*管理者用人口入力シート!AZ$7))</f>
        <v>432.50478055790597</v>
      </c>
      <c r="EO9" s="9">
        <f>IF(管理者入力シート!$B$14=1,EN6*管理者用人口入力シート!BA$3,IF(管理者入力シート!$B$14=2,EN6*管理者用人口入力シート!BA$7))</f>
        <v>529.77529590181803</v>
      </c>
      <c r="EP9" s="9">
        <f>IF(管理者入力シート!$B$14=1,EO6*管理者用人口入力シート!BB$3,IF(管理者入力シート!$B$14=2,EO6*管理者用人口入力シート!BB$7))</f>
        <v>399.41756274273558</v>
      </c>
      <c r="EQ9" s="9">
        <f>IF(管理者入力シート!$B$14=1,EP6*管理者用人口入力シート!BC$3,IF(管理者入力シート!$B$14=2,EP6*管理者用人口入力シート!BC$7))</f>
        <v>262.76197940780906</v>
      </c>
      <c r="ER9" s="9">
        <f>IF(管理者入力シート!$B$14=1,EQ6*管理者用人口入力シート!BD$3,IF(管理者入力シート!$B$14=2,EQ6*管理者用人口入力シート!BD$7))</f>
        <v>124.83355650123188</v>
      </c>
      <c r="ES9" s="9">
        <f>IF(管理者入力シート!$B$14=1,ER6*管理者用人口入力シート!BE$3,IF(管理者入力シート!$B$14=2,ER6*管理者用人口入力シート!BE$7))</f>
        <v>25.76804283794597</v>
      </c>
      <c r="ET9" s="9">
        <f>IF(管理者入力シート!$B$14=1,ES6*管理者用人口入力シート!BF$3,IF(管理者入力シート!$B$14=2,ES6*管理者用人口入力シート!BF$7))</f>
        <v>8.3519084016656144</v>
      </c>
      <c r="EU9" s="9">
        <f t="shared" si="71"/>
        <v>8988.5787776894831</v>
      </c>
      <c r="EV9" s="9">
        <f t="shared" si="41"/>
        <v>492.05593817668665</v>
      </c>
      <c r="EW9" s="9">
        <f t="shared" si="42"/>
        <v>213.54981769939542</v>
      </c>
      <c r="EX9" s="9">
        <f t="shared" si="10"/>
        <v>2238.5154436288858</v>
      </c>
      <c r="EY9" s="9">
        <f t="shared" si="43"/>
        <v>1350.9083457932063</v>
      </c>
      <c r="EZ9" s="13">
        <f t="shared" si="44"/>
        <v>0.24903997606218864</v>
      </c>
      <c r="FA9" s="13">
        <f t="shared" si="45"/>
        <v>0.15029165112801712</v>
      </c>
      <c r="FB9" s="9">
        <f t="shared" si="72"/>
        <v>2177.2112396946545</v>
      </c>
    </row>
    <row r="10" spans="1:158" x14ac:dyDescent="0.15">
      <c r="A10" s="7" t="str">
        <f t="shared" si="11"/>
        <v>2015_2</v>
      </c>
      <c r="B10" s="29">
        <v>2015</v>
      </c>
      <c r="C10" s="4" t="s">
        <v>22</v>
      </c>
      <c r="D10" s="10">
        <v>455.59059962282709</v>
      </c>
      <c r="E10" s="10">
        <v>438.37038881442044</v>
      </c>
      <c r="F10" s="10">
        <v>391.39467406880817</v>
      </c>
      <c r="G10" s="10">
        <v>466.37834613674914</v>
      </c>
      <c r="H10" s="10">
        <v>389.39096360511417</v>
      </c>
      <c r="I10" s="10">
        <v>451.59271877703043</v>
      </c>
      <c r="J10" s="10">
        <v>546.68176411193087</v>
      </c>
      <c r="K10" s="10">
        <v>577.6464676584153</v>
      </c>
      <c r="L10" s="10">
        <v>585.61148671492401</v>
      </c>
      <c r="M10" s="10">
        <v>504.52515977089871</v>
      </c>
      <c r="N10" s="10">
        <v>615.61820126426608</v>
      </c>
      <c r="O10" s="10">
        <v>656.44273083479641</v>
      </c>
      <c r="P10" s="10">
        <v>694.54247096378572</v>
      </c>
      <c r="Q10" s="10">
        <v>738.68713526418355</v>
      </c>
      <c r="R10" s="10">
        <v>572.50344825412469</v>
      </c>
      <c r="S10" s="10">
        <v>534.5647926204781</v>
      </c>
      <c r="T10" s="10">
        <v>554.82199606364679</v>
      </c>
      <c r="U10" s="10">
        <v>384.76953083122731</v>
      </c>
      <c r="V10" s="10">
        <v>178.52062575569593</v>
      </c>
      <c r="W10" s="10">
        <v>62.303407690666305</v>
      </c>
      <c r="X10" s="10">
        <v>9.043091176010897</v>
      </c>
      <c r="Y10" s="10">
        <f t="shared" si="68"/>
        <v>9808.9999999999982</v>
      </c>
      <c r="Z10" s="10">
        <f t="shared" si="12"/>
        <v>497.8590377299372</v>
      </c>
      <c r="AA10" s="10">
        <f t="shared" si="13"/>
        <v>249.8335388548731</v>
      </c>
      <c r="AB10" s="10">
        <f t="shared" si="0"/>
        <v>3035.214027656034</v>
      </c>
      <c r="AC10" s="10">
        <f t="shared" si="14"/>
        <v>1724.0234441377252</v>
      </c>
      <c r="AD10" s="14">
        <f t="shared" si="15"/>
        <v>0.30943154528046024</v>
      </c>
      <c r="AE10" s="14">
        <f t="shared" si="16"/>
        <v>0.17575934795980483</v>
      </c>
      <c r="AF10" s="10">
        <f t="shared" si="17"/>
        <v>1965.3119141524908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287.95304500022627</v>
      </c>
      <c r="BL10" s="10">
        <f>IF(管理者入力シート!$B$14=1,BK7*管理者用人口入力シート!AM$4,IF(管理者入力シート!$B$14=2,BK7*管理者用人口入力シート!AM$8))</f>
        <v>301.48954439661065</v>
      </c>
      <c r="BM10" s="10">
        <f>IF(管理者入力シート!$B$14=1,BL7*管理者用人口入力シート!AN$4,IF(管理者入力シート!$B$14=2,BL7*管理者用人口入力シート!AN$8))</f>
        <v>324.11121842900684</v>
      </c>
      <c r="BN10" s="10">
        <f>IF(管理者入力シート!$B$14=1,BM7*管理者用人口入力シート!AO$4,IF(管理者入力シート!$B$14=2,BM7*管理者用人口入力シート!AO$8))</f>
        <v>381.34282864968742</v>
      </c>
      <c r="BO10" s="10">
        <f>IF(管理者入力シート!$B$14=1,BN7*管理者用人口入力シート!AP$4,IF(管理者入力シート!$B$14=2,BN7*管理者用人口入力シート!AP$8))</f>
        <v>289.93645361924223</v>
      </c>
      <c r="BP10" s="10">
        <f>IF(管理者入力シート!$B$14=1,BO7*管理者用人口入力シート!AQ$4,IF(管理者入力シート!$B$14=2,BO7*管理者用人口入力シート!AQ$8))</f>
        <v>317.14285565918397</v>
      </c>
      <c r="BQ10" s="10">
        <f>IF(管理者入力シート!$B$14=1,BP7*管理者用人口入力シート!AR$4,IF(管理者入力シート!$B$14=2,BP7*管理者用人口入力シート!AR$8))</f>
        <v>298.87893550813294</v>
      </c>
      <c r="BR10" s="10">
        <f>IF(管理者入力シート!$B$14=1,BQ7*管理者用人口入力シート!AS$4,IF(管理者入力シート!$B$14=2,BQ7*管理者用人口入力シート!AS$8))</f>
        <v>316.97155511249537</v>
      </c>
      <c r="BS10" s="10">
        <f>IF(管理者入力シート!$B$14=1,BR7*管理者用人口入力シート!AT$4,IF(管理者入力シート!$B$14=2,BR7*管理者用人口入力シート!AT$8))</f>
        <v>434.70480491588677</v>
      </c>
      <c r="BT10" s="10">
        <f>IF(管理者入力シート!$B$14=1,BS7*管理者用人口入力シート!AU$4,IF(管理者入力シート!$B$14=2,BS7*管理者用人口入力シート!AU$8))</f>
        <v>450.4717596112564</v>
      </c>
      <c r="BU10" s="10">
        <f>IF(管理者入力シート!$B$14=1,BT7*管理者用人口入力シート!AV$4,IF(管理者入力シート!$B$14=2,BT7*管理者用人口入力シート!AV$8))</f>
        <v>530.60245110885728</v>
      </c>
      <c r="BV10" s="10">
        <f>IF(管理者入力シート!$B$14=1,BU7*管理者用人口入力シート!AW$4,IF(管理者入力シート!$B$14=2,BU7*管理者用人口入力シート!AW$8))</f>
        <v>574.87942777545061</v>
      </c>
      <c r="BW10" s="10">
        <f>IF(管理者入力シート!$B$14=1,BV7*管理者用人口入力シート!AX$4,IF(管理者入力シート!$B$14=2,BV7*管理者用人口入力シート!AX$8))</f>
        <v>572.45154805844732</v>
      </c>
      <c r="BX10" s="10">
        <f>IF(管理者入力シート!$B$14=1,BW7*管理者用人口入力シート!AY$4,IF(管理者入力シート!$B$14=2,BW7*管理者用人口入力シート!AY$8))</f>
        <v>481.15151467781214</v>
      </c>
      <c r="BY10" s="10">
        <f>IF(管理者入力シート!$B$14=1,BX7*管理者用人口入力シート!AZ$4,IF(管理者入力シート!$B$14=2,BX7*管理者用人口入力シート!AZ$8))</f>
        <v>573.70202275996837</v>
      </c>
      <c r="BZ10" s="10">
        <f>IF(管理者入力シート!$B$14=1,BY7*管理者用人口入力シート!BA$4,IF(管理者入力シート!$B$14=2,BY7*管理者用人口入力シート!BA$8))</f>
        <v>572.15490232067179</v>
      </c>
      <c r="CA10" s="10">
        <f>IF(管理者入力シート!$B$14=1,BZ7*管理者用人口入力シート!BB$4,IF(管理者入力シート!$B$14=2,BZ7*管理者用人口入力シート!BB$8))</f>
        <v>545.00562017577602</v>
      </c>
      <c r="CB10" s="10">
        <f>IF(管理者入力シート!$B$14=1,CA7*管理者用人口入力シート!BC$4,IF(管理者入力シート!$B$14=2,CA7*管理者用人口入力シート!BC$8))</f>
        <v>475.48539136931834</v>
      </c>
      <c r="CC10" s="10">
        <f>IF(管理者入力シート!$B$14=1,CB7*管理者用人口入力シート!BD$4,IF(管理者入力シート!$B$14=2,CB7*管理者用人口入力シート!BD$8))</f>
        <v>268.10755094590087</v>
      </c>
      <c r="CD10" s="10">
        <f>IF(管理者入力シート!$B$14=1,CC7*管理者用人口入力シート!BE$4,IF(管理者入力シート!$B$14=2,CC7*管理者用人口入力シート!BE$8))</f>
        <v>110.58215523712308</v>
      </c>
      <c r="CE10" s="10">
        <f>IF(管理者入力シート!$B$14=1,CD7*管理者用人口入力シート!BF$4,IF(管理者入力シート!$B$14=2,CD7*管理者用人口入力シート!BF$8))</f>
        <v>30.57728853442978</v>
      </c>
      <c r="CF10" s="10">
        <f t="shared" si="2"/>
        <v>8137.7028738654853</v>
      </c>
      <c r="CG10" s="10">
        <f t="shared" si="20"/>
        <v>375.36045769537048</v>
      </c>
      <c r="CH10" s="10">
        <f t="shared" si="21"/>
        <v>205.91305310154021</v>
      </c>
      <c r="CI10" s="10">
        <f t="shared" si="3"/>
        <v>3056.7664460210008</v>
      </c>
      <c r="CJ10" s="10">
        <f t="shared" si="22"/>
        <v>2001.9129085832196</v>
      </c>
      <c r="CK10" s="14">
        <f t="shared" si="23"/>
        <v>0.37563013707933623</v>
      </c>
      <c r="CL10" s="14">
        <f t="shared" si="24"/>
        <v>0.24600466982057459</v>
      </c>
      <c r="CM10" s="10">
        <f t="shared" si="25"/>
        <v>1222.9297998990546</v>
      </c>
      <c r="CO10" s="7" t="str">
        <f t="shared" si="26"/>
        <v>2035_2</v>
      </c>
      <c r="CP10" s="29">
        <f>CP9</f>
        <v>2035</v>
      </c>
      <c r="CQ10" s="4" t="s">
        <v>22</v>
      </c>
      <c r="CR10" s="10">
        <f>DT10*$AK$14+将来予測シート②!$H17</f>
        <v>290.53642629227437</v>
      </c>
      <c r="CS10" s="10">
        <f>IF(管理者入力シート!$B$14=1,CR7*管理者用人口入力シート!AM$4,IF(管理者入力シート!$B$14=2,CR7*管理者用人口入力シート!AM$8))+将来予測シート②!$H18</f>
        <v>303.36101988214148</v>
      </c>
      <c r="CT10" s="10">
        <f>IF(管理者入力シート!$B$14=1,CS7*管理者用人口入力シート!AN$4,IF(管理者入力シート!$B$14=2,CS7*管理者用人口入力シート!AN$8))+将来予測シート②!$H19</f>
        <v>326.03803504709077</v>
      </c>
      <c r="CU10" s="10">
        <f>IF(管理者入力シート!$B$14=1,CT7*管理者用人口入力シート!AO$4,IF(管理者入力シート!$B$14=2,CT7*管理者用人口入力シート!AO$8))+将来予測シート②!$H20</f>
        <v>382.34894851558272</v>
      </c>
      <c r="CV10" s="10">
        <f>IF(管理者入力シート!$B$14=1,CU7*管理者用人口入力シート!AP$4,IF(管理者入力シート!$B$14=2,CU7*管理者用人口入力シート!AP$8))+将来予測シート②!$H21</f>
        <v>290.6035489163234</v>
      </c>
      <c r="CW10" s="10">
        <f>IF(管理者入力シート!$B$14=1,CV7*管理者用人口入力シート!AQ$4,IF(管理者入力シート!$B$14=2,CV7*管理者用人口入力シート!AQ$8))+将来予測シート②!$H22</f>
        <v>319.14285565918397</v>
      </c>
      <c r="CX10" s="10">
        <f>IF(管理者入力シート!$B$14=1,CW7*管理者用人口入力シート!AR$4,IF(管理者入力シート!$B$14=2,CW7*管理者用人口入力シート!AR$8))+将来予測シート②!$H23</f>
        <v>300.93065614543661</v>
      </c>
      <c r="CY10" s="10">
        <f>IF(管理者入力シート!$B$14=1,CX7*管理者用人口入力シート!AS$4,IF(管理者入力シート!$B$14=2,CX7*管理者用人口入力シート!AS$8))+将来予測シート②!$H24</f>
        <v>318.9773222317358</v>
      </c>
      <c r="CZ10" s="10">
        <f>IF(管理者入力シート!$B$14=1,CY7*管理者用人口入力シート!AT$4,IF(管理者入力シート!$B$14=2,CY7*管理者用人口入力シート!AT$8))+将来予測シート②!$H25</f>
        <v>435.70480491588677</v>
      </c>
      <c r="DA10" s="10">
        <f>IF(管理者入力シート!$B$14=1,CZ7*管理者用人口入力シート!AU$4,IF(管理者入力シート!$B$14=2,CZ7*管理者用人口入力シート!AU$8))+将来予測シート②!$H26</f>
        <v>451.45821837165465</v>
      </c>
      <c r="DB10" s="10">
        <f>IF(管理者入力シート!$B$14=1,DA7*管理者用人口入力シート!AV$4,IF(管理者入力シート!$B$14=2,DA7*管理者用人口入力シート!AV$8))+将来予測シート②!$H27</f>
        <v>531.58224126527762</v>
      </c>
      <c r="DC10" s="10">
        <f>IF(管理者入力シート!$B$14=1,DB7*管理者用人口入力シート!AW$4,IF(管理者入力シート!$B$14=2,DB7*管理者用人口入力シート!AW$8))+将来予測シート②!$H28</f>
        <v>574.87942777545061</v>
      </c>
      <c r="DD10" s="10">
        <f>IF(管理者入力シート!$B$14=1,DC7*管理者用人口入力シート!AX$4,IF(管理者入力シート!$B$14=2,DC7*管理者用人口入力シート!AX$8))+将来予測シート②!$H29</f>
        <v>572.45154805844732</v>
      </c>
      <c r="DE10" s="10">
        <f>IF(管理者入力シート!$B$14=1,DD7*管理者用人口入力シート!AY$4,IF(管理者入力シート!$B$14=2,DD7*管理者用人口入力シート!AY$8))</f>
        <v>481.15151467781214</v>
      </c>
      <c r="DF10" s="10">
        <f>IF(管理者入力シート!$B$14=1,DE7*管理者用人口入力シート!AZ$4,IF(管理者入力シート!$B$14=2,DE7*管理者用人口入力シート!AZ$8))</f>
        <v>573.70202275996837</v>
      </c>
      <c r="DG10" s="10">
        <f>IF(管理者入力シート!$B$14=1,DF7*管理者用人口入力シート!BA$4,IF(管理者入力シート!$B$14=2,DF7*管理者用人口入力シート!BA$8))</f>
        <v>572.15490232067179</v>
      </c>
      <c r="DH10" s="10">
        <f>IF(管理者入力シート!$B$14=1,DG7*管理者用人口入力シート!BB$4,IF(管理者入力シート!$B$14=2,DG7*管理者用人口入力シート!BB$8))</f>
        <v>545.00562017577602</v>
      </c>
      <c r="DI10" s="10">
        <f>IF(管理者入力シート!$B$14=1,DH7*管理者用人口入力シート!BC$4,IF(管理者入力シート!$B$14=2,DH7*管理者用人口入力シート!BC$8))</f>
        <v>475.48539136931834</v>
      </c>
      <c r="DJ10" s="10">
        <f>IF(管理者入力シート!$B$14=1,DI7*管理者用人口入力シート!BD$4,IF(管理者入力シート!$B$14=2,DI7*管理者用人口入力シート!BD$8))</f>
        <v>268.10755094590087</v>
      </c>
      <c r="DK10" s="10">
        <f>IF(管理者入力シート!$B$14=1,DJ7*管理者用人口入力シート!BE$4,IF(管理者入力シート!$B$14=2,DJ7*管理者用人口入力シート!BE$8))</f>
        <v>110.58215523712308</v>
      </c>
      <c r="DL10" s="10">
        <f>IF(管理者入力シート!$B$14=1,DK7*管理者用人口入力シート!BF$4,IF(管理者入力シート!$B$14=2,DK7*管理者用人口入力シート!BF$8))</f>
        <v>30.57728853442978</v>
      </c>
      <c r="DM10" s="10">
        <f t="shared" si="69"/>
        <v>8154.7814990974866</v>
      </c>
      <c r="DN10" s="10">
        <f t="shared" si="34"/>
        <v>377.63943295753938</v>
      </c>
      <c r="DO10" s="10">
        <f t="shared" si="35"/>
        <v>206.88500372195284</v>
      </c>
      <c r="DP10" s="10">
        <f t="shared" si="6"/>
        <v>3056.7664460210008</v>
      </c>
      <c r="DQ10" s="10">
        <f t="shared" si="36"/>
        <v>2001.9129085832196</v>
      </c>
      <c r="DR10" s="14">
        <f t="shared" si="37"/>
        <v>0.37484345182753237</v>
      </c>
      <c r="DS10" s="14">
        <f t="shared" si="38"/>
        <v>0.24548946023934268</v>
      </c>
      <c r="DT10" s="10">
        <f t="shared" si="70"/>
        <v>1229.6543829526797</v>
      </c>
      <c r="DV10" s="62" t="s">
        <v>405</v>
      </c>
      <c r="DW10" s="210">
        <f>((SUM(BL12:BL13)*3/5+SUM(BM12:BM13)+SUM(BN12:BN13)*1/5)-(SUM(E12:E13)*3/5+SUM(F12:F13)+SUM(G12:G13)*1/5))/4</f>
        <v>-131.02192662507315</v>
      </c>
      <c r="DX10" s="29">
        <f>DX9</f>
        <v>2035</v>
      </c>
      <c r="DY10" s="4" t="s">
        <v>22</v>
      </c>
      <c r="DZ10" s="10">
        <f>FB10*$AK$14</f>
        <v>473.22164224838696</v>
      </c>
      <c r="EA10" s="10">
        <f>IF(管理者入力シート!$B$14=1,DZ7*管理者用人口入力シート!AM$4,IF(管理者入力シート!$B$14=2,DZ7*管理者用人口入力シート!AM$8))</f>
        <v>449.30375836813522</v>
      </c>
      <c r="EB10" s="10">
        <f>IF(管理者入力シート!$B$14=1,EA7*管理者用人口入力シート!AN$4,IF(管理者入力シート!$B$14=2,EA7*管理者用人口入力シート!AN$8))</f>
        <v>324.11121842900684</v>
      </c>
      <c r="EC10" s="10">
        <f>IF(管理者入力シート!$B$14=1,EB7*管理者用人口入力シート!AO$4,IF(管理者入力シート!$B$14=2,EB7*管理者用人口入力シート!AO$8))</f>
        <v>381.34282864968742</v>
      </c>
      <c r="ED10" s="10">
        <f>IF(管理者入力シート!$B$14=1,EC7*管理者用人口入力シート!AP$4,IF(管理者入力シート!$B$14=2,EC7*管理者用人口入力シート!AP$8))</f>
        <v>289.93645361924223</v>
      </c>
      <c r="EE10" s="10">
        <f>IF(管理者入力シート!$B$14=1,ED7*管理者用人口入力シート!AQ$4,IF(管理者入力シート!$B$14=2,ED7*管理者用人口入力シート!AQ$8))+DX1</f>
        <v>448.14285565918397</v>
      </c>
      <c r="EF10" s="10">
        <f>IF(管理者入力シート!$B$14=1,EE7*管理者用人口入力シート!AR$4,IF(管理者入力シート!$B$14=2,EE7*管理者用人口入力シート!AR$8))+DX1</f>
        <v>564.2666372515215</v>
      </c>
      <c r="EG10" s="10">
        <f>IF(管理者入力シート!$B$14=1,EF7*管理者用人口入力シート!AS$4,IF(管理者入力シート!$B$14=2,EF7*管理者用人口入力シート!AS$8))+DX1</f>
        <v>707.41522221291825</v>
      </c>
      <c r="EH10" s="10">
        <f>IF(管理者入力シート!$B$14=1,EG7*管理者用人口入力シート!AT$4,IF(管理者入力シート!$B$14=2,EG7*管理者用人口入力シート!AT$8))</f>
        <v>691.46677034437607</v>
      </c>
      <c r="EI10" s="10">
        <f>IF(管理者入力シート!$B$14=1,EH7*管理者用人口入力シート!AU$4,IF(管理者入力シート!$B$14=2,EH7*管理者用人口入力シート!AU$8))</f>
        <v>578.54860857059862</v>
      </c>
      <c r="EJ10" s="10">
        <f>IF(管理者入力シート!$B$14=1,EI7*管理者用人口入力シート!AV$4,IF(管理者入力シート!$B$14=2,EI7*管理者用人口入力シート!AV$8))</f>
        <v>530.60245110885728</v>
      </c>
      <c r="EK10" s="10">
        <f>IF(管理者入力シート!$B$14=1,EJ7*管理者用人口入力シート!AW$4,IF(管理者入力シート!$B$14=2,EJ7*管理者用人口入力シート!AW$8))</f>
        <v>574.87942777545061</v>
      </c>
      <c r="EL10" s="10">
        <f>IF(管理者入力シート!$B$14=1,EK7*管理者用人口入力シート!AX$4,IF(管理者入力シート!$B$14=2,EK7*管理者用人口入力シート!AX$8))</f>
        <v>572.45154805844732</v>
      </c>
      <c r="EM10" s="10">
        <f>IF(管理者入力シート!$B$14=1,EL7*管理者用人口入力シート!AY$4,IF(管理者入力シート!$B$14=2,EL7*管理者用人口入力シート!AY$8))</f>
        <v>481.15151467781214</v>
      </c>
      <c r="EN10" s="10">
        <f>IF(管理者入力シート!$B$14=1,EM7*管理者用人口入力シート!AZ$4,IF(管理者入力シート!$B$14=2,EM7*管理者用人口入力シート!AZ$8))</f>
        <v>573.70202275996837</v>
      </c>
      <c r="EO10" s="10">
        <f>IF(管理者入力シート!$B$14=1,EN7*管理者用人口入力シート!BA$4,IF(管理者入力シート!$B$14=2,EN7*管理者用人口入力シート!BA$8))</f>
        <v>572.15490232067179</v>
      </c>
      <c r="EP10" s="10">
        <f>IF(管理者入力シート!$B$14=1,EO7*管理者用人口入力シート!BB$4,IF(管理者入力シート!$B$14=2,EO7*管理者用人口入力シート!BB$8))</f>
        <v>545.00562017577602</v>
      </c>
      <c r="EQ10" s="10">
        <f>IF(管理者入力シート!$B$14=1,EP7*管理者用人口入力シート!BC$4,IF(管理者入力シート!$B$14=2,EP7*管理者用人口入力シート!BC$8))</f>
        <v>475.48539136931834</v>
      </c>
      <c r="ER10" s="10">
        <f>IF(管理者入力シート!$B$14=1,EQ7*管理者用人口入力シート!BD$4,IF(管理者入力シート!$B$14=2,EQ7*管理者用人口入力シート!BD$8))</f>
        <v>268.10755094590087</v>
      </c>
      <c r="ES10" s="10">
        <f>IF(管理者入力シート!$B$14=1,ER7*管理者用人口入力シート!BE$4,IF(管理者入力シート!$B$14=2,ER7*管理者用人口入力シート!BE$8))</f>
        <v>110.58215523712308</v>
      </c>
      <c r="ET10" s="10">
        <f>IF(管理者入力シート!$B$14=1,ES7*管理者用人口入力シート!BF$4,IF(管理者入力シート!$B$14=2,ES7*管理者用人口入力シート!BF$8))</f>
        <v>30.57728853442978</v>
      </c>
      <c r="EU10" s="10">
        <f t="shared" si="71"/>
        <v>9642.4558683168143</v>
      </c>
      <c r="EV10" s="10">
        <f t="shared" si="41"/>
        <v>464.04898607828522</v>
      </c>
      <c r="EW10" s="10">
        <f t="shared" si="42"/>
        <v>205.91305310154021</v>
      </c>
      <c r="EX10" s="10">
        <f t="shared" si="10"/>
        <v>3056.7664460210008</v>
      </c>
      <c r="EY10" s="10">
        <f t="shared" si="43"/>
        <v>2001.9129085832196</v>
      </c>
      <c r="EZ10" s="14">
        <f t="shared" si="44"/>
        <v>0.31701119380436321</v>
      </c>
      <c r="FA10" s="14">
        <f t="shared" si="45"/>
        <v>0.20761442270750816</v>
      </c>
      <c r="FB10" s="10">
        <f t="shared" si="72"/>
        <v>2009.7611687428659</v>
      </c>
    </row>
    <row r="11" spans="1:158" x14ac:dyDescent="0.15">
      <c r="A11" s="7" t="str">
        <f t="shared" si="11"/>
        <v>2015_3</v>
      </c>
      <c r="B11" s="30">
        <v>2015</v>
      </c>
      <c r="C11" s="5" t="s">
        <v>23</v>
      </c>
      <c r="D11" s="11">
        <v>903.84820052148484</v>
      </c>
      <c r="E11" s="11">
        <v>898.5596204079045</v>
      </c>
      <c r="F11" s="11">
        <v>799.12025077344003</v>
      </c>
      <c r="G11" s="11">
        <v>935.00238456806369</v>
      </c>
      <c r="H11" s="11">
        <v>715.51197567134966</v>
      </c>
      <c r="I11" s="11">
        <v>858.60994748937537</v>
      </c>
      <c r="J11" s="11">
        <v>1088.032980463362</v>
      </c>
      <c r="K11" s="11">
        <v>1123.9423088876983</v>
      </c>
      <c r="L11" s="11">
        <v>1171.1356373021472</v>
      </c>
      <c r="M11" s="11">
        <v>982.70506881662095</v>
      </c>
      <c r="N11" s="11">
        <v>1157.8390955262309</v>
      </c>
      <c r="O11" s="11">
        <v>1337.9007333514851</v>
      </c>
      <c r="P11" s="11">
        <v>1316.6514205273861</v>
      </c>
      <c r="Q11" s="11">
        <v>1349.7802644088545</v>
      </c>
      <c r="R11" s="11">
        <v>1090.4200074788223</v>
      </c>
      <c r="S11" s="11">
        <v>945.50993785089952</v>
      </c>
      <c r="T11" s="11">
        <v>906.62325138813424</v>
      </c>
      <c r="U11" s="11">
        <v>587.55460330335859</v>
      </c>
      <c r="V11" s="11">
        <v>241.86659671043012</v>
      </c>
      <c r="W11" s="11">
        <v>70.342623376940821</v>
      </c>
      <c r="X11" s="11">
        <v>11.043091176010897</v>
      </c>
      <c r="Y11" s="11">
        <f t="shared" si="68"/>
        <v>18492.000000000004</v>
      </c>
      <c r="Z11" s="11">
        <f t="shared" si="12"/>
        <v>1018.6079227088067</v>
      </c>
      <c r="AA11" s="11">
        <f t="shared" si="13"/>
        <v>506.64857722298871</v>
      </c>
      <c r="AB11" s="11">
        <f t="shared" si="0"/>
        <v>5203.1403756934506</v>
      </c>
      <c r="AC11" s="11">
        <f t="shared" si="14"/>
        <v>2762.9401038057745</v>
      </c>
      <c r="AD11" s="15">
        <f t="shared" si="15"/>
        <v>0.28137250571563105</v>
      </c>
      <c r="AE11" s="15">
        <f t="shared" si="16"/>
        <v>0.14941272462717792</v>
      </c>
      <c r="AF11" s="11">
        <f t="shared" si="17"/>
        <v>3786.0972125117855</v>
      </c>
      <c r="BH11" s="7" t="str">
        <f t="shared" si="19"/>
        <v>2035_3</v>
      </c>
      <c r="BI11" s="30">
        <f>BI10</f>
        <v>2035</v>
      </c>
      <c r="BJ11" s="5" t="s">
        <v>23</v>
      </c>
      <c r="BK11" s="16">
        <f>BK9+BK10</f>
        <v>598.13452073091457</v>
      </c>
      <c r="BL11" s="16">
        <f t="shared" ref="BL11" si="117">BL9+BL10</f>
        <v>625.50002716009976</v>
      </c>
      <c r="BM11" s="16">
        <f t="shared" ref="BM11" si="118">BM9+BM10</f>
        <v>661.33819229105711</v>
      </c>
      <c r="BN11" s="16">
        <f t="shared" ref="BN11" si="119">BN9+BN10</f>
        <v>774.63796942256408</v>
      </c>
      <c r="BO11" s="16">
        <f t="shared" ref="BO11" si="120">BO9+BO10</f>
        <v>530.91381027444811</v>
      </c>
      <c r="BP11" s="16">
        <f t="shared" ref="BP11" si="121">BP9+BP10</f>
        <v>694.61375978389015</v>
      </c>
      <c r="BQ11" s="16">
        <f t="shared" ref="BQ11" si="122">BQ9+BQ10</f>
        <v>680.92975772233945</v>
      </c>
      <c r="BR11" s="16">
        <f t="shared" ref="BR11" si="123">BR9+BR10</f>
        <v>684.74010009082144</v>
      </c>
      <c r="BS11" s="16">
        <f t="shared" ref="BS11" si="124">BS9+BS10</f>
        <v>899.9038800096605</v>
      </c>
      <c r="BT11" s="16">
        <f t="shared" ref="BT11" si="125">BT9+BT10</f>
        <v>868.68405210510866</v>
      </c>
      <c r="BU11" s="16">
        <f t="shared" ref="BU11" si="126">BU9+BU10</f>
        <v>1044.9569292903009</v>
      </c>
      <c r="BV11" s="16">
        <f t="shared" ref="BV11" si="127">BV9+BV10</f>
        <v>1098.3608034466968</v>
      </c>
      <c r="BW11" s="16">
        <f t="shared" ref="BW11" si="128">BW9+BW10</f>
        <v>1124.6891736784673</v>
      </c>
      <c r="BX11" s="16">
        <f t="shared" ref="BX11" si="129">BX9+BX10</f>
        <v>936.25383195558607</v>
      </c>
      <c r="BY11" s="16">
        <f t="shared" ref="BY11" si="130">BY9+BY10</f>
        <v>1006.2068033178743</v>
      </c>
      <c r="BZ11" s="16">
        <f t="shared" ref="BZ11" si="131">BZ9+BZ10</f>
        <v>1101.9301982224897</v>
      </c>
      <c r="CA11" s="16">
        <f t="shared" ref="CA11" si="132">CA9+CA10</f>
        <v>944.42318291851166</v>
      </c>
      <c r="CB11" s="16">
        <f t="shared" ref="CB11" si="133">CB9+CB10</f>
        <v>738.24737077712734</v>
      </c>
      <c r="CC11" s="16">
        <f t="shared" ref="CC11" si="134">CC9+CC10</f>
        <v>392.94110744713277</v>
      </c>
      <c r="CD11" s="16">
        <f t="shared" ref="CD11" si="135">CD9+CD10</f>
        <v>136.35019807506904</v>
      </c>
      <c r="CE11" s="16">
        <f t="shared" ref="CE11" si="136">CE9+CE10</f>
        <v>38.929196936095394</v>
      </c>
      <c r="CF11" s="11">
        <f t="shared" si="2"/>
        <v>15582.684865656256</v>
      </c>
      <c r="CG11" s="11">
        <f t="shared" si="20"/>
        <v>772.10293167069415</v>
      </c>
      <c r="CH11" s="11">
        <f t="shared" si="21"/>
        <v>419.46287080093566</v>
      </c>
      <c r="CI11" s="11">
        <f t="shared" si="3"/>
        <v>5295.2818896498857</v>
      </c>
      <c r="CJ11" s="11">
        <f t="shared" si="22"/>
        <v>3352.8212543764253</v>
      </c>
      <c r="CK11" s="15">
        <f t="shared" si="23"/>
        <v>0.33981832625778879</v>
      </c>
      <c r="CL11" s="15">
        <f t="shared" si="24"/>
        <v>0.21516325866063923</v>
      </c>
      <c r="CM11" s="11">
        <f t="shared" si="25"/>
        <v>2591.1974278714993</v>
      </c>
      <c r="CO11" s="7" t="str">
        <f t="shared" si="26"/>
        <v>2035_3</v>
      </c>
      <c r="CP11" s="30">
        <f>CP10</f>
        <v>2035</v>
      </c>
      <c r="CQ11" s="5" t="s">
        <v>23</v>
      </c>
      <c r="CR11" s="16">
        <f>CR9+CR10</f>
        <v>603.42351185880045</v>
      </c>
      <c r="CS11" s="16">
        <f t="shared" ref="CS11" si="137">CS9+CS10</f>
        <v>629.3090131023464</v>
      </c>
      <c r="CT11" s="16">
        <f t="shared" ref="CT11" si="138">CT9+CT10</f>
        <v>665.1602249833328</v>
      </c>
      <c r="CU11" s="16">
        <f t="shared" ref="CU11" si="139">CU9+CU10</f>
        <v>776.64138621207451</v>
      </c>
      <c r="CV11" s="16">
        <f t="shared" ref="CV11" si="140">CV9+CV10</f>
        <v>532.16933834692099</v>
      </c>
      <c r="CW11" s="16">
        <f t="shared" ref="CW11" si="141">CW9+CW10</f>
        <v>698.61375978389015</v>
      </c>
      <c r="CX11" s="16">
        <f t="shared" ref="CX11" si="142">CX9+CX10</f>
        <v>685.17364299866927</v>
      </c>
      <c r="CY11" s="16">
        <f t="shared" ref="CY11" si="143">CY9+CY10</f>
        <v>688.92022898691198</v>
      </c>
      <c r="CZ11" s="16">
        <f t="shared" ref="CZ11" si="144">CZ9+CZ10</f>
        <v>900.9038800096605</v>
      </c>
      <c r="DA11" s="16">
        <f t="shared" ref="DA11" si="145">DA9+DA10</f>
        <v>869.67051086550691</v>
      </c>
      <c r="DB11" s="16">
        <f t="shared" ref="DB11" si="146">DB9+DB10</f>
        <v>1045.9367194467213</v>
      </c>
      <c r="DC11" s="16">
        <f t="shared" ref="DC11" si="147">DC9+DC10</f>
        <v>1098.3608034466968</v>
      </c>
      <c r="DD11" s="16">
        <f t="shared" ref="DD11" si="148">DD9+DD10</f>
        <v>1124.6891736784673</v>
      </c>
      <c r="DE11" s="16">
        <f t="shared" ref="DE11" si="149">DE9+DE10</f>
        <v>936.25383195558607</v>
      </c>
      <c r="DF11" s="16">
        <f t="shared" ref="DF11" si="150">DF9+DF10</f>
        <v>1006.2068033178743</v>
      </c>
      <c r="DG11" s="16">
        <f t="shared" ref="DG11" si="151">DG9+DG10</f>
        <v>1101.9301982224897</v>
      </c>
      <c r="DH11" s="16">
        <f t="shared" ref="DH11" si="152">DH9+DH10</f>
        <v>944.42318291851166</v>
      </c>
      <c r="DI11" s="16">
        <f t="shared" ref="DI11" si="153">DI9+DI10</f>
        <v>738.24737077712734</v>
      </c>
      <c r="DJ11" s="16">
        <f t="shared" ref="DJ11" si="154">DJ9+DJ10</f>
        <v>392.94110744713277</v>
      </c>
      <c r="DK11" s="16">
        <f t="shared" ref="DK11" si="155">DK9+DK10</f>
        <v>136.35019807506904</v>
      </c>
      <c r="DL11" s="16">
        <f t="shared" ref="DL11" si="156">DL9+DL10</f>
        <v>38.929196936095394</v>
      </c>
      <c r="DM11" s="11">
        <f t="shared" si="69"/>
        <v>15614.254083369888</v>
      </c>
      <c r="DN11" s="11">
        <f t="shared" si="34"/>
        <v>776.68154285140758</v>
      </c>
      <c r="DO11" s="11">
        <f t="shared" si="35"/>
        <v>421.39236723574805</v>
      </c>
      <c r="DP11" s="11">
        <f t="shared" si="6"/>
        <v>5295.2818896498857</v>
      </c>
      <c r="DQ11" s="11">
        <f t="shared" si="36"/>
        <v>3352.8212543764253</v>
      </c>
      <c r="DR11" s="15">
        <f t="shared" si="37"/>
        <v>0.33913127462743653</v>
      </c>
      <c r="DS11" s="15">
        <f t="shared" si="38"/>
        <v>0.21472823719113038</v>
      </c>
      <c r="DT11" s="11">
        <f t="shared" si="70"/>
        <v>2604.8769701163924</v>
      </c>
      <c r="DW11" s="211"/>
      <c r="DX11" s="30">
        <f>DX10</f>
        <v>2035</v>
      </c>
      <c r="DY11" s="5" t="s">
        <v>23</v>
      </c>
      <c r="DZ11" s="16">
        <f>DZ9+DZ10</f>
        <v>982.97345730625216</v>
      </c>
      <c r="EA11" s="16">
        <f t="shared" ref="EA11" si="157">EA9+EA10</f>
        <v>932.17001480056285</v>
      </c>
      <c r="EB11" s="16">
        <f t="shared" ref="EB11" si="158">EB9+EB10</f>
        <v>661.33819229105711</v>
      </c>
      <c r="EC11" s="16">
        <f t="shared" ref="EC11" si="159">EC9+EC10</f>
        <v>774.63796942256408</v>
      </c>
      <c r="ED11" s="16">
        <f t="shared" ref="ED11" si="160">ED9+ED10</f>
        <v>530.91381027444811</v>
      </c>
      <c r="EE11" s="16">
        <f t="shared" ref="EE11" si="161">EE9+EE10</f>
        <v>956.61375978389015</v>
      </c>
      <c r="EF11" s="16">
        <f t="shared" ref="EF11" si="162">EF9+EF10</f>
        <v>1220.9042433219433</v>
      </c>
      <c r="EG11" s="16">
        <f t="shared" ref="EG11" si="163">EG9+EG10</f>
        <v>1478.540595057239</v>
      </c>
      <c r="EH11" s="16">
        <f t="shared" ref="EH11" si="164">EH9+EH10</f>
        <v>1410.7633632385835</v>
      </c>
      <c r="EI11" s="16">
        <f t="shared" ref="EI11" si="165">EI9+EI10</f>
        <v>1118.8904444444026</v>
      </c>
      <c r="EJ11" s="16">
        <f t="shared" ref="EJ11" si="166">EJ9+EJ10</f>
        <v>1044.9569292903009</v>
      </c>
      <c r="EK11" s="16">
        <f t="shared" ref="EK11" si="167">EK9+EK10</f>
        <v>1098.3608034466968</v>
      </c>
      <c r="EL11" s="16">
        <f t="shared" ref="EL11" si="168">EL9+EL10</f>
        <v>1124.6891736784673</v>
      </c>
      <c r="EM11" s="16">
        <f t="shared" ref="EM11" si="169">EM9+EM10</f>
        <v>936.25383195558607</v>
      </c>
      <c r="EN11" s="16">
        <f t="shared" ref="EN11" si="170">EN9+EN10</f>
        <v>1006.2068033178743</v>
      </c>
      <c r="EO11" s="16">
        <f t="shared" ref="EO11" si="171">EO9+EO10</f>
        <v>1101.9301982224897</v>
      </c>
      <c r="EP11" s="16">
        <f t="shared" ref="EP11" si="172">EP9+EP10</f>
        <v>944.42318291851166</v>
      </c>
      <c r="EQ11" s="16">
        <f t="shared" ref="EQ11" si="173">EQ9+EQ10</f>
        <v>738.24737077712734</v>
      </c>
      <c r="ER11" s="16">
        <f t="shared" ref="ER11" si="174">ER9+ER10</f>
        <v>392.94110744713277</v>
      </c>
      <c r="ES11" s="16">
        <f t="shared" ref="ES11" si="175">ES9+ES10</f>
        <v>136.35019807506904</v>
      </c>
      <c r="ET11" s="16">
        <f t="shared" ref="ET11" si="176">ET9+ET10</f>
        <v>38.929196936095394</v>
      </c>
      <c r="EU11" s="11">
        <f t="shared" si="71"/>
        <v>18631.034646006297</v>
      </c>
      <c r="EV11" s="11">
        <f t="shared" si="41"/>
        <v>956.10492425497193</v>
      </c>
      <c r="EW11" s="11">
        <f t="shared" si="42"/>
        <v>419.46287080093566</v>
      </c>
      <c r="EX11" s="11">
        <f t="shared" si="10"/>
        <v>5295.2818896498857</v>
      </c>
      <c r="EY11" s="11">
        <f t="shared" si="43"/>
        <v>3352.8212543764253</v>
      </c>
      <c r="EZ11" s="15">
        <f t="shared" si="44"/>
        <v>0.28421834805534912</v>
      </c>
      <c r="FA11" s="15">
        <f t="shared" si="45"/>
        <v>0.17995894044967212</v>
      </c>
      <c r="FB11" s="11">
        <f t="shared" si="72"/>
        <v>4186.9724084375212</v>
      </c>
    </row>
    <row r="12" spans="1:158" x14ac:dyDescent="0.15">
      <c r="A12" s="7" t="str">
        <f t="shared" si="11"/>
        <v>2020_1</v>
      </c>
      <c r="B12" s="28">
        <v>2020</v>
      </c>
      <c r="C12" s="3" t="s">
        <v>21</v>
      </c>
      <c r="D12" s="9">
        <v>440.52060770236506</v>
      </c>
      <c r="E12" s="9">
        <v>437.1175221499584</v>
      </c>
      <c r="F12" s="9">
        <v>473.99314550000958</v>
      </c>
      <c r="G12" s="9">
        <v>436.506812049492</v>
      </c>
      <c r="H12" s="9">
        <v>249.95291553713025</v>
      </c>
      <c r="I12" s="9">
        <v>439.41090439122871</v>
      </c>
      <c r="J12" s="9">
        <v>452.26056318761891</v>
      </c>
      <c r="K12" s="9">
        <v>530.15461743849153</v>
      </c>
      <c r="L12" s="9">
        <v>545.85035560047652</v>
      </c>
      <c r="M12" s="9">
        <v>585.50785575547434</v>
      </c>
      <c r="N12" s="9">
        <v>517.3255438918759</v>
      </c>
      <c r="O12" s="9">
        <v>499.7110028307938</v>
      </c>
      <c r="P12" s="9">
        <v>652.50702268381906</v>
      </c>
      <c r="Q12" s="9">
        <v>610.61986517893456</v>
      </c>
      <c r="R12" s="9">
        <v>562.59500682447788</v>
      </c>
      <c r="S12" s="9">
        <v>469.72265910391337</v>
      </c>
      <c r="T12" s="9">
        <v>317.56200219205783</v>
      </c>
      <c r="U12" s="9">
        <v>240.53068528693291</v>
      </c>
      <c r="V12" s="9">
        <v>102.8384199063681</v>
      </c>
      <c r="W12" s="9">
        <v>15.293187769276125</v>
      </c>
      <c r="X12" s="9">
        <v>2.019305019305019</v>
      </c>
      <c r="Y12" s="9">
        <f t="shared" ref="Y12:Y14" si="177">SUM(D12:X12)</f>
        <v>8581.9999999999964</v>
      </c>
      <c r="Z12" s="9">
        <f>E12*3/5+F12*3/5</f>
        <v>546.66640058998075</v>
      </c>
      <c r="AA12" s="9">
        <f>F12*2/5+G12*1/5</f>
        <v>276.89862060990225</v>
      </c>
      <c r="AB12" s="9">
        <f t="shared" ref="AB12:AB14" si="178">SUM(Q12:X12)</f>
        <v>2321.1811312812661</v>
      </c>
      <c r="AC12" s="9">
        <f>SUM(S12:X12)</f>
        <v>1147.9662592778532</v>
      </c>
      <c r="AD12" s="13">
        <f>AB12/Y12</f>
        <v>0.27047088455852564</v>
      </c>
      <c r="AE12" s="13">
        <f>AC12/Y12</f>
        <v>0.13376442079676693</v>
      </c>
      <c r="AF12" s="9">
        <f>SUM(H12:K12)</f>
        <v>1671.7790005544693</v>
      </c>
      <c r="AK12" s="61">
        <f>管理者入力シート!B5</f>
        <v>2020</v>
      </c>
      <c r="AL12" s="62"/>
      <c r="BH12" s="7" t="str">
        <f t="shared" si="19"/>
        <v>2040_1</v>
      </c>
      <c r="BI12" s="28">
        <f>管理者入力シート!B11</f>
        <v>2040</v>
      </c>
      <c r="BJ12" s="3" t="s">
        <v>21</v>
      </c>
      <c r="BK12" s="9">
        <f>CM13*$AK$13</f>
        <v>303.25444540278244</v>
      </c>
      <c r="BL12" s="9">
        <f>IF(管理者入力シート!$B$14=1,BK9*管理者用人口入力シート!AM$3,IF(管理者入力シート!$B$14=2,BK9*管理者用人口入力シート!AM$7))</f>
        <v>296.38932920203138</v>
      </c>
      <c r="BM12" s="9">
        <f>IF(管理者入力シート!$B$14=1,BL9*管理者用人口入力シート!AN$3,IF(管理者入力シート!$B$14=2,BL9*管理者用人口入力シート!AN$7))</f>
        <v>303.55698236209679</v>
      </c>
      <c r="BN12" s="9">
        <f>IF(管理者入力シート!$B$14=1,BM9*管理者用人口入力シート!AO$3,IF(管理者入力シート!$B$14=2,BM9*管理者用人口入力シート!AO$7))</f>
        <v>336.31542359263744</v>
      </c>
      <c r="BO12" s="9">
        <f>IF(管理者入力シート!$B$14=1,BN9*管理者用人口入力シート!AP$3,IF(管理者入力シート!$B$14=2,BN9*管理者用人口入力シート!AP$7))</f>
        <v>232.05501366048108</v>
      </c>
      <c r="BP12" s="9">
        <f>IF(管理者入力シート!$B$14=1,BO9*管理者用人口入力シート!AQ$3,IF(管理者入力シート!$B$14=2,BO9*管理者用人口入力シート!AQ$7))</f>
        <v>326.13003834449216</v>
      </c>
      <c r="BQ12" s="9">
        <f>IF(管理者入力シート!$B$14=1,BP9*管理者用人口入力シート!AR$3,IF(管理者入力シート!$B$14=2,BP9*管理者用人口入力シート!AR$7))</f>
        <v>413.73918414171271</v>
      </c>
      <c r="BR12" s="9">
        <f>IF(管理者入力シート!$B$14=1,BQ9*管理者用人口入力シート!AS$3,IF(管理者入力シート!$B$14=2,BQ9*管理者用人口入力シート!AS$7))</f>
        <v>378.94813639808439</v>
      </c>
      <c r="BS12" s="9">
        <f>IF(管理者入力シート!$B$14=1,BR9*管理者用人口入力シート!AT$3,IF(管理者入力シート!$B$14=2,BR9*管理者用人口入力シート!AT$7))</f>
        <v>358.13006758861133</v>
      </c>
      <c r="BT12" s="9">
        <f>IF(管理者入力シート!$B$14=1,BS9*管理者用人口入力シート!AU$3,IF(管理者入力シート!$B$14=2,BS9*管理者用人口入力シート!AU$7))</f>
        <v>445.37114593080742</v>
      </c>
      <c r="BU12" s="9">
        <f>IF(管理者入力シート!$B$14=1,BT9*管理者用人口入力シート!AV$3,IF(管理者入力シート!$B$14=2,BT9*管理者用人口入力シート!AV$7))</f>
        <v>435.21848537076846</v>
      </c>
      <c r="BV12" s="9">
        <f>IF(管理者入力シート!$B$14=1,BU9*管理者用人口入力シート!AW$3,IF(管理者入力シート!$B$14=2,BU9*管理者用人口入力シート!AW$7))</f>
        <v>495.10394737500116</v>
      </c>
      <c r="BW12" s="9">
        <f>IF(管理者入力シート!$B$14=1,BV9*管理者用人口入力シート!AX$3,IF(管理者入力シート!$B$14=2,BV9*管理者用人口入力シート!AX$7))</f>
        <v>492.89010419347426</v>
      </c>
      <c r="BX12" s="9">
        <f>IF(管理者入力シート!$B$14=1,BW9*管理者用人口入力シート!AY$3,IF(管理者入力シート!$B$14=2,BW9*管理者用人口入力シート!AY$7))</f>
        <v>536.02912737740405</v>
      </c>
      <c r="BY12" s="9">
        <f>IF(管理者入力シート!$B$14=1,BX9*管理者用人口入力シート!AZ$3,IF(管理者入力シート!$B$14=2,BX9*管理者用人口入力シート!AZ$7))</f>
        <v>430.99257341040061</v>
      </c>
      <c r="BZ12" s="9">
        <f>IF(管理者入力シート!$B$14=1,BY9*管理者用人口入力シート!BA$3,IF(管理者入力シート!$B$14=2,BY9*管理者用人口入力シート!BA$7))</f>
        <v>382.00961003349158</v>
      </c>
      <c r="CA12" s="9">
        <f>IF(管理者入力シート!$B$14=1,BZ9*管理者用人口入力シート!BB$3,IF(管理者入力シート!$B$14=2,BZ9*管理者用人口入力シート!BB$7))</f>
        <v>414.28939358191843</v>
      </c>
      <c r="CB12" s="9">
        <f>IF(管理者入力シート!$B$14=1,CA9*管理者用人口入力シート!BC$3,IF(管理者入力シート!$B$14=2,CA9*管理者用人口入力シート!BC$7))</f>
        <v>270.08366625520938</v>
      </c>
      <c r="CC12" s="9">
        <f>IF(管理者入力シート!$B$14=1,CB9*管理者用人口入力シート!BD$3,IF(管理者入力シート!$B$14=2,CB9*管理者用人口入力シート!BD$7))</f>
        <v>132.05932786732825</v>
      </c>
      <c r="CD12" s="9">
        <f>IF(管理者入力シート!$B$14=1,CC9*管理者用人口入力シート!BE$3,IF(管理者入力シート!$B$14=2,CC9*管理者用人口入力シート!BE$7))</f>
        <v>29.806194097247317</v>
      </c>
      <c r="CE12" s="9">
        <f>IF(管理者入力シート!$B$14=1,CD9*管理者用人口入力シート!BF$3,IF(管理者入力シート!$B$14=2,CD9*管理者用人口入力シート!BF$7))</f>
        <v>7.4561550152312366</v>
      </c>
      <c r="CF12" s="9">
        <f t="shared" si="2"/>
        <v>7019.8283512012122</v>
      </c>
      <c r="CG12" s="9">
        <f t="shared" si="20"/>
        <v>359.96778693847693</v>
      </c>
      <c r="CH12" s="9">
        <f t="shared" si="21"/>
        <v>188.68587766336623</v>
      </c>
      <c r="CI12" s="9">
        <f t="shared" si="3"/>
        <v>2202.7260476382312</v>
      </c>
      <c r="CJ12" s="9">
        <f t="shared" si="22"/>
        <v>1235.704346850426</v>
      </c>
      <c r="CK12" s="13">
        <f t="shared" si="23"/>
        <v>0.31378631177802335</v>
      </c>
      <c r="CL12" s="13">
        <f t="shared" si="24"/>
        <v>0.17603056442811396</v>
      </c>
      <c r="CM12" s="9">
        <f t="shared" si="25"/>
        <v>1350.8723725447703</v>
      </c>
      <c r="CO12" s="7" t="str">
        <f t="shared" si="26"/>
        <v>2040_1</v>
      </c>
      <c r="CP12" s="28">
        <f>管理者入力シート!B11</f>
        <v>2040</v>
      </c>
      <c r="CQ12" s="3" t="s">
        <v>21</v>
      </c>
      <c r="CR12" s="9">
        <f>DT13*$AK$13+将来予測シート②!$G17</f>
        <v>306.1498615191345</v>
      </c>
      <c r="CS12" s="9">
        <f>IF(管理者入力シート!$B$14=1,CR9*管理者用人口入力シート!AM$3,IF(管理者入力シート!$B$14=2,CR9*管理者用人口入力シート!AM$7))+将来予測シート②!$G18</f>
        <v>298.9746347314391</v>
      </c>
      <c r="CT12" s="9">
        <f>IF(管理者入力シート!$B$14=1,CS9*管理者用人口入力シート!AN$3,IF(管理者入力シート!$B$14=2,CS9*管理者用人口入力シート!AN$7))+将来予測シート②!$G19</f>
        <v>306.37218544601973</v>
      </c>
      <c r="CU12" s="9">
        <f>IF(管理者入力シート!$B$14=1,CT9*管理者用人口入力シート!AO$3,IF(管理者入力シート!$B$14=2,CT9*管理者用人口入力シート!AO$7))+将来予測シート②!$G20</f>
        <v>338.20551675301476</v>
      </c>
      <c r="CV12" s="9">
        <f>IF(管理者入力シート!$B$14=1,CU9*管理者用人口入力シート!AP$3,IF(管理者入力シート!$B$14=2,CU9*管理者用人口入力シート!AP$7))+将来予測シート②!$G21</f>
        <v>232.64344643587279</v>
      </c>
      <c r="CW12" s="9">
        <f>IF(管理者入力シート!$B$14=1,CV9*管理者用人口入力シート!AQ$3,IF(管理者入力シート!$B$14=2,CV9*管理者用人口入力シート!AQ$7))+将来予測シート②!$G22</f>
        <v>328.92640197908969</v>
      </c>
      <c r="CX12" s="9">
        <f>IF(管理者入力シート!$B$14=1,CW9*管理者用人口入力シート!AR$3,IF(管理者入力シート!$B$14=2,CW9*管理者用人口入力シート!AR$7))+将来予測シート②!$G23</f>
        <v>415.93134878073886</v>
      </c>
      <c r="CY12" s="9">
        <f>IF(管理者入力シート!$B$14=1,CX9*管理者用人口入力シート!AS$3,IF(管理者入力シート!$B$14=2,CX9*管理者用人口入力シート!AS$7))+将来予測シート②!$G24</f>
        <v>381.12249817493449</v>
      </c>
      <c r="CZ12" s="9">
        <f>IF(管理者入力シート!$B$14=1,CY9*管理者用人口入力シート!AT$3,IF(管理者入力シート!$B$14=2,CY9*管理者用人口入力シート!AT$7))+将来予測シート②!$G25</f>
        <v>360.24744369578042</v>
      </c>
      <c r="DA12" s="9">
        <f>IF(管理者入力シート!$B$14=1,CZ9*管理者用人口入力シート!AU$3,IF(管理者入力シート!$B$14=2,CZ9*管理者用人口入力シート!AU$7))+将来予測シート②!$G26</f>
        <v>445.37114593080742</v>
      </c>
      <c r="DB12" s="9">
        <f>IF(管理者入力シート!$B$14=1,DA9*管理者用人口入力シート!AV$3,IF(管理者入力シート!$B$14=2,DA9*管理者用人口入力シート!AV$7))+将来予測シート②!$G27</f>
        <v>435.21848537076846</v>
      </c>
      <c r="DC12" s="9">
        <f>IF(管理者入力シート!$B$14=1,DB9*管理者用人口入力シート!AW$3,IF(管理者入力シート!$B$14=2,DB9*管理者用人口入力シート!AW$7))+将来予測シート②!$G28</f>
        <v>495.10394737500116</v>
      </c>
      <c r="DD12" s="9">
        <f>IF(管理者入力シート!$B$14=1,DC9*管理者用人口入力シート!AX$3,IF(管理者入力シート!$B$14=2,DC9*管理者用人口入力シート!AX$7))+将来予測シート②!$G29</f>
        <v>492.89010419347426</v>
      </c>
      <c r="DE12" s="9">
        <f>IF(管理者入力シート!$B$14=1,DD9*管理者用人口入力シート!AY$3,IF(管理者入力シート!$B$14=2,DD9*管理者用人口入力シート!AY$7))</f>
        <v>536.02912737740405</v>
      </c>
      <c r="DF12" s="9">
        <f>IF(管理者入力シート!$B$14=1,DE9*管理者用人口入力シート!AZ$3,IF(管理者入力シート!$B$14=2,DE9*管理者用人口入力シート!AZ$7))</f>
        <v>430.99257341040061</v>
      </c>
      <c r="DG12" s="9">
        <f>IF(管理者入力シート!$B$14=1,DF9*管理者用人口入力シート!BA$3,IF(管理者入力シート!$B$14=2,DF9*管理者用人口入力シート!BA$7))</f>
        <v>382.00961003349158</v>
      </c>
      <c r="DH12" s="9">
        <f>IF(管理者入力シート!$B$14=1,DG9*管理者用人口入力シート!BB$3,IF(管理者入力シート!$B$14=2,DG9*管理者用人口入力シート!BB$7))</f>
        <v>414.28939358191843</v>
      </c>
      <c r="DI12" s="9">
        <f>IF(管理者入力シート!$B$14=1,DH9*管理者用人口入力シート!BC$3,IF(管理者入力シート!$B$14=2,DH9*管理者用人口入力シート!BC$7))</f>
        <v>270.08366625520938</v>
      </c>
      <c r="DJ12" s="9">
        <f>IF(管理者入力シート!$B$14=1,DI9*管理者用人口入力シート!BD$3,IF(管理者入力シート!$B$14=2,DI9*管理者用人口入力シート!BD$7))</f>
        <v>132.05932786732825</v>
      </c>
      <c r="DK12" s="9">
        <f>IF(管理者入力シート!$B$14=1,DJ9*管理者用人口入力シート!BE$3,IF(管理者入力シート!$B$14=2,DJ9*管理者用人口入力シート!BE$7))</f>
        <v>29.806194097247317</v>
      </c>
      <c r="DL12" s="9">
        <f>IF(管理者入力シート!$B$14=1,DK9*管理者用人口入力シート!BF$3,IF(管理者入力シート!$B$14=2,DK9*管理者用人口入力シート!BF$7))</f>
        <v>7.4561550152312366</v>
      </c>
      <c r="DM12" s="9">
        <f t="shared" si="69"/>
        <v>7039.8830680243072</v>
      </c>
      <c r="DN12" s="9">
        <f t="shared" si="34"/>
        <v>363.20809210647531</v>
      </c>
      <c r="DO12" s="9">
        <f t="shared" si="35"/>
        <v>190.18997752901083</v>
      </c>
      <c r="DP12" s="9">
        <f t="shared" si="6"/>
        <v>2202.7260476382312</v>
      </c>
      <c r="DQ12" s="9">
        <f t="shared" si="36"/>
        <v>1235.704346850426</v>
      </c>
      <c r="DR12" s="13">
        <f t="shared" si="37"/>
        <v>0.31289241971122833</v>
      </c>
      <c r="DS12" s="13">
        <f t="shared" si="38"/>
        <v>0.17552910111008668</v>
      </c>
      <c r="DT12" s="9">
        <f t="shared" si="70"/>
        <v>1358.6236953706359</v>
      </c>
      <c r="DV12" s="212"/>
      <c r="DX12" s="28">
        <f>管理者入力シート!B11</f>
        <v>2040</v>
      </c>
      <c r="DY12" s="3" t="s">
        <v>21</v>
      </c>
      <c r="DZ12" s="9">
        <f>FB13*$AK$13</f>
        <v>502.82478472995939</v>
      </c>
      <c r="EA12" s="129">
        <f>IF(管理者入力シート!$B$14=1,DZ9*管理者用人口入力シート!AM$3,IF(管理者入力シート!$B$14=2,DZ9*管理者用人口入力シート!AM$7))</f>
        <v>487.08582022382456</v>
      </c>
      <c r="EB12" s="9">
        <f>IF(管理者入力シート!$B$14=1,EA9*管理者用人口入力シート!AN$3,IF(管理者入力シート!$B$14=2,EA9*管理者用人口入力シート!AN$7))</f>
        <v>452.38481927173962</v>
      </c>
      <c r="EC12" s="9">
        <f>IF(管理者入力シート!$B$14=1,EB9*管理者用人口入力シート!AO$3,IF(管理者入力シート!$B$14=2,EB9*管理者用人口入力シート!AO$7))</f>
        <v>336.31542359263744</v>
      </c>
      <c r="ED12" s="9">
        <f>IF(管理者入力シート!$B$14=1,EC9*管理者用人口入力シート!AP$3,IF(管理者入力シート!$B$14=2,EC9*管理者用人口入力シート!AP$7))</f>
        <v>232.05501366048108</v>
      </c>
      <c r="EE12" s="9">
        <f>IF(管理者入力シート!$B$14=1,ED9*管理者用人口入力シート!AQ$3,IF(管理者入力シート!$B$14=2,ED9*管理者用人口入力シート!AQ$7))+DX1</f>
        <v>457.13003834449216</v>
      </c>
      <c r="EF12" s="9">
        <f>IF(管理者入力シート!$B$14=1,EE9*管理者用人口入力シート!AR$3,IF(管理者入力シート!$B$14=2,EE9*管理者用人口入力シート!AR$7))+DX1</f>
        <v>688.32596799792805</v>
      </c>
      <c r="EG12" s="9">
        <f>IF(管理者入力シート!$B$14=1,EF9*管理者用人口入力シート!AS$3,IF(管理者入力シート!$B$14=2,EF9*管理者用人口入力シート!AS$7))+DX1</f>
        <v>782.30496426407899</v>
      </c>
      <c r="EH12" s="9">
        <f>IF(管理者入力シート!$B$14=1,EG9*管理者用人口入力シート!AT$3,IF(管理者入力シート!$B$14=2,EG9*管理者用人口入力シート!AT$7))</f>
        <v>750.91572040862013</v>
      </c>
      <c r="EI12" s="9">
        <f>IF(管理者入力シート!$B$14=1,EH9*管理者用人口入力シート!AU$3,IF(管理者入力シート!$B$14=2,EH9*管理者用人口入力シート!AU$7))</f>
        <v>688.63840233741303</v>
      </c>
      <c r="EJ12" s="9">
        <f>IF(管理者入力シート!$B$14=1,EI9*管理者用人口入力シート!AV$3,IF(管理者入力シート!$B$14=2,EI9*管理者用人口入力シート!AV$7))</f>
        <v>562.31430690171385</v>
      </c>
      <c r="EK12" s="9">
        <f>IF(管理者入力シート!$B$14=1,EJ9*管理者用人口入力シート!AW$3,IF(管理者入力シート!$B$14=2,EJ9*管理者用人口入力シート!AW$7))</f>
        <v>495.10394737500116</v>
      </c>
      <c r="EL12" s="9">
        <f>IF(管理者入力シート!$B$14=1,EK9*管理者用人口入力シート!AX$3,IF(管理者入力シート!$B$14=2,EK9*管理者用人口入力シート!AX$7))</f>
        <v>492.89010419347426</v>
      </c>
      <c r="EM12" s="9">
        <f>IF(管理者入力シート!$B$14=1,EL9*管理者用人口入力シート!AY$3,IF(管理者入力シート!$B$14=2,EL9*管理者用人口入力シート!AY$7))</f>
        <v>536.02912737740405</v>
      </c>
      <c r="EN12" s="9">
        <f>IF(管理者入力シート!$B$14=1,EM9*管理者用人口入力シート!AZ$3,IF(管理者入力シート!$B$14=2,EM9*管理者用人口入力シート!AZ$7))</f>
        <v>430.99257341040061</v>
      </c>
      <c r="EO12" s="9">
        <f>IF(管理者入力シート!$B$14=1,EN9*管理者用人口入力シート!BA$3,IF(管理者入力シート!$B$14=2,EN9*管理者用人口入力シート!BA$7))</f>
        <v>382.00961003349158</v>
      </c>
      <c r="EP12" s="9">
        <f>IF(管理者入力シート!$B$14=1,EO9*管理者用人口入力シート!BB$3,IF(管理者入力シート!$B$14=2,EO9*管理者用人口入力シート!BB$7))</f>
        <v>414.28939358191843</v>
      </c>
      <c r="EQ12" s="9">
        <f>IF(管理者入力シート!$B$14=1,EP9*管理者用人口入力シート!BC$3,IF(管理者入力シート!$B$14=2,EP9*管理者用人口入力シート!BC$7))</f>
        <v>270.08366625520938</v>
      </c>
      <c r="ER12" s="9">
        <f>IF(管理者入力シート!$B$14=1,EQ9*管理者用人口入力シート!BD$3,IF(管理者入力シート!$B$14=2,EQ9*管理者用人口入力シート!BD$7))</f>
        <v>132.05932786732825</v>
      </c>
      <c r="ES12" s="9">
        <f>IF(管理者入力シート!$B$14=1,ER9*管理者用人口入力シート!BE$3,IF(管理者入力シート!$B$14=2,ER9*管理者用人口入力シート!BE$7))</f>
        <v>29.806194097247317</v>
      </c>
      <c r="ET12" s="9">
        <f>IF(管理者入力シート!$B$14=1,ES9*管理者用人口入力シート!BF$3,IF(管理者入力シート!$B$14=2,ES9*管理者用人口入力シート!BF$7))</f>
        <v>7.4561550152312366</v>
      </c>
      <c r="EU12" s="9">
        <f t="shared" si="71"/>
        <v>9131.0153609395984</v>
      </c>
      <c r="EV12" s="9">
        <f t="shared" si="41"/>
        <v>563.68238369733854</v>
      </c>
      <c r="EW12" s="9">
        <f t="shared" si="42"/>
        <v>248.21701242722335</v>
      </c>
      <c r="EX12" s="9">
        <f t="shared" si="10"/>
        <v>2202.7260476382312</v>
      </c>
      <c r="EY12" s="9">
        <f t="shared" si="43"/>
        <v>1235.704346850426</v>
      </c>
      <c r="EZ12" s="13">
        <f t="shared" si="44"/>
        <v>0.24123560858970744</v>
      </c>
      <c r="FA12" s="13">
        <f t="shared" si="45"/>
        <v>0.13533044223498816</v>
      </c>
      <c r="FB12" s="9">
        <f t="shared" si="72"/>
        <v>2159.8159842669802</v>
      </c>
    </row>
    <row r="13" spans="1:158" x14ac:dyDescent="0.15">
      <c r="A13" s="7" t="str">
        <f t="shared" si="11"/>
        <v>2020_2</v>
      </c>
      <c r="B13" s="29">
        <v>2020</v>
      </c>
      <c r="C13" s="4" t="s">
        <v>22</v>
      </c>
      <c r="D13" s="10">
        <v>408.95172761181152</v>
      </c>
      <c r="E13" s="10">
        <v>449.13325652214957</v>
      </c>
      <c r="F13" s="10">
        <v>423.79778613437111</v>
      </c>
      <c r="G13" s="10">
        <v>391.70629598390542</v>
      </c>
      <c r="H13" s="10">
        <v>281.74836783909092</v>
      </c>
      <c r="I13" s="10">
        <v>437.34435381870014</v>
      </c>
      <c r="J13" s="10">
        <v>471.3092361608127</v>
      </c>
      <c r="K13" s="10">
        <v>546.40639722515778</v>
      </c>
      <c r="L13" s="10">
        <v>589.20746133229409</v>
      </c>
      <c r="M13" s="10">
        <v>585.18849654623591</v>
      </c>
      <c r="N13" s="10">
        <v>498.93602192637638</v>
      </c>
      <c r="O13" s="10">
        <v>622.27917959719161</v>
      </c>
      <c r="P13" s="10">
        <v>660.24834770666882</v>
      </c>
      <c r="Q13" s="10">
        <v>684.31698386804283</v>
      </c>
      <c r="R13" s="10">
        <v>698.26226142254052</v>
      </c>
      <c r="S13" s="10">
        <v>549.94449587683289</v>
      </c>
      <c r="T13" s="10">
        <v>483.81724268816185</v>
      </c>
      <c r="U13" s="10">
        <v>476.84707320084902</v>
      </c>
      <c r="V13" s="10">
        <v>267.38998785020198</v>
      </c>
      <c r="W13" s="10">
        <v>82.122170880735823</v>
      </c>
      <c r="X13" s="10">
        <v>19.042855807868424</v>
      </c>
      <c r="Y13" s="10">
        <f t="shared" si="177"/>
        <v>9627.9999999999964</v>
      </c>
      <c r="Z13" s="10">
        <f t="shared" ref="Z13:Z14" si="179">E13*3/5+F13*3/5</f>
        <v>523.75862559391237</v>
      </c>
      <c r="AA13" s="10">
        <f t="shared" ref="AA13:AA14" si="180">F13*2/5+G13*1/5</f>
        <v>247.86037365052954</v>
      </c>
      <c r="AB13" s="10">
        <f t="shared" si="178"/>
        <v>3261.7430715952332</v>
      </c>
      <c r="AC13" s="10">
        <f t="shared" ref="AC13:AC14" si="181">SUM(S13:X13)</f>
        <v>1879.16382630465</v>
      </c>
      <c r="AD13" s="14">
        <f t="shared" ref="AD13:AD14" si="182">AB13/Y13</f>
        <v>0.33877680427869072</v>
      </c>
      <c r="AE13" s="14">
        <f t="shared" ref="AE13:AE14" si="183">AC13/Y13</f>
        <v>0.195176965756611</v>
      </c>
      <c r="AF13" s="10">
        <f t="shared" ref="AF13:AF14" si="184">SUM(H13:K13)</f>
        <v>1736.8083550437618</v>
      </c>
      <c r="AI13" s="60" t="s">
        <v>47</v>
      </c>
      <c r="AJ13" s="1" t="s">
        <v>21</v>
      </c>
      <c r="AK13" s="8">
        <f>VLOOKUP(AK12&amp;"_1",A:D,4,FALSE)/VLOOKUP(AK12&amp;"_2",A:AF,32,FALSE)</f>
        <v>0.25363800584162055</v>
      </c>
      <c r="AL13" s="63"/>
      <c r="BH13" s="7" t="str">
        <f t="shared" si="19"/>
        <v>2040_2</v>
      </c>
      <c r="BI13" s="29">
        <f>BI12</f>
        <v>2040</v>
      </c>
      <c r="BJ13" s="4" t="s">
        <v>22</v>
      </c>
      <c r="BK13" s="10">
        <f>CM13*$AK$14</f>
        <v>281.52242411601446</v>
      </c>
      <c r="BL13" s="10">
        <f>IF(管理者入力シート!$B$14=1,BK10*管理者用人口入力シート!AM$4,IF(管理者入力シート!$B$14=2,BK10*管理者用人口入力シート!AM$8))</f>
        <v>275.78824938933963</v>
      </c>
      <c r="BM13" s="10">
        <f>IF(管理者入力シート!$B$14=1,BL10*管理者用人口入力シート!AN$4,IF(管理者入力シート!$B$14=2,BL10*管理者用人口入力シート!AN$8))</f>
        <v>291.75075258439637</v>
      </c>
      <c r="BN13" s="10">
        <f>IF(管理者入力シート!$B$14=1,BM10*管理者用人口入力シート!AO$4,IF(管理者入力シート!$B$14=2,BM10*管理者用人口入力シート!AO$8))</f>
        <v>326.09473562094655</v>
      </c>
      <c r="BO13" s="10">
        <f>IF(管理者入力シート!$B$14=1,BN10*管理者用人口入力シート!AP$4,IF(管理者入力シート!$B$14=2,BN10*管理者用人口入力シート!AP$8))</f>
        <v>252.84463232567086</v>
      </c>
      <c r="BP13" s="10">
        <f>IF(管理者入力シート!$B$14=1,BO10*管理者用人口入力シート!AQ$4,IF(管理者入力シート!$B$14=2,BO10*管理者用人口入力シート!AQ$8))</f>
        <v>325.24542193368592</v>
      </c>
      <c r="BQ13" s="10">
        <f>IF(管理者入力シート!$B$14=1,BP10*管理者用人口入力シート!AR$4,IF(管理者入力シート!$B$14=2,BP10*管理者用人口入力シート!AR$8))</f>
        <v>325.34427096467897</v>
      </c>
      <c r="BR13" s="10">
        <f>IF(管理者入力シート!$B$14=1,BQ10*管理者用人口入力シート!AS$4,IF(管理者入力シート!$B$14=2,BQ10*管理者用人口入力シート!AS$8))</f>
        <v>292.18477924149909</v>
      </c>
      <c r="BS13" s="10">
        <f>IF(管理者入力シート!$B$14=1,BR10*管理者用人口入力シート!AT$4,IF(管理者入力シート!$B$14=2,BR10*管理者用人口入力シート!AT$8))</f>
        <v>314.15262658775589</v>
      </c>
      <c r="BT13" s="10">
        <f>IF(管理者入力シート!$B$14=1,BS10*管理者用人口入力シート!AU$4,IF(管理者入力シート!$B$14=2,BS10*管理者用人口入力シート!AU$8))</f>
        <v>428.81836299650706</v>
      </c>
      <c r="BU13" s="10">
        <f>IF(管理者入力シート!$B$14=1,BT10*管理者用人口入力シート!AV$4,IF(管理者入力シート!$B$14=2,BT10*管理者用人口入力シート!AV$8))</f>
        <v>447.42650532517462</v>
      </c>
      <c r="BV13" s="10">
        <f>IF(管理者入力シート!$B$14=1,BU10*管理者用人口入力シート!AW$4,IF(管理者入力シート!$B$14=2,BU10*管理者用人口入力シート!AW$8))</f>
        <v>528.37797932293972</v>
      </c>
      <c r="BW13" s="10">
        <f>IF(管理者入力シート!$B$14=1,BV10*管理者用人口入力シート!AX$4,IF(管理者入力シート!$B$14=2,BV10*管理者用人口入力シート!AX$8))</f>
        <v>568.5780970541382</v>
      </c>
      <c r="BX13" s="10">
        <f>IF(管理者入力シート!$B$14=1,BW10*管理者用人口入力シート!AY$4,IF(管理者入力シート!$B$14=2,BW10*管理者用人口入力シート!AY$8))</f>
        <v>560.51458216503931</v>
      </c>
      <c r="BY13" s="10">
        <f>IF(管理者入力シート!$B$14=1,BX10*管理者用人口入力シート!AZ$4,IF(管理者入力シート!$B$14=2,BX10*管理者用人口入力シート!AZ$8))</f>
        <v>458.05900828531497</v>
      </c>
      <c r="BZ13" s="10">
        <f>IF(管理者入力シート!$B$14=1,BY10*管理者用人口入力シート!BA$4,IF(管理者入力シート!$B$14=2,BY10*管理者用人口入力シート!BA$8))</f>
        <v>533.34094845831464</v>
      </c>
      <c r="CA13" s="10">
        <f>IF(管理者入力シート!$B$14=1,BZ10*管理者用人口入力シート!BB$4,IF(管理者入力シート!$B$14=2,BZ10*管理者用人口入力シート!BB$8))</f>
        <v>514.87187196871537</v>
      </c>
      <c r="CB13" s="10">
        <f>IF(管理者入力シート!$B$14=1,CA10*管理者用人口入力シート!BC$4,IF(管理者入力シート!$B$14=2,CA10*管理者用人口入力シート!BC$8))</f>
        <v>443.62447430387738</v>
      </c>
      <c r="CC13" s="10">
        <f>IF(管理者入力シート!$B$14=1,CB10*管理者用人口入力シート!BD$4,IF(管理者入力シート!$B$14=2,CB10*管理者用人口入力シート!BD$8))</f>
        <v>316.46617956219262</v>
      </c>
      <c r="CD13" s="10">
        <f>IF(管理者入力シート!$B$14=1,CC10*管理者用人口入力シート!BE$4,IF(管理者入力シート!$B$14=2,CC10*管理者用人口入力シート!BE$8))</f>
        <v>113.11185137804483</v>
      </c>
      <c r="CE13" s="10">
        <f>IF(管理者入力シート!$B$14=1,CD10*管理者用人口入力シート!BF$4,IF(管理者入力シート!$B$14=2,CD10*管理者用人口入力シート!BF$8))</f>
        <v>25.253158756506377</v>
      </c>
      <c r="CF13" s="10">
        <f t="shared" si="2"/>
        <v>7623.3709123407525</v>
      </c>
      <c r="CG13" s="10">
        <f t="shared" si="20"/>
        <v>340.52340118424161</v>
      </c>
      <c r="CH13" s="10">
        <f t="shared" si="21"/>
        <v>181.91924815794786</v>
      </c>
      <c r="CI13" s="10">
        <f t="shared" si="3"/>
        <v>2965.2420748780055</v>
      </c>
      <c r="CJ13" s="10">
        <f t="shared" si="22"/>
        <v>1946.668484427651</v>
      </c>
      <c r="CK13" s="14">
        <f t="shared" si="23"/>
        <v>0.38896730973405164</v>
      </c>
      <c r="CL13" s="14">
        <f t="shared" si="24"/>
        <v>0.2553553417263712</v>
      </c>
      <c r="CM13" s="10">
        <f t="shared" si="25"/>
        <v>1195.6191044655347</v>
      </c>
      <c r="CO13" s="7" t="str">
        <f t="shared" si="26"/>
        <v>2040_2</v>
      </c>
      <c r="CP13" s="29">
        <f>CP12</f>
        <v>2040</v>
      </c>
      <c r="CQ13" s="4" t="s">
        <v>22</v>
      </c>
      <c r="CR13" s="10">
        <f>DT13*$AK$14+将来予測シート②!$H17</f>
        <v>284.28200966495922</v>
      </c>
      <c r="CS13" s="10">
        <f>IF(管理者入力シート!$B$14=1,CR10*管理者用人口入力シート!AM$4,IF(管理者入力シート!$B$14=2,CR10*管理者用人口入力シート!AM$8))+将来予測シート②!$H18</f>
        <v>278.26249377192141</v>
      </c>
      <c r="CT13" s="10">
        <f>IF(管理者入力シート!$B$14=1,CS10*管理者用人口入力シート!AN$4,IF(管理者入力シート!$B$14=2,CS10*管理者用人口入力シート!AN$8))+将来予測シート②!$H19</f>
        <v>294.56177519362024</v>
      </c>
      <c r="CU13" s="10">
        <f>IF(管理者入力シート!$B$14=1,CT10*管理者用人口入力シート!AO$4,IF(管理者入力シート!$B$14=2,CT10*管理者用人口入力シート!AO$8))+将来予測シート②!$H20</f>
        <v>328.03334409833792</v>
      </c>
      <c r="CV13" s="10">
        <f>IF(管理者入力シート!$B$14=1,CU10*管理者用人口入力シート!AP$4,IF(管理者入力シート!$B$14=2,CU10*管理者用人口入力シート!AP$8))+将来予測シート②!$H21</f>
        <v>253.51172762275206</v>
      </c>
      <c r="CW13" s="10">
        <f>IF(管理者入力シート!$B$14=1,CV10*管理者用人口入力シート!AQ$4,IF(管理者入力シート!$B$14=2,CV10*管理者用人口入力シート!AQ$8))+将来予測シート②!$H22</f>
        <v>327.99375726255101</v>
      </c>
      <c r="CX13" s="10">
        <f>IF(管理者入力シート!$B$14=1,CW10*管理者用人口入力シート!AR$4,IF(管理者入力シート!$B$14=2,CW10*管理者用人口入力シート!AR$8))+将来予測シート②!$H23</f>
        <v>327.39599160198264</v>
      </c>
      <c r="CY13" s="10">
        <f>IF(管理者入力シート!$B$14=1,CX10*管理者用人口入力シート!AS$4,IF(管理者入力シート!$B$14=2,CX10*管理者用人口入力シート!AS$8))+将来予測シート②!$H24</f>
        <v>294.19054636073957</v>
      </c>
      <c r="CZ13" s="10">
        <f>IF(管理者入力シート!$B$14=1,CY10*管理者用人口入力シート!AT$4,IF(管理者入力シート!$B$14=2,CY10*管理者用人口入力シート!AT$8))+将来予測シート②!$H25</f>
        <v>317.14055578414417</v>
      </c>
      <c r="DA13" s="10">
        <f>IF(管理者入力シート!$B$14=1,CZ10*管理者用人口入力シート!AU$4,IF(管理者入力シート!$B$14=2,CZ10*管理者用人口入力シート!AU$8))+将来予測シート②!$H26</f>
        <v>429.80482175690537</v>
      </c>
      <c r="DB13" s="10">
        <f>IF(管理者入力シート!$B$14=1,DA10*管理者用人口入力シート!AV$4,IF(管理者入力シート!$B$14=2,DA10*管理者用人口入力シート!AV$8))+将来予測シート②!$H27</f>
        <v>448.40629548159478</v>
      </c>
      <c r="DC13" s="10">
        <f>IF(管理者入力シート!$B$14=1,DB10*管理者用人口入力シート!AW$4,IF(管理者入力シート!$B$14=2,DB10*管理者用人口入力シート!AW$8))+将来予測シート②!$H28</f>
        <v>529.35366185498992</v>
      </c>
      <c r="DD13" s="10">
        <f>IF(管理者入力シート!$B$14=1,DC10*管理者用人口入力シート!AX$4,IF(管理者入力シート!$B$14=2,DC10*管理者用人口入力シート!AX$8))+将来予測シート②!$H29</f>
        <v>568.5780970541382</v>
      </c>
      <c r="DE13" s="10">
        <f>IF(管理者入力シート!$B$14=1,DD10*管理者用人口入力シート!AY$4,IF(管理者入力シート!$B$14=2,DD10*管理者用人口入力シート!AY$8))</f>
        <v>560.51458216503931</v>
      </c>
      <c r="DF13" s="10">
        <f>IF(管理者入力シート!$B$14=1,DE10*管理者用人口入力シート!AZ$4,IF(管理者入力シート!$B$14=2,DE10*管理者用人口入力シート!AZ$8))</f>
        <v>458.05900828531497</v>
      </c>
      <c r="DG13" s="10">
        <f>IF(管理者入力シート!$B$14=1,DF10*管理者用人口入力シート!BA$4,IF(管理者入力シート!$B$14=2,DF10*管理者用人口入力シート!BA$8))</f>
        <v>533.34094845831464</v>
      </c>
      <c r="DH13" s="10">
        <f>IF(管理者入力シート!$B$14=1,DG10*管理者用人口入力シート!BB$4,IF(管理者入力シート!$B$14=2,DG10*管理者用人口入力シート!BB$8))</f>
        <v>514.87187196871537</v>
      </c>
      <c r="DI13" s="10">
        <f>IF(管理者入力シート!$B$14=1,DH10*管理者用人口入力シート!BC$4,IF(管理者入力シート!$B$14=2,DH10*管理者用人口入力シート!BC$8))</f>
        <v>443.62447430387738</v>
      </c>
      <c r="DJ13" s="10">
        <f>IF(管理者入力シート!$B$14=1,DI10*管理者用人口入力シート!BD$4,IF(管理者入力シート!$B$14=2,DI10*管理者用人口入力シート!BD$8))</f>
        <v>316.46617956219262</v>
      </c>
      <c r="DK13" s="10">
        <f>IF(管理者入力シート!$B$14=1,DJ10*管理者用人口入力シート!BE$4,IF(管理者入力シート!$B$14=2,DJ10*管理者用人口入力シート!BE$8))</f>
        <v>113.11185137804483</v>
      </c>
      <c r="DL13" s="10">
        <f>IF(管理者入力シート!$B$14=1,DK10*管理者用人口入力シート!BF$4,IF(管理者入力シート!$B$14=2,DK10*管理者用人口入力シート!BF$8))</f>
        <v>25.253158756506377</v>
      </c>
      <c r="DM13" s="10">
        <f t="shared" si="69"/>
        <v>7646.7571523866418</v>
      </c>
      <c r="DN13" s="10">
        <f t="shared" si="34"/>
        <v>343.69456137932502</v>
      </c>
      <c r="DO13" s="10">
        <f t="shared" si="35"/>
        <v>183.43137889711568</v>
      </c>
      <c r="DP13" s="10">
        <f t="shared" si="6"/>
        <v>2965.2420748780055</v>
      </c>
      <c r="DQ13" s="10">
        <f t="shared" si="36"/>
        <v>1946.668484427651</v>
      </c>
      <c r="DR13" s="14">
        <f t="shared" si="37"/>
        <v>0.38777772273734612</v>
      </c>
      <c r="DS13" s="14">
        <f t="shared" si="38"/>
        <v>0.25457438305335395</v>
      </c>
      <c r="DT13" s="10">
        <f t="shared" si="70"/>
        <v>1203.0920228480252</v>
      </c>
      <c r="DV13" s="62"/>
      <c r="DX13" s="29">
        <f>DX12</f>
        <v>2040</v>
      </c>
      <c r="DY13" s="4" t="s">
        <v>22</v>
      </c>
      <c r="DZ13" s="10">
        <f>FB13*$AK$14</f>
        <v>466.79102136417521</v>
      </c>
      <c r="EA13" s="10">
        <f>IF(管理者入力シート!$B$14=1,DZ10*管理者用人口入力シート!AM$4,IF(管理者入力シート!$B$14=2,DZ10*管理者用人口入力シート!AM$8))</f>
        <v>453.23003369778036</v>
      </c>
      <c r="EB13" s="10">
        <f>IF(管理者入力シート!$B$14=1,EA10*管理者用人口入力シート!AN$4,IF(管理者入力シート!$B$14=2,EA10*管理者用人口入力シート!AN$8))</f>
        <v>434.79023428573294</v>
      </c>
      <c r="EC13" s="10">
        <f>IF(管理者入力シート!$B$14=1,EB10*管理者用人口入力シート!AO$4,IF(管理者入力シート!$B$14=2,EB10*管理者用人口入力シート!AO$8))</f>
        <v>326.09473562094655</v>
      </c>
      <c r="ED13" s="10">
        <f>IF(管理者入力シート!$B$14=1,EC10*管理者用人口入力シート!AP$4,IF(管理者入力シート!$B$14=2,EC10*管理者用人口入力シート!AP$8))</f>
        <v>252.84463232567086</v>
      </c>
      <c r="EE13" s="10">
        <f>IF(管理者入力シート!$B$14=1,ED10*管理者用人口入力シート!AQ$4,IF(管理者入力シート!$B$14=2,ED10*管理者用人口入力シート!AQ$8))+DX1</f>
        <v>456.24542193368592</v>
      </c>
      <c r="EF13" s="10">
        <f>IF(管理者入力シート!$B$14=1,EE10*管理者用人口入力シート!AR$4,IF(管理者入力シート!$B$14=2,EE10*管理者用人口入力シート!AR$8))+DX1</f>
        <v>590.73197270806759</v>
      </c>
      <c r="EG13" s="10">
        <f>IF(管理者入力シート!$B$14=1,EF10*管理者用人口入力シート!AS$4,IF(管理者入力シート!$B$14=2,EF10*管理者用人口入力シート!AS$8))+DX1</f>
        <v>682.62844634192197</v>
      </c>
      <c r="EH13" s="10">
        <f>IF(管理者入力シート!$B$14=1,EG10*管理者用人口入力シート!AT$4,IF(管理者入力シート!$B$14=2,EG10*管理者用人口入力シート!AT$8))</f>
        <v>701.1239543796795</v>
      </c>
      <c r="EI13" s="10">
        <f>IF(管理者入力シート!$B$14=1,EH10*管理者用人口入力シート!AU$4,IF(管理者入力シート!$B$14=2,EH10*管理者用人口入力シート!AU$8))</f>
        <v>682.1034531305238</v>
      </c>
      <c r="EJ13" s="10">
        <f>IF(管理者入力シート!$B$14=1,EI10*管理者用人口入力シート!AV$4,IF(管理者入力シート!$B$14=2,EI10*管理者用人口入力シート!AV$8))</f>
        <v>574.63753625060087</v>
      </c>
      <c r="EK13" s="10">
        <f>IF(管理者入力シート!$B$14=1,EJ10*管理者用人口入力シート!AW$4,IF(管理者入力シート!$B$14=2,EJ10*管理者用人口入力シート!AW$8))</f>
        <v>528.37797932293972</v>
      </c>
      <c r="EL13" s="10">
        <f>IF(管理者入力シート!$B$14=1,EK10*管理者用人口入力シート!AX$4,IF(管理者入力シート!$B$14=2,EK10*管理者用人口入力シート!AX$8))</f>
        <v>568.5780970541382</v>
      </c>
      <c r="EM13" s="10">
        <f>IF(管理者入力シート!$B$14=1,EL10*管理者用人口入力シート!AY$4,IF(管理者入力シート!$B$14=2,EL10*管理者用人口入力シート!AY$8))</f>
        <v>560.51458216503931</v>
      </c>
      <c r="EN13" s="10">
        <f>IF(管理者入力シート!$B$14=1,EM10*管理者用人口入力シート!AZ$4,IF(管理者入力シート!$B$14=2,EM10*管理者用人口入力シート!AZ$8))</f>
        <v>458.05900828531497</v>
      </c>
      <c r="EO13" s="10">
        <f>IF(管理者入力シート!$B$14=1,EN10*管理者用人口入力シート!BA$4,IF(管理者入力シート!$B$14=2,EN10*管理者用人口入力シート!BA$8))</f>
        <v>533.34094845831464</v>
      </c>
      <c r="EP13" s="10">
        <f>IF(管理者入力シート!$B$14=1,EO10*管理者用人口入力シート!BB$4,IF(管理者入力シート!$B$14=2,EO10*管理者用人口入力シート!BB$8))</f>
        <v>514.87187196871537</v>
      </c>
      <c r="EQ13" s="10">
        <f>IF(管理者入力シート!$B$14=1,EP10*管理者用人口入力シート!BC$4,IF(管理者入力シート!$B$14=2,EP10*管理者用人口入力シート!BC$8))</f>
        <v>443.62447430387738</v>
      </c>
      <c r="ER13" s="10">
        <f>IF(管理者入力シート!$B$14=1,EQ10*管理者用人口入力シート!BD$4,IF(管理者入力シート!$B$14=2,EQ10*管理者用人口入力シート!BD$8))</f>
        <v>316.46617956219262</v>
      </c>
      <c r="ES13" s="10">
        <f>IF(管理者入力シート!$B$14=1,ER10*管理者用人口入力シート!BE$4,IF(管理者入力シート!$B$14=2,ER10*管理者用人口入力シート!BE$8))</f>
        <v>113.11185137804483</v>
      </c>
      <c r="ET13" s="10">
        <f>IF(管理者入力シート!$B$14=1,ES10*管理者用人口入力シート!BF$4,IF(管理者入力シート!$B$14=2,ES10*管理者用人口入力シート!BF$8))</f>
        <v>25.253158756506377</v>
      </c>
      <c r="EU13" s="10">
        <f t="shared" si="71"/>
        <v>9683.4195932938692</v>
      </c>
      <c r="EV13" s="10">
        <f t="shared" si="41"/>
        <v>532.81216079010801</v>
      </c>
      <c r="EW13" s="10">
        <f t="shared" si="42"/>
        <v>239.1350408384825</v>
      </c>
      <c r="EX13" s="10">
        <f t="shared" si="10"/>
        <v>2965.2420748780055</v>
      </c>
      <c r="EY13" s="10">
        <f t="shared" si="43"/>
        <v>1946.668484427651</v>
      </c>
      <c r="EZ13" s="14">
        <f t="shared" si="44"/>
        <v>0.30621848473152469</v>
      </c>
      <c r="FA13" s="14">
        <f t="shared" si="45"/>
        <v>0.20103109915590064</v>
      </c>
      <c r="FB13" s="10">
        <f t="shared" si="72"/>
        <v>1982.4504733093463</v>
      </c>
    </row>
    <row r="14" spans="1:158" x14ac:dyDescent="0.15">
      <c r="A14" s="7" t="str">
        <f t="shared" si="11"/>
        <v>2020_3</v>
      </c>
      <c r="B14" s="30">
        <v>2020</v>
      </c>
      <c r="C14" s="5" t="s">
        <v>23</v>
      </c>
      <c r="D14" s="11">
        <v>849.47233531417658</v>
      </c>
      <c r="E14" s="11">
        <v>886.25077867210803</v>
      </c>
      <c r="F14" s="11">
        <v>897.79093163438074</v>
      </c>
      <c r="G14" s="11">
        <v>828.21310803339748</v>
      </c>
      <c r="H14" s="11">
        <v>531.70128337622123</v>
      </c>
      <c r="I14" s="11">
        <v>876.7552582099288</v>
      </c>
      <c r="J14" s="11">
        <v>923.56979934843162</v>
      </c>
      <c r="K14" s="11">
        <v>1076.5610146636493</v>
      </c>
      <c r="L14" s="11">
        <v>1135.0578169327705</v>
      </c>
      <c r="M14" s="11">
        <v>1170.6963523017102</v>
      </c>
      <c r="N14" s="11">
        <v>1016.2615658182523</v>
      </c>
      <c r="O14" s="11">
        <v>1121.9901824279855</v>
      </c>
      <c r="P14" s="11">
        <v>1312.7553703904878</v>
      </c>
      <c r="Q14" s="11">
        <v>1294.9368490469774</v>
      </c>
      <c r="R14" s="11">
        <v>1260.8572682470185</v>
      </c>
      <c r="S14" s="11">
        <v>1019.6671549807463</v>
      </c>
      <c r="T14" s="11">
        <v>801.37924488021963</v>
      </c>
      <c r="U14" s="11">
        <v>717.37775848778188</v>
      </c>
      <c r="V14" s="11">
        <v>370.22840775657005</v>
      </c>
      <c r="W14" s="11">
        <v>97.415358650011953</v>
      </c>
      <c r="X14" s="11">
        <v>21.062160827173443</v>
      </c>
      <c r="Y14" s="11">
        <f t="shared" si="177"/>
        <v>18210.000000000004</v>
      </c>
      <c r="Z14" s="11">
        <f t="shared" si="179"/>
        <v>1070.4250261838934</v>
      </c>
      <c r="AA14" s="11">
        <f t="shared" si="180"/>
        <v>524.75899426043179</v>
      </c>
      <c r="AB14" s="11">
        <f t="shared" si="178"/>
        <v>5582.9242028764984</v>
      </c>
      <c r="AC14" s="11">
        <f t="shared" si="181"/>
        <v>3027.1300855825034</v>
      </c>
      <c r="AD14" s="15">
        <f t="shared" si="182"/>
        <v>0.30658562344187246</v>
      </c>
      <c r="AE14" s="15">
        <f t="shared" si="183"/>
        <v>0.16623449124560696</v>
      </c>
      <c r="AF14" s="11">
        <f t="shared" si="184"/>
        <v>3408.5873555982307</v>
      </c>
      <c r="AI14" s="43"/>
      <c r="AJ14" s="1" t="s">
        <v>22</v>
      </c>
      <c r="AK14" s="8">
        <f>VLOOKUP(AK12&amp;"_2",A:D,4,FALSE)/VLOOKUP(AK12&amp;"_2",A:AF,32,FALSE)</f>
        <v>0.23546163076899021</v>
      </c>
      <c r="AL14" s="63"/>
      <c r="BH14" s="7" t="str">
        <f t="shared" si="19"/>
        <v>2040_3</v>
      </c>
      <c r="BI14" s="30">
        <f>BI13</f>
        <v>2040</v>
      </c>
      <c r="BJ14" s="5" t="s">
        <v>23</v>
      </c>
      <c r="BK14" s="16">
        <f>BK12+BK13</f>
        <v>584.77686951879696</v>
      </c>
      <c r="BL14" s="16">
        <f t="shared" ref="BL14" si="185">BL12+BL13</f>
        <v>572.177578591371</v>
      </c>
      <c r="BM14" s="16">
        <f t="shared" ref="BM14" si="186">BM12+BM13</f>
        <v>595.30773494649316</v>
      </c>
      <c r="BN14" s="16">
        <f t="shared" ref="BN14" si="187">BN12+BN13</f>
        <v>662.41015921358394</v>
      </c>
      <c r="BO14" s="16">
        <f t="shared" ref="BO14" si="188">BO12+BO13</f>
        <v>484.89964598615194</v>
      </c>
      <c r="BP14" s="16">
        <f t="shared" ref="BP14" si="189">BP12+BP13</f>
        <v>651.37546027817802</v>
      </c>
      <c r="BQ14" s="16">
        <f t="shared" ref="BQ14" si="190">BQ12+BQ13</f>
        <v>739.08345510639174</v>
      </c>
      <c r="BR14" s="16">
        <f t="shared" ref="BR14" si="191">BR12+BR13</f>
        <v>671.13291563958342</v>
      </c>
      <c r="BS14" s="16">
        <f t="shared" ref="BS14" si="192">BS12+BS13</f>
        <v>672.28269417636716</v>
      </c>
      <c r="BT14" s="16">
        <f t="shared" ref="BT14" si="193">BT12+BT13</f>
        <v>874.18950892731448</v>
      </c>
      <c r="BU14" s="16">
        <f t="shared" ref="BU14" si="194">BU12+BU13</f>
        <v>882.64499069594308</v>
      </c>
      <c r="BV14" s="16">
        <f t="shared" ref="BV14" si="195">BV12+BV13</f>
        <v>1023.4819266979409</v>
      </c>
      <c r="BW14" s="16">
        <f t="shared" ref="BW14" si="196">BW12+BW13</f>
        <v>1061.4682012476123</v>
      </c>
      <c r="BX14" s="16">
        <f t="shared" ref="BX14" si="197">BX12+BX13</f>
        <v>1096.5437095424434</v>
      </c>
      <c r="BY14" s="16">
        <f t="shared" ref="BY14" si="198">BY12+BY13</f>
        <v>889.05158169571564</v>
      </c>
      <c r="BZ14" s="16">
        <f t="shared" ref="BZ14" si="199">BZ12+BZ13</f>
        <v>915.35055849180617</v>
      </c>
      <c r="CA14" s="16">
        <f t="shared" ref="CA14" si="200">CA12+CA13</f>
        <v>929.16126555063374</v>
      </c>
      <c r="CB14" s="16">
        <f t="shared" ref="CB14" si="201">CB12+CB13</f>
        <v>713.70814055908681</v>
      </c>
      <c r="CC14" s="16">
        <f t="shared" ref="CC14" si="202">CC12+CC13</f>
        <v>448.52550742952087</v>
      </c>
      <c r="CD14" s="16">
        <f t="shared" ref="CD14" si="203">CD12+CD13</f>
        <v>142.91804547529216</v>
      </c>
      <c r="CE14" s="16">
        <f t="shared" ref="CE14" si="204">CE12+CE13</f>
        <v>32.709313771737612</v>
      </c>
      <c r="CF14" s="11">
        <f t="shared" si="2"/>
        <v>14643.199263541965</v>
      </c>
      <c r="CG14" s="11">
        <f t="shared" si="20"/>
        <v>700.49118812271854</v>
      </c>
      <c r="CH14" s="11">
        <f t="shared" si="21"/>
        <v>370.60512582131406</v>
      </c>
      <c r="CI14" s="11">
        <f t="shared" si="3"/>
        <v>5167.9681225162367</v>
      </c>
      <c r="CJ14" s="11">
        <f t="shared" si="22"/>
        <v>3182.3728312780777</v>
      </c>
      <c r="CK14" s="15">
        <f t="shared" si="23"/>
        <v>0.35292616248030106</v>
      </c>
      <c r="CL14" s="15">
        <f t="shared" si="24"/>
        <v>0.2173277010032513</v>
      </c>
      <c r="CM14" s="11">
        <f t="shared" si="25"/>
        <v>2546.4914770103051</v>
      </c>
      <c r="CO14" s="7" t="str">
        <f t="shared" si="26"/>
        <v>2040_3</v>
      </c>
      <c r="CP14" s="30">
        <f>CP13</f>
        <v>2040</v>
      </c>
      <c r="CQ14" s="5" t="s">
        <v>23</v>
      </c>
      <c r="CR14" s="16">
        <f>CR12+CR13</f>
        <v>590.43187118409378</v>
      </c>
      <c r="CS14" s="16">
        <f t="shared" ref="CS14" si="205">CS12+CS13</f>
        <v>577.23712850336051</v>
      </c>
      <c r="CT14" s="16">
        <f t="shared" ref="CT14" si="206">CT12+CT13</f>
        <v>600.93396063963996</v>
      </c>
      <c r="CU14" s="16">
        <f t="shared" ref="CU14" si="207">CU12+CU13</f>
        <v>666.23886085135268</v>
      </c>
      <c r="CV14" s="16">
        <f t="shared" ref="CV14" si="208">CV12+CV13</f>
        <v>486.15517405862488</v>
      </c>
      <c r="CW14" s="16">
        <f t="shared" ref="CW14" si="209">CW12+CW13</f>
        <v>656.9201592416407</v>
      </c>
      <c r="CX14" s="16">
        <f t="shared" ref="CX14" si="210">CX12+CX13</f>
        <v>743.32734038272156</v>
      </c>
      <c r="CY14" s="16">
        <f t="shared" ref="CY14" si="211">CY12+CY13</f>
        <v>675.31304453567407</v>
      </c>
      <c r="CZ14" s="16">
        <f t="shared" ref="CZ14" si="212">CZ12+CZ13</f>
        <v>677.38799947992459</v>
      </c>
      <c r="DA14" s="16">
        <f t="shared" ref="DA14" si="213">DA12+DA13</f>
        <v>875.17596768771273</v>
      </c>
      <c r="DB14" s="16">
        <f t="shared" ref="DB14" si="214">DB12+DB13</f>
        <v>883.6247808523633</v>
      </c>
      <c r="DC14" s="16">
        <f t="shared" ref="DC14" si="215">DC12+DC13</f>
        <v>1024.457609229991</v>
      </c>
      <c r="DD14" s="16">
        <f t="shared" ref="DD14" si="216">DD12+DD13</f>
        <v>1061.4682012476123</v>
      </c>
      <c r="DE14" s="16">
        <f t="shared" ref="DE14" si="217">DE12+DE13</f>
        <v>1096.5437095424434</v>
      </c>
      <c r="DF14" s="16">
        <f t="shared" ref="DF14" si="218">DF12+DF13</f>
        <v>889.05158169571564</v>
      </c>
      <c r="DG14" s="16">
        <f t="shared" ref="DG14" si="219">DG12+DG13</f>
        <v>915.35055849180617</v>
      </c>
      <c r="DH14" s="16">
        <f t="shared" ref="DH14" si="220">DH12+DH13</f>
        <v>929.16126555063374</v>
      </c>
      <c r="DI14" s="16">
        <f t="shared" ref="DI14" si="221">DI12+DI13</f>
        <v>713.70814055908681</v>
      </c>
      <c r="DJ14" s="16">
        <f t="shared" ref="DJ14" si="222">DJ12+DJ13</f>
        <v>448.52550742952087</v>
      </c>
      <c r="DK14" s="16">
        <f t="shared" ref="DK14" si="223">DK12+DK13</f>
        <v>142.91804547529216</v>
      </c>
      <c r="DL14" s="16">
        <f t="shared" ref="DL14" si="224">DL12+DL13</f>
        <v>32.709313771737612</v>
      </c>
      <c r="DM14" s="11">
        <f t="shared" si="69"/>
        <v>14686.640220410949</v>
      </c>
      <c r="DN14" s="11">
        <f t="shared" si="34"/>
        <v>706.90265348580033</v>
      </c>
      <c r="DO14" s="11">
        <f t="shared" si="35"/>
        <v>373.62135642612651</v>
      </c>
      <c r="DP14" s="11">
        <f t="shared" si="6"/>
        <v>5167.9681225162367</v>
      </c>
      <c r="DQ14" s="11">
        <f t="shared" si="36"/>
        <v>3182.3728312780777</v>
      </c>
      <c r="DR14" s="15">
        <f t="shared" si="37"/>
        <v>0.35188225795399997</v>
      </c>
      <c r="DS14" s="15">
        <f t="shared" si="38"/>
        <v>0.21668487710724565</v>
      </c>
      <c r="DT14" s="11">
        <f t="shared" si="70"/>
        <v>2561.7157182186611</v>
      </c>
      <c r="DX14" s="30">
        <f>DX13</f>
        <v>2040</v>
      </c>
      <c r="DY14" s="5" t="s">
        <v>23</v>
      </c>
      <c r="DZ14" s="16">
        <f>DZ12+DZ13</f>
        <v>969.61580609413454</v>
      </c>
      <c r="EA14" s="16">
        <f t="shared" ref="EA14" si="225">EA12+EA13</f>
        <v>940.31585392160491</v>
      </c>
      <c r="EB14" s="16">
        <f t="shared" ref="EB14" si="226">EB12+EB13</f>
        <v>887.17505355747255</v>
      </c>
      <c r="EC14" s="16">
        <f t="shared" ref="EC14" si="227">EC12+EC13</f>
        <v>662.41015921358394</v>
      </c>
      <c r="ED14" s="16">
        <f t="shared" ref="ED14" si="228">ED12+ED13</f>
        <v>484.89964598615194</v>
      </c>
      <c r="EE14" s="16">
        <f t="shared" ref="EE14" si="229">EE12+EE13</f>
        <v>913.37546027817802</v>
      </c>
      <c r="EF14" s="16">
        <f t="shared" ref="EF14" si="230">EF12+EF13</f>
        <v>1279.0579407059956</v>
      </c>
      <c r="EG14" s="16">
        <f t="shared" ref="EG14" si="231">EG12+EG13</f>
        <v>1464.933410606001</v>
      </c>
      <c r="EH14" s="16">
        <f t="shared" ref="EH14" si="232">EH12+EH13</f>
        <v>1452.0396747882996</v>
      </c>
      <c r="EI14" s="16">
        <f t="shared" ref="EI14" si="233">EI12+EI13</f>
        <v>1370.7418554679368</v>
      </c>
      <c r="EJ14" s="16">
        <f t="shared" ref="EJ14" si="234">EJ12+EJ13</f>
        <v>1136.9518431523147</v>
      </c>
      <c r="EK14" s="16">
        <f t="shared" ref="EK14" si="235">EK12+EK13</f>
        <v>1023.4819266979409</v>
      </c>
      <c r="EL14" s="16">
        <f t="shared" ref="EL14" si="236">EL12+EL13</f>
        <v>1061.4682012476123</v>
      </c>
      <c r="EM14" s="16">
        <f t="shared" ref="EM14" si="237">EM12+EM13</f>
        <v>1096.5437095424434</v>
      </c>
      <c r="EN14" s="16">
        <f t="shared" ref="EN14" si="238">EN12+EN13</f>
        <v>889.05158169571564</v>
      </c>
      <c r="EO14" s="16">
        <f t="shared" ref="EO14" si="239">EO12+EO13</f>
        <v>915.35055849180617</v>
      </c>
      <c r="EP14" s="16">
        <f t="shared" ref="EP14" si="240">EP12+EP13</f>
        <v>929.16126555063374</v>
      </c>
      <c r="EQ14" s="16">
        <f t="shared" ref="EQ14" si="241">EQ12+EQ13</f>
        <v>713.70814055908681</v>
      </c>
      <c r="ER14" s="16">
        <f t="shared" ref="ER14" si="242">ER12+ER13</f>
        <v>448.52550742952087</v>
      </c>
      <c r="ES14" s="16">
        <f t="shared" ref="ES14" si="243">ES12+ES13</f>
        <v>142.91804547529216</v>
      </c>
      <c r="ET14" s="16">
        <f t="shared" ref="ET14" si="244">ET12+ET13</f>
        <v>32.709313771737612</v>
      </c>
      <c r="EU14" s="11">
        <f t="shared" si="71"/>
        <v>18814.434954233468</v>
      </c>
      <c r="EV14" s="11">
        <f t="shared" si="41"/>
        <v>1096.4945444874465</v>
      </c>
      <c r="EW14" s="11">
        <f t="shared" si="42"/>
        <v>487.35205326570576</v>
      </c>
      <c r="EX14" s="11">
        <f t="shared" si="10"/>
        <v>5167.9681225162367</v>
      </c>
      <c r="EY14" s="11">
        <f t="shared" si="43"/>
        <v>3182.3728312780777</v>
      </c>
      <c r="EZ14" s="15">
        <f t="shared" si="44"/>
        <v>0.27468101673462075</v>
      </c>
      <c r="FA14" s="15">
        <f t="shared" si="45"/>
        <v>0.16914527802824111</v>
      </c>
      <c r="FB14" s="11">
        <f t="shared" si="72"/>
        <v>4142.2664575763265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292.08021685767824</v>
      </c>
      <c r="BL15" s="9">
        <f>IF(管理者入力シート!$B$14=1,BK12*管理者用人口入力シート!AM$3,IF(管理者入力シート!$B$14=2,BK12*管理者用人口入力シート!AM$7))</f>
        <v>289.77030765210259</v>
      </c>
      <c r="BM15" s="9">
        <f>IF(管理者入力シート!$B$14=1,BL12*管理者用人口入力シート!AN$3,IF(管理者入力シート!$B$14=2,BL12*管理者用人口入力シート!AN$7))</f>
        <v>277.67944299064214</v>
      </c>
      <c r="BN15" s="9">
        <f>IF(管理者入力シート!$B$14=1,BM12*管理者用人口入力シート!AO$3,IF(管理者入力シート!$B$14=2,BM12*管理者用人口入力シート!AO$7))</f>
        <v>302.73644465158884</v>
      </c>
      <c r="BO15" s="9">
        <f>IF(管理者入力シート!$B$14=1,BN12*管理者用人口入力シート!AP$3,IF(管理者入力シート!$B$14=2,BN12*管理者用人口入力シート!AP$7))</f>
        <v>198.43540416658558</v>
      </c>
      <c r="BP15" s="9">
        <f>IF(管理者入力シート!$B$14=1,BO12*管理者用人口入力シート!AQ$3,IF(管理者入力シート!$B$14=2,BO12*管理者用人口入力シート!AQ$7))</f>
        <v>314.05486205663976</v>
      </c>
      <c r="BQ15" s="9">
        <f>IF(管理者入力シート!$B$14=1,BP12*管理者用人口入力シート!AR$3,IF(管理者入力シート!$B$14=2,BP12*管理者用人口入力シート!AR$7))</f>
        <v>357.46536889152532</v>
      </c>
      <c r="BR15" s="9">
        <f>IF(管理者入力シート!$B$14=1,BQ12*管理者用人口入力シート!AS$3,IF(管理者入力シート!$B$14=2,BQ12*管理者用人口入力シート!AS$7))</f>
        <v>410.37915290091951</v>
      </c>
      <c r="BS15" s="9">
        <f>IF(管理者入力シート!$B$14=1,BR12*管理者用人口入力シート!AT$3,IF(管理者入力シート!$B$14=2,BR12*管理者用人口入力シート!AT$7))</f>
        <v>369.01666429580683</v>
      </c>
      <c r="BT15" s="9">
        <f>IF(管理者入力シート!$B$14=1,BS12*管理者用人口入力シート!AU$3,IF(管理者入力シート!$B$14=2,BS12*管理者用人口入力シート!AU$7))</f>
        <v>342.86568295963514</v>
      </c>
      <c r="BU15" s="9">
        <f>IF(管理者入力シート!$B$14=1,BT12*管理者用人口入力シート!AV$3,IF(管理者入力シート!$B$14=2,BT12*管理者用人口入力シート!AV$7))</f>
        <v>463.48172695736542</v>
      </c>
      <c r="BV15" s="9">
        <f>IF(管理者入力シート!$B$14=1,BU12*管理者用人口入力シート!AW$3,IF(管理者入力シート!$B$14=2,BU12*管理者用人口入力シート!AW$7))</f>
        <v>418.92974440406158</v>
      </c>
      <c r="BW15" s="9">
        <f>IF(管理者入力シート!$B$14=1,BV12*管理者用人口入力シート!AX$3,IF(管理者入力シート!$B$14=2,BV12*管理者用人口入力シート!AX$7))</f>
        <v>466.17099967567947</v>
      </c>
      <c r="BX15" s="9">
        <f>IF(管理者入力シート!$B$14=1,BW12*管理者用人口入力シート!AY$3,IF(管理者入力シート!$B$14=2,BW12*管理者用人口入力シート!AY$7))</f>
        <v>478.42349051670203</v>
      </c>
      <c r="BY15" s="9">
        <f>IF(管理者入力シート!$B$14=1,BX12*管理者用人口入力シート!AZ$3,IF(管理者入力シート!$B$14=2,BX12*管理者用人口入力シート!AZ$7))</f>
        <v>507.63216151745451</v>
      </c>
      <c r="BZ15" s="9">
        <f>IF(管理者入力シート!$B$14=1,BY12*管理者用人口入力シート!BA$3,IF(管理者入力シート!$B$14=2,BY12*管理者用人口入力シート!BA$7))</f>
        <v>380.67395390048142</v>
      </c>
      <c r="CA15" s="9">
        <f>IF(管理者入力シート!$B$14=1,BZ12*管理者用人口入力シート!BB$3,IF(管理者入力シート!$B$14=2,BZ12*管理者用人口入力シート!BB$7))</f>
        <v>298.73520133443668</v>
      </c>
      <c r="CB15" s="9">
        <f>IF(管理者入力シート!$B$14=1,CA12*管理者用人口入力シート!BC$3,IF(管理者入力シート!$B$14=2,CA12*管理者用人口入力シート!BC$7))</f>
        <v>280.13990556875433</v>
      </c>
      <c r="CC15" s="9">
        <f>IF(管理者入力シート!$B$14=1,CB12*管理者用人口入力シート!BD$3,IF(管理者入力シート!$B$14=2,CB12*管理者用人口入力シート!BD$7))</f>
        <v>135.73907273034783</v>
      </c>
      <c r="CD15" s="9">
        <f>IF(管理者入力シート!$B$14=1,CC12*管理者用人口入力シート!BE$3,IF(管理者入力シート!$B$14=2,CC12*管理者用人口入力シート!BE$7))</f>
        <v>31.531473340077149</v>
      </c>
      <c r="CE15" s="9">
        <f>IF(管理者入力シート!$B$14=1,CD12*管理者用人口入力シート!BF$3,IF(管理者入力シート!$B$14=2,CD12*管理者用人口入力シート!BF$7))</f>
        <v>8.6246210083086581</v>
      </c>
      <c r="CF15" s="9">
        <f t="shared" ref="CF15:CF20" si="252">SUM(BK15:CE15)</f>
        <v>6624.5658983767953</v>
      </c>
      <c r="CG15" s="9">
        <f t="shared" ref="CG15:CG20" si="253">BL15*3/5+BM15*3/5</f>
        <v>340.46985038564685</v>
      </c>
      <c r="CH15" s="9">
        <f t="shared" ref="CH15:CH20" si="254">BM15*2/5+BN15*1/5</f>
        <v>171.61906612657464</v>
      </c>
      <c r="CI15" s="9">
        <f t="shared" ref="CI15:CI20" si="255">SUM(BX15:CE15)</f>
        <v>2121.4998799165628</v>
      </c>
      <c r="CJ15" s="9">
        <f t="shared" ref="CJ15:CJ20" si="256">SUM(BZ15:CE15)</f>
        <v>1135.444227882406</v>
      </c>
      <c r="CK15" s="13">
        <f t="shared" ref="CK15:CK20" si="257">CI15/CF15</f>
        <v>0.32024738110558909</v>
      </c>
      <c r="CL15" s="13">
        <f t="shared" ref="CL15:CL20" si="258">CJ15/CF15</f>
        <v>0.17139903886541785</v>
      </c>
      <c r="CM15" s="9">
        <f t="shared" ref="CM15:CM20" si="259">SUM(BO15:BR15)</f>
        <v>1280.3347880156703</v>
      </c>
      <c r="CO15" s="7" t="str">
        <f t="shared" si="26"/>
        <v>2045_1</v>
      </c>
      <c r="CP15" s="28">
        <f>管理者入力シート!B12</f>
        <v>2045</v>
      </c>
      <c r="CQ15" s="3" t="s">
        <v>21</v>
      </c>
      <c r="CR15" s="9">
        <f>DT16*$AK$13+将来予測シート②!$G17</f>
        <v>295.32716574532373</v>
      </c>
      <c r="CS15" s="9">
        <f>IF(管理者入力シート!$B$14=1,CR12*管理者用人口入力シート!AM$3,IF(管理者入力シート!$B$14=2,CR12*管理者用人口入力シート!AM$7))+将来予測シート②!$G18</f>
        <v>292.53697977030299</v>
      </c>
      <c r="CT15" s="9">
        <f>IF(管理者入力シート!$B$14=1,CS12*管理者用人口入力シート!AN$3,IF(管理者入力シート!$B$14=2,CS12*管理者用人口入力シート!AN$7))+将来予測シート②!$G19</f>
        <v>281.1015484061756</v>
      </c>
      <c r="CU15" s="9">
        <f>IF(管理者入力シート!$B$14=1,CT12*管理者用人口入力シート!AO$3,IF(管理者入力シート!$B$14=2,CT12*管理者用人口入力シート!AO$7))+将来予測シート②!$G20</f>
        <v>305.54403802653678</v>
      </c>
      <c r="CV15" s="9">
        <f>IF(管理者入力シート!$B$14=1,CU12*管理者用人口入力シート!AP$3,IF(管理者入力シート!$B$14=2,CU12*管理者用人口入力シート!AP$7))+将来予測シート②!$G21</f>
        <v>199.55061142108923</v>
      </c>
      <c r="CW15" s="9">
        <f>IF(管理者入力シート!$B$14=1,CV12*管理者用人口入力シート!AQ$3,IF(管理者入力シート!$B$14=2,CV12*管理者用人口入力シート!AQ$7))+将来予測シート②!$G22</f>
        <v>316.85122569123729</v>
      </c>
      <c r="CX15" s="9">
        <f>IF(管理者入力シート!$B$14=1,CW12*管理者用人口入力シート!AR$3,IF(管理者入力シート!$B$14=2,CW12*管理者用人口入力シート!AR$7))+将来予測シート②!$G23</f>
        <v>360.53041363033702</v>
      </c>
      <c r="CY15" s="9">
        <f>IF(管理者入力シート!$B$14=1,CX12*管理者用人口入力シート!AS$3,IF(管理者入力シート!$B$14=2,CX12*管理者用人口入力シート!AS$7))+将来予測シート②!$G24</f>
        <v>412.55351467776967</v>
      </c>
      <c r="CZ15" s="9">
        <f>IF(管理者入力シート!$B$14=1,CY12*管理者用人口入力シート!AT$3,IF(管理者入力シート!$B$14=2,CY12*管理者用人口入力シート!AT$7))+将来予測シート②!$G25</f>
        <v>371.13404040297581</v>
      </c>
      <c r="DA15" s="9">
        <f>IF(管理者入力シート!$B$14=1,CZ12*管理者用人口入力シート!AU$3,IF(管理者入力シート!$B$14=2,CZ12*管理者用人口入力シート!AU$7))+将来予測シート②!$G26</f>
        <v>344.89281128749417</v>
      </c>
      <c r="DB15" s="9">
        <f>IF(管理者入力シート!$B$14=1,DA12*管理者用人口入力シート!AV$3,IF(管理者入力シート!$B$14=2,DA12*管理者用人口入力シート!AV$7))+将来予測シート②!$G27</f>
        <v>463.48172695736542</v>
      </c>
      <c r="DC15" s="9">
        <f>IF(管理者入力シート!$B$14=1,DB12*管理者用人口入力シート!AW$3,IF(管理者入力シート!$B$14=2,DB12*管理者用人口入力シート!AW$7))+将来予測シート②!$G28</f>
        <v>418.92974440406158</v>
      </c>
      <c r="DD15" s="9">
        <f>IF(管理者入力シート!$B$14=1,DC12*管理者用人口入力シート!AX$3,IF(管理者入力シート!$B$14=2,DC12*管理者用人口入力シート!AX$7))+将来予測シート②!$G29</f>
        <v>466.17099967567947</v>
      </c>
      <c r="DE15" s="9">
        <f>IF(管理者入力シート!$B$14=1,DD12*管理者用人口入力シート!AY$3,IF(管理者入力シート!$B$14=2,DD12*管理者用人口入力シート!AY$7))</f>
        <v>478.42349051670203</v>
      </c>
      <c r="DF15" s="9">
        <f>IF(管理者入力シート!$B$14=1,DE12*管理者用人口入力シート!AZ$3,IF(管理者入力シート!$B$14=2,DE12*管理者用人口入力シート!AZ$7))</f>
        <v>507.63216151745451</v>
      </c>
      <c r="DG15" s="9">
        <f>IF(管理者入力シート!$B$14=1,DF12*管理者用人口入力シート!BA$3,IF(管理者入力シート!$B$14=2,DF12*管理者用人口入力シート!BA$7))</f>
        <v>380.67395390048142</v>
      </c>
      <c r="DH15" s="9">
        <f>IF(管理者入力シート!$B$14=1,DG12*管理者用人口入力シート!BB$3,IF(管理者入力シート!$B$14=2,DG12*管理者用人口入力シート!BB$7))</f>
        <v>298.73520133443668</v>
      </c>
      <c r="DI15" s="9">
        <f>IF(管理者入力シート!$B$14=1,DH12*管理者用人口入力シート!BC$3,IF(管理者入力シート!$B$14=2,DH12*管理者用人口入力シート!BC$7))</f>
        <v>280.13990556875433</v>
      </c>
      <c r="DJ15" s="9">
        <f>IF(管理者入力シート!$B$14=1,DI12*管理者用人口入力シート!BD$3,IF(管理者入力シート!$B$14=2,DI12*管理者用人口入力シート!BD$7))</f>
        <v>135.73907273034783</v>
      </c>
      <c r="DK15" s="9">
        <f>IF(管理者入力シート!$B$14=1,DJ12*管理者用人口入力シート!BE$3,IF(管理者入力シート!$B$14=2,DJ12*管理者用人口入力シート!BE$7))</f>
        <v>31.531473340077149</v>
      </c>
      <c r="DL15" s="9">
        <f>IF(管理者入力シート!$B$14=1,DK12*管理者用人口入力シート!BF$3,IF(管理者入力シート!$B$14=2,DK12*管理者用人口入力シート!BF$7))</f>
        <v>8.6246210083086581</v>
      </c>
      <c r="DM15" s="9">
        <f t="shared" ref="DM15:DM20" si="260">SUM(CR15:DL15)</f>
        <v>6650.1047000129129</v>
      </c>
      <c r="DN15" s="9">
        <f t="shared" ref="DN15:DN20" si="261">CS15*3/5+CT15*3/5</f>
        <v>344.18311690588712</v>
      </c>
      <c r="DO15" s="9">
        <f t="shared" ref="DO15:DO20" si="262">CT15*2/5+CU15*1/5</f>
        <v>173.54942696777761</v>
      </c>
      <c r="DP15" s="9">
        <f t="shared" ref="DP15:DP20" si="263">SUM(DE15:DL15)</f>
        <v>2121.4998799165628</v>
      </c>
      <c r="DQ15" s="9">
        <f t="shared" ref="DQ15:DQ20" si="264">SUM(DG15:DL15)</f>
        <v>1135.444227882406</v>
      </c>
      <c r="DR15" s="13">
        <f t="shared" ref="DR15:DR20" si="265">DP15/DM15</f>
        <v>0.31901751560579839</v>
      </c>
      <c r="DS15" s="13">
        <f t="shared" ref="DS15:DS20" si="266">DQ15/DM15</f>
        <v>0.1707408047094659</v>
      </c>
      <c r="DT15" s="9">
        <f t="shared" ref="DT15:DT20" si="267">SUM(CV15:CY15)</f>
        <v>1289.4857654204334</v>
      </c>
      <c r="DV15" s="62" t="s">
        <v>404</v>
      </c>
      <c r="DW15" s="211">
        <f>AK13+AK14</f>
        <v>0.48909963661061073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271.14897055141512</v>
      </c>
      <c r="BL16" s="10">
        <f>IF(管理者入力シート!$B$14=1,BK13*管理者用人口入力シート!AM$4,IF(管理者入力シート!$B$14=2,BK13*管理者用人口入力シート!AM$8))</f>
        <v>269.62929498015149</v>
      </c>
      <c r="BM16" s="10">
        <f>IF(管理者入力シート!$B$14=1,BL13*管理者用人口入力シート!AN$4,IF(管理者入力シート!$B$14=2,BL13*管理者用人口入力シート!AN$8))</f>
        <v>266.8796673340874</v>
      </c>
      <c r="BN16" s="10">
        <f>IF(管理者入力シート!$B$14=1,BM13*管理者用人口入力シート!AO$4,IF(管理者入力シート!$B$14=2,BM13*管理者用人口入力シート!AO$8))</f>
        <v>293.53622806505842</v>
      </c>
      <c r="BO16" s="10">
        <f>IF(管理者入力シート!$B$14=1,BN13*管理者用人口入力シート!AP$4,IF(管理者入力シート!$B$14=2,BN13*管理者用人口入力シート!AP$8))</f>
        <v>216.21306954524437</v>
      </c>
      <c r="BP16" s="10">
        <f>IF(管理者入力シート!$B$14=1,BO13*管理者用人口入力シート!AQ$4,IF(管理者入力シート!$B$14=2,BO13*管理者用人口入力シート!AQ$8))</f>
        <v>283.63649378296975</v>
      </c>
      <c r="BQ16" s="10">
        <f>IF(管理者入力シート!$B$14=1,BP13*管理者用人口入力シート!AR$4,IF(管理者入力シート!$B$14=2,BP13*管理者用人口入力シート!AR$8))</f>
        <v>333.65637218493703</v>
      </c>
      <c r="BR16" s="10">
        <f>IF(管理者入力シート!$B$14=1,BQ13*管理者用人口入力シート!AS$4,IF(管理者入力シート!$B$14=2,BQ13*管理者用人口入力シート!AS$8))</f>
        <v>318.05735599160164</v>
      </c>
      <c r="BS16" s="10">
        <f>IF(管理者入力シート!$B$14=1,BR13*管理者用人口入力シート!AT$4,IF(管理者入力シート!$B$14=2,BR13*管理者用人口入力シート!AT$8))</f>
        <v>289.58628737239036</v>
      </c>
      <c r="BT16" s="10">
        <f>IF(管理者入力シート!$B$14=1,BS13*管理者用人口入力シート!AU$4,IF(管理者入力シート!$B$14=2,BS13*管理者用人口入力シート!AU$8))</f>
        <v>309.89861059962521</v>
      </c>
      <c r="BU16" s="10">
        <f>IF(管理者入力シート!$B$14=1,BT13*管理者用人口入力シート!AV$4,IF(管理者入力シート!$B$14=2,BT13*管理者用人口入力シート!AV$8))</f>
        <v>425.91948880516463</v>
      </c>
      <c r="BV16" s="10">
        <f>IF(管理者入力シート!$B$14=1,BU13*管理者用人口入力シート!AW$4,IF(管理者入力シート!$B$14=2,BU13*管理者用人口入力シート!AW$8))</f>
        <v>445.55073630961965</v>
      </c>
      <c r="BW16" s="10">
        <f>IF(管理者入力シート!$B$14=1,BV13*管理者用人口入力シート!AX$4,IF(管理者入力シート!$B$14=2,BV13*管理者用人口入力シート!AX$8))</f>
        <v>522.58635723192776</v>
      </c>
      <c r="BX16" s="10">
        <f>IF(管理者入力シート!$B$14=1,BW13*管理者用人口入力シート!AY$4,IF(管理者入力シート!$B$14=2,BW13*管理者用人口入力シート!AY$8))</f>
        <v>556.72190175639912</v>
      </c>
      <c r="BY16" s="10">
        <f>IF(管理者入力シート!$B$14=1,BX13*管理者用人口入力シート!AZ$4,IF(管理者入力シート!$B$14=2,BX13*管理者用人口入力シート!AZ$8))</f>
        <v>533.61310481979729</v>
      </c>
      <c r="BZ16" s="10">
        <f>IF(管理者入力シート!$B$14=1,BY13*管理者用人口入力シート!BA$4,IF(管理者入力シート!$B$14=2,BY13*管理者用人口入力シート!BA$8))</f>
        <v>425.83364924090296</v>
      </c>
      <c r="CA16" s="10">
        <f>IF(管理者入力シート!$B$14=1,BZ13*管理者用人口入力シート!BB$4,IF(管理者入力シート!$B$14=2,BZ13*管理者用人口入力シート!BB$8))</f>
        <v>479.94389529218461</v>
      </c>
      <c r="CB16" s="10">
        <f>IF(管理者入力シート!$B$14=1,CA13*管理者用人口入力シート!BC$4,IF(管理者入力シート!$B$14=2,CA13*管理者用人口入力シート!BC$8))</f>
        <v>419.09616172821768</v>
      </c>
      <c r="CC16" s="10">
        <f>IF(管理者入力シート!$B$14=1,CB13*管理者用人口入力シート!BD$4,IF(管理者入力シート!$B$14=2,CB13*管理者用人口入力シート!BD$8))</f>
        <v>295.26068537863654</v>
      </c>
      <c r="CD16" s="10">
        <f>IF(管理者入力シート!$B$14=1,CC13*管理者用人口入力シート!BE$4,IF(管理者入力シート!$B$14=2,CC13*管理者用人口入力シート!BE$8))</f>
        <v>133.51386539664958</v>
      </c>
      <c r="CE16" s="10">
        <f>IF(管理者入力シート!$B$14=1,CD13*管理者用人口入力シート!BF$4,IF(管理者入力シート!$B$14=2,CD13*管理者用人口入力シート!BF$8))</f>
        <v>25.830854299837338</v>
      </c>
      <c r="CF16" s="10">
        <f t="shared" si="252"/>
        <v>7116.1130506668178</v>
      </c>
      <c r="CG16" s="10">
        <f t="shared" si="253"/>
        <v>321.90537738854334</v>
      </c>
      <c r="CH16" s="10">
        <f t="shared" si="254"/>
        <v>165.45911254664665</v>
      </c>
      <c r="CI16" s="10">
        <f t="shared" si="255"/>
        <v>2869.8141179126255</v>
      </c>
      <c r="CJ16" s="10">
        <f t="shared" si="256"/>
        <v>1779.4791113364288</v>
      </c>
      <c r="CK16" s="14">
        <f t="shared" si="257"/>
        <v>0.40328394131452261</v>
      </c>
      <c r="CL16" s="14">
        <f t="shared" si="258"/>
        <v>0.25006335602969126</v>
      </c>
      <c r="CM16" s="10">
        <f t="shared" si="259"/>
        <v>1151.5632915047527</v>
      </c>
      <c r="CO16" s="7" t="str">
        <f t="shared" si="26"/>
        <v>2045_2</v>
      </c>
      <c r="CP16" s="29">
        <f>CP15</f>
        <v>2045</v>
      </c>
      <c r="CQ16" s="4" t="s">
        <v>22</v>
      </c>
      <c r="CR16" s="10">
        <f>DT16*$AK$14+将来予測シート②!$H17</f>
        <v>274.23489709694212</v>
      </c>
      <c r="CS16" s="10">
        <f>IF(管理者入力シート!$B$14=1,CR13*管理者用人口入力シート!AM$4,IF(管理者入力シート!$B$14=2,CR13*管理者用人口入力シート!AM$8))+将来予測シート②!$H18</f>
        <v>272.27229973664919</v>
      </c>
      <c r="CT16" s="10">
        <f>IF(管理者入力シート!$B$14=1,CS13*管理者用人口入力シート!AN$4,IF(管理者入力シート!$B$14=2,CS13*管理者用人口入力シート!AN$8))+将来予測シート②!$H19</f>
        <v>270.27398804640484</v>
      </c>
      <c r="CU16" s="10">
        <f>IF(管理者入力シート!$B$14=1,CT13*管理者用人口入力シート!AO$4,IF(管理者入力シート!$B$14=2,CT13*管理者用人口入力シート!AO$8))+将来予測シート②!$H20</f>
        <v>296.36445375567934</v>
      </c>
      <c r="CV16" s="10">
        <f>IF(管理者入力シート!$B$14=1,CU13*管理者用人口入力シート!AP$4,IF(管理者入力シート!$B$14=2,CU13*管理者用人口入力シート!AP$8))+将来予測シート②!$H21</f>
        <v>217.49843984950604</v>
      </c>
      <c r="CW16" s="10">
        <f>IF(管理者入力シート!$B$14=1,CV13*管理者用人口入力シート!AQ$4,IF(管理者入力シート!$B$14=2,CV13*管理者用人口入力シート!AQ$8))+将来予測シート②!$H22</f>
        <v>286.3848291118349</v>
      </c>
      <c r="CX16" s="10">
        <f>IF(管理者入力シート!$B$14=1,CW13*管理者用人口入力シート!AR$4,IF(管理者入力シート!$B$14=2,CW13*管理者用人口入力シート!AR$8))+将来予測シート②!$H23</f>
        <v>336.47578034116867</v>
      </c>
      <c r="CY16" s="10">
        <f>IF(管理者入力シート!$B$14=1,CX13*管理者用人口入力シート!AS$4,IF(管理者入力シート!$B$14=2,CX13*管理者用人口入力シート!AS$8))+将来予測シート②!$H24</f>
        <v>320.06312311084213</v>
      </c>
      <c r="CZ16" s="10">
        <f>IF(管理者入力シート!$B$14=1,CY13*管理者用人口入力シート!AT$4,IF(管理者入力シート!$B$14=2,CY13*管理者用人口入力シート!AT$8))+将来予測シート②!$H25</f>
        <v>292.5742165687787</v>
      </c>
      <c r="DA16" s="10">
        <f>IF(管理者入力シート!$B$14=1,CZ13*管理者用人口入力シート!AU$4,IF(管理者入力シート!$B$14=2,CZ13*管理者用人口入力シート!AU$8))+将来予測シート②!$H26</f>
        <v>312.84607953085231</v>
      </c>
      <c r="DB16" s="10">
        <f>IF(管理者入力シート!$B$14=1,DA13*管理者用人口入力シート!AV$4,IF(管理者入力シート!$B$14=2,DA13*管理者用人口入力シート!AV$8))+将来予測シート②!$H27</f>
        <v>426.89927896158486</v>
      </c>
      <c r="DC16" s="10">
        <f>IF(管理者入力シート!$B$14=1,DB13*管理者用人口入力シート!AW$4,IF(管理者入力シート!$B$14=2,DB13*管理者用人口入力シート!AW$8))+将来予測シート②!$H28</f>
        <v>446.52641884166957</v>
      </c>
      <c r="DD16" s="10">
        <f>IF(管理者入力シート!$B$14=1,DC13*管理者用人口入力シート!AX$4,IF(管理者入力シート!$B$14=2,DC13*管理者用人口入力シート!AX$8))+将来予測シート②!$H29</f>
        <v>523.55134517652812</v>
      </c>
      <c r="DE16" s="10">
        <f>IF(管理者入力シート!$B$14=1,DD13*管理者用人口入力シート!AY$4,IF(管理者入力シート!$B$14=2,DD13*管理者用人口入力シート!AY$8))</f>
        <v>556.72190175639912</v>
      </c>
      <c r="DF16" s="10">
        <f>IF(管理者入力シート!$B$14=1,DE13*管理者用人口入力シート!AZ$4,IF(管理者入力シート!$B$14=2,DE13*管理者用人口入力シート!AZ$8))</f>
        <v>533.61310481979729</v>
      </c>
      <c r="DG16" s="10">
        <f>IF(管理者入力シート!$B$14=1,DF13*管理者用人口入力シート!BA$4,IF(管理者入力シート!$B$14=2,DF13*管理者用人口入力シート!BA$8))</f>
        <v>425.83364924090296</v>
      </c>
      <c r="DH16" s="10">
        <f>IF(管理者入力シート!$B$14=1,DG13*管理者用人口入力シート!BB$4,IF(管理者入力シート!$B$14=2,DG13*管理者用人口入力シート!BB$8))</f>
        <v>479.94389529218461</v>
      </c>
      <c r="DI16" s="10">
        <f>IF(管理者入力シート!$B$14=1,DH13*管理者用人口入力シート!BC$4,IF(管理者入力シート!$B$14=2,DH13*管理者用人口入力シート!BC$8))</f>
        <v>419.09616172821768</v>
      </c>
      <c r="DJ16" s="10">
        <f>IF(管理者入力シート!$B$14=1,DI13*管理者用人口入力シート!BD$4,IF(管理者入力シート!$B$14=2,DI13*管理者用人口入力シート!BD$8))</f>
        <v>295.26068537863654</v>
      </c>
      <c r="DK16" s="10">
        <f>IF(管理者入力シート!$B$14=1,DJ13*管理者用人口入力シート!BE$4,IF(管理者入力シート!$B$14=2,DJ13*管理者用人口入力シート!BE$8))</f>
        <v>133.51386539664958</v>
      </c>
      <c r="DL16" s="10">
        <f>IF(管理者入力シート!$B$14=1,DK13*管理者用人口入力シート!BF$4,IF(管理者入力シート!$B$14=2,DK13*管理者用人口入力シート!BF$8))</f>
        <v>25.830854299837338</v>
      </c>
      <c r="DM16" s="10">
        <f t="shared" si="260"/>
        <v>7145.7792680410657</v>
      </c>
      <c r="DN16" s="10">
        <f t="shared" si="261"/>
        <v>325.52777266983242</v>
      </c>
      <c r="DO16" s="10">
        <f t="shared" si="262"/>
        <v>167.3824859696978</v>
      </c>
      <c r="DP16" s="10">
        <f t="shared" si="263"/>
        <v>2869.8141179126255</v>
      </c>
      <c r="DQ16" s="10">
        <f t="shared" si="264"/>
        <v>1779.4791113364288</v>
      </c>
      <c r="DR16" s="14">
        <f t="shared" si="265"/>
        <v>0.40160967898177918</v>
      </c>
      <c r="DS16" s="14">
        <f t="shared" si="266"/>
        <v>0.2490251999939333</v>
      </c>
      <c r="DT16" s="10">
        <f t="shared" si="267"/>
        <v>1160.4221724133517</v>
      </c>
      <c r="DV16" s="212" t="s">
        <v>406</v>
      </c>
      <c r="DW16" s="7">
        <f>IF(DW10&lt;0,ABS(DW10)/DW15,0)</f>
        <v>267.88391734051578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563.22918740909336</v>
      </c>
      <c r="BL17" s="16">
        <f t="shared" ref="BL17:CE17" si="268">BL15+BL16</f>
        <v>559.39960263225407</v>
      </c>
      <c r="BM17" s="16">
        <f t="shared" si="268"/>
        <v>544.55911032472955</v>
      </c>
      <c r="BN17" s="16">
        <f t="shared" si="268"/>
        <v>596.27267271664732</v>
      </c>
      <c r="BO17" s="16">
        <f t="shared" si="268"/>
        <v>414.64847371182998</v>
      </c>
      <c r="BP17" s="16">
        <f t="shared" si="268"/>
        <v>597.69135583960951</v>
      </c>
      <c r="BQ17" s="16">
        <f t="shared" si="268"/>
        <v>691.12174107646229</v>
      </c>
      <c r="BR17" s="16">
        <f t="shared" si="268"/>
        <v>728.43650889252115</v>
      </c>
      <c r="BS17" s="16">
        <f t="shared" si="268"/>
        <v>658.60295166819719</v>
      </c>
      <c r="BT17" s="16">
        <f t="shared" si="268"/>
        <v>652.7642935592603</v>
      </c>
      <c r="BU17" s="16">
        <f t="shared" si="268"/>
        <v>889.40121576253</v>
      </c>
      <c r="BV17" s="16">
        <f t="shared" si="268"/>
        <v>864.48048071368123</v>
      </c>
      <c r="BW17" s="16">
        <f t="shared" si="268"/>
        <v>988.75735690760723</v>
      </c>
      <c r="BX17" s="16">
        <f t="shared" si="268"/>
        <v>1035.1453922731012</v>
      </c>
      <c r="BY17" s="16">
        <f t="shared" si="268"/>
        <v>1041.2452663372519</v>
      </c>
      <c r="BZ17" s="16">
        <f t="shared" si="268"/>
        <v>806.50760314138438</v>
      </c>
      <c r="CA17" s="16">
        <f t="shared" si="268"/>
        <v>778.67909662662123</v>
      </c>
      <c r="CB17" s="16">
        <f t="shared" si="268"/>
        <v>699.23606729697201</v>
      </c>
      <c r="CC17" s="16">
        <f t="shared" si="268"/>
        <v>430.99975810898434</v>
      </c>
      <c r="CD17" s="16">
        <f t="shared" si="268"/>
        <v>165.04533873672673</v>
      </c>
      <c r="CE17" s="16">
        <f t="shared" si="268"/>
        <v>34.455475308145992</v>
      </c>
      <c r="CF17" s="11">
        <f t="shared" si="252"/>
        <v>13740.678949043613</v>
      </c>
      <c r="CG17" s="11">
        <f t="shared" si="253"/>
        <v>662.37522777419019</v>
      </c>
      <c r="CH17" s="11">
        <f t="shared" si="254"/>
        <v>337.07817867322126</v>
      </c>
      <c r="CI17" s="11">
        <f t="shared" si="255"/>
        <v>4991.3139978291883</v>
      </c>
      <c r="CJ17" s="11">
        <f t="shared" si="256"/>
        <v>2914.9233392188344</v>
      </c>
      <c r="CK17" s="15">
        <f t="shared" si="257"/>
        <v>0.36325090021673179</v>
      </c>
      <c r="CL17" s="15">
        <f t="shared" si="258"/>
        <v>0.21213823203559534</v>
      </c>
      <c r="CM17" s="11">
        <f t="shared" si="259"/>
        <v>2431.8980795204229</v>
      </c>
      <c r="CO17" s="7" t="str">
        <f t="shared" si="26"/>
        <v>2045_3</v>
      </c>
      <c r="CP17" s="30">
        <f>CP16</f>
        <v>2045</v>
      </c>
      <c r="CQ17" s="5" t="s">
        <v>23</v>
      </c>
      <c r="CR17" s="16">
        <f>CR15+CR16</f>
        <v>569.56206284226585</v>
      </c>
      <c r="CS17" s="16">
        <f>CS15+CS16</f>
        <v>564.80927950695218</v>
      </c>
      <c r="CT17" s="16">
        <f t="shared" ref="CT17:DL17" si="269">CT15+CT16</f>
        <v>551.37553645258049</v>
      </c>
      <c r="CU17" s="16">
        <f t="shared" si="269"/>
        <v>601.90849178221606</v>
      </c>
      <c r="CV17" s="16">
        <f t="shared" si="269"/>
        <v>417.04905127059527</v>
      </c>
      <c r="CW17" s="16">
        <f t="shared" si="269"/>
        <v>603.23605480307219</v>
      </c>
      <c r="CX17" s="16">
        <f t="shared" si="269"/>
        <v>697.0061939715057</v>
      </c>
      <c r="CY17" s="16">
        <f t="shared" si="269"/>
        <v>732.6166377886118</v>
      </c>
      <c r="CZ17" s="16">
        <f t="shared" si="269"/>
        <v>663.70825697175451</v>
      </c>
      <c r="DA17" s="16">
        <f t="shared" si="269"/>
        <v>657.73889081834648</v>
      </c>
      <c r="DB17" s="16">
        <f t="shared" si="269"/>
        <v>890.38100591895022</v>
      </c>
      <c r="DC17" s="16">
        <f t="shared" si="269"/>
        <v>865.4561632457312</v>
      </c>
      <c r="DD17" s="16">
        <f t="shared" si="269"/>
        <v>989.72234485220758</v>
      </c>
      <c r="DE17" s="16">
        <f t="shared" si="269"/>
        <v>1035.1453922731012</v>
      </c>
      <c r="DF17" s="16">
        <f t="shared" si="269"/>
        <v>1041.2452663372519</v>
      </c>
      <c r="DG17" s="16">
        <f t="shared" si="269"/>
        <v>806.50760314138438</v>
      </c>
      <c r="DH17" s="16">
        <f t="shared" si="269"/>
        <v>778.67909662662123</v>
      </c>
      <c r="DI17" s="16">
        <f t="shared" si="269"/>
        <v>699.23606729697201</v>
      </c>
      <c r="DJ17" s="16">
        <f t="shared" si="269"/>
        <v>430.99975810898434</v>
      </c>
      <c r="DK17" s="16">
        <f t="shared" si="269"/>
        <v>165.04533873672673</v>
      </c>
      <c r="DL17" s="16">
        <f t="shared" si="269"/>
        <v>34.455475308145992</v>
      </c>
      <c r="DM17" s="11">
        <f t="shared" si="260"/>
        <v>13795.883968053979</v>
      </c>
      <c r="DN17" s="11">
        <f t="shared" si="261"/>
        <v>669.71088957571965</v>
      </c>
      <c r="DO17" s="11">
        <f t="shared" si="262"/>
        <v>340.93191293747543</v>
      </c>
      <c r="DP17" s="11">
        <f t="shared" si="263"/>
        <v>4991.3139978291883</v>
      </c>
      <c r="DQ17" s="11">
        <f t="shared" si="264"/>
        <v>2914.9233392188344</v>
      </c>
      <c r="DR17" s="15">
        <f t="shared" si="265"/>
        <v>0.36179733095662253</v>
      </c>
      <c r="DS17" s="15">
        <f t="shared" si="266"/>
        <v>0.2112893487629128</v>
      </c>
      <c r="DT17" s="11">
        <f t="shared" si="267"/>
        <v>2449.9079378337847</v>
      </c>
      <c r="DV17" s="62" t="s">
        <v>407</v>
      </c>
      <c r="DW17" s="7">
        <f>IF(DW9&gt;=0,0,IF(AND(DW10&lt;=0,DW9&lt;=0,DW16*2&gt;=ABS(DW9)),ROUND(DW16/3,0),ROUND(ABS(DW9)/6,0)))</f>
        <v>131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267.41667253079459</v>
      </c>
      <c r="BL18" s="9">
        <f>IF(管理者入力シート!$B$14=1,BK15*管理者用人口入力シート!AM$3,IF(管理者入力シート!$B$14=2,BK15*管理者用人口入力シート!AM$7))</f>
        <v>279.09293855702111</v>
      </c>
      <c r="BM18" s="9">
        <f>IF(管理者入力シート!$B$14=1,BL15*管理者用人口入力シート!AN$3,IF(管理者入力シート!$B$14=2,BL15*管理者用人口入力シート!AN$7))</f>
        <v>271.47825409468686</v>
      </c>
      <c r="BN18" s="9">
        <f>IF(管理者入力シート!$B$14=1,BM15*管理者用人口入力シート!AO$3,IF(管理者入力シート!$B$14=2,BM15*管理者用人口入力シート!AO$7))</f>
        <v>276.92885424570966</v>
      </c>
      <c r="BO18" s="9">
        <f>IF(管理者入力シート!$B$14=1,BN15*管理者用人口入力シート!AP$3,IF(管理者入力シート!$B$14=2,BN15*管理者用人口入力シート!AP$7))</f>
        <v>178.62287762085356</v>
      </c>
      <c r="BP18" s="9">
        <f>IF(管理者入力シート!$B$14=1,BO15*管理者用人口入力シート!AQ$3,IF(管理者入力シート!$B$14=2,BO15*管理者用人口入力シート!AQ$7))</f>
        <v>268.55529858911041</v>
      </c>
      <c r="BQ18" s="9">
        <f>IF(管理者入力シート!$B$14=1,BP15*管理者用人口入力シート!AR$3,IF(管理者入力シート!$B$14=2,BP15*管理者用人口入力シート!AR$7))</f>
        <v>344.22998165740654</v>
      </c>
      <c r="BR18" s="9">
        <f>IF(管理者入力シート!$B$14=1,BQ15*管理者用人口入力シート!AS$3,IF(管理者入力シート!$B$14=2,BQ15*管理者用人口入力シート!AS$7))</f>
        <v>354.56234482947326</v>
      </c>
      <c r="BS18" s="9">
        <f>IF(管理者入力シート!$B$14=1,BR15*管理者用人口入力シート!AT$3,IF(管理者入力シート!$B$14=2,BR15*管理者用人口入力シート!AT$7))</f>
        <v>399.62393677258291</v>
      </c>
      <c r="BT18" s="9">
        <f>IF(管理者入力シート!$B$14=1,BS15*管理者用人口入力シート!AU$3,IF(管理者入力シート!$B$14=2,BS15*管理者用人口入力シート!AU$7))</f>
        <v>353.28826612963144</v>
      </c>
      <c r="BU18" s="9">
        <f>IF(管理者入力シート!$B$14=1,BT15*管理者用人口入力シート!AV$3,IF(管理者入力シート!$B$14=2,BT15*管理者用人口入力シート!AV$7))</f>
        <v>356.80797982641809</v>
      </c>
      <c r="BV18" s="9">
        <f>IF(管理者入力シート!$B$14=1,BU15*管理者用人口入力シート!AW$3,IF(管理者入力シート!$B$14=2,BU15*管理者用人口入力シート!AW$7))</f>
        <v>446.13518942052588</v>
      </c>
      <c r="BW18" s="9">
        <f>IF(管理者入力シート!$B$14=1,BV15*管理者用人口入力シート!AX$3,IF(管理者入力シート!$B$14=2,BV15*管理者用人口入力シート!AX$7))</f>
        <v>394.44827450507017</v>
      </c>
      <c r="BX18" s="9">
        <f>IF(管理者入力シート!$B$14=1,BW15*管理者用人口入力シート!AY$3,IF(管理者入力シート!$B$14=2,BW15*管理者用人口入力シート!AY$7))</f>
        <v>452.48860738935434</v>
      </c>
      <c r="BY18" s="9">
        <f>IF(管理者入力シート!$B$14=1,BX15*管理者用人口入力シート!AZ$3,IF(管理者入力シート!$B$14=2,BX15*管理者用人口入力シート!AZ$7))</f>
        <v>453.07827169758497</v>
      </c>
      <c r="BZ18" s="9">
        <f>IF(管理者入力シート!$B$14=1,BY15*管理者用人口入力シート!BA$3,IF(管理者入力シート!$B$14=2,BY15*管理者用人口入力シート!BA$7))</f>
        <v>448.36582802991273</v>
      </c>
      <c r="CA18" s="9">
        <f>IF(管理者入力シート!$B$14=1,BZ15*管理者用人口入力シート!BB$3,IF(管理者入力シート!$B$14=2,BZ15*管理者用人口入力シート!BB$7))</f>
        <v>297.69070534970638</v>
      </c>
      <c r="CB18" s="9">
        <f>IF(管理者入力シート!$B$14=1,CA15*管理者用人口入力シート!BC$3,IF(管理者入力シート!$B$14=2,CA15*管理者用人口入力シート!BC$7))</f>
        <v>202.00288104972725</v>
      </c>
      <c r="CC18" s="9">
        <f>IF(管理者入力シート!$B$14=1,CB15*管理者用人口入力シート!BD$3,IF(管理者入力シート!$B$14=2,CB15*管理者用人口入力シート!BD$7))</f>
        <v>140.79315326213833</v>
      </c>
      <c r="CD18" s="9">
        <f>IF(管理者入力シート!$B$14=1,CC15*管理者用人口入力シート!BE$3,IF(管理者入力シート!$B$14=2,CC15*管理者用人口入力シート!BE$7))</f>
        <v>32.410076759618654</v>
      </c>
      <c r="CE18" s="9">
        <f>IF(管理者入力シート!$B$14=1,CD15*管理者用人口入力シート!BF$3,IF(管理者入力シート!$B$14=2,CD15*管理者用人口入力シート!BF$7))</f>
        <v>9.1238420613005662</v>
      </c>
      <c r="CF18" s="9">
        <f t="shared" si="252"/>
        <v>6227.1442343786266</v>
      </c>
      <c r="CG18" s="9">
        <f t="shared" si="253"/>
        <v>330.34271559102478</v>
      </c>
      <c r="CH18" s="9">
        <f t="shared" si="254"/>
        <v>163.9770724870167</v>
      </c>
      <c r="CI18" s="9">
        <f t="shared" si="255"/>
        <v>2035.9533655993432</v>
      </c>
      <c r="CJ18" s="9">
        <f t="shared" si="256"/>
        <v>1130.386486512404</v>
      </c>
      <c r="CK18" s="13">
        <f t="shared" si="257"/>
        <v>0.32694816258780623</v>
      </c>
      <c r="CL18" s="13">
        <f t="shared" si="258"/>
        <v>0.18152566312368373</v>
      </c>
      <c r="CM18" s="9">
        <f t="shared" si="259"/>
        <v>1145.9705026968438</v>
      </c>
      <c r="CO18" s="7" t="str">
        <f t="shared" si="26"/>
        <v>2050_1</v>
      </c>
      <c r="CP18" s="28">
        <f>管理者入力シート!B13</f>
        <v>2050</v>
      </c>
      <c r="CQ18" s="3" t="s">
        <v>21</v>
      </c>
      <c r="CR18" s="9">
        <f>DT19*$AK$13+将来予測シート②!$G17</f>
        <v>271.17949892276545</v>
      </c>
      <c r="CS18" s="9">
        <f>IF(管理者入力シート!$B$14=1,CR15*管理者用人口入力シート!AM$3,IF(管理者入力シート!$B$14=2,CR15*管理者用人口入力シート!AM$7))+将来予測シート②!$G18</f>
        <v>282.19551262433288</v>
      </c>
      <c r="CT18" s="9">
        <f>IF(管理者入力シート!$B$14=1,CS15*管理者用人口入力シート!AN$3,IF(管理者入力シート!$B$14=2,CS15*管理者用人口入力シート!AN$7))+将来予測シート②!$G19</f>
        <v>275.07027714351921</v>
      </c>
      <c r="CU18" s="9">
        <f>IF(管理者入力シート!$B$14=1,CT15*管理者用人口入力シート!AO$3,IF(管理者入力シート!$B$14=2,CT15*管理者用人口入力シート!AO$7))+将来予測シート②!$G20</f>
        <v>280.34170944890758</v>
      </c>
      <c r="CV18" s="9">
        <f>IF(管理者入力シート!$B$14=1,CU15*管理者用人口入力シート!AP$3,IF(管理者入力シート!$B$14=2,CU15*管理者用人口入力シート!AP$7))+将来予測シート②!$G21</f>
        <v>180.27943538481753</v>
      </c>
      <c r="CW18" s="9">
        <f>IF(管理者入力シート!$B$14=1,CV15*管理者用人口入力シート!AQ$3,IF(管理者入力シート!$B$14=2,CV15*管理者用人口入力シート!AQ$7))+将来予測シート②!$G22</f>
        <v>272.0645797503015</v>
      </c>
      <c r="CX18" s="9">
        <f>IF(管理者入力シート!$B$14=1,CW15*管理者用人口入力シート!AR$3,IF(管理者入力シート!$B$14=2,CW15*管理者用人口入力シート!AR$7))+将来予測シート②!$G23</f>
        <v>347.29502639621825</v>
      </c>
      <c r="CY18" s="9">
        <f>IF(管理者入力シート!$B$14=1,CX15*管理者用人口入力シート!AS$3,IF(管理者入力シート!$B$14=2,CX15*管理者用人口入力シート!AS$7))+将来予測シート②!$G24</f>
        <v>357.60249793009456</v>
      </c>
      <c r="CZ18" s="9">
        <f>IF(管理者入力シート!$B$14=1,CY15*管理者用人口入力シート!AT$3,IF(管理者入力シート!$B$14=2,CY15*管理者用人口入力シート!AT$7))+将来予測シート②!$G25</f>
        <v>401.74131287975194</v>
      </c>
      <c r="DA18" s="9">
        <f>IF(管理者入力シート!$B$14=1,CZ15*管理者用人口入力シート!AU$3,IF(管理者入力シート!$B$14=2,CZ15*管理者用人口入力シート!AU$7))+将来予測シート②!$G26</f>
        <v>355.31539445749036</v>
      </c>
      <c r="DB18" s="9">
        <f>IF(管理者入力シート!$B$14=1,DA15*管理者用人口入力シート!AV$3,IF(管理者入力シート!$B$14=2,DA15*管理者用人口入力シート!AV$7))+将来予測シート②!$G27</f>
        <v>358.91753934042003</v>
      </c>
      <c r="DC18" s="9">
        <f>IF(管理者入力シート!$B$14=1,DB15*管理者用人口入力シート!AW$3,IF(管理者入力シート!$B$14=2,DB15*管理者用人口入力シート!AW$7))+将来予測シート②!$G28</f>
        <v>446.13518942052588</v>
      </c>
      <c r="DD18" s="9">
        <f>IF(管理者入力シート!$B$14=1,DC15*管理者用人口入力シート!AX$3,IF(管理者入力シート!$B$14=2,DC15*管理者用人口入力シート!AX$7))+将来予測シート②!$G29</f>
        <v>394.44827450507017</v>
      </c>
      <c r="DE18" s="9">
        <f>IF(管理者入力シート!$B$14=1,DD15*管理者用人口入力シート!AY$3,IF(管理者入力シート!$B$14=2,DD15*管理者用人口入力シート!AY$7))</f>
        <v>452.48860738935434</v>
      </c>
      <c r="DF18" s="9">
        <f>IF(管理者入力シート!$B$14=1,DE15*管理者用人口入力シート!AZ$3,IF(管理者入力シート!$B$14=2,DE15*管理者用人口入力シート!AZ$7))</f>
        <v>453.07827169758497</v>
      </c>
      <c r="DG18" s="9">
        <f>IF(管理者入力シート!$B$14=1,DF15*管理者用人口入力シート!BA$3,IF(管理者入力シート!$B$14=2,DF15*管理者用人口入力シート!BA$7))</f>
        <v>448.36582802991273</v>
      </c>
      <c r="DH18" s="9">
        <f>IF(管理者入力シート!$B$14=1,DG15*管理者用人口入力シート!BB$3,IF(管理者入力シート!$B$14=2,DG15*管理者用人口入力シート!BB$7))</f>
        <v>297.69070534970638</v>
      </c>
      <c r="DI18" s="9">
        <f>IF(管理者入力シート!$B$14=1,DH15*管理者用人口入力シート!BC$3,IF(管理者入力シート!$B$14=2,DH15*管理者用人口入力シート!BC$7))</f>
        <v>202.00288104972725</v>
      </c>
      <c r="DJ18" s="9">
        <f>IF(管理者入力シート!$B$14=1,DI15*管理者用人口入力シート!BD$3,IF(管理者入力シート!$B$14=2,DI15*管理者用人口入力シート!BD$7))</f>
        <v>140.79315326213833</v>
      </c>
      <c r="DK18" s="9">
        <f>IF(管理者入力シート!$B$14=1,DJ15*管理者用人口入力シート!BE$3,IF(管理者入力シート!$B$14=2,DJ15*管理者用人口入力シート!BE$7))</f>
        <v>32.410076759618654</v>
      </c>
      <c r="DL18" s="9">
        <f>IF(管理者入力シート!$B$14=1,DK15*管理者用人口入力シート!BF$3,IF(管理者入力シート!$B$14=2,DK15*管理者用人口入力シート!BF$7))</f>
        <v>9.1238420613005662</v>
      </c>
      <c r="DM18" s="9">
        <f t="shared" si="260"/>
        <v>6258.5396138035576</v>
      </c>
      <c r="DN18" s="9">
        <f t="shared" si="261"/>
        <v>334.35947386071126</v>
      </c>
      <c r="DO18" s="9">
        <f t="shared" si="262"/>
        <v>166.0964527471892</v>
      </c>
      <c r="DP18" s="9">
        <f t="shared" si="263"/>
        <v>2035.9533655993432</v>
      </c>
      <c r="DQ18" s="9">
        <f t="shared" si="264"/>
        <v>1130.386486512404</v>
      </c>
      <c r="DR18" s="13">
        <f t="shared" si="265"/>
        <v>0.32530805766714888</v>
      </c>
      <c r="DS18" s="13">
        <f t="shared" si="266"/>
        <v>0.18061505658912402</v>
      </c>
      <c r="DT18" s="9">
        <f t="shared" si="267"/>
        <v>1157.2415394614318</v>
      </c>
      <c r="DX18" s="287">
        <f>DX1</f>
        <v>131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248.25288150323999</v>
      </c>
      <c r="BL19" s="10">
        <f>IF(管理者入力シート!$B$14=1,BK16*管理者用人口入力シート!AM$4,IF(管理者入力シート!$B$14=2,BK16*管理者用人口入力シート!AM$8))</f>
        <v>259.69407585892213</v>
      </c>
      <c r="BM19" s="10">
        <f>IF(管理者入力シート!$B$14=1,BL16*管理者用人口入力シート!AN$4,IF(管理者入力シート!$B$14=2,BL16*管理者用人口入力シート!AN$8))</f>
        <v>260.91966103400216</v>
      </c>
      <c r="BN19" s="10">
        <f>IF(管理者入力シート!$B$14=1,BM16*管理者用人口入力シート!AO$4,IF(管理者入力シート!$B$14=2,BM16*管理者用人口入力シート!AO$8))</f>
        <v>268.51293510834762</v>
      </c>
      <c r="BO19" s="10">
        <f>IF(管理者入力シート!$B$14=1,BN16*管理者用人口入力シート!AP$4,IF(管理者入力シート!$B$14=2,BN16*管理者用人口入力シート!AP$8))</f>
        <v>194.62555496894828</v>
      </c>
      <c r="BP19" s="10">
        <f>IF(管理者入力シート!$B$14=1,BO16*管理者用人口入力シート!AQ$4,IF(管理者入力シート!$B$14=2,BO16*管理者用人口入力シート!AQ$8))</f>
        <v>242.54387523195288</v>
      </c>
      <c r="BQ19" s="10">
        <f>IF(管理者入力シート!$B$14=1,BP16*管理者用人口入力シート!AR$4,IF(管理者入力シート!$B$14=2,BP16*管理者用人口入力シート!AR$8))</f>
        <v>290.97142389348261</v>
      </c>
      <c r="BR19" s="10">
        <f>IF(管理者入力シート!$B$14=1,BQ16*管理者用人口入力シート!AS$4,IF(管理者入力シート!$B$14=2,BQ16*管理者用人口入力シート!AS$8))</f>
        <v>326.18328649903287</v>
      </c>
      <c r="BS19" s="10">
        <f>IF(管理者入力シート!$B$14=1,BR16*管理者用人口入力シート!AT$4,IF(管理者入力シート!$B$14=2,BR16*管理者用人口入力シート!AT$8))</f>
        <v>315.22877109542776</v>
      </c>
      <c r="BT19" s="10">
        <f>IF(管理者入力シート!$B$14=1,BS16*管理者用人口入力シート!AU$4,IF(管理者入力シート!$B$14=2,BS16*管理者用人口入力シート!AU$8))</f>
        <v>285.66493006971183</v>
      </c>
      <c r="BU19" s="10">
        <f>IF(管理者入力シート!$B$14=1,BT16*管理者用人口入力シート!AV$4,IF(管理者入力シート!$B$14=2,BT16*管理者用人口入力シート!AV$8))</f>
        <v>307.80365114424512</v>
      </c>
      <c r="BV19" s="10">
        <f>IF(管理者入力シート!$B$14=1,BU16*管理者用人口入力シート!AW$4,IF(管理者入力シート!$B$14=2,BU16*管理者用人口入力シート!AW$8))</f>
        <v>424.13388475463768</v>
      </c>
      <c r="BW19" s="10">
        <f>IF(管理者入力シート!$B$14=1,BV16*管理者用人口入力シート!AX$4,IF(管理者入力シート!$B$14=2,BV16*管理者用人口入力シート!AX$8))</f>
        <v>440.66699476841455</v>
      </c>
      <c r="BX19" s="10">
        <f>IF(管理者入力シート!$B$14=1,BW16*管理者用人口入力シート!AY$4,IF(管理者入力シート!$B$14=2,BW16*管理者用人口入力シート!AY$8))</f>
        <v>511.68919826049125</v>
      </c>
      <c r="BY19" s="10">
        <f>IF(管理者入力シート!$B$14=1,BX16*管理者用人口入力シート!AZ$4,IF(管理者入力シート!$B$14=2,BX16*管理者用人口入力シート!AZ$8))</f>
        <v>530.0024512652966</v>
      </c>
      <c r="BZ19" s="10">
        <f>IF(管理者入力シート!$B$14=1,BY16*管理者用人口入力シート!BA$4,IF(管理者入力シート!$B$14=2,BY16*管理者用人口入力シート!BA$8))</f>
        <v>496.07236534609507</v>
      </c>
      <c r="CA19" s="10">
        <f>IF(管理者入力シート!$B$14=1,BZ16*管理者用人口入力シート!BB$4,IF(管理者入力シート!$B$14=2,BZ16*管理者用人口入力シート!BB$8))</f>
        <v>383.20001671339628</v>
      </c>
      <c r="CB19" s="10">
        <f>IF(管理者入力シート!$B$14=1,CA16*管理者用人口入力シート!BC$4,IF(管理者入力シート!$B$14=2,CA16*管理者用人口入力シート!BC$8))</f>
        <v>390.66543602923019</v>
      </c>
      <c r="CC19" s="10">
        <f>IF(管理者入力シート!$B$14=1,CB16*管理者用人口入力シート!BD$4,IF(管理者入力シート!$B$14=2,CB16*管理者用人口入力シート!BD$8))</f>
        <v>278.9355121707448</v>
      </c>
      <c r="CD19" s="10">
        <f>IF(管理者入力シート!$B$14=1,CC16*管理者用人口入力シート!BE$4,IF(管理者入力シート!$B$14=2,CC16*管理者用人口入力シート!BE$8))</f>
        <v>124.56748287953658</v>
      </c>
      <c r="CE19" s="10">
        <f>IF(管理者入力シート!$B$14=1,CD16*管理者用人口入力シート!BF$4,IF(管理者入力シート!$B$14=2,CD16*管理者用人口入力シート!BF$8))</f>
        <v>30.489972200546635</v>
      </c>
      <c r="CF19" s="10">
        <f t="shared" si="252"/>
        <v>6610.8243607957038</v>
      </c>
      <c r="CG19" s="10">
        <f t="shared" si="253"/>
        <v>312.3682421357546</v>
      </c>
      <c r="CH19" s="10">
        <f t="shared" si="254"/>
        <v>158.0704514352704</v>
      </c>
      <c r="CI19" s="10">
        <f t="shared" si="255"/>
        <v>2745.6224348653377</v>
      </c>
      <c r="CJ19" s="10">
        <f t="shared" si="256"/>
        <v>1703.9307853395496</v>
      </c>
      <c r="CK19" s="14">
        <f t="shared" si="257"/>
        <v>0.41532224803123707</v>
      </c>
      <c r="CL19" s="14">
        <f t="shared" si="258"/>
        <v>0.25774860930270699</v>
      </c>
      <c r="CM19" s="10">
        <f t="shared" si="259"/>
        <v>1054.3241405934166</v>
      </c>
      <c r="CO19" s="7" t="str">
        <f t="shared" si="26"/>
        <v>2050_2</v>
      </c>
      <c r="CP19" s="29">
        <f>CP18</f>
        <v>2050</v>
      </c>
      <c r="CQ19" s="4" t="s">
        <v>22</v>
      </c>
      <c r="CR19" s="10">
        <f>DT19*$AK$14+将来予測シート②!$H17</f>
        <v>251.81771639707401</v>
      </c>
      <c r="CS19" s="10">
        <f>IF(管理者入力シート!$B$14=1,CR16*管理者用人口入力シート!AM$4,IF(管理者入力シート!$B$14=2,CR16*管理者用人口入力シート!AM$8))+将来予測シート②!$H18</f>
        <v>262.64963508815106</v>
      </c>
      <c r="CT19" s="10">
        <f>IF(管理者入力シート!$B$14=1,CS16*管理者用人口入力シート!AN$4,IF(管理者入力シート!$B$14=2,CS16*管理者用人口入力シート!AN$8))+将来予測シート②!$H19</f>
        <v>264.47729077978852</v>
      </c>
      <c r="CU19" s="10">
        <f>IF(管理者入力シート!$B$14=1,CT16*管理者用人口入力シート!AO$4,IF(管理者入力シート!$B$14=2,CT16*管理者用人口入力シート!AO$8))+将来予測シート②!$H20</f>
        <v>271.92802860823002</v>
      </c>
      <c r="CV19" s="10">
        <f>IF(管理者入力シート!$B$14=1,CU16*管理者用人口入力シート!AP$4,IF(管理者入力シート!$B$14=2,CU16*管理者用人口入力シート!AP$8))+将来予測シート②!$H21</f>
        <v>196.50077493155041</v>
      </c>
      <c r="CW19" s="10">
        <f>IF(管理者入力シート!$B$14=1,CV16*管理者用人口入力シート!AQ$4,IF(管理者入力シート!$B$14=2,CV16*管理者用人口入力シート!AQ$8))+将来予測シート②!$H22</f>
        <v>245.98578017950953</v>
      </c>
      <c r="CX19" s="10">
        <f>IF(管理者入力シート!$B$14=1,CW16*管理者用人口入力シート!AR$4,IF(管理者入力シート!$B$14=2,CW16*管理者用人口入力シート!AR$8))+将来予測シート②!$H23</f>
        <v>293.79083204971431</v>
      </c>
      <c r="CY19" s="10">
        <f>IF(管理者入力シート!$B$14=1,CX16*管理者用人口入力シート!AS$4,IF(管理者入力シート!$B$14=2,CX16*管理者用人口入力シート!AS$8))+将来予測シート②!$H24</f>
        <v>328.93954681667509</v>
      </c>
      <c r="CZ19" s="10">
        <f>IF(管理者入力シート!$B$14=1,CY16*管理者用人口入力シート!AT$4,IF(管理者入力シート!$B$14=2,CY16*管理者用人口入力シート!AT$8))+将来予測シート②!$H25</f>
        <v>318.21670029181615</v>
      </c>
      <c r="DA19" s="10">
        <f>IF(管理者入力シート!$B$14=1,CZ16*管理者用人口入力シート!AU$4,IF(管理者入力シート!$B$14=2,CZ16*管理者用人口入力シート!AU$8))+将来予測シート②!$H26</f>
        <v>288.61239900093892</v>
      </c>
      <c r="DB19" s="10">
        <f>IF(管理者入力シート!$B$14=1,DA16*管理者用人口入力シート!AV$4,IF(管理者入力シート!$B$14=2,DA16*管理者用人口入力シート!AV$8))+将来予測シート②!$H27</f>
        <v>310.73119475894703</v>
      </c>
      <c r="DC19" s="10">
        <f>IF(管理者入力シート!$B$14=1,DB16*管理者用人口入力シート!AW$4,IF(管理者入力シート!$B$14=2,DB16*管理者用人口入力シート!AW$8))+将来予測シート②!$H28</f>
        <v>425.10956728668771</v>
      </c>
      <c r="DD19" s="10">
        <f>IF(管理者入力シート!$B$14=1,DC16*管理者用人口入力シート!AX$4,IF(管理者入力シート!$B$14=2,DC16*管理者用人口入力シート!AX$8))+将来予測シート②!$H29</f>
        <v>441.63198271301468</v>
      </c>
      <c r="DE19" s="10">
        <f>IF(管理者入力シート!$B$14=1,DD16*管理者用人口入力シート!AY$4,IF(管理者入力シート!$B$14=2,DD16*管理者用人口入力シート!AY$8))</f>
        <v>512.63406392885474</v>
      </c>
      <c r="DF19" s="10">
        <f>IF(管理者入力シート!$B$14=1,DE16*管理者用人口入力シート!AZ$4,IF(管理者入力シート!$B$14=2,DE16*管理者用人口入力シート!AZ$8))</f>
        <v>530.0024512652966</v>
      </c>
      <c r="DG19" s="10">
        <f>IF(管理者入力シート!$B$14=1,DF16*管理者用人口入力シート!BA$4,IF(管理者入力シート!$B$14=2,DF16*管理者用人口入力シート!BA$8))</f>
        <v>496.07236534609507</v>
      </c>
      <c r="DH19" s="10">
        <f>IF(管理者入力シート!$B$14=1,DG16*管理者用人口入力シート!BB$4,IF(管理者入力シート!$B$14=2,DG16*管理者用人口入力シート!BB$8))</f>
        <v>383.20001671339628</v>
      </c>
      <c r="DI19" s="10">
        <f>IF(管理者入力シート!$B$14=1,DH16*管理者用人口入力シート!BC$4,IF(管理者入力シート!$B$14=2,DH16*管理者用人口入力シート!BC$8))</f>
        <v>390.66543602923019</v>
      </c>
      <c r="DJ19" s="10">
        <f>IF(管理者入力シート!$B$14=1,DI16*管理者用人口入力シート!BD$4,IF(管理者入力シート!$B$14=2,DI16*管理者用人口入力シート!BD$8))</f>
        <v>278.9355121707448</v>
      </c>
      <c r="DK19" s="10">
        <f>IF(管理者入力シート!$B$14=1,DJ16*管理者用人口入力シート!BE$4,IF(管理者入力シート!$B$14=2,DJ16*管理者用人口入力シート!BE$8))</f>
        <v>124.56748287953658</v>
      </c>
      <c r="DL19" s="10">
        <f>IF(管理者入力シート!$B$14=1,DK16*管理者用人口入力シート!BF$4,IF(管理者入力シート!$B$14=2,DK16*管理者用人口入力シート!BF$8))</f>
        <v>30.489972200546635</v>
      </c>
      <c r="DM19" s="10">
        <f t="shared" si="260"/>
        <v>6646.9587494357984</v>
      </c>
      <c r="DN19" s="10">
        <f t="shared" si="261"/>
        <v>316.27615552076372</v>
      </c>
      <c r="DO19" s="10">
        <f t="shared" si="262"/>
        <v>160.17652203356141</v>
      </c>
      <c r="DP19" s="10">
        <f t="shared" si="263"/>
        <v>2746.5673005337012</v>
      </c>
      <c r="DQ19" s="10">
        <f t="shared" si="264"/>
        <v>1703.9307853395496</v>
      </c>
      <c r="DR19" s="14">
        <f t="shared" si="265"/>
        <v>0.41320661133436898</v>
      </c>
      <c r="DS19" s="14">
        <f t="shared" si="266"/>
        <v>0.25634742888756173</v>
      </c>
      <c r="DT19" s="10">
        <f t="shared" si="267"/>
        <v>1065.2169339774493</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515.6695540340346</v>
      </c>
      <c r="BL20" s="16">
        <f t="shared" ref="BL20:CE20" si="276">BL18+BL19</f>
        <v>538.7870144159433</v>
      </c>
      <c r="BM20" s="16">
        <f t="shared" si="276"/>
        <v>532.39791512868896</v>
      </c>
      <c r="BN20" s="16">
        <f t="shared" si="276"/>
        <v>545.44178935405728</v>
      </c>
      <c r="BO20" s="16">
        <f t="shared" si="276"/>
        <v>373.24843258980184</v>
      </c>
      <c r="BP20" s="16">
        <f t="shared" si="276"/>
        <v>511.09917382106329</v>
      </c>
      <c r="BQ20" s="16">
        <f t="shared" si="276"/>
        <v>635.20140555088915</v>
      </c>
      <c r="BR20" s="16">
        <f t="shared" si="276"/>
        <v>680.74563132850608</v>
      </c>
      <c r="BS20" s="16">
        <f t="shared" si="276"/>
        <v>714.85270786801061</v>
      </c>
      <c r="BT20" s="16">
        <f t="shared" si="276"/>
        <v>638.95319619934321</v>
      </c>
      <c r="BU20" s="16">
        <f t="shared" si="276"/>
        <v>664.61163097066321</v>
      </c>
      <c r="BV20" s="16">
        <f t="shared" si="276"/>
        <v>870.2690741751635</v>
      </c>
      <c r="BW20" s="16">
        <f t="shared" si="276"/>
        <v>835.11526927348473</v>
      </c>
      <c r="BX20" s="16">
        <f t="shared" si="276"/>
        <v>964.1778056498456</v>
      </c>
      <c r="BY20" s="16">
        <f t="shared" si="276"/>
        <v>983.08072296288151</v>
      </c>
      <c r="BZ20" s="16">
        <f t="shared" si="276"/>
        <v>944.4381933760078</v>
      </c>
      <c r="CA20" s="16">
        <f t="shared" si="276"/>
        <v>680.89072206310266</v>
      </c>
      <c r="CB20" s="16">
        <f t="shared" si="276"/>
        <v>592.66831707895744</v>
      </c>
      <c r="CC20" s="16">
        <f t="shared" si="276"/>
        <v>419.72866543288313</v>
      </c>
      <c r="CD20" s="16">
        <f t="shared" si="276"/>
        <v>156.97755963915523</v>
      </c>
      <c r="CE20" s="16">
        <f t="shared" si="276"/>
        <v>39.613814261847203</v>
      </c>
      <c r="CF20" s="11">
        <f t="shared" si="252"/>
        <v>12837.968595174329</v>
      </c>
      <c r="CG20" s="11">
        <f t="shared" si="253"/>
        <v>642.71095772677938</v>
      </c>
      <c r="CH20" s="11">
        <f t="shared" si="254"/>
        <v>322.04752392228704</v>
      </c>
      <c r="CI20" s="11">
        <f t="shared" si="255"/>
        <v>4781.5758004646805</v>
      </c>
      <c r="CJ20" s="11">
        <f t="shared" si="256"/>
        <v>2834.3172718519531</v>
      </c>
      <c r="CK20" s="15">
        <f t="shared" si="257"/>
        <v>0.37245579509066801</v>
      </c>
      <c r="CL20" s="15">
        <f t="shared" si="258"/>
        <v>0.2207761493447917</v>
      </c>
      <c r="CM20" s="11">
        <f t="shared" si="259"/>
        <v>2200.2946432902604</v>
      </c>
      <c r="CO20" s="7" t="str">
        <f t="shared" si="26"/>
        <v>2050_3</v>
      </c>
      <c r="CP20" s="30">
        <f>CP19</f>
        <v>2050</v>
      </c>
      <c r="CQ20" s="5" t="s">
        <v>23</v>
      </c>
      <c r="CR20" s="16">
        <f>CR18+CR19</f>
        <v>522.99721531983948</v>
      </c>
      <c r="CS20" s="16">
        <f t="shared" ref="CS20:DL20" si="277">CS18+CS19</f>
        <v>544.84514771248394</v>
      </c>
      <c r="CT20" s="16">
        <f t="shared" si="277"/>
        <v>539.54756792330772</v>
      </c>
      <c r="CU20" s="16">
        <f t="shared" si="277"/>
        <v>552.2697380571376</v>
      </c>
      <c r="CV20" s="16">
        <f t="shared" si="277"/>
        <v>376.78021031636797</v>
      </c>
      <c r="CW20" s="16">
        <f t="shared" si="277"/>
        <v>518.05035992981107</v>
      </c>
      <c r="CX20" s="16">
        <f t="shared" si="277"/>
        <v>641.08585844593256</v>
      </c>
      <c r="CY20" s="16">
        <f t="shared" si="277"/>
        <v>686.54204474676965</v>
      </c>
      <c r="CZ20" s="16">
        <f t="shared" si="277"/>
        <v>719.95801317156815</v>
      </c>
      <c r="DA20" s="16">
        <f t="shared" si="277"/>
        <v>643.92779345842928</v>
      </c>
      <c r="DB20" s="16">
        <f t="shared" si="277"/>
        <v>669.64873409936706</v>
      </c>
      <c r="DC20" s="16">
        <f t="shared" si="277"/>
        <v>871.24475670721358</v>
      </c>
      <c r="DD20" s="16">
        <f t="shared" si="277"/>
        <v>836.08025721808485</v>
      </c>
      <c r="DE20" s="16">
        <f t="shared" si="277"/>
        <v>965.12267131820909</v>
      </c>
      <c r="DF20" s="16">
        <f t="shared" si="277"/>
        <v>983.08072296288151</v>
      </c>
      <c r="DG20" s="16">
        <f t="shared" si="277"/>
        <v>944.4381933760078</v>
      </c>
      <c r="DH20" s="16">
        <f t="shared" si="277"/>
        <v>680.89072206310266</v>
      </c>
      <c r="DI20" s="16">
        <f t="shared" si="277"/>
        <v>592.66831707895744</v>
      </c>
      <c r="DJ20" s="16">
        <f t="shared" si="277"/>
        <v>419.72866543288313</v>
      </c>
      <c r="DK20" s="16">
        <f t="shared" si="277"/>
        <v>156.97755963915523</v>
      </c>
      <c r="DL20" s="16">
        <f t="shared" si="277"/>
        <v>39.613814261847203</v>
      </c>
      <c r="DM20" s="11">
        <f t="shared" si="260"/>
        <v>12905.498363239358</v>
      </c>
      <c r="DN20" s="11">
        <f t="shared" si="261"/>
        <v>650.63562938147493</v>
      </c>
      <c r="DO20" s="11">
        <f t="shared" si="262"/>
        <v>326.27297478075059</v>
      </c>
      <c r="DP20" s="11">
        <f t="shared" si="263"/>
        <v>4782.520666133044</v>
      </c>
      <c r="DQ20" s="11">
        <f t="shared" si="264"/>
        <v>2834.3172718519531</v>
      </c>
      <c r="DR20" s="15">
        <f t="shared" si="265"/>
        <v>0.37058008389321917</v>
      </c>
      <c r="DS20" s="15">
        <f t="shared" si="266"/>
        <v>0.21962090824213026</v>
      </c>
      <c r="DT20" s="11">
        <f t="shared" si="267"/>
        <v>2222.4584734388814</v>
      </c>
      <c r="DX20" s="28">
        <f>DX3</f>
        <v>2025</v>
      </c>
      <c r="DY20" s="3" t="s">
        <v>21</v>
      </c>
      <c r="DZ20" s="9">
        <f t="shared" ref="DZ20:ET20" si="278">ROUND(DZ3,0)</f>
        <v>377</v>
      </c>
      <c r="EA20" s="9">
        <f t="shared" si="278"/>
        <v>421</v>
      </c>
      <c r="EB20" s="9">
        <f t="shared" si="278"/>
        <v>410</v>
      </c>
      <c r="EC20" s="9">
        <f t="shared" si="278"/>
        <v>473</v>
      </c>
      <c r="ED20" s="9">
        <f t="shared" si="278"/>
        <v>258</v>
      </c>
      <c r="EE20" s="9">
        <f t="shared" si="278"/>
        <v>469</v>
      </c>
      <c r="EF20" s="9">
        <f t="shared" si="278"/>
        <v>613</v>
      </c>
      <c r="EG20" s="9">
        <f t="shared" si="278"/>
        <v>580</v>
      </c>
      <c r="EH20" s="9">
        <f t="shared" si="278"/>
        <v>516</v>
      </c>
      <c r="EI20" s="9">
        <f t="shared" si="278"/>
        <v>523</v>
      </c>
      <c r="EJ20" s="9">
        <f t="shared" si="278"/>
        <v>609</v>
      </c>
      <c r="EK20" s="9">
        <f t="shared" si="278"/>
        <v>498</v>
      </c>
      <c r="EL20" s="9">
        <f t="shared" si="278"/>
        <v>471</v>
      </c>
      <c r="EM20" s="9">
        <f t="shared" si="278"/>
        <v>633</v>
      </c>
      <c r="EN20" s="9">
        <f t="shared" si="278"/>
        <v>578</v>
      </c>
      <c r="EO20" s="9">
        <f t="shared" si="278"/>
        <v>497</v>
      </c>
      <c r="EP20" s="9">
        <f t="shared" si="278"/>
        <v>367</v>
      </c>
      <c r="EQ20" s="9">
        <f t="shared" si="278"/>
        <v>215</v>
      </c>
      <c r="ER20" s="9">
        <f t="shared" si="278"/>
        <v>121</v>
      </c>
      <c r="ES20" s="9">
        <f t="shared" si="278"/>
        <v>25</v>
      </c>
      <c r="ET20" s="9">
        <f t="shared" si="278"/>
        <v>4</v>
      </c>
      <c r="EU20" s="9">
        <f t="shared" ref="EU20:EU21" si="279">SUM(DZ20:ET20)</f>
        <v>8658</v>
      </c>
      <c r="EV20" s="9">
        <f>EA20*3/5+EB20*3/5</f>
        <v>498.6</v>
      </c>
      <c r="EW20" s="9">
        <f>EB20*2/5+EC20*1/5</f>
        <v>258.60000000000002</v>
      </c>
      <c r="EX20" s="9">
        <f t="shared" ref="EX20:EX31" si="280">SUM(EM20:ET20)</f>
        <v>2440</v>
      </c>
      <c r="EY20" s="9">
        <f>SUM(EO20:ET20)</f>
        <v>1229</v>
      </c>
      <c r="EZ20" s="13">
        <f>EX20/EU20</f>
        <v>0.28182028182028179</v>
      </c>
      <c r="FA20" s="13">
        <f>EY20/EU20</f>
        <v>0.14194964194964194</v>
      </c>
      <c r="FB20" s="9">
        <f>SUM(ED20:EG20)</f>
        <v>1920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350</v>
      </c>
      <c r="EA21" s="10">
        <f t="shared" si="281"/>
        <v>392</v>
      </c>
      <c r="EB21" s="10">
        <f t="shared" si="281"/>
        <v>435</v>
      </c>
      <c r="EC21" s="10">
        <f t="shared" si="281"/>
        <v>426</v>
      </c>
      <c r="ED21" s="10">
        <f t="shared" si="281"/>
        <v>260</v>
      </c>
      <c r="EE21" s="10">
        <f t="shared" si="281"/>
        <v>447</v>
      </c>
      <c r="EF21" s="10">
        <f t="shared" si="281"/>
        <v>580</v>
      </c>
      <c r="EG21" s="10">
        <f t="shared" si="281"/>
        <v>592</v>
      </c>
      <c r="EH21" s="10">
        <f t="shared" si="281"/>
        <v>542</v>
      </c>
      <c r="EI21" s="10">
        <f t="shared" si="281"/>
        <v>581</v>
      </c>
      <c r="EJ21" s="10">
        <f t="shared" si="281"/>
        <v>581</v>
      </c>
      <c r="EK21" s="10">
        <f t="shared" si="281"/>
        <v>497</v>
      </c>
      <c r="EL21" s="10">
        <f t="shared" si="281"/>
        <v>615</v>
      </c>
      <c r="EM21" s="10">
        <f t="shared" si="281"/>
        <v>646</v>
      </c>
      <c r="EN21" s="10">
        <f t="shared" si="281"/>
        <v>651</v>
      </c>
      <c r="EO21" s="10">
        <f t="shared" si="281"/>
        <v>649</v>
      </c>
      <c r="EP21" s="10">
        <f t="shared" si="281"/>
        <v>495</v>
      </c>
      <c r="EQ21" s="10">
        <f t="shared" si="281"/>
        <v>394</v>
      </c>
      <c r="ER21" s="10">
        <f t="shared" si="281"/>
        <v>317</v>
      </c>
      <c r="ES21" s="10">
        <f t="shared" si="281"/>
        <v>113</v>
      </c>
      <c r="ET21" s="10">
        <f t="shared" si="281"/>
        <v>19</v>
      </c>
      <c r="EU21" s="10">
        <f t="shared" si="279"/>
        <v>9582</v>
      </c>
      <c r="EV21" s="10">
        <f t="shared" ref="EV21:EV31" si="282">EA21*3/5+EB21*3/5</f>
        <v>496.2</v>
      </c>
      <c r="EW21" s="10">
        <f t="shared" ref="EW21:EW31" si="283">EB21*2/5+EC21*1/5</f>
        <v>259.2</v>
      </c>
      <c r="EX21" s="10">
        <f t="shared" si="280"/>
        <v>3284</v>
      </c>
      <c r="EY21" s="10">
        <f t="shared" ref="EY21:EY31" si="284">SUM(EO21:ET21)</f>
        <v>1987</v>
      </c>
      <c r="EZ21" s="14">
        <f t="shared" ref="EZ21:EZ31" si="285">EX21/EU21</f>
        <v>0.34272594447923188</v>
      </c>
      <c r="FA21" s="14">
        <f t="shared" ref="FA21:FA31" si="286">EY21/EU21</f>
        <v>0.20736798163222708</v>
      </c>
      <c r="FB21" s="10">
        <f>SUM(ED21:EG21)</f>
        <v>1879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727</v>
      </c>
      <c r="EA22" s="16">
        <f t="shared" ref="EA22:ET22" si="287">EA20+EA21</f>
        <v>813</v>
      </c>
      <c r="EB22" s="16">
        <f t="shared" si="287"/>
        <v>845</v>
      </c>
      <c r="EC22" s="16">
        <f t="shared" si="287"/>
        <v>899</v>
      </c>
      <c r="ED22" s="16">
        <f t="shared" si="287"/>
        <v>518</v>
      </c>
      <c r="EE22" s="16">
        <f t="shared" si="287"/>
        <v>916</v>
      </c>
      <c r="EF22" s="16">
        <f t="shared" si="287"/>
        <v>1193</v>
      </c>
      <c r="EG22" s="16">
        <f t="shared" si="287"/>
        <v>1172</v>
      </c>
      <c r="EH22" s="16">
        <f t="shared" si="287"/>
        <v>1058</v>
      </c>
      <c r="EI22" s="16">
        <f t="shared" si="287"/>
        <v>1104</v>
      </c>
      <c r="EJ22" s="16">
        <f t="shared" si="287"/>
        <v>1190</v>
      </c>
      <c r="EK22" s="16">
        <f t="shared" si="287"/>
        <v>995</v>
      </c>
      <c r="EL22" s="16">
        <f t="shared" si="287"/>
        <v>1086</v>
      </c>
      <c r="EM22" s="16">
        <f t="shared" si="287"/>
        <v>1279</v>
      </c>
      <c r="EN22" s="16">
        <f t="shared" si="287"/>
        <v>1229</v>
      </c>
      <c r="EO22" s="16">
        <f t="shared" si="287"/>
        <v>1146</v>
      </c>
      <c r="EP22" s="16">
        <f t="shared" si="287"/>
        <v>862</v>
      </c>
      <c r="EQ22" s="16">
        <f t="shared" si="287"/>
        <v>609</v>
      </c>
      <c r="ER22" s="16">
        <f t="shared" si="287"/>
        <v>438</v>
      </c>
      <c r="ES22" s="16">
        <f t="shared" si="287"/>
        <v>138</v>
      </c>
      <c r="ET22" s="16">
        <f t="shared" si="287"/>
        <v>23</v>
      </c>
      <c r="EU22" s="11">
        <f>SUM(DZ22:ET22)</f>
        <v>18240</v>
      </c>
      <c r="EV22" s="11">
        <f t="shared" si="282"/>
        <v>994.8</v>
      </c>
      <c r="EW22" s="11">
        <f t="shared" si="283"/>
        <v>517.79999999999995</v>
      </c>
      <c r="EX22" s="11">
        <f t="shared" si="280"/>
        <v>5724</v>
      </c>
      <c r="EY22" s="11">
        <f t="shared" si="284"/>
        <v>3216</v>
      </c>
      <c r="EZ22" s="15">
        <f t="shared" si="285"/>
        <v>0.31381578947368421</v>
      </c>
      <c r="FA22" s="15">
        <f t="shared" si="286"/>
        <v>0.1763157894736842</v>
      </c>
      <c r="FB22" s="11">
        <f>SUM(ED22:EG22)</f>
        <v>3799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505</v>
      </c>
      <c r="EA23" s="9">
        <f t="shared" si="288"/>
        <v>360</v>
      </c>
      <c r="EB23" s="9">
        <f t="shared" si="288"/>
        <v>394</v>
      </c>
      <c r="EC23" s="9">
        <f t="shared" si="288"/>
        <v>408</v>
      </c>
      <c r="ED23" s="9">
        <f t="shared" si="288"/>
        <v>279</v>
      </c>
      <c r="EE23" s="9">
        <f t="shared" si="288"/>
        <v>480</v>
      </c>
      <c r="EF23" s="9">
        <f t="shared" si="288"/>
        <v>645</v>
      </c>
      <c r="EG23" s="9">
        <f t="shared" si="288"/>
        <v>739</v>
      </c>
      <c r="EH23" s="9">
        <f t="shared" si="288"/>
        <v>564</v>
      </c>
      <c r="EI23" s="9">
        <f t="shared" si="288"/>
        <v>494</v>
      </c>
      <c r="EJ23" s="9">
        <f t="shared" si="288"/>
        <v>544</v>
      </c>
      <c r="EK23" s="9">
        <f t="shared" si="288"/>
        <v>587</v>
      </c>
      <c r="EL23" s="9">
        <f t="shared" si="288"/>
        <v>469</v>
      </c>
      <c r="EM23" s="9">
        <f t="shared" si="288"/>
        <v>457</v>
      </c>
      <c r="EN23" s="9">
        <f t="shared" si="288"/>
        <v>600</v>
      </c>
      <c r="EO23" s="9">
        <f t="shared" si="288"/>
        <v>511</v>
      </c>
      <c r="EP23" s="9">
        <f t="shared" si="288"/>
        <v>389</v>
      </c>
      <c r="EQ23" s="9">
        <f t="shared" si="288"/>
        <v>248</v>
      </c>
      <c r="ER23" s="9">
        <f t="shared" si="288"/>
        <v>108</v>
      </c>
      <c r="ES23" s="9">
        <f t="shared" si="288"/>
        <v>29</v>
      </c>
      <c r="ET23" s="9">
        <f t="shared" si="288"/>
        <v>7</v>
      </c>
      <c r="EU23" s="9">
        <f t="shared" ref="EU23:EU31" si="289">SUM(DZ23:ET23)</f>
        <v>8817</v>
      </c>
      <c r="EV23" s="9">
        <f t="shared" si="282"/>
        <v>452.4</v>
      </c>
      <c r="EW23" s="9">
        <f t="shared" si="283"/>
        <v>239.2</v>
      </c>
      <c r="EX23" s="9">
        <f t="shared" si="280"/>
        <v>2349</v>
      </c>
      <c r="EY23" s="9">
        <f t="shared" si="284"/>
        <v>1292</v>
      </c>
      <c r="EZ23" s="13">
        <f t="shared" si="285"/>
        <v>0.26641714869003064</v>
      </c>
      <c r="FA23" s="13">
        <f t="shared" si="286"/>
        <v>0.14653510264262221</v>
      </c>
      <c r="FB23" s="9">
        <f t="shared" ref="FB23:FB31" si="290">SUM(ED23:EG23)</f>
        <v>2143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469</v>
      </c>
      <c r="EA24" s="10">
        <f t="shared" si="291"/>
        <v>335</v>
      </c>
      <c r="EB24" s="10">
        <f t="shared" si="291"/>
        <v>379</v>
      </c>
      <c r="EC24" s="10">
        <f t="shared" si="291"/>
        <v>437</v>
      </c>
      <c r="ED24" s="10">
        <f t="shared" si="291"/>
        <v>283</v>
      </c>
      <c r="EE24" s="10">
        <f t="shared" si="291"/>
        <v>422</v>
      </c>
      <c r="EF24" s="10">
        <f t="shared" si="291"/>
        <v>590</v>
      </c>
      <c r="EG24" s="10">
        <f t="shared" si="291"/>
        <v>698</v>
      </c>
      <c r="EH24" s="10">
        <f t="shared" si="291"/>
        <v>586</v>
      </c>
      <c r="EI24" s="10">
        <f t="shared" si="291"/>
        <v>534</v>
      </c>
      <c r="EJ24" s="10">
        <f t="shared" si="291"/>
        <v>577</v>
      </c>
      <c r="EK24" s="10">
        <f t="shared" si="291"/>
        <v>579</v>
      </c>
      <c r="EL24" s="10">
        <f t="shared" si="291"/>
        <v>491</v>
      </c>
      <c r="EM24" s="10">
        <f t="shared" si="291"/>
        <v>603</v>
      </c>
      <c r="EN24" s="10">
        <f t="shared" si="291"/>
        <v>615</v>
      </c>
      <c r="EO24" s="10">
        <f t="shared" si="291"/>
        <v>606</v>
      </c>
      <c r="EP24" s="10">
        <f t="shared" si="291"/>
        <v>584</v>
      </c>
      <c r="EQ24" s="10">
        <f t="shared" si="291"/>
        <v>403</v>
      </c>
      <c r="ER24" s="10">
        <f t="shared" si="291"/>
        <v>262</v>
      </c>
      <c r="ES24" s="10">
        <f t="shared" si="291"/>
        <v>134</v>
      </c>
      <c r="ET24" s="10">
        <f t="shared" si="291"/>
        <v>26</v>
      </c>
      <c r="EU24" s="10">
        <f t="shared" si="289"/>
        <v>9613</v>
      </c>
      <c r="EV24" s="10">
        <f t="shared" si="282"/>
        <v>428.4</v>
      </c>
      <c r="EW24" s="10">
        <f t="shared" si="283"/>
        <v>239</v>
      </c>
      <c r="EX24" s="10">
        <f t="shared" si="280"/>
        <v>3233</v>
      </c>
      <c r="EY24" s="10">
        <f t="shared" si="284"/>
        <v>2015</v>
      </c>
      <c r="EZ24" s="14">
        <f t="shared" si="285"/>
        <v>0.33631540622074274</v>
      </c>
      <c r="FA24" s="14">
        <f t="shared" si="286"/>
        <v>0.20961198377197546</v>
      </c>
      <c r="FB24" s="10">
        <f t="shared" si="290"/>
        <v>1993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974</v>
      </c>
      <c r="EA25" s="16">
        <f t="shared" ref="EA25:ET25" si="292">EA23+EA24</f>
        <v>695</v>
      </c>
      <c r="EB25" s="16">
        <f t="shared" si="292"/>
        <v>773</v>
      </c>
      <c r="EC25" s="16">
        <f t="shared" si="292"/>
        <v>845</v>
      </c>
      <c r="ED25" s="16">
        <f t="shared" si="292"/>
        <v>562</v>
      </c>
      <c r="EE25" s="16">
        <f t="shared" si="292"/>
        <v>902</v>
      </c>
      <c r="EF25" s="16">
        <f t="shared" si="292"/>
        <v>1235</v>
      </c>
      <c r="EG25" s="16">
        <f t="shared" si="292"/>
        <v>1437</v>
      </c>
      <c r="EH25" s="16">
        <f t="shared" si="292"/>
        <v>1150</v>
      </c>
      <c r="EI25" s="16">
        <f t="shared" si="292"/>
        <v>1028</v>
      </c>
      <c r="EJ25" s="16">
        <f t="shared" si="292"/>
        <v>1121</v>
      </c>
      <c r="EK25" s="16">
        <f t="shared" si="292"/>
        <v>1166</v>
      </c>
      <c r="EL25" s="16">
        <f t="shared" si="292"/>
        <v>960</v>
      </c>
      <c r="EM25" s="16">
        <f t="shared" si="292"/>
        <v>1060</v>
      </c>
      <c r="EN25" s="16">
        <f t="shared" si="292"/>
        <v>1215</v>
      </c>
      <c r="EO25" s="16">
        <f t="shared" si="292"/>
        <v>1117</v>
      </c>
      <c r="EP25" s="16">
        <f t="shared" si="292"/>
        <v>973</v>
      </c>
      <c r="EQ25" s="16">
        <f t="shared" si="292"/>
        <v>651</v>
      </c>
      <c r="ER25" s="16">
        <f t="shared" si="292"/>
        <v>370</v>
      </c>
      <c r="ES25" s="16">
        <f t="shared" si="292"/>
        <v>163</v>
      </c>
      <c r="ET25" s="16">
        <f t="shared" si="292"/>
        <v>33</v>
      </c>
      <c r="EU25" s="11">
        <f t="shared" si="289"/>
        <v>18430</v>
      </c>
      <c r="EV25" s="11">
        <f t="shared" si="282"/>
        <v>880.8</v>
      </c>
      <c r="EW25" s="11">
        <f t="shared" si="283"/>
        <v>478.2</v>
      </c>
      <c r="EX25" s="11">
        <f t="shared" si="280"/>
        <v>5582</v>
      </c>
      <c r="EY25" s="11">
        <f t="shared" si="284"/>
        <v>3307</v>
      </c>
      <c r="EZ25" s="15">
        <f t="shared" si="285"/>
        <v>0.30287574606619644</v>
      </c>
      <c r="FA25" s="15">
        <f t="shared" si="286"/>
        <v>0.17943570265870862</v>
      </c>
      <c r="FB25" s="11">
        <f t="shared" si="290"/>
        <v>4136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510</v>
      </c>
      <c r="EA26" s="9">
        <f t="shared" si="293"/>
        <v>483</v>
      </c>
      <c r="EB26" s="9">
        <f t="shared" si="293"/>
        <v>337</v>
      </c>
      <c r="EC26" s="9">
        <f t="shared" si="293"/>
        <v>393</v>
      </c>
      <c r="ED26" s="9">
        <f t="shared" si="293"/>
        <v>241</v>
      </c>
      <c r="EE26" s="9">
        <f t="shared" si="293"/>
        <v>508</v>
      </c>
      <c r="EF26" s="9">
        <f t="shared" si="293"/>
        <v>657</v>
      </c>
      <c r="EG26" s="9">
        <f t="shared" si="293"/>
        <v>771</v>
      </c>
      <c r="EH26" s="9">
        <f t="shared" si="293"/>
        <v>719</v>
      </c>
      <c r="EI26" s="9">
        <f t="shared" si="293"/>
        <v>540</v>
      </c>
      <c r="EJ26" s="9">
        <f t="shared" si="293"/>
        <v>514</v>
      </c>
      <c r="EK26" s="9">
        <f t="shared" si="293"/>
        <v>523</v>
      </c>
      <c r="EL26" s="9">
        <f t="shared" si="293"/>
        <v>552</v>
      </c>
      <c r="EM26" s="9">
        <f t="shared" si="293"/>
        <v>455</v>
      </c>
      <c r="EN26" s="9">
        <f t="shared" si="293"/>
        <v>433</v>
      </c>
      <c r="EO26" s="9">
        <f t="shared" si="293"/>
        <v>530</v>
      </c>
      <c r="EP26" s="9">
        <f t="shared" si="293"/>
        <v>399</v>
      </c>
      <c r="EQ26" s="9">
        <f t="shared" si="293"/>
        <v>263</v>
      </c>
      <c r="ER26" s="9">
        <f t="shared" si="293"/>
        <v>125</v>
      </c>
      <c r="ES26" s="9">
        <f t="shared" si="293"/>
        <v>26</v>
      </c>
      <c r="ET26" s="9">
        <f t="shared" si="293"/>
        <v>8</v>
      </c>
      <c r="EU26" s="9">
        <f t="shared" si="289"/>
        <v>8987</v>
      </c>
      <c r="EV26" s="9">
        <f t="shared" si="282"/>
        <v>492</v>
      </c>
      <c r="EW26" s="9">
        <f t="shared" si="283"/>
        <v>213.4</v>
      </c>
      <c r="EX26" s="9">
        <f t="shared" si="280"/>
        <v>2239</v>
      </c>
      <c r="EY26" s="9">
        <f t="shared" si="284"/>
        <v>1351</v>
      </c>
      <c r="EZ26" s="13">
        <f t="shared" si="285"/>
        <v>0.24913764326249027</v>
      </c>
      <c r="FA26" s="13">
        <f t="shared" si="286"/>
        <v>0.15032825191943919</v>
      </c>
      <c r="FB26" s="9">
        <f t="shared" si="290"/>
        <v>2177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473</v>
      </c>
      <c r="EA27" s="10">
        <f t="shared" si="294"/>
        <v>449</v>
      </c>
      <c r="EB27" s="10">
        <f t="shared" si="294"/>
        <v>324</v>
      </c>
      <c r="EC27" s="10">
        <f t="shared" si="294"/>
        <v>381</v>
      </c>
      <c r="ED27" s="10">
        <f t="shared" si="294"/>
        <v>290</v>
      </c>
      <c r="EE27" s="10">
        <f t="shared" si="294"/>
        <v>448</v>
      </c>
      <c r="EF27" s="10">
        <f t="shared" si="294"/>
        <v>564</v>
      </c>
      <c r="EG27" s="10">
        <f t="shared" si="294"/>
        <v>707</v>
      </c>
      <c r="EH27" s="10">
        <f t="shared" si="294"/>
        <v>691</v>
      </c>
      <c r="EI27" s="10">
        <f t="shared" si="294"/>
        <v>579</v>
      </c>
      <c r="EJ27" s="10">
        <f t="shared" si="294"/>
        <v>531</v>
      </c>
      <c r="EK27" s="10">
        <f t="shared" si="294"/>
        <v>575</v>
      </c>
      <c r="EL27" s="10">
        <f t="shared" si="294"/>
        <v>572</v>
      </c>
      <c r="EM27" s="10">
        <f t="shared" si="294"/>
        <v>481</v>
      </c>
      <c r="EN27" s="10">
        <f t="shared" si="294"/>
        <v>574</v>
      </c>
      <c r="EO27" s="10">
        <f t="shared" si="294"/>
        <v>572</v>
      </c>
      <c r="EP27" s="10">
        <f t="shared" si="294"/>
        <v>545</v>
      </c>
      <c r="EQ27" s="10">
        <f t="shared" si="294"/>
        <v>475</v>
      </c>
      <c r="ER27" s="10">
        <f t="shared" si="294"/>
        <v>268</v>
      </c>
      <c r="ES27" s="10">
        <f t="shared" si="294"/>
        <v>111</v>
      </c>
      <c r="ET27" s="10">
        <f t="shared" si="294"/>
        <v>31</v>
      </c>
      <c r="EU27" s="10">
        <f t="shared" si="289"/>
        <v>9641</v>
      </c>
      <c r="EV27" s="10">
        <f t="shared" si="282"/>
        <v>463.79999999999995</v>
      </c>
      <c r="EW27" s="10">
        <f t="shared" si="283"/>
        <v>205.8</v>
      </c>
      <c r="EX27" s="10">
        <f t="shared" si="280"/>
        <v>3057</v>
      </c>
      <c r="EY27" s="10">
        <f t="shared" si="284"/>
        <v>2002</v>
      </c>
      <c r="EZ27" s="14">
        <f t="shared" si="285"/>
        <v>0.31708329011513331</v>
      </c>
      <c r="FA27" s="14">
        <f t="shared" si="286"/>
        <v>0.20765480759257338</v>
      </c>
      <c r="FB27" s="10">
        <f t="shared" si="290"/>
        <v>2009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983</v>
      </c>
      <c r="EA28" s="16">
        <f t="shared" ref="EA28:ET28" si="295">EA26+EA27</f>
        <v>932</v>
      </c>
      <c r="EB28" s="16">
        <f t="shared" si="295"/>
        <v>661</v>
      </c>
      <c r="EC28" s="16">
        <f t="shared" si="295"/>
        <v>774</v>
      </c>
      <c r="ED28" s="16">
        <f t="shared" si="295"/>
        <v>531</v>
      </c>
      <c r="EE28" s="16">
        <f t="shared" si="295"/>
        <v>956</v>
      </c>
      <c r="EF28" s="16">
        <f t="shared" si="295"/>
        <v>1221</v>
      </c>
      <c r="EG28" s="16">
        <f t="shared" si="295"/>
        <v>1478</v>
      </c>
      <c r="EH28" s="16">
        <f t="shared" si="295"/>
        <v>1410</v>
      </c>
      <c r="EI28" s="16">
        <f t="shared" si="295"/>
        <v>1119</v>
      </c>
      <c r="EJ28" s="16">
        <f t="shared" si="295"/>
        <v>1045</v>
      </c>
      <c r="EK28" s="16">
        <f t="shared" si="295"/>
        <v>1098</v>
      </c>
      <c r="EL28" s="16">
        <f t="shared" si="295"/>
        <v>1124</v>
      </c>
      <c r="EM28" s="16">
        <f t="shared" si="295"/>
        <v>936</v>
      </c>
      <c r="EN28" s="16">
        <f t="shared" si="295"/>
        <v>1007</v>
      </c>
      <c r="EO28" s="16">
        <f t="shared" si="295"/>
        <v>1102</v>
      </c>
      <c r="EP28" s="16">
        <f t="shared" si="295"/>
        <v>944</v>
      </c>
      <c r="EQ28" s="16">
        <f t="shared" si="295"/>
        <v>738</v>
      </c>
      <c r="ER28" s="16">
        <f t="shared" si="295"/>
        <v>393</v>
      </c>
      <c r="ES28" s="16">
        <f t="shared" si="295"/>
        <v>137</v>
      </c>
      <c r="ET28" s="16">
        <f t="shared" si="295"/>
        <v>39</v>
      </c>
      <c r="EU28" s="11">
        <f t="shared" si="289"/>
        <v>18628</v>
      </c>
      <c r="EV28" s="11">
        <f t="shared" si="282"/>
        <v>955.80000000000007</v>
      </c>
      <c r="EW28" s="11">
        <f t="shared" si="283"/>
        <v>419.2</v>
      </c>
      <c r="EX28" s="11">
        <f t="shared" si="280"/>
        <v>5296</v>
      </c>
      <c r="EY28" s="11">
        <f t="shared" si="284"/>
        <v>3353</v>
      </c>
      <c r="EZ28" s="15">
        <f t="shared" si="285"/>
        <v>0.28430319948464677</v>
      </c>
      <c r="FA28" s="15">
        <f t="shared" si="286"/>
        <v>0.17999785269486793</v>
      </c>
      <c r="FB28" s="11">
        <f t="shared" si="290"/>
        <v>4186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503</v>
      </c>
      <c r="EA29" s="9">
        <f t="shared" si="296"/>
        <v>487</v>
      </c>
      <c r="EB29" s="9">
        <f t="shared" si="296"/>
        <v>452</v>
      </c>
      <c r="EC29" s="9">
        <f t="shared" si="296"/>
        <v>336</v>
      </c>
      <c r="ED29" s="9">
        <f t="shared" si="296"/>
        <v>232</v>
      </c>
      <c r="EE29" s="9">
        <f t="shared" si="296"/>
        <v>457</v>
      </c>
      <c r="EF29" s="9">
        <f t="shared" si="296"/>
        <v>688</v>
      </c>
      <c r="EG29" s="9">
        <f t="shared" si="296"/>
        <v>782</v>
      </c>
      <c r="EH29" s="9">
        <f t="shared" si="296"/>
        <v>751</v>
      </c>
      <c r="EI29" s="9">
        <f t="shared" si="296"/>
        <v>689</v>
      </c>
      <c r="EJ29" s="9">
        <f t="shared" si="296"/>
        <v>562</v>
      </c>
      <c r="EK29" s="9">
        <f t="shared" si="296"/>
        <v>495</v>
      </c>
      <c r="EL29" s="9">
        <f t="shared" si="296"/>
        <v>493</v>
      </c>
      <c r="EM29" s="9">
        <f t="shared" si="296"/>
        <v>536</v>
      </c>
      <c r="EN29" s="9">
        <f t="shared" si="296"/>
        <v>431</v>
      </c>
      <c r="EO29" s="9">
        <f t="shared" si="296"/>
        <v>382</v>
      </c>
      <c r="EP29" s="9">
        <f t="shared" si="296"/>
        <v>414</v>
      </c>
      <c r="EQ29" s="9">
        <f t="shared" si="296"/>
        <v>270</v>
      </c>
      <c r="ER29" s="9">
        <f t="shared" si="296"/>
        <v>132</v>
      </c>
      <c r="ES29" s="9">
        <f t="shared" si="296"/>
        <v>30</v>
      </c>
      <c r="ET29" s="9">
        <f t="shared" si="296"/>
        <v>7</v>
      </c>
      <c r="EU29" s="9">
        <f t="shared" si="289"/>
        <v>9129</v>
      </c>
      <c r="EV29" s="9">
        <f t="shared" si="282"/>
        <v>563.4</v>
      </c>
      <c r="EW29" s="9">
        <f t="shared" si="283"/>
        <v>248</v>
      </c>
      <c r="EX29" s="9">
        <f t="shared" si="280"/>
        <v>2202</v>
      </c>
      <c r="EY29" s="9">
        <f t="shared" si="284"/>
        <v>1235</v>
      </c>
      <c r="EZ29" s="13">
        <f t="shared" si="285"/>
        <v>0.24120933289516924</v>
      </c>
      <c r="FA29" s="13">
        <f t="shared" si="286"/>
        <v>0.13528316354474751</v>
      </c>
      <c r="FB29" s="9">
        <f t="shared" si="290"/>
        <v>2159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467</v>
      </c>
      <c r="EA30" s="10">
        <f t="shared" si="297"/>
        <v>453</v>
      </c>
      <c r="EB30" s="10">
        <f t="shared" si="297"/>
        <v>435</v>
      </c>
      <c r="EC30" s="10">
        <f t="shared" si="297"/>
        <v>326</v>
      </c>
      <c r="ED30" s="10">
        <f t="shared" si="297"/>
        <v>253</v>
      </c>
      <c r="EE30" s="10">
        <f t="shared" si="297"/>
        <v>456</v>
      </c>
      <c r="EF30" s="10">
        <f t="shared" si="297"/>
        <v>591</v>
      </c>
      <c r="EG30" s="10">
        <f t="shared" si="297"/>
        <v>683</v>
      </c>
      <c r="EH30" s="10">
        <f t="shared" si="297"/>
        <v>701</v>
      </c>
      <c r="EI30" s="10">
        <f t="shared" si="297"/>
        <v>682</v>
      </c>
      <c r="EJ30" s="10">
        <f t="shared" si="297"/>
        <v>575</v>
      </c>
      <c r="EK30" s="10">
        <f t="shared" si="297"/>
        <v>528</v>
      </c>
      <c r="EL30" s="10">
        <f t="shared" si="297"/>
        <v>569</v>
      </c>
      <c r="EM30" s="10">
        <f t="shared" si="297"/>
        <v>561</v>
      </c>
      <c r="EN30" s="10">
        <f t="shared" si="297"/>
        <v>458</v>
      </c>
      <c r="EO30" s="10">
        <f t="shared" si="297"/>
        <v>533</v>
      </c>
      <c r="EP30" s="10">
        <f t="shared" si="297"/>
        <v>515</v>
      </c>
      <c r="EQ30" s="10">
        <f t="shared" si="297"/>
        <v>444</v>
      </c>
      <c r="ER30" s="10">
        <f t="shared" si="297"/>
        <v>316</v>
      </c>
      <c r="ES30" s="10">
        <f t="shared" si="297"/>
        <v>113</v>
      </c>
      <c r="ET30" s="10">
        <f t="shared" si="297"/>
        <v>25</v>
      </c>
      <c r="EU30" s="10">
        <f t="shared" si="289"/>
        <v>9684</v>
      </c>
      <c r="EV30" s="10">
        <f t="shared" si="282"/>
        <v>532.79999999999995</v>
      </c>
      <c r="EW30" s="10">
        <f t="shared" si="283"/>
        <v>239.2</v>
      </c>
      <c r="EX30" s="10">
        <f t="shared" si="280"/>
        <v>2965</v>
      </c>
      <c r="EY30" s="10">
        <f t="shared" si="284"/>
        <v>1946</v>
      </c>
      <c r="EZ30" s="14">
        <f t="shared" si="285"/>
        <v>0.30617513424204873</v>
      </c>
      <c r="FA30" s="14">
        <f t="shared" si="286"/>
        <v>0.20095002065262288</v>
      </c>
      <c r="FB30" s="10">
        <f t="shared" si="290"/>
        <v>1983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970</v>
      </c>
      <c r="EA31" s="16">
        <f t="shared" ref="EA31:ET31" si="298">EA29+EA30</f>
        <v>940</v>
      </c>
      <c r="EB31" s="16">
        <f t="shared" si="298"/>
        <v>887</v>
      </c>
      <c r="EC31" s="16">
        <f t="shared" si="298"/>
        <v>662</v>
      </c>
      <c r="ED31" s="16">
        <f t="shared" si="298"/>
        <v>485</v>
      </c>
      <c r="EE31" s="16">
        <f t="shared" si="298"/>
        <v>913</v>
      </c>
      <c r="EF31" s="16">
        <f t="shared" si="298"/>
        <v>1279</v>
      </c>
      <c r="EG31" s="16">
        <f t="shared" si="298"/>
        <v>1465</v>
      </c>
      <c r="EH31" s="16">
        <f t="shared" si="298"/>
        <v>1452</v>
      </c>
      <c r="EI31" s="16">
        <f t="shared" si="298"/>
        <v>1371</v>
      </c>
      <c r="EJ31" s="16">
        <f t="shared" si="298"/>
        <v>1137</v>
      </c>
      <c r="EK31" s="16">
        <f t="shared" si="298"/>
        <v>1023</v>
      </c>
      <c r="EL31" s="16">
        <f t="shared" si="298"/>
        <v>1062</v>
      </c>
      <c r="EM31" s="16">
        <f t="shared" si="298"/>
        <v>1097</v>
      </c>
      <c r="EN31" s="16">
        <f t="shared" si="298"/>
        <v>889</v>
      </c>
      <c r="EO31" s="16">
        <f t="shared" si="298"/>
        <v>915</v>
      </c>
      <c r="EP31" s="16">
        <f t="shared" si="298"/>
        <v>929</v>
      </c>
      <c r="EQ31" s="16">
        <f t="shared" si="298"/>
        <v>714</v>
      </c>
      <c r="ER31" s="16">
        <f t="shared" si="298"/>
        <v>448</v>
      </c>
      <c r="ES31" s="16">
        <f t="shared" si="298"/>
        <v>143</v>
      </c>
      <c r="ET31" s="16">
        <f t="shared" si="298"/>
        <v>32</v>
      </c>
      <c r="EU31" s="11">
        <f t="shared" si="289"/>
        <v>18813</v>
      </c>
      <c r="EV31" s="11">
        <f t="shared" si="282"/>
        <v>1096.2</v>
      </c>
      <c r="EW31" s="11">
        <f t="shared" si="283"/>
        <v>487.20000000000005</v>
      </c>
      <c r="EX31" s="11">
        <f t="shared" si="280"/>
        <v>5167</v>
      </c>
      <c r="EY31" s="11">
        <f t="shared" si="284"/>
        <v>3181</v>
      </c>
      <c r="EZ31" s="15">
        <f t="shared" si="285"/>
        <v>0.27465050762770427</v>
      </c>
      <c r="FA31" s="15">
        <f t="shared" si="286"/>
        <v>0.1690852070376867</v>
      </c>
      <c r="FB31" s="11">
        <f t="shared" si="290"/>
        <v>4142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8910</v>
      </c>
      <c r="D4" s="17">
        <f>SUM(C41:C61)</f>
        <v>10112</v>
      </c>
      <c r="E4" s="17">
        <f>C4+D4</f>
        <v>19022</v>
      </c>
      <c r="F4" s="85"/>
      <c r="G4" s="1" t="s">
        <v>58</v>
      </c>
      <c r="H4" s="1">
        <f>B4</f>
        <v>2010</v>
      </c>
      <c r="I4" s="17">
        <f>C4</f>
        <v>8910</v>
      </c>
      <c r="J4" s="17">
        <f>D4</f>
        <v>10112</v>
      </c>
      <c r="K4" s="17">
        <f>I4+J4</f>
        <v>19022</v>
      </c>
      <c r="N4" s="1" t="s">
        <v>58</v>
      </c>
      <c r="O4" s="1">
        <f>H4</f>
        <v>2010</v>
      </c>
      <c r="P4" s="17">
        <f>I4</f>
        <v>8910</v>
      </c>
      <c r="Q4" s="17">
        <f t="shared" ref="Q4:R4" si="0">J4</f>
        <v>10112</v>
      </c>
      <c r="R4" s="17">
        <f t="shared" si="0"/>
        <v>19022</v>
      </c>
      <c r="S4" s="1"/>
      <c r="T4" s="1"/>
      <c r="U4" s="1"/>
    </row>
    <row r="5" spans="1:21" x14ac:dyDescent="0.15">
      <c r="A5" s="1" t="s">
        <v>61</v>
      </c>
      <c r="B5" s="1">
        <f>管理者入力シート!B6</f>
        <v>2015</v>
      </c>
      <c r="C5" s="17">
        <f>SUM(B65:B85)</f>
        <v>8682</v>
      </c>
      <c r="D5" s="17">
        <f>SUM(C65:C85)</f>
        <v>9812</v>
      </c>
      <c r="E5" s="17">
        <f t="shared" ref="E5" si="1">C5+D5</f>
        <v>18494</v>
      </c>
      <c r="F5" s="85"/>
      <c r="G5" s="1" t="s">
        <v>57</v>
      </c>
      <c r="H5" s="1">
        <f t="shared" ref="H5:H6" si="2">B5</f>
        <v>2015</v>
      </c>
      <c r="I5" s="17">
        <f t="shared" ref="I5" si="3">C5</f>
        <v>8682</v>
      </c>
      <c r="J5" s="17">
        <f>D5</f>
        <v>9812</v>
      </c>
      <c r="K5" s="17">
        <f t="shared" ref="K5:K10" si="4">I5+J5</f>
        <v>18494</v>
      </c>
      <c r="N5" s="1" t="s">
        <v>57</v>
      </c>
      <c r="O5" s="1">
        <f t="shared" ref="O5:O10" si="5">H5</f>
        <v>2015</v>
      </c>
      <c r="P5" s="17">
        <f t="shared" ref="P5:P10" si="6">I5</f>
        <v>8682</v>
      </c>
      <c r="Q5" s="17">
        <f t="shared" ref="Q5:Q10" si="7">J5</f>
        <v>9812</v>
      </c>
      <c r="R5" s="17">
        <f t="shared" ref="R5:R10" si="8">K5</f>
        <v>18494</v>
      </c>
      <c r="S5" s="1"/>
      <c r="T5" s="1"/>
      <c r="U5" s="1"/>
    </row>
    <row r="6" spans="1:21" x14ac:dyDescent="0.15">
      <c r="A6" s="1" t="s">
        <v>62</v>
      </c>
      <c r="B6" s="1">
        <f>管理者入力シート!B5</f>
        <v>2020</v>
      </c>
      <c r="C6" s="17">
        <f>SUM(B89:B109)</f>
        <v>8585</v>
      </c>
      <c r="D6" s="17">
        <f>SUM(C89:C109)</f>
        <v>9626</v>
      </c>
      <c r="E6" s="17">
        <f>C6+D6</f>
        <v>18211</v>
      </c>
      <c r="F6" s="85"/>
      <c r="G6" s="1" t="s">
        <v>62</v>
      </c>
      <c r="H6" s="1">
        <f t="shared" si="2"/>
        <v>2020</v>
      </c>
      <c r="I6" s="17">
        <f>C6</f>
        <v>8585</v>
      </c>
      <c r="J6" s="17">
        <f>D6</f>
        <v>9626</v>
      </c>
      <c r="K6" s="17">
        <f t="shared" si="4"/>
        <v>18211</v>
      </c>
      <c r="N6" s="1" t="s">
        <v>62</v>
      </c>
      <c r="O6" s="1">
        <f t="shared" si="5"/>
        <v>2020</v>
      </c>
      <c r="P6" s="17">
        <f t="shared" si="6"/>
        <v>8585</v>
      </c>
      <c r="Q6" s="17">
        <f t="shared" si="7"/>
        <v>9626</v>
      </c>
      <c r="R6" s="17">
        <f t="shared" si="8"/>
        <v>18211</v>
      </c>
      <c r="S6" s="1"/>
      <c r="T6" s="1"/>
      <c r="U6" s="1"/>
    </row>
    <row r="7" spans="1:21" x14ac:dyDescent="0.15">
      <c r="G7" s="1" t="s">
        <v>106</v>
      </c>
      <c r="H7" s="1">
        <f>管理者入力シート!B8</f>
        <v>2025</v>
      </c>
      <c r="I7" s="17">
        <f>SUM(H69:H89)</f>
        <v>8265</v>
      </c>
      <c r="J7" s="17">
        <f>SUM(I69:I89)</f>
        <v>9189</v>
      </c>
      <c r="K7" s="17">
        <f t="shared" si="4"/>
        <v>17454</v>
      </c>
      <c r="N7" s="1" t="s">
        <v>106</v>
      </c>
      <c r="O7" s="1">
        <f t="shared" si="5"/>
        <v>2025</v>
      </c>
      <c r="P7" s="17">
        <f t="shared" si="6"/>
        <v>8265</v>
      </c>
      <c r="Q7" s="17">
        <f t="shared" si="7"/>
        <v>9189</v>
      </c>
      <c r="R7" s="17">
        <f t="shared" si="8"/>
        <v>17454</v>
      </c>
      <c r="S7" s="236">
        <f>SUM(O69:O89)</f>
        <v>8269</v>
      </c>
      <c r="T7" s="236">
        <f>SUM(P69:P89)</f>
        <v>9194</v>
      </c>
      <c r="U7" s="236">
        <f>S7+T7</f>
        <v>17463</v>
      </c>
    </row>
    <row r="8" spans="1:21" x14ac:dyDescent="0.15">
      <c r="A8" s="69" t="s">
        <v>71</v>
      </c>
      <c r="G8" s="1" t="s">
        <v>107</v>
      </c>
      <c r="H8" s="1">
        <f>管理者入力シート!B9</f>
        <v>2030</v>
      </c>
      <c r="I8" s="17">
        <f>SUM(H93:H113)</f>
        <v>7858</v>
      </c>
      <c r="J8" s="17">
        <f>SUM(I93:I113)</f>
        <v>8674</v>
      </c>
      <c r="K8" s="17">
        <f t="shared" si="4"/>
        <v>16532</v>
      </c>
      <c r="N8" s="1" t="s">
        <v>107</v>
      </c>
      <c r="O8" s="1">
        <f t="shared" si="5"/>
        <v>2030</v>
      </c>
      <c r="P8" s="17">
        <f t="shared" si="6"/>
        <v>7858</v>
      </c>
      <c r="Q8" s="17">
        <f t="shared" si="7"/>
        <v>8674</v>
      </c>
      <c r="R8" s="17">
        <f t="shared" si="8"/>
        <v>16532</v>
      </c>
      <c r="S8" s="236">
        <f>SUM(O93:O113)</f>
        <v>7867</v>
      </c>
      <c r="T8" s="236">
        <f>SUM(P93:P113)</f>
        <v>8685</v>
      </c>
      <c r="U8" s="236">
        <f t="shared" ref="U8:U10" si="9">S8+T8</f>
        <v>16552</v>
      </c>
    </row>
    <row r="9" spans="1:21" x14ac:dyDescent="0.15">
      <c r="A9" s="2" t="s">
        <v>72</v>
      </c>
      <c r="G9" s="1" t="s">
        <v>108</v>
      </c>
      <c r="H9" s="1">
        <f>管理者入力シート!B10</f>
        <v>2035</v>
      </c>
      <c r="I9" s="17">
        <f>SUM(H117:H137)</f>
        <v>7443</v>
      </c>
      <c r="J9" s="17">
        <f>SUM(I117:I137)</f>
        <v>8137</v>
      </c>
      <c r="K9" s="17">
        <f t="shared" si="4"/>
        <v>15580</v>
      </c>
      <c r="N9" s="1" t="s">
        <v>108</v>
      </c>
      <c r="O9" s="1">
        <f t="shared" si="5"/>
        <v>2035</v>
      </c>
      <c r="P9" s="17">
        <f t="shared" si="6"/>
        <v>7443</v>
      </c>
      <c r="Q9" s="17">
        <f t="shared" si="7"/>
        <v>8137</v>
      </c>
      <c r="R9" s="17">
        <f t="shared" si="8"/>
        <v>15580</v>
      </c>
      <c r="S9" s="236">
        <f>SUM(O117:O137)</f>
        <v>7458</v>
      </c>
      <c r="T9" s="236">
        <f>SUM(P117:P137)</f>
        <v>8155</v>
      </c>
      <c r="U9" s="236">
        <f t="shared" si="9"/>
        <v>15613</v>
      </c>
    </row>
    <row r="10" spans="1:21" x14ac:dyDescent="0.15">
      <c r="A10" s="1" t="s">
        <v>58</v>
      </c>
      <c r="B10" s="1">
        <f>B4</f>
        <v>2010</v>
      </c>
      <c r="C10" s="17">
        <f>ROUND(VLOOKUP(B10&amp;"_3",管理者用人口入力シート!A:AA,26,FALSE),0)</f>
        <v>1109</v>
      </c>
      <c r="D10" s="12"/>
      <c r="E10" s="12"/>
      <c r="G10" s="1" t="s">
        <v>109</v>
      </c>
      <c r="H10" s="1">
        <f>管理者入力シート!B11</f>
        <v>2040</v>
      </c>
      <c r="I10" s="17">
        <f>SUM(H141:H161)</f>
        <v>7018</v>
      </c>
      <c r="J10" s="17">
        <f>SUM(I141:I161)</f>
        <v>7623</v>
      </c>
      <c r="K10" s="17">
        <f t="shared" si="4"/>
        <v>14641</v>
      </c>
      <c r="N10" s="1" t="s">
        <v>109</v>
      </c>
      <c r="O10" s="1">
        <f t="shared" si="5"/>
        <v>2040</v>
      </c>
      <c r="P10" s="17">
        <f t="shared" si="6"/>
        <v>7018</v>
      </c>
      <c r="Q10" s="17">
        <f t="shared" si="7"/>
        <v>7623</v>
      </c>
      <c r="R10" s="17">
        <f t="shared" si="8"/>
        <v>14641</v>
      </c>
      <c r="S10" s="236">
        <f>SUM(O141:O161)</f>
        <v>7038</v>
      </c>
      <c r="T10" s="236">
        <f>SUM(P141:P161)</f>
        <v>7646</v>
      </c>
      <c r="U10" s="236">
        <f t="shared" si="9"/>
        <v>14684</v>
      </c>
    </row>
    <row r="11" spans="1:21" x14ac:dyDescent="0.15">
      <c r="A11" s="1" t="s">
        <v>61</v>
      </c>
      <c r="B11" s="1">
        <f t="shared" ref="B11:B12" si="10">B5</f>
        <v>2015</v>
      </c>
      <c r="C11" s="17">
        <f>ROUND(VLOOKUP(B11&amp;"_3",管理者用人口入力シート!A:AA,26,FALSE),0)</f>
        <v>1019</v>
      </c>
      <c r="D11" s="12"/>
      <c r="E11" s="12"/>
      <c r="I11" s="12"/>
      <c r="J11" s="12"/>
      <c r="K11" s="12"/>
      <c r="P11" s="12"/>
    </row>
    <row r="12" spans="1:21" x14ac:dyDescent="0.15">
      <c r="A12" s="1" t="s">
        <v>62</v>
      </c>
      <c r="B12" s="1">
        <f t="shared" si="10"/>
        <v>2020</v>
      </c>
      <c r="C12" s="17">
        <f>ROUND(VLOOKUP(B12&amp;"_3",管理者用人口入力シート!A:AA,26,FALSE),0)</f>
        <v>1070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593</v>
      </c>
      <c r="D14" s="12"/>
      <c r="E14" s="12"/>
      <c r="G14" s="1" t="s">
        <v>58</v>
      </c>
      <c r="H14" s="1">
        <f>H4</f>
        <v>2010</v>
      </c>
      <c r="I14" s="17">
        <f>C10</f>
        <v>1109</v>
      </c>
      <c r="J14" s="12"/>
      <c r="K14" s="12"/>
      <c r="N14" s="1" t="s">
        <v>58</v>
      </c>
      <c r="O14" s="1">
        <f>O4</f>
        <v>2010</v>
      </c>
      <c r="P14" s="17">
        <f>I14</f>
        <v>1109</v>
      </c>
      <c r="Q14" s="17"/>
    </row>
    <row r="15" spans="1:21" x14ac:dyDescent="0.15">
      <c r="A15" s="1" t="s">
        <v>61</v>
      </c>
      <c r="B15" s="1">
        <f t="shared" ref="B15:B16" si="11">B5</f>
        <v>2015</v>
      </c>
      <c r="C15" s="17">
        <f>ROUND(VLOOKUP(B15&amp;"_3",管理者用人口入力シート!A:AA,27,FALSE),0)</f>
        <v>507</v>
      </c>
      <c r="D15" s="12"/>
      <c r="E15" s="12"/>
      <c r="G15" s="1" t="s">
        <v>57</v>
      </c>
      <c r="H15" s="1">
        <f t="shared" ref="H15:H20" si="12">H5</f>
        <v>2015</v>
      </c>
      <c r="I15" s="17">
        <f>C11</f>
        <v>1019</v>
      </c>
      <c r="J15" s="12"/>
      <c r="K15" s="12"/>
      <c r="N15" s="1" t="s">
        <v>57</v>
      </c>
      <c r="O15" s="1">
        <f t="shared" ref="O15:O20" si="13">O5</f>
        <v>2015</v>
      </c>
      <c r="P15" s="17">
        <f t="shared" ref="P15:P20" si="14">I15</f>
        <v>1019</v>
      </c>
      <c r="Q15" s="17"/>
    </row>
    <row r="16" spans="1:21" x14ac:dyDescent="0.15">
      <c r="A16" s="1" t="s">
        <v>62</v>
      </c>
      <c r="B16" s="1">
        <f t="shared" si="11"/>
        <v>2020</v>
      </c>
      <c r="C16" s="17">
        <f>ROUND(VLOOKUP(B16&amp;"_3",管理者用人口入力シート!A:AA,27,FALSE),0)</f>
        <v>525</v>
      </c>
      <c r="D16" s="12"/>
      <c r="E16" s="12"/>
      <c r="G16" s="1" t="s">
        <v>62</v>
      </c>
      <c r="H16" s="1">
        <f t="shared" si="12"/>
        <v>2020</v>
      </c>
      <c r="I16" s="17">
        <f>C12</f>
        <v>1070</v>
      </c>
      <c r="J16" s="12"/>
      <c r="K16" s="12"/>
      <c r="N16" s="1" t="s">
        <v>62</v>
      </c>
      <c r="O16" s="1">
        <f t="shared" si="13"/>
        <v>2020</v>
      </c>
      <c r="P16" s="17">
        <f t="shared" si="14"/>
        <v>1070</v>
      </c>
      <c r="Q16" s="17"/>
    </row>
    <row r="17" spans="1:17" x14ac:dyDescent="0.15">
      <c r="G17" s="1" t="s">
        <v>106</v>
      </c>
      <c r="H17" s="1">
        <f t="shared" si="12"/>
        <v>2025</v>
      </c>
      <c r="I17" s="17">
        <f>ROUND(VLOOKUP(H17&amp;"_3",管理者用人口入力シート!BH:CM,26,FALSE),0)</f>
        <v>994</v>
      </c>
      <c r="J17" s="12"/>
      <c r="K17" s="12"/>
      <c r="N17" s="1" t="s">
        <v>106</v>
      </c>
      <c r="O17" s="1">
        <f t="shared" si="13"/>
        <v>2025</v>
      </c>
      <c r="P17" s="17">
        <f t="shared" si="14"/>
        <v>994</v>
      </c>
      <c r="Q17" s="17">
        <f>ROUND(VLOOKUP(H17&amp;"_3",管理者用人口入力シート!CO:DT,26,FALSE),0)</f>
        <v>995</v>
      </c>
    </row>
    <row r="18" spans="1:17" x14ac:dyDescent="0.15">
      <c r="A18" s="69" t="s">
        <v>110</v>
      </c>
      <c r="G18" s="1" t="s">
        <v>107</v>
      </c>
      <c r="H18" s="1">
        <f t="shared" si="12"/>
        <v>2030</v>
      </c>
      <c r="I18" s="17">
        <f>ROUND(VLOOKUP(H18&amp;"_3",管理者用人口入力シート!BH:CM,26,FALSE),0)</f>
        <v>881</v>
      </c>
      <c r="J18" s="12"/>
      <c r="K18" s="12"/>
      <c r="N18" s="1" t="s">
        <v>107</v>
      </c>
      <c r="O18" s="1">
        <f t="shared" si="13"/>
        <v>2030</v>
      </c>
      <c r="P18" s="17">
        <f t="shared" si="14"/>
        <v>881</v>
      </c>
      <c r="Q18" s="17">
        <f>ROUND(VLOOKUP(H18&amp;"_3",管理者用人口入力シート!CO:DT,26,FALSE),0)</f>
        <v>883</v>
      </c>
    </row>
    <row r="19" spans="1:17" x14ac:dyDescent="0.15">
      <c r="A19" s="2" t="s">
        <v>84</v>
      </c>
      <c r="G19" s="1" t="s">
        <v>108</v>
      </c>
      <c r="H19" s="1">
        <f t="shared" si="12"/>
        <v>2035</v>
      </c>
      <c r="I19" s="17">
        <f>ROUND(VLOOKUP(H19&amp;"_3",管理者用人口入力シート!BH:CM,26,FALSE),0)</f>
        <v>772</v>
      </c>
      <c r="J19" s="12"/>
      <c r="K19" s="12"/>
      <c r="N19" s="1" t="s">
        <v>108</v>
      </c>
      <c r="O19" s="1">
        <f t="shared" si="13"/>
        <v>2035</v>
      </c>
      <c r="P19" s="17">
        <f t="shared" si="14"/>
        <v>772</v>
      </c>
      <c r="Q19" s="17">
        <f>ROUND(VLOOKUP(H19&amp;"_3",管理者用人口入力シート!CO:DT,26,FALSE),0)</f>
        <v>777</v>
      </c>
    </row>
    <row r="20" spans="1:17" x14ac:dyDescent="0.15">
      <c r="A20" s="1" t="s">
        <v>58</v>
      </c>
      <c r="B20" s="1">
        <f>B4</f>
        <v>2010</v>
      </c>
      <c r="C20" s="17">
        <f>SUM(B54:C61)</f>
        <v>4732</v>
      </c>
      <c r="D20" s="12"/>
      <c r="E20" s="12"/>
      <c r="G20" s="1" t="s">
        <v>109</v>
      </c>
      <c r="H20" s="1">
        <f t="shared" si="12"/>
        <v>2040</v>
      </c>
      <c r="I20" s="17">
        <f>ROUND(VLOOKUP(H20&amp;"_3",管理者用人口入力シート!BH:CM,26,FALSE),0)</f>
        <v>700</v>
      </c>
      <c r="J20" s="12"/>
      <c r="K20" s="12"/>
      <c r="N20" s="1" t="s">
        <v>109</v>
      </c>
      <c r="O20" s="1">
        <f t="shared" si="13"/>
        <v>2040</v>
      </c>
      <c r="P20" s="17">
        <f t="shared" si="14"/>
        <v>700</v>
      </c>
      <c r="Q20" s="17">
        <f>ROUND(VLOOKUP(H20&amp;"_3",管理者用人口入力シート!CO:DT,26,FALSE),0)</f>
        <v>707</v>
      </c>
    </row>
    <row r="21" spans="1:17" x14ac:dyDescent="0.15">
      <c r="A21" s="1" t="s">
        <v>61</v>
      </c>
      <c r="B21" s="1">
        <f t="shared" ref="B21:B22" si="15">B5</f>
        <v>2015</v>
      </c>
      <c r="C21" s="17">
        <f>SUM(B78:C85)</f>
        <v>5205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5584</v>
      </c>
      <c r="D22" s="12"/>
      <c r="E22" s="12"/>
      <c r="G22" s="1" t="s">
        <v>58</v>
      </c>
      <c r="H22" s="1">
        <f>H4</f>
        <v>2010</v>
      </c>
      <c r="I22" s="17">
        <f>C14</f>
        <v>593</v>
      </c>
      <c r="J22" s="12"/>
      <c r="K22" s="12"/>
      <c r="N22" s="1" t="s">
        <v>58</v>
      </c>
      <c r="O22" s="1">
        <f>O4</f>
        <v>2010</v>
      </c>
      <c r="P22" s="17">
        <f>I22</f>
        <v>593</v>
      </c>
      <c r="Q22" s="17"/>
    </row>
    <row r="23" spans="1:17" x14ac:dyDescent="0.15">
      <c r="A23" s="2" t="s">
        <v>86</v>
      </c>
      <c r="G23" s="1" t="s">
        <v>57</v>
      </c>
      <c r="H23" s="1">
        <f t="shared" ref="H23:H28" si="16">H5</f>
        <v>2015</v>
      </c>
      <c r="I23" s="17">
        <f t="shared" ref="I23:I24" si="17">C15</f>
        <v>507</v>
      </c>
      <c r="J23" s="12"/>
      <c r="K23" s="12"/>
      <c r="N23" s="1" t="s">
        <v>57</v>
      </c>
      <c r="O23" s="1">
        <f t="shared" ref="O23:O28" si="18">O5</f>
        <v>2015</v>
      </c>
      <c r="P23" s="17">
        <f t="shared" ref="P23:P28" si="19">I23</f>
        <v>507</v>
      </c>
      <c r="Q23" s="17"/>
    </row>
    <row r="24" spans="1:17" x14ac:dyDescent="0.15">
      <c r="A24" s="1" t="s">
        <v>58</v>
      </c>
      <c r="B24" s="1">
        <f>B4</f>
        <v>2010</v>
      </c>
      <c r="C24" s="17">
        <f>SUM(B56:C61)</f>
        <v>2531</v>
      </c>
      <c r="D24" s="12"/>
      <c r="E24" s="12"/>
      <c r="G24" s="1" t="s">
        <v>62</v>
      </c>
      <c r="H24" s="1">
        <f t="shared" si="16"/>
        <v>2020</v>
      </c>
      <c r="I24" s="17">
        <f t="shared" si="17"/>
        <v>525</v>
      </c>
      <c r="J24" s="12"/>
      <c r="K24" s="12"/>
      <c r="N24" s="1" t="s">
        <v>62</v>
      </c>
      <c r="O24" s="1">
        <f t="shared" si="18"/>
        <v>2020</v>
      </c>
      <c r="P24" s="17">
        <f t="shared" si="19"/>
        <v>525</v>
      </c>
      <c r="Q24" s="17"/>
    </row>
    <row r="25" spans="1:17" x14ac:dyDescent="0.15">
      <c r="A25" s="1" t="s">
        <v>61</v>
      </c>
      <c r="B25" s="1">
        <f t="shared" ref="B25:B26" si="20">B5</f>
        <v>2015</v>
      </c>
      <c r="C25" s="17">
        <f>SUM(B80:C85)</f>
        <v>2764</v>
      </c>
      <c r="D25" s="12"/>
      <c r="E25" s="12"/>
      <c r="G25" s="1" t="s">
        <v>106</v>
      </c>
      <c r="H25" s="1">
        <f t="shared" si="16"/>
        <v>2025</v>
      </c>
      <c r="I25" s="17">
        <f>ROUND(VLOOKUP(H25&amp;"_3",管理者用人口入力シート!BH:CM,27,FALSE),0)</f>
        <v>517</v>
      </c>
      <c r="J25" s="12"/>
      <c r="K25" s="12"/>
      <c r="N25" s="1" t="s">
        <v>106</v>
      </c>
      <c r="O25" s="1">
        <f t="shared" si="18"/>
        <v>2025</v>
      </c>
      <c r="P25" s="17">
        <f t="shared" si="19"/>
        <v>517</v>
      </c>
      <c r="Q25" s="17">
        <f>ROUND(VLOOKUP(H17&amp;"_3",管理者用人口入力シート!CO:DT,27,FALSE),0)</f>
        <v>518</v>
      </c>
    </row>
    <row r="26" spans="1:17" x14ac:dyDescent="0.15">
      <c r="A26" s="1" t="s">
        <v>62</v>
      </c>
      <c r="B26" s="1">
        <f t="shared" si="20"/>
        <v>2020</v>
      </c>
      <c r="C26" s="17">
        <f>SUM(B104:C109)</f>
        <v>3028</v>
      </c>
      <c r="D26" s="12"/>
      <c r="E26" s="12"/>
      <c r="G26" s="1" t="s">
        <v>107</v>
      </c>
      <c r="H26" s="1">
        <f t="shared" si="16"/>
        <v>2030</v>
      </c>
      <c r="I26" s="17">
        <f>ROUND(VLOOKUP(H26&amp;"_3",管理者用人口入力シート!BH:CM,27,FALSE),0)</f>
        <v>478</v>
      </c>
      <c r="J26" s="12"/>
      <c r="K26" s="12"/>
      <c r="N26" s="1" t="s">
        <v>107</v>
      </c>
      <c r="O26" s="1">
        <f t="shared" si="18"/>
        <v>2030</v>
      </c>
      <c r="P26" s="17">
        <f t="shared" si="19"/>
        <v>478</v>
      </c>
      <c r="Q26" s="17">
        <f>ROUND(VLOOKUP(H18&amp;"_3",管理者用人口入力シート!CO:DT,27,FALSE),0)</f>
        <v>480</v>
      </c>
    </row>
    <row r="27" spans="1:17" x14ac:dyDescent="0.15">
      <c r="G27" s="1" t="s">
        <v>108</v>
      </c>
      <c r="H27" s="1">
        <f t="shared" si="16"/>
        <v>2035</v>
      </c>
      <c r="I27" s="17">
        <f>ROUND(VLOOKUP(H27&amp;"_3",管理者用人口入力シート!BH:CM,27,FALSE),0)</f>
        <v>419</v>
      </c>
      <c r="J27" s="12"/>
      <c r="K27" s="12"/>
      <c r="N27" s="1" t="s">
        <v>108</v>
      </c>
      <c r="O27" s="1">
        <f t="shared" si="18"/>
        <v>2035</v>
      </c>
      <c r="P27" s="17">
        <f t="shared" si="19"/>
        <v>419</v>
      </c>
      <c r="Q27" s="17">
        <f>ROUND(VLOOKUP(H19&amp;"_3",管理者用人口入力シート!CO:DT,27,FALSE),0)</f>
        <v>421</v>
      </c>
    </row>
    <row r="28" spans="1:17" x14ac:dyDescent="0.15">
      <c r="A28" s="69" t="s">
        <v>85</v>
      </c>
      <c r="G28" s="1" t="s">
        <v>109</v>
      </c>
      <c r="H28" s="1">
        <f t="shared" si="16"/>
        <v>2040</v>
      </c>
      <c r="I28" s="17">
        <f>ROUND(VLOOKUP(H28&amp;"_3",管理者用人口入力シート!BH:CM,27,FALSE),0)</f>
        <v>371</v>
      </c>
      <c r="J28" s="12"/>
      <c r="K28" s="12"/>
      <c r="N28" s="1" t="s">
        <v>109</v>
      </c>
      <c r="O28" s="1">
        <f t="shared" si="18"/>
        <v>2040</v>
      </c>
      <c r="P28" s="17">
        <f t="shared" si="19"/>
        <v>371</v>
      </c>
      <c r="Q28" s="17">
        <f>ROUND(VLOOKUP(H20&amp;"_3",管理者用人口入力シート!CO:DT,27,FALSE),0)</f>
        <v>374</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0.28000000000000003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4732</v>
      </c>
      <c r="J32" s="12"/>
      <c r="K32" s="12"/>
      <c r="N32" s="1" t="s">
        <v>58</v>
      </c>
      <c r="O32" s="1">
        <f>O4</f>
        <v>2010</v>
      </c>
      <c r="P32" s="17">
        <f>I32</f>
        <v>4732</v>
      </c>
      <c r="Q32" s="17"/>
    </row>
    <row r="33" spans="1:17" x14ac:dyDescent="0.15">
      <c r="A33" s="2" t="s">
        <v>86</v>
      </c>
      <c r="G33" s="1" t="s">
        <v>57</v>
      </c>
      <c r="H33" s="1">
        <f t="shared" ref="H33:H38" si="22">H5</f>
        <v>2015</v>
      </c>
      <c r="I33" s="17">
        <f>C21</f>
        <v>5205</v>
      </c>
      <c r="J33" s="12"/>
      <c r="K33" s="12"/>
      <c r="N33" s="1" t="s">
        <v>57</v>
      </c>
      <c r="O33" s="1">
        <f t="shared" ref="O33:O38" si="23">O5</f>
        <v>2015</v>
      </c>
      <c r="P33" s="17">
        <f t="shared" ref="P33:P38" si="24">I33</f>
        <v>5205</v>
      </c>
      <c r="Q33" s="17"/>
    </row>
    <row r="34" spans="1:17" x14ac:dyDescent="0.15">
      <c r="A34" s="1" t="s">
        <v>58</v>
      </c>
      <c r="B34" s="1">
        <f>B4</f>
        <v>2010</v>
      </c>
      <c r="C34" s="38">
        <f>ROUND((SUM(B56:C61)/SUM(B41:C61)),2)</f>
        <v>0.13</v>
      </c>
      <c r="D34" s="205"/>
      <c r="E34" s="205"/>
      <c r="G34" s="1" t="s">
        <v>62</v>
      </c>
      <c r="H34" s="1">
        <f t="shared" si="22"/>
        <v>2020</v>
      </c>
      <c r="I34" s="17">
        <f>C22</f>
        <v>5584</v>
      </c>
      <c r="J34" s="12"/>
      <c r="K34" s="12"/>
      <c r="N34" s="1" t="s">
        <v>62</v>
      </c>
      <c r="O34" s="1">
        <f t="shared" si="23"/>
        <v>2020</v>
      </c>
      <c r="P34" s="17">
        <f t="shared" si="24"/>
        <v>5584</v>
      </c>
      <c r="Q34" s="17"/>
    </row>
    <row r="35" spans="1:17" x14ac:dyDescent="0.15">
      <c r="A35" s="1" t="s">
        <v>61</v>
      </c>
      <c r="B35" s="1">
        <f t="shared" ref="B35:B36" si="25">B5</f>
        <v>2015</v>
      </c>
      <c r="C35" s="38">
        <f>ROUND((SUM(B80:C85)/SUM(B65:C85)),2)</f>
        <v>0.15</v>
      </c>
      <c r="D35" s="205"/>
      <c r="E35" s="205"/>
      <c r="G35" s="1" t="s">
        <v>106</v>
      </c>
      <c r="H35" s="1">
        <f t="shared" si="22"/>
        <v>2025</v>
      </c>
      <c r="I35" s="17">
        <f>SUM(H82:I89)</f>
        <v>5724</v>
      </c>
      <c r="J35" s="12"/>
      <c r="K35" s="12"/>
      <c r="N35" s="1" t="s">
        <v>106</v>
      </c>
      <c r="O35" s="1">
        <f t="shared" si="23"/>
        <v>2025</v>
      </c>
      <c r="P35" s="17">
        <f t="shared" si="24"/>
        <v>5724</v>
      </c>
      <c r="Q35" s="17">
        <f>SUM(O82:P89)</f>
        <v>5724</v>
      </c>
    </row>
    <row r="36" spans="1:17" x14ac:dyDescent="0.15">
      <c r="A36" s="1" t="s">
        <v>62</v>
      </c>
      <c r="B36" s="1">
        <f t="shared" si="25"/>
        <v>2020</v>
      </c>
      <c r="C36" s="38">
        <f>ROUND((SUM(B104:C109)/SUM(B89:C109)),2)</f>
        <v>0.17</v>
      </c>
      <c r="D36" s="205"/>
      <c r="E36" s="205"/>
      <c r="G36" s="1" t="s">
        <v>107</v>
      </c>
      <c r="H36" s="1">
        <f t="shared" si="22"/>
        <v>2030</v>
      </c>
      <c r="I36" s="17">
        <f>SUM(H106:I113)</f>
        <v>5582</v>
      </c>
      <c r="J36" s="12"/>
      <c r="K36" s="12"/>
      <c r="N36" s="1" t="s">
        <v>107</v>
      </c>
      <c r="O36" s="1">
        <f t="shared" si="23"/>
        <v>2030</v>
      </c>
      <c r="P36" s="17">
        <f t="shared" si="24"/>
        <v>5582</v>
      </c>
      <c r="Q36" s="17">
        <f>SUM(O106:P113)</f>
        <v>5582</v>
      </c>
    </row>
    <row r="37" spans="1:17" x14ac:dyDescent="0.15">
      <c r="G37" s="1" t="s">
        <v>108</v>
      </c>
      <c r="H37" s="1">
        <f t="shared" si="22"/>
        <v>2035</v>
      </c>
      <c r="I37" s="17">
        <f>SUM(H130:I137)</f>
        <v>5296</v>
      </c>
      <c r="J37" s="12"/>
      <c r="K37" s="12"/>
      <c r="N37" s="1" t="s">
        <v>108</v>
      </c>
      <c r="O37" s="1">
        <f t="shared" si="23"/>
        <v>2035</v>
      </c>
      <c r="P37" s="17">
        <f t="shared" si="24"/>
        <v>5296</v>
      </c>
      <c r="Q37" s="17">
        <f>SUM(O130:P137)</f>
        <v>5296</v>
      </c>
    </row>
    <row r="38" spans="1:17" x14ac:dyDescent="0.15">
      <c r="A38" s="69" t="s">
        <v>113</v>
      </c>
      <c r="G38" s="1" t="s">
        <v>109</v>
      </c>
      <c r="H38" s="1">
        <f t="shared" si="22"/>
        <v>2040</v>
      </c>
      <c r="I38" s="17">
        <f>SUM(H154:I161)</f>
        <v>5167</v>
      </c>
      <c r="J38" s="12"/>
      <c r="K38" s="12"/>
      <c r="N38" s="1" t="s">
        <v>109</v>
      </c>
      <c r="O38" s="1">
        <f t="shared" si="23"/>
        <v>2040</v>
      </c>
      <c r="P38" s="17">
        <f t="shared" si="24"/>
        <v>5167</v>
      </c>
      <c r="Q38" s="17">
        <f>SUM(O154:P161)</f>
        <v>5167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2531</v>
      </c>
      <c r="J40" s="12"/>
      <c r="K40" s="12"/>
      <c r="N40" s="1" t="s">
        <v>58</v>
      </c>
      <c r="O40" s="1">
        <f>O4</f>
        <v>2010</v>
      </c>
      <c r="P40" s="17">
        <f>I40</f>
        <v>2531</v>
      </c>
      <c r="Q40" s="17"/>
    </row>
    <row r="41" spans="1:17" x14ac:dyDescent="0.15">
      <c r="A41" s="2" t="s">
        <v>0</v>
      </c>
      <c r="B41" s="17">
        <f>ROUND(VLOOKUP(B$39&amp;"_1",管理者用人口入力シート!A:X,D41,FALSE),0)</f>
        <v>491</v>
      </c>
      <c r="C41" s="17">
        <f>ROUND(VLOOKUP(B$39&amp;"_2",管理者用人口入力シート!A:X,D41,FALSE),0)</f>
        <v>471</v>
      </c>
      <c r="D41" s="2">
        <v>4</v>
      </c>
      <c r="G41" s="1" t="s">
        <v>57</v>
      </c>
      <c r="H41" s="1">
        <f t="shared" ref="H41:H46" si="26">H5</f>
        <v>2015</v>
      </c>
      <c r="I41" s="17">
        <f>C25</f>
        <v>2764</v>
      </c>
      <c r="J41" s="12"/>
      <c r="K41" s="12"/>
      <c r="N41" s="1" t="s">
        <v>57</v>
      </c>
      <c r="O41" s="1">
        <f t="shared" ref="O41:O46" si="27">O5</f>
        <v>2015</v>
      </c>
      <c r="P41" s="17">
        <f t="shared" ref="P41:P46" si="28">I41</f>
        <v>2764</v>
      </c>
      <c r="Q41" s="17"/>
    </row>
    <row r="42" spans="1:17" x14ac:dyDescent="0.15">
      <c r="A42" s="2" t="s">
        <v>1</v>
      </c>
      <c r="B42" s="17">
        <f>ROUND(VLOOKUP(B$39&amp;"_1",管理者用人口入力シート!A:X,D42,FALSE),0)</f>
        <v>478</v>
      </c>
      <c r="C42" s="17">
        <f>ROUND(VLOOKUP(B$39&amp;"_2",管理者用人口入力シート!A:X,D42,FALSE),0)</f>
        <v>404</v>
      </c>
      <c r="D42" s="2">
        <v>5</v>
      </c>
      <c r="G42" s="1" t="s">
        <v>62</v>
      </c>
      <c r="H42" s="1">
        <f t="shared" si="26"/>
        <v>2020</v>
      </c>
      <c r="I42" s="17">
        <f>C26</f>
        <v>3028</v>
      </c>
      <c r="J42" s="12"/>
      <c r="K42" s="12"/>
      <c r="N42" s="1" t="s">
        <v>62</v>
      </c>
      <c r="O42" s="1">
        <f t="shared" si="27"/>
        <v>2020</v>
      </c>
      <c r="P42" s="17">
        <f t="shared" si="28"/>
        <v>3028</v>
      </c>
      <c r="Q42" s="17"/>
    </row>
    <row r="43" spans="1:17" x14ac:dyDescent="0.15">
      <c r="A43" s="2" t="s">
        <v>2</v>
      </c>
      <c r="B43" s="17">
        <f>ROUND(VLOOKUP(B$39&amp;"_1",管理者用人口入力シート!A:X,D43,FALSE),0)</f>
        <v>504</v>
      </c>
      <c r="C43" s="17">
        <f>ROUND(VLOOKUP(B$39&amp;"_2",管理者用人口入力シート!A:X,D43,FALSE),0)</f>
        <v>461</v>
      </c>
      <c r="D43" s="2">
        <v>6</v>
      </c>
      <c r="G43" s="1" t="s">
        <v>106</v>
      </c>
      <c r="H43" s="1">
        <f t="shared" si="26"/>
        <v>2025</v>
      </c>
      <c r="I43" s="17">
        <f>SUM(H84:I89)</f>
        <v>3216</v>
      </c>
      <c r="J43" s="12"/>
      <c r="K43" s="12"/>
      <c r="N43" s="1" t="s">
        <v>106</v>
      </c>
      <c r="O43" s="1">
        <f t="shared" si="27"/>
        <v>2025</v>
      </c>
      <c r="P43" s="17">
        <f t="shared" si="28"/>
        <v>3216</v>
      </c>
      <c r="Q43" s="17">
        <f>SUM(O84:P89)</f>
        <v>3216</v>
      </c>
    </row>
    <row r="44" spans="1:17" x14ac:dyDescent="0.15">
      <c r="A44" s="2" t="s">
        <v>3</v>
      </c>
      <c r="B44" s="17">
        <f>ROUND(VLOOKUP(B$39&amp;"_1",管理者用人口入力シート!A:X,D44,FALSE),0)</f>
        <v>500</v>
      </c>
      <c r="C44" s="17">
        <f>ROUND(VLOOKUP(B$39&amp;"_2",管理者用人口入力シート!A:X,D44,FALSE),0)</f>
        <v>535</v>
      </c>
      <c r="D44" s="2">
        <v>7</v>
      </c>
      <c r="G44" s="1" t="s">
        <v>107</v>
      </c>
      <c r="H44" s="1">
        <f t="shared" si="26"/>
        <v>2030</v>
      </c>
      <c r="I44" s="17">
        <f>SUM(H108:I113)</f>
        <v>3307</v>
      </c>
      <c r="J44" s="12"/>
      <c r="K44" s="12"/>
      <c r="N44" s="1" t="s">
        <v>107</v>
      </c>
      <c r="O44" s="1">
        <f t="shared" si="27"/>
        <v>2030</v>
      </c>
      <c r="P44" s="17">
        <f t="shared" si="28"/>
        <v>3307</v>
      </c>
      <c r="Q44" s="17">
        <f>SUM(O108:P113)</f>
        <v>3307</v>
      </c>
    </row>
    <row r="45" spans="1:17" x14ac:dyDescent="0.15">
      <c r="A45" s="2" t="s">
        <v>4</v>
      </c>
      <c r="B45" s="17">
        <f>ROUND(VLOOKUP(B$39&amp;"_1",管理者用人口入力シート!A:X,D45,FALSE),0)</f>
        <v>299</v>
      </c>
      <c r="C45" s="17">
        <f>ROUND(VLOOKUP(B$39&amp;"_2",管理者用人口入力シート!A:X,D45,FALSE),0)</f>
        <v>403</v>
      </c>
      <c r="D45" s="2">
        <v>8</v>
      </c>
      <c r="G45" s="1" t="s">
        <v>108</v>
      </c>
      <c r="H45" s="1">
        <f t="shared" si="26"/>
        <v>2035</v>
      </c>
      <c r="I45" s="17">
        <f>SUM(H132:I137)</f>
        <v>3353</v>
      </c>
      <c r="J45" s="12"/>
      <c r="K45" s="12"/>
      <c r="N45" s="1" t="s">
        <v>108</v>
      </c>
      <c r="O45" s="1">
        <f t="shared" si="27"/>
        <v>2035</v>
      </c>
      <c r="P45" s="17">
        <f t="shared" si="28"/>
        <v>3353</v>
      </c>
      <c r="Q45" s="17">
        <f>SUM(O132:P137)</f>
        <v>3353</v>
      </c>
    </row>
    <row r="46" spans="1:17" x14ac:dyDescent="0.15">
      <c r="A46" s="2" t="s">
        <v>5</v>
      </c>
      <c r="B46" s="17">
        <f>ROUND(VLOOKUP(B$39&amp;"_1",管理者用人口入力シート!A:X,D46,FALSE),0)</f>
        <v>501</v>
      </c>
      <c r="C46" s="17">
        <f>ROUND(VLOOKUP(B$39&amp;"_2",管理者用人口入力シート!A:X,D46,FALSE),0)</f>
        <v>542</v>
      </c>
      <c r="D46" s="2">
        <v>9</v>
      </c>
      <c r="G46" s="1" t="s">
        <v>109</v>
      </c>
      <c r="H46" s="1">
        <f t="shared" si="26"/>
        <v>2040</v>
      </c>
      <c r="I46" s="17">
        <f>SUM(H156:I161)</f>
        <v>3181</v>
      </c>
      <c r="J46" s="12"/>
      <c r="K46" s="12"/>
      <c r="N46" s="1" t="s">
        <v>109</v>
      </c>
      <c r="O46" s="1">
        <f t="shared" si="27"/>
        <v>2040</v>
      </c>
      <c r="P46" s="17">
        <f t="shared" si="28"/>
        <v>3181</v>
      </c>
      <c r="Q46" s="17">
        <f>SUM(O156:P161)</f>
        <v>3181</v>
      </c>
    </row>
    <row r="47" spans="1:17" x14ac:dyDescent="0.15">
      <c r="A47" s="2" t="s">
        <v>6</v>
      </c>
      <c r="B47" s="17">
        <f>ROUND(VLOOKUP(B$39&amp;"_1",管理者用人口入力シート!A:X,D47,FALSE),0)</f>
        <v>544</v>
      </c>
      <c r="C47" s="17">
        <f>ROUND(VLOOKUP(B$39&amp;"_2",管理者用人口入力シート!A:X,D47,FALSE),0)</f>
        <v>604</v>
      </c>
      <c r="D47" s="2">
        <v>10</v>
      </c>
    </row>
    <row r="48" spans="1:17" x14ac:dyDescent="0.15">
      <c r="A48" s="2" t="s">
        <v>7</v>
      </c>
      <c r="B48" s="17">
        <f>ROUND(VLOOKUP(B$39&amp;"_1",管理者用人口入力シート!A:X,D48,FALSE),0)</f>
        <v>617</v>
      </c>
      <c r="C48" s="17">
        <f>ROUND(VLOOKUP(B$39&amp;"_2",管理者用人口入力シート!A:X,D48,FALSE),0)</f>
        <v>608</v>
      </c>
      <c r="D48" s="2">
        <v>11</v>
      </c>
      <c r="G48" s="69" t="s">
        <v>85</v>
      </c>
      <c r="N48" s="69" t="s">
        <v>85</v>
      </c>
    </row>
    <row r="49" spans="1:17" x14ac:dyDescent="0.15">
      <c r="A49" s="2" t="s">
        <v>8</v>
      </c>
      <c r="B49" s="17">
        <f>ROUND(VLOOKUP(B$39&amp;"_1",管理者用人口入力シート!A:X,D49,FALSE),0)</f>
        <v>522</v>
      </c>
      <c r="C49" s="17">
        <f>ROUND(VLOOKUP(B$39&amp;"_2",管理者用人口入力シート!A:X,D49,FALSE),0)</f>
        <v>518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542</v>
      </c>
      <c r="C50" s="17">
        <f>ROUND(VLOOKUP(B$39&amp;"_2",管理者用人口入力シート!A:X,D50,FALSE),0)</f>
        <v>617</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678</v>
      </c>
      <c r="C51" s="17">
        <f>ROUND(VLOOKUP(B$39&amp;"_2",管理者用人口入力シート!A:X,D51,FALSE),0)</f>
        <v>669</v>
      </c>
      <c r="D51" s="2">
        <v>14</v>
      </c>
      <c r="G51" s="1" t="s">
        <v>57</v>
      </c>
      <c r="H51" s="1">
        <f t="shared" ref="H51:H56" si="30">H5</f>
        <v>2015</v>
      </c>
      <c r="I51" s="38">
        <f t="shared" ref="I51:I52" si="31">C31</f>
        <v>0.28000000000000003</v>
      </c>
      <c r="J51" s="205"/>
      <c r="K51" s="205"/>
      <c r="N51" s="1" t="s">
        <v>57</v>
      </c>
      <c r="O51" s="1">
        <f t="shared" ref="O51:O56" si="32">O5</f>
        <v>2015</v>
      </c>
      <c r="P51" s="38">
        <f t="shared" si="29"/>
        <v>0.28000000000000003</v>
      </c>
      <c r="Q51" s="1"/>
    </row>
    <row r="52" spans="1:17" x14ac:dyDescent="0.15">
      <c r="A52" s="2" t="s">
        <v>11</v>
      </c>
      <c r="B52" s="17">
        <f>ROUND(VLOOKUP(B$39&amp;"_1",管理者用人口入力シート!A:X,D52,FALSE),0)</f>
        <v>672</v>
      </c>
      <c r="C52" s="17">
        <f>ROUND(VLOOKUP(B$39&amp;"_2",管理者用人口入力シート!A:X,D52,FALSE),0)</f>
        <v>714</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637</v>
      </c>
      <c r="C53" s="17">
        <f>ROUND(VLOOKUP(B$39&amp;"_2",管理者用人口入力シート!A:X,D53,FALSE),0)</f>
        <v>759</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532</v>
      </c>
      <c r="C54" s="17">
        <f>ROUND(VLOOKUP(B$39&amp;"_2",管理者用人口入力シート!A:X,D54,FALSE),0)</f>
        <v>597</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478</v>
      </c>
      <c r="C55" s="17">
        <f>ROUND(VLOOKUP(B$39&amp;"_2",管理者用人口入力シート!A:X,D55,FALSE),0)</f>
        <v>594</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445</v>
      </c>
      <c r="C56" s="17">
        <f>ROUND(VLOOKUP(B$39&amp;"_2",管理者用人口入力シート!A:X,D56,FALSE),0)</f>
        <v>620</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303</v>
      </c>
      <c r="C57" s="17">
        <f>ROUND(VLOOKUP(B$39&amp;"_2",管理者用人口入力シート!A:X,D57,FALSE),0)</f>
        <v>499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127</v>
      </c>
      <c r="C58" s="17">
        <f>ROUND(VLOOKUP(B$39&amp;"_2",管理者用人口入力シート!A:X,D58,FALSE),0)</f>
        <v>280</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34</v>
      </c>
      <c r="C59" s="17">
        <f>ROUND(VLOOKUP(B$39&amp;"_2",管理者用人口入力シート!A:X,D59,FALSE),0)</f>
        <v>161</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6</v>
      </c>
      <c r="C60" s="17">
        <f>ROUND(VLOOKUP(B$39&amp;"_2",管理者用人口入力シート!A:X,D60,FALSE),0)</f>
        <v>53</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v>
      </c>
      <c r="J62" s="205"/>
      <c r="K62" s="205"/>
      <c r="N62" s="1" t="s">
        <v>107</v>
      </c>
      <c r="O62" s="1">
        <f t="shared" si="36"/>
        <v>2030</v>
      </c>
      <c r="P62" s="38">
        <f t="shared" si="33"/>
        <v>0.2</v>
      </c>
      <c r="Q62" s="38">
        <f>ROUND((SUM(O108:P113)/SUM(O93:P113)),2)</f>
        <v>0.2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0.21</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448</v>
      </c>
      <c r="C65" s="17">
        <f>ROUND(VLOOKUP(B$63&amp;"_2",管理者用人口入力シート!A:X,D65,FALSE),0)</f>
        <v>456</v>
      </c>
      <c r="D65" s="2">
        <v>4</v>
      </c>
    </row>
    <row r="66" spans="1:21" x14ac:dyDescent="0.15">
      <c r="A66" s="2" t="s">
        <v>1</v>
      </c>
      <c r="B66" s="17">
        <f>ROUND(VLOOKUP(B$63&amp;"_1",管理者用人口入力シート!A:X,D66,FALSE),0)</f>
        <v>460</v>
      </c>
      <c r="C66" s="17">
        <f>ROUND(VLOOKUP(B$63&amp;"_2",管理者用人口入力シート!A:X,D66,FALSE),0)</f>
        <v>438</v>
      </c>
      <c r="D66" s="2">
        <v>5</v>
      </c>
      <c r="G66" s="69" t="s">
        <v>113</v>
      </c>
      <c r="N66" s="69" t="s">
        <v>113</v>
      </c>
    </row>
    <row r="67" spans="1:21" x14ac:dyDescent="0.15">
      <c r="A67" s="2" t="s">
        <v>2</v>
      </c>
      <c r="B67" s="17">
        <f>ROUND(VLOOKUP(B$63&amp;"_1",管理者用人口入力シート!A:X,D67,FALSE),0)</f>
        <v>408</v>
      </c>
      <c r="C67" s="17">
        <f>ROUND(VLOOKUP(B$63&amp;"_2",管理者用人口入力シート!A:X,D67,FALSE),0)</f>
        <v>391</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469</v>
      </c>
      <c r="C68" s="17">
        <f>ROUND(VLOOKUP(B$63&amp;"_2",管理者用人口入力シート!A:X,D68,FALSE),0)</f>
        <v>466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326</v>
      </c>
      <c r="C69" s="17">
        <f>ROUND(VLOOKUP(B$63&amp;"_2",管理者用人口入力シート!A:X,D69,FALSE),0)</f>
        <v>389</v>
      </c>
      <c r="D69" s="2">
        <v>8</v>
      </c>
      <c r="G69" s="2" t="s">
        <v>0</v>
      </c>
      <c r="H69" s="17">
        <f>ROUND(VLOOKUP(H$67&amp;"_1",管理者用人口入力シート!BH:CE,J69,FALSE),0)</f>
        <v>377</v>
      </c>
      <c r="I69" s="17">
        <f>ROUND(VLOOKUP(H$67&amp;"_2",管理者用人口入力シート!BH:CE,J69,FALSE),0)</f>
        <v>350</v>
      </c>
      <c r="J69" s="2">
        <v>4</v>
      </c>
      <c r="K69" s="12"/>
      <c r="N69" s="2" t="s">
        <v>0</v>
      </c>
      <c r="O69" s="17">
        <f>ROUND(VLOOKUP(O$67&amp;"_1",管理者用人口入力シート!CO:DL,Q69,FALSE),0)</f>
        <v>378</v>
      </c>
      <c r="P69" s="17">
        <f>ROUND(VLOOKUP(O$67&amp;"_2",管理者用人口入力シート!CO:DL,Q69,FALSE),0)</f>
        <v>351</v>
      </c>
      <c r="Q69" s="2">
        <v>4</v>
      </c>
      <c r="U69" s="85"/>
    </row>
    <row r="70" spans="1:21" x14ac:dyDescent="0.15">
      <c r="A70" s="2" t="s">
        <v>5</v>
      </c>
      <c r="B70" s="17">
        <f>ROUND(VLOOKUP(B$63&amp;"_1",管理者用人口入力シート!A:X,D70,FALSE),0)</f>
        <v>407</v>
      </c>
      <c r="C70" s="17">
        <f>ROUND(VLOOKUP(B$63&amp;"_2",管理者用人口入力シート!A:X,D70,FALSE),0)</f>
        <v>452</v>
      </c>
      <c r="D70" s="2">
        <v>9</v>
      </c>
      <c r="G70" s="2" t="s">
        <v>1</v>
      </c>
      <c r="H70" s="17">
        <f>ROUND(VLOOKUP(H$67&amp;"_1",管理者用人口入力シート!BH:CE,J70,FALSE),0)</f>
        <v>421</v>
      </c>
      <c r="I70" s="17">
        <f>ROUND(VLOOKUP(H$67&amp;"_2",管理者用人口入力シート!BH:CE,J70,FALSE),0)</f>
        <v>392</v>
      </c>
      <c r="J70" s="2">
        <v>5</v>
      </c>
      <c r="K70" s="12"/>
      <c r="N70" s="2" t="s">
        <v>1</v>
      </c>
      <c r="O70" s="17">
        <f>ROUND(VLOOKUP(O$67&amp;"_1",管理者用人口入力シート!CO:DL,Q70,FALSE),0)</f>
        <v>421</v>
      </c>
      <c r="P70" s="17">
        <f>ROUND(VLOOKUP(O$67&amp;"_2",管理者用人口入力シート!CO:DL,Q70,FALSE),0)</f>
        <v>392</v>
      </c>
      <c r="Q70" s="2">
        <v>5</v>
      </c>
      <c r="U70" s="85"/>
    </row>
    <row r="71" spans="1:21" x14ac:dyDescent="0.15">
      <c r="A71" s="2" t="s">
        <v>6</v>
      </c>
      <c r="B71" s="17">
        <f>ROUND(VLOOKUP(B$63&amp;"_1",管理者用人口入力シート!A:X,D71,FALSE),0)</f>
        <v>541</v>
      </c>
      <c r="C71" s="17">
        <f>ROUND(VLOOKUP(B$63&amp;"_2",管理者用人口入力シート!A:X,D71,FALSE),0)</f>
        <v>547</v>
      </c>
      <c r="D71" s="2">
        <v>10</v>
      </c>
      <c r="G71" s="2" t="s">
        <v>2</v>
      </c>
      <c r="H71" s="17">
        <f>ROUND(VLOOKUP(H$67&amp;"_1",管理者用人口入力シート!BH:CE,J71,FALSE),0)</f>
        <v>410</v>
      </c>
      <c r="I71" s="17">
        <f>ROUND(VLOOKUP(H$67&amp;"_2",管理者用人口入力シート!BH:CE,J71,FALSE),0)</f>
        <v>435</v>
      </c>
      <c r="J71" s="2">
        <v>6</v>
      </c>
      <c r="K71" s="12"/>
      <c r="N71" s="2" t="s">
        <v>2</v>
      </c>
      <c r="O71" s="17">
        <f>ROUND(VLOOKUP(O$67&amp;"_1",管理者用人口入力シート!CO:DL,Q71,FALSE),0)</f>
        <v>411</v>
      </c>
      <c r="P71" s="17">
        <f>ROUND(VLOOKUP(O$67&amp;"_2",管理者用人口入力シート!CO:DL,Q71,FALSE),0)</f>
        <v>436</v>
      </c>
      <c r="Q71" s="2">
        <v>6</v>
      </c>
      <c r="U71" s="85"/>
    </row>
    <row r="72" spans="1:21" x14ac:dyDescent="0.15">
      <c r="A72" s="2" t="s">
        <v>7</v>
      </c>
      <c r="B72" s="17">
        <f>ROUND(VLOOKUP(B$63&amp;"_1",管理者用人口入力シート!A:X,D72,FALSE),0)</f>
        <v>546</v>
      </c>
      <c r="C72" s="17">
        <f>ROUND(VLOOKUP(B$63&amp;"_2",管理者用人口入力シート!A:X,D72,FALSE),0)</f>
        <v>578</v>
      </c>
      <c r="D72" s="2">
        <v>11</v>
      </c>
      <c r="G72" s="2" t="s">
        <v>3</v>
      </c>
      <c r="H72" s="17">
        <f>ROUND(VLOOKUP(H$67&amp;"_1",管理者用人口入力シート!BH:CE,J72,FALSE),0)</f>
        <v>473</v>
      </c>
      <c r="I72" s="17">
        <f>ROUND(VLOOKUP(H$67&amp;"_2",管理者用人口入力シート!BH:CE,J72,FALSE),0)</f>
        <v>426</v>
      </c>
      <c r="J72" s="2">
        <v>7</v>
      </c>
      <c r="K72" s="12"/>
      <c r="N72" s="2" t="s">
        <v>3</v>
      </c>
      <c r="O72" s="17">
        <f>ROUND(VLOOKUP(O$67&amp;"_1",管理者用人口入力シート!CO:DL,Q72,FALSE),0)</f>
        <v>473</v>
      </c>
      <c r="P72" s="17">
        <f>ROUND(VLOOKUP(O$67&amp;"_2",管理者用人口入力シート!CO:DL,Q72,FALSE),0)</f>
        <v>426</v>
      </c>
      <c r="Q72" s="2">
        <v>7</v>
      </c>
      <c r="U72" s="85"/>
    </row>
    <row r="73" spans="1:21" x14ac:dyDescent="0.15">
      <c r="A73" s="2" t="s">
        <v>8</v>
      </c>
      <c r="B73" s="17">
        <f>ROUND(VLOOKUP(B$63&amp;"_1",管理者用人口入力シート!A:X,D73,FALSE),0)</f>
        <v>586</v>
      </c>
      <c r="C73" s="17">
        <f>ROUND(VLOOKUP(B$63&amp;"_2",管理者用人口入力シート!A:X,D73,FALSE),0)</f>
        <v>586</v>
      </c>
      <c r="D73" s="2">
        <v>12</v>
      </c>
      <c r="G73" s="2" t="s">
        <v>4</v>
      </c>
      <c r="H73" s="17">
        <f>ROUND(VLOOKUP(H$67&amp;"_1",管理者用人口入力シート!BH:CE,J73,FALSE),0)</f>
        <v>258</v>
      </c>
      <c r="I73" s="17">
        <f>ROUND(VLOOKUP(H$67&amp;"_2",管理者用人口入力シート!BH:CE,J73,FALSE),0)</f>
        <v>260</v>
      </c>
      <c r="J73" s="2">
        <v>8</v>
      </c>
      <c r="K73" s="12"/>
      <c r="N73" s="2" t="s">
        <v>4</v>
      </c>
      <c r="O73" s="17">
        <f>ROUND(VLOOKUP(O$67&amp;"_1",管理者用人口入力シート!CO:DL,Q73,FALSE),0)</f>
        <v>258</v>
      </c>
      <c r="P73" s="17">
        <f>ROUND(VLOOKUP(O$67&amp;"_2",管理者用人口入力シート!CO:DL,Q73,FALSE),0)</f>
        <v>260</v>
      </c>
      <c r="Q73" s="2">
        <v>8</v>
      </c>
      <c r="U73" s="85"/>
    </row>
    <row r="74" spans="1:21" x14ac:dyDescent="0.15">
      <c r="A74" s="2" t="s">
        <v>9</v>
      </c>
      <c r="B74" s="17">
        <f>ROUND(VLOOKUP(B$63&amp;"_1",管理者用人口入力シート!A:X,D74,FALSE),0)</f>
        <v>478</v>
      </c>
      <c r="C74" s="17">
        <f>ROUND(VLOOKUP(B$63&amp;"_2",管理者用人口入力シート!A:X,D74,FALSE),0)</f>
        <v>505</v>
      </c>
      <c r="D74" s="2">
        <v>13</v>
      </c>
      <c r="G74" s="2" t="s">
        <v>5</v>
      </c>
      <c r="H74" s="17">
        <f>ROUND(VLOOKUP(H$67&amp;"_1",管理者用人口入力シート!BH:CE,J74,FALSE),0)</f>
        <v>338</v>
      </c>
      <c r="I74" s="17">
        <f>ROUND(VLOOKUP(H$67&amp;"_2",管理者用人口入力シート!BH:CE,J74,FALSE),0)</f>
        <v>316</v>
      </c>
      <c r="J74" s="2">
        <v>9</v>
      </c>
      <c r="K74" s="12"/>
      <c r="N74" s="2" t="s">
        <v>5</v>
      </c>
      <c r="O74" s="17">
        <f>ROUND(VLOOKUP(O$67&amp;"_1",管理者用人口入力シート!CO:DL,Q74,FALSE),0)</f>
        <v>340</v>
      </c>
      <c r="P74" s="17">
        <f>ROUND(VLOOKUP(O$67&amp;"_2",管理者用人口入力シート!CO:DL,Q74,FALSE),0)</f>
        <v>318</v>
      </c>
      <c r="Q74" s="2">
        <v>9</v>
      </c>
      <c r="U74" s="85"/>
    </row>
    <row r="75" spans="1:21" x14ac:dyDescent="0.15">
      <c r="A75" s="2" t="s">
        <v>10</v>
      </c>
      <c r="B75" s="17">
        <f>ROUND(VLOOKUP(B$63&amp;"_1",管理者用人口入力シート!A:X,D75,FALSE),0)</f>
        <v>542</v>
      </c>
      <c r="C75" s="17">
        <f>ROUND(VLOOKUP(B$63&amp;"_2",管理者用人口入力シート!A:X,D75,FALSE),0)</f>
        <v>616</v>
      </c>
      <c r="D75" s="2">
        <v>14</v>
      </c>
      <c r="G75" s="2" t="s">
        <v>6</v>
      </c>
      <c r="H75" s="17">
        <f>ROUND(VLOOKUP(H$67&amp;"_1",管理者用人口入力シート!BH:CE,J75,FALSE),0)</f>
        <v>482</v>
      </c>
      <c r="I75" s="17">
        <f>ROUND(VLOOKUP(H$67&amp;"_2",管理者用人口入力シート!BH:CE,J75,FALSE),0)</f>
        <v>449</v>
      </c>
      <c r="J75" s="2">
        <v>10</v>
      </c>
      <c r="K75" s="12"/>
      <c r="N75" s="2" t="s">
        <v>6</v>
      </c>
      <c r="O75" s="17">
        <f>ROUND(VLOOKUP(O$67&amp;"_1",管理者用人口入力シート!CO:DL,Q75,FALSE),0)</f>
        <v>482</v>
      </c>
      <c r="P75" s="17">
        <f>ROUND(VLOOKUP(O$67&amp;"_2",管理者用人口入力シート!CO:DL,Q75,FALSE),0)</f>
        <v>449</v>
      </c>
      <c r="Q75" s="2">
        <v>10</v>
      </c>
      <c r="U75" s="85"/>
    </row>
    <row r="76" spans="1:21" x14ac:dyDescent="0.15">
      <c r="A76" s="2" t="s">
        <v>11</v>
      </c>
      <c r="B76" s="17">
        <f>ROUND(VLOOKUP(B$63&amp;"_1",管理者用人口入力シート!A:X,D76,FALSE),0)</f>
        <v>681</v>
      </c>
      <c r="C76" s="17">
        <f>ROUND(VLOOKUP(B$63&amp;"_2",管理者用人口入力シート!A:X,D76,FALSE),0)</f>
        <v>656</v>
      </c>
      <c r="D76" s="2">
        <v>15</v>
      </c>
      <c r="G76" s="2" t="s">
        <v>7</v>
      </c>
      <c r="H76" s="17">
        <f>ROUND(VLOOKUP(H$67&amp;"_1",管理者用人口入力シート!BH:CE,J76,FALSE),0)</f>
        <v>449</v>
      </c>
      <c r="I76" s="17">
        <f>ROUND(VLOOKUP(H$67&amp;"_2",管理者用人口入力シート!BH:CE,J76,FALSE),0)</f>
        <v>461</v>
      </c>
      <c r="J76" s="2">
        <v>11</v>
      </c>
      <c r="K76" s="12"/>
      <c r="N76" s="2" t="s">
        <v>7</v>
      </c>
      <c r="O76" s="17">
        <f>ROUND(VLOOKUP(O$67&amp;"_1",管理者用人口入力シート!CO:DL,Q76,FALSE),0)</f>
        <v>449</v>
      </c>
      <c r="P76" s="17">
        <f>ROUND(VLOOKUP(O$67&amp;"_2",管理者用人口入力シート!CO:DL,Q76,FALSE),0)</f>
        <v>461</v>
      </c>
      <c r="Q76" s="2">
        <v>11</v>
      </c>
      <c r="U76" s="85"/>
    </row>
    <row r="77" spans="1:21" x14ac:dyDescent="0.15">
      <c r="A77" s="2" t="s">
        <v>12</v>
      </c>
      <c r="B77" s="17">
        <f>ROUND(VLOOKUP(B$63&amp;"_1",管理者用人口入力シート!A:X,D77,FALSE),0)</f>
        <v>622</v>
      </c>
      <c r="C77" s="17">
        <f>ROUND(VLOOKUP(B$63&amp;"_2",管理者用人口入力シート!A:X,D77,FALSE),0)</f>
        <v>695</v>
      </c>
      <c r="D77" s="2">
        <v>16</v>
      </c>
      <c r="G77" s="2" t="s">
        <v>8</v>
      </c>
      <c r="H77" s="17">
        <f>ROUND(VLOOKUP(H$67&amp;"_1",管理者用人口入力シート!BH:CE,J77,FALSE),0)</f>
        <v>516</v>
      </c>
      <c r="I77" s="17">
        <f>ROUND(VLOOKUP(H$67&amp;"_2",管理者用人口入力シート!BH:CE,J77,FALSE),0)</f>
        <v>542</v>
      </c>
      <c r="J77" s="2">
        <v>12</v>
      </c>
      <c r="K77" s="12"/>
      <c r="N77" s="2" t="s">
        <v>8</v>
      </c>
      <c r="O77" s="17">
        <f>ROUND(VLOOKUP(O$67&amp;"_1",管理者用人口入力シート!CO:DL,Q77,FALSE),0)</f>
        <v>516</v>
      </c>
      <c r="P77" s="17">
        <f>ROUND(VLOOKUP(O$67&amp;"_2",管理者用人口入力シート!CO:DL,Q77,FALSE),0)</f>
        <v>543</v>
      </c>
      <c r="Q77" s="2">
        <v>12</v>
      </c>
      <c r="U77" s="85"/>
    </row>
    <row r="78" spans="1:21" x14ac:dyDescent="0.15">
      <c r="A78" s="2" t="s">
        <v>13</v>
      </c>
      <c r="B78" s="17">
        <f>ROUND(VLOOKUP(B$63&amp;"_1",管理者用人口入力シート!A:X,D78,FALSE),0)</f>
        <v>611</v>
      </c>
      <c r="C78" s="17">
        <f>ROUND(VLOOKUP(B$63&amp;"_2",管理者用人口入力シート!A:X,D78,FALSE),0)</f>
        <v>739</v>
      </c>
      <c r="D78" s="2">
        <v>17</v>
      </c>
      <c r="G78" s="2" t="s">
        <v>9</v>
      </c>
      <c r="H78" s="17">
        <f>ROUND(VLOOKUP(H$67&amp;"_1",管理者用人口入力シート!BH:CE,J78,FALSE),0)</f>
        <v>523</v>
      </c>
      <c r="I78" s="17">
        <f>ROUND(VLOOKUP(H$67&amp;"_2",管理者用人口入力シート!BH:CE,J78,FALSE),0)</f>
        <v>581</v>
      </c>
      <c r="J78" s="2">
        <v>13</v>
      </c>
      <c r="K78" s="12"/>
      <c r="N78" s="2" t="s">
        <v>9</v>
      </c>
      <c r="O78" s="17">
        <f>ROUND(VLOOKUP(O$67&amp;"_1",管理者用人口入力シート!CO:DL,Q78,FALSE),0)</f>
        <v>523</v>
      </c>
      <c r="P78" s="17">
        <f>ROUND(VLOOKUP(O$67&amp;"_2",管理者用人口入力シート!CO:DL,Q78,FALSE),0)</f>
        <v>581</v>
      </c>
      <c r="Q78" s="2">
        <v>13</v>
      </c>
      <c r="U78" s="85"/>
    </row>
    <row r="79" spans="1:21" x14ac:dyDescent="0.15">
      <c r="A79" s="2" t="s">
        <v>14</v>
      </c>
      <c r="B79" s="17">
        <f>ROUND(VLOOKUP(B$63&amp;"_1",管理者用人口入力シート!A:X,D79,FALSE),0)</f>
        <v>518</v>
      </c>
      <c r="C79" s="17">
        <f>ROUND(VLOOKUP(B$63&amp;"_2",管理者用人口入力シート!A:X,D79,FALSE),0)</f>
        <v>573</v>
      </c>
      <c r="D79" s="2">
        <v>18</v>
      </c>
      <c r="G79" s="2" t="s">
        <v>10</v>
      </c>
      <c r="H79" s="17">
        <f>ROUND(VLOOKUP(H$67&amp;"_1",管理者用人口入力シート!BH:CE,J79,FALSE),0)</f>
        <v>609</v>
      </c>
      <c r="I79" s="17">
        <f>ROUND(VLOOKUP(H$67&amp;"_2",管理者用人口入力シート!BH:CE,J79,FALSE),0)</f>
        <v>581</v>
      </c>
      <c r="J79" s="2">
        <v>14</v>
      </c>
      <c r="K79" s="12"/>
      <c r="N79" s="2" t="s">
        <v>10</v>
      </c>
      <c r="O79" s="17">
        <f>ROUND(VLOOKUP(O$67&amp;"_1",管理者用人口入力シート!CO:DL,Q79,FALSE),0)</f>
        <v>609</v>
      </c>
      <c r="P79" s="17">
        <f>ROUND(VLOOKUP(O$67&amp;"_2",管理者用人口入力シート!CO:DL,Q79,FALSE),0)</f>
        <v>581</v>
      </c>
      <c r="Q79" s="2">
        <v>14</v>
      </c>
      <c r="U79" s="85"/>
    </row>
    <row r="80" spans="1:21" x14ac:dyDescent="0.15">
      <c r="A80" s="2" t="s">
        <v>15</v>
      </c>
      <c r="B80" s="17">
        <f>ROUND(VLOOKUP(B$63&amp;"_1",管理者用人口入力シート!A:X,D80,FALSE),0)</f>
        <v>411</v>
      </c>
      <c r="C80" s="17">
        <f>ROUND(VLOOKUP(B$63&amp;"_2",管理者用人口入力シート!A:X,D80,FALSE),0)</f>
        <v>535</v>
      </c>
      <c r="D80" s="2">
        <v>19</v>
      </c>
      <c r="G80" s="2" t="s">
        <v>11</v>
      </c>
      <c r="H80" s="17">
        <f>ROUND(VLOOKUP(H$67&amp;"_1",管理者用人口入力シート!BH:CE,J80,FALSE),0)</f>
        <v>498</v>
      </c>
      <c r="I80" s="17">
        <f>ROUND(VLOOKUP(H$67&amp;"_2",管理者用人口入力シート!BH:CE,J80,FALSE),0)</f>
        <v>497</v>
      </c>
      <c r="J80" s="2">
        <v>15</v>
      </c>
      <c r="K80" s="12"/>
      <c r="N80" s="2" t="s">
        <v>11</v>
      </c>
      <c r="O80" s="17">
        <f>ROUND(VLOOKUP(O$67&amp;"_1",管理者用人口入力シート!CO:DL,Q80,FALSE),0)</f>
        <v>498</v>
      </c>
      <c r="P80" s="17">
        <f>ROUND(VLOOKUP(O$67&amp;"_2",管理者用人口入力シート!CO:DL,Q80,FALSE),0)</f>
        <v>497</v>
      </c>
      <c r="Q80" s="2">
        <v>15</v>
      </c>
      <c r="U80" s="85"/>
    </row>
    <row r="81" spans="1:21" x14ac:dyDescent="0.15">
      <c r="A81" s="2" t="s">
        <v>16</v>
      </c>
      <c r="B81" s="17">
        <f>ROUND(VLOOKUP(B$63&amp;"_1",管理者用人口入力シート!A:X,D81,FALSE),0)</f>
        <v>352</v>
      </c>
      <c r="C81" s="17">
        <f>ROUND(VLOOKUP(B$63&amp;"_2",管理者用人口入力シート!A:X,D81,FALSE),0)</f>
        <v>555</v>
      </c>
      <c r="D81" s="2">
        <v>20</v>
      </c>
      <c r="G81" s="2" t="s">
        <v>12</v>
      </c>
      <c r="H81" s="17">
        <f>ROUND(VLOOKUP(H$67&amp;"_1",管理者用人口入力シート!BH:CE,J81,FALSE),0)</f>
        <v>471</v>
      </c>
      <c r="I81" s="17">
        <f>ROUND(VLOOKUP(H$67&amp;"_2",管理者用人口入力シート!BH:CE,J81,FALSE),0)</f>
        <v>615</v>
      </c>
      <c r="J81" s="2">
        <v>16</v>
      </c>
      <c r="K81" s="12"/>
      <c r="N81" s="2" t="s">
        <v>12</v>
      </c>
      <c r="O81" s="17">
        <f>ROUND(VLOOKUP(O$67&amp;"_1",管理者用人口入力シート!CO:DL,Q81,FALSE),0)</f>
        <v>471</v>
      </c>
      <c r="P81" s="17">
        <f>ROUND(VLOOKUP(O$67&amp;"_2",管理者用人口入力シート!CO:DL,Q81,FALSE),0)</f>
        <v>615</v>
      </c>
      <c r="Q81" s="2">
        <v>16</v>
      </c>
      <c r="U81" s="85"/>
    </row>
    <row r="82" spans="1:21" x14ac:dyDescent="0.15">
      <c r="A82" s="2" t="s">
        <v>17</v>
      </c>
      <c r="B82" s="17">
        <f>ROUND(VLOOKUP(B$63&amp;"_1",管理者用人口入力シート!A:X,D82,FALSE),0)</f>
        <v>203</v>
      </c>
      <c r="C82" s="17">
        <f>ROUND(VLOOKUP(B$63&amp;"_2",管理者用人口入力シート!A:X,D82,FALSE),0)</f>
        <v>385</v>
      </c>
      <c r="D82" s="2">
        <v>21</v>
      </c>
      <c r="G82" s="2" t="s">
        <v>13</v>
      </c>
      <c r="H82" s="17">
        <f>ROUND(VLOOKUP(H$67&amp;"_1",管理者用人口入力シート!BH:CE,J82,FALSE),0)</f>
        <v>633</v>
      </c>
      <c r="I82" s="17">
        <f>ROUND(VLOOKUP(H$67&amp;"_2",管理者用人口入力シート!BH:CE,J82,FALSE),0)</f>
        <v>646</v>
      </c>
      <c r="J82" s="2">
        <v>17</v>
      </c>
      <c r="K82" s="12"/>
      <c r="N82" s="2" t="s">
        <v>13</v>
      </c>
      <c r="O82" s="17">
        <f>ROUND(VLOOKUP(O$67&amp;"_1",管理者用人口入力シート!CO:DL,Q82,FALSE),0)</f>
        <v>633</v>
      </c>
      <c r="P82" s="17">
        <f>ROUND(VLOOKUP(O$67&amp;"_2",管理者用人口入力シート!CO:DL,Q82,FALSE),0)</f>
        <v>646</v>
      </c>
      <c r="Q82" s="2">
        <v>17</v>
      </c>
      <c r="U82" s="85"/>
    </row>
    <row r="83" spans="1:21" x14ac:dyDescent="0.15">
      <c r="A83" s="2" t="s">
        <v>18</v>
      </c>
      <c r="B83" s="17">
        <f>ROUND(VLOOKUP(B$63&amp;"_1",管理者用人口入力シート!A:X,D83,FALSE),0)</f>
        <v>63</v>
      </c>
      <c r="C83" s="17">
        <f>ROUND(VLOOKUP(B$63&amp;"_2",管理者用人口入力シート!A:X,D83,FALSE),0)</f>
        <v>179</v>
      </c>
      <c r="D83" s="2">
        <v>22</v>
      </c>
      <c r="G83" s="2" t="s">
        <v>14</v>
      </c>
      <c r="H83" s="17">
        <f>ROUND(VLOOKUP(H$67&amp;"_1",管理者用人口入力シート!BH:CE,J83,FALSE),0)</f>
        <v>578</v>
      </c>
      <c r="I83" s="17">
        <f>ROUND(VLOOKUP(H$67&amp;"_2",管理者用人口入力シート!BH:CE,J83,FALSE),0)</f>
        <v>651</v>
      </c>
      <c r="J83" s="2">
        <v>18</v>
      </c>
      <c r="K83" s="12"/>
      <c r="N83" s="2" t="s">
        <v>14</v>
      </c>
      <c r="O83" s="17">
        <f>ROUND(VLOOKUP(O$67&amp;"_1",管理者用人口入力シート!CO:DL,Q83,FALSE),0)</f>
        <v>578</v>
      </c>
      <c r="P83" s="17">
        <f>ROUND(VLOOKUP(O$67&amp;"_2",管理者用人口入力シート!CO:DL,Q83,FALSE),0)</f>
        <v>651</v>
      </c>
      <c r="Q83" s="2">
        <v>18</v>
      </c>
      <c r="U83" s="85"/>
    </row>
    <row r="84" spans="1:21" x14ac:dyDescent="0.15">
      <c r="A84" s="2" t="s">
        <v>19</v>
      </c>
      <c r="B84" s="17">
        <f>ROUND(VLOOKUP(B$63&amp;"_1",管理者用人口入力シート!A:X,D84,FALSE),0)</f>
        <v>8</v>
      </c>
      <c r="C84" s="17">
        <f>ROUND(VLOOKUP(B$63&amp;"_2",管理者用人口入力シート!A:X,D84,FALSE),0)</f>
        <v>62</v>
      </c>
      <c r="D84" s="2">
        <v>23</v>
      </c>
      <c r="G84" s="2" t="s">
        <v>15</v>
      </c>
      <c r="H84" s="17">
        <f>ROUND(VLOOKUP(H$67&amp;"_1",管理者用人口入力シート!BH:CE,J84,FALSE),0)</f>
        <v>497</v>
      </c>
      <c r="I84" s="17">
        <f>ROUND(VLOOKUP(H$67&amp;"_2",管理者用人口入力シート!BH:CE,J84,FALSE),0)</f>
        <v>649</v>
      </c>
      <c r="J84" s="2">
        <v>19</v>
      </c>
      <c r="K84" s="12"/>
      <c r="N84" s="2" t="s">
        <v>15</v>
      </c>
      <c r="O84" s="17">
        <f>ROUND(VLOOKUP(O$67&amp;"_1",管理者用人口入力シート!CO:DL,Q84,FALSE),0)</f>
        <v>497</v>
      </c>
      <c r="P84" s="17">
        <f>ROUND(VLOOKUP(O$67&amp;"_2",管理者用人口入力シート!CO:DL,Q84,FALSE),0)</f>
        <v>649</v>
      </c>
      <c r="Q84" s="2">
        <v>19</v>
      </c>
      <c r="U84" s="85"/>
    </row>
    <row r="85" spans="1:21" x14ac:dyDescent="0.15">
      <c r="A85" s="2" t="s">
        <v>20</v>
      </c>
      <c r="B85" s="17">
        <f>ROUND(VLOOKUP(B$63&amp;"_1",管理者用人口入力シート!A:X,D85,FALSE),0)</f>
        <v>2</v>
      </c>
      <c r="C85" s="17">
        <f>ROUND(VLOOKUP(B$63&amp;"_2",管理者用人口入力シート!A:X,D85,FALSE),0)</f>
        <v>9</v>
      </c>
      <c r="D85" s="2">
        <v>24</v>
      </c>
      <c r="G85" s="2" t="s">
        <v>16</v>
      </c>
      <c r="H85" s="17">
        <f>ROUND(VLOOKUP(H$67&amp;"_1",管理者用人口入力シート!BH:CE,J85,FALSE),0)</f>
        <v>367</v>
      </c>
      <c r="I85" s="17">
        <f>ROUND(VLOOKUP(H$67&amp;"_2",管理者用人口入力シート!BH:CE,J85,FALSE),0)</f>
        <v>495</v>
      </c>
      <c r="J85" s="2">
        <v>20</v>
      </c>
      <c r="K85" s="12"/>
      <c r="N85" s="2" t="s">
        <v>16</v>
      </c>
      <c r="O85" s="17">
        <f>ROUND(VLOOKUP(O$67&amp;"_1",管理者用人口入力シート!CO:DL,Q85,FALSE),0)</f>
        <v>367</v>
      </c>
      <c r="P85" s="17">
        <f>ROUND(VLOOKUP(O$67&amp;"_2",管理者用人口入力シート!CO:DL,Q85,FALSE),0)</f>
        <v>495</v>
      </c>
      <c r="Q85" s="2">
        <v>20</v>
      </c>
      <c r="U85" s="85"/>
    </row>
    <row r="86" spans="1:21" x14ac:dyDescent="0.15">
      <c r="G86" s="2" t="s">
        <v>17</v>
      </c>
      <c r="H86" s="17">
        <f>ROUND(VLOOKUP(H$67&amp;"_1",管理者用人口入力シート!BH:CE,J86,FALSE),0)</f>
        <v>215</v>
      </c>
      <c r="I86" s="17">
        <f>ROUND(VLOOKUP(H$67&amp;"_2",管理者用人口入力シート!BH:CE,J86,FALSE),0)</f>
        <v>394</v>
      </c>
      <c r="J86" s="2">
        <v>21</v>
      </c>
      <c r="K86" s="12"/>
      <c r="N86" s="2" t="s">
        <v>17</v>
      </c>
      <c r="O86" s="17">
        <f>ROUND(VLOOKUP(O$67&amp;"_1",管理者用人口入力シート!CO:DL,Q86,FALSE),0)</f>
        <v>215</v>
      </c>
      <c r="P86" s="17">
        <f>ROUND(VLOOKUP(O$67&amp;"_2",管理者用人口入力シート!CO:DL,Q86,FALSE),0)</f>
        <v>394</v>
      </c>
      <c r="Q86" s="2">
        <v>21</v>
      </c>
      <c r="U86" s="85"/>
    </row>
    <row r="87" spans="1:21" x14ac:dyDescent="0.15">
      <c r="A87" s="2" t="s">
        <v>62</v>
      </c>
      <c r="B87" s="315">
        <f>管理者入力シート!B5</f>
        <v>2020</v>
      </c>
      <c r="C87" s="316"/>
      <c r="D87" s="2" t="s">
        <v>114</v>
      </c>
      <c r="G87" s="2" t="s">
        <v>18</v>
      </c>
      <c r="H87" s="17">
        <f>ROUND(VLOOKUP(H$67&amp;"_1",管理者用人口入力シート!BH:CE,J87,FALSE),0)</f>
        <v>121</v>
      </c>
      <c r="I87" s="17">
        <f>ROUND(VLOOKUP(H$67&amp;"_2",管理者用人口入力シート!BH:CE,J87,FALSE),0)</f>
        <v>317</v>
      </c>
      <c r="J87" s="2">
        <v>22</v>
      </c>
      <c r="K87" s="12"/>
      <c r="N87" s="2" t="s">
        <v>18</v>
      </c>
      <c r="O87" s="17">
        <f>ROUND(VLOOKUP(O$67&amp;"_1",管理者用人口入力シート!CO:DL,Q87,FALSE),0)</f>
        <v>121</v>
      </c>
      <c r="P87" s="17">
        <f>ROUND(VLOOKUP(O$67&amp;"_2",管理者用人口入力シート!CO:DL,Q87,FALSE),0)</f>
        <v>317</v>
      </c>
      <c r="Q87" s="2">
        <v>22</v>
      </c>
      <c r="U87" s="85"/>
    </row>
    <row r="88" spans="1:21" x14ac:dyDescent="0.15">
      <c r="A88" s="2" t="s">
        <v>115</v>
      </c>
      <c r="B88" s="18" t="s">
        <v>21</v>
      </c>
      <c r="C88" s="18" t="s">
        <v>22</v>
      </c>
      <c r="G88" s="2" t="s">
        <v>19</v>
      </c>
      <c r="H88" s="17">
        <f>ROUND(VLOOKUP(H$67&amp;"_1",管理者用人口入力シート!BH:CE,J88,FALSE),0)</f>
        <v>25</v>
      </c>
      <c r="I88" s="17">
        <f>ROUND(VLOOKUP(H$67&amp;"_2",管理者用人口入力シート!BH:CE,J88,FALSE),0)</f>
        <v>113</v>
      </c>
      <c r="J88" s="2">
        <v>23</v>
      </c>
      <c r="K88" s="12"/>
      <c r="N88" s="2" t="s">
        <v>19</v>
      </c>
      <c r="O88" s="17">
        <f>ROUND(VLOOKUP(O$67&amp;"_1",管理者用人口入力シート!CO:DL,Q88,FALSE),0)</f>
        <v>25</v>
      </c>
      <c r="P88" s="17">
        <f>ROUND(VLOOKUP(O$67&amp;"_2",管理者用人口入力シート!CO:DL,Q88,FALSE),0)</f>
        <v>113</v>
      </c>
      <c r="Q88" s="2">
        <v>23</v>
      </c>
      <c r="U88" s="85"/>
    </row>
    <row r="89" spans="1:21" x14ac:dyDescent="0.15">
      <c r="A89" s="2" t="s">
        <v>0</v>
      </c>
      <c r="B89" s="17">
        <f>ROUND(VLOOKUP(B$87&amp;"_1",管理者用人口入力シート!A:X,D89,FALSE),0)</f>
        <v>441</v>
      </c>
      <c r="C89" s="17">
        <f>ROUND(VLOOKUP(B$87&amp;"_2",管理者用人口入力シート!A:X,D89,FALSE),0)</f>
        <v>409</v>
      </c>
      <c r="D89" s="2">
        <v>4</v>
      </c>
      <c r="G89" s="2" t="s">
        <v>20</v>
      </c>
      <c r="H89" s="17">
        <f>ROUND(VLOOKUP(H$67&amp;"_1",管理者用人口入力シート!BH:CE,J89,FALSE),0)</f>
        <v>4</v>
      </c>
      <c r="I89" s="17">
        <f>ROUND(VLOOKUP(H$67&amp;"_2",管理者用人口入力シート!BH:CE,J89,FALSE),0)</f>
        <v>19</v>
      </c>
      <c r="J89" s="2">
        <v>24</v>
      </c>
      <c r="K89" s="12"/>
      <c r="N89" s="2" t="s">
        <v>20</v>
      </c>
      <c r="O89" s="17">
        <f>ROUND(VLOOKUP(O$67&amp;"_1",管理者用人口入力シート!CO:DL,Q89,FALSE),0)</f>
        <v>4</v>
      </c>
      <c r="P89" s="17">
        <f>ROUND(VLOOKUP(O$67&amp;"_2",管理者用人口入力シート!CO:DL,Q89,FALSE),0)</f>
        <v>19</v>
      </c>
      <c r="Q89" s="2">
        <v>24</v>
      </c>
      <c r="U89" s="85"/>
    </row>
    <row r="90" spans="1:21" x14ac:dyDescent="0.15">
      <c r="A90" s="2" t="s">
        <v>1</v>
      </c>
      <c r="B90" s="17">
        <f>ROUND(VLOOKUP(B$87&amp;"_1",管理者用人口入力シート!A:X,D90,FALSE),0)</f>
        <v>437</v>
      </c>
      <c r="C90" s="17">
        <f>ROUND(VLOOKUP(B$87&amp;"_2",管理者用人口入力シート!A:X,D90,FALSE),0)</f>
        <v>449</v>
      </c>
      <c r="D90" s="2">
        <v>5</v>
      </c>
    </row>
    <row r="91" spans="1:21" x14ac:dyDescent="0.15">
      <c r="A91" s="2" t="s">
        <v>2</v>
      </c>
      <c r="B91" s="17">
        <f>ROUND(VLOOKUP(B$87&amp;"_1",管理者用人口入力シート!A:X,D91,FALSE),0)</f>
        <v>474</v>
      </c>
      <c r="C91" s="17">
        <f>ROUND(VLOOKUP(B$87&amp;"_2",管理者用人口入力シート!A:X,D91,FALSE),0)</f>
        <v>424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437</v>
      </c>
      <c r="C92" s="17">
        <f>ROUND(VLOOKUP(B$87&amp;"_2",管理者用人口入力シート!A:X,D92,FALSE),0)</f>
        <v>392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250</v>
      </c>
      <c r="C93" s="17">
        <f>ROUND(VLOOKUP(B$87&amp;"_2",管理者用人口入力シート!A:X,D93,FALSE),0)</f>
        <v>282</v>
      </c>
      <c r="D93" s="2">
        <v>8</v>
      </c>
      <c r="G93" s="2" t="s">
        <v>0</v>
      </c>
      <c r="H93" s="17">
        <f>ROUND(VLOOKUP(H$91&amp;"_1",管理者用人口入力シート!BH:CE,J93,FALSE),0)</f>
        <v>339</v>
      </c>
      <c r="I93" s="17">
        <f>ROUND(VLOOKUP(H$91&amp;"_2",管理者用人口入力シート!BH:CE,J93,FALSE),0)</f>
        <v>315</v>
      </c>
      <c r="J93" s="2">
        <v>4</v>
      </c>
      <c r="K93" s="12"/>
      <c r="N93" s="2" t="s">
        <v>0</v>
      </c>
      <c r="O93" s="17">
        <f>ROUND(VLOOKUP(O$91&amp;"_1",管理者用人口入力シート!CO:DL,Q93,FALSE),0)</f>
        <v>341</v>
      </c>
      <c r="P93" s="17">
        <f>ROUND(VLOOKUP(O$91&amp;"_2",管理者用人口入力シート!CO:DL,Q93,FALSE),0)</f>
        <v>317</v>
      </c>
      <c r="Q93" s="2">
        <v>4</v>
      </c>
      <c r="T93" s="85"/>
    </row>
    <row r="94" spans="1:21" x14ac:dyDescent="0.15">
      <c r="A94" s="2" t="s">
        <v>5</v>
      </c>
      <c r="B94" s="17">
        <f>ROUND(VLOOKUP(B$87&amp;"_1",管理者用人口入力シート!A:X,D94,FALSE),0)</f>
        <v>439</v>
      </c>
      <c r="C94" s="17">
        <f>ROUND(VLOOKUP(B$87&amp;"_2",管理者用人口入力シート!A:X,D94,FALSE),0)</f>
        <v>437</v>
      </c>
      <c r="D94" s="2">
        <v>9</v>
      </c>
      <c r="G94" s="2" t="s">
        <v>1</v>
      </c>
      <c r="H94" s="17">
        <f>ROUND(VLOOKUP(H$91&amp;"_1",管理者用人口入力シート!BH:CE,J94,FALSE),0)</f>
        <v>360</v>
      </c>
      <c r="I94" s="17">
        <f>ROUND(VLOOKUP(H$91&amp;"_2",管理者用人口入力シート!BH:CE,J94,FALSE),0)</f>
        <v>335</v>
      </c>
      <c r="J94" s="2">
        <v>5</v>
      </c>
      <c r="K94" s="12"/>
      <c r="N94" s="2" t="s">
        <v>1</v>
      </c>
      <c r="O94" s="17">
        <f>ROUND(VLOOKUP(O$91&amp;"_1",管理者用人口入力シート!CO:DL,Q94,FALSE),0)</f>
        <v>361</v>
      </c>
      <c r="P94" s="17">
        <f>ROUND(VLOOKUP(O$91&amp;"_2",管理者用人口入力シート!CO:DL,Q94,FALSE),0)</f>
        <v>336</v>
      </c>
      <c r="Q94" s="2">
        <v>5</v>
      </c>
      <c r="T94" s="85"/>
    </row>
    <row r="95" spans="1:21" x14ac:dyDescent="0.15">
      <c r="A95" s="2" t="s">
        <v>6</v>
      </c>
      <c r="B95" s="17">
        <f>ROUND(VLOOKUP(B$87&amp;"_1",管理者用人口入力シート!A:X,D95,FALSE),0)</f>
        <v>452</v>
      </c>
      <c r="C95" s="17">
        <f>ROUND(VLOOKUP(B$87&amp;"_2",管理者用人口入力シート!A:X,D95,FALSE),0)</f>
        <v>471</v>
      </c>
      <c r="D95" s="2">
        <v>10</v>
      </c>
      <c r="G95" s="2" t="s">
        <v>2</v>
      </c>
      <c r="H95" s="17">
        <f>ROUND(VLOOKUP(H$91&amp;"_1",管理者用人口入力シート!BH:CE,J95,FALSE),0)</f>
        <v>394</v>
      </c>
      <c r="I95" s="17">
        <f>ROUND(VLOOKUP(H$91&amp;"_2",管理者用人口入力シート!BH:CE,J95,FALSE),0)</f>
        <v>379</v>
      </c>
      <c r="J95" s="2">
        <v>6</v>
      </c>
      <c r="K95" s="12"/>
      <c r="N95" s="2" t="s">
        <v>2</v>
      </c>
      <c r="O95" s="17">
        <f>ROUND(VLOOKUP(O$91&amp;"_1",管理者用人口入力シート!CO:DL,Q95,FALSE),0)</f>
        <v>395</v>
      </c>
      <c r="P95" s="17">
        <f>ROUND(VLOOKUP(O$91&amp;"_2",管理者用人口入力シート!CO:DL,Q95,FALSE),0)</f>
        <v>380</v>
      </c>
      <c r="Q95" s="2">
        <v>6</v>
      </c>
      <c r="T95" s="85"/>
    </row>
    <row r="96" spans="1:21" x14ac:dyDescent="0.15">
      <c r="A96" s="2" t="s">
        <v>7</v>
      </c>
      <c r="B96" s="17">
        <f>ROUND(VLOOKUP(B$87&amp;"_1",管理者用人口入力シート!A:X,D96,FALSE),0)</f>
        <v>530</v>
      </c>
      <c r="C96" s="17">
        <f>ROUND(VLOOKUP(B$87&amp;"_2",管理者用人口入力シート!A:X,D96,FALSE),0)</f>
        <v>546</v>
      </c>
      <c r="D96" s="2">
        <v>11</v>
      </c>
      <c r="G96" s="2" t="s">
        <v>3</v>
      </c>
      <c r="H96" s="17">
        <f>ROUND(VLOOKUP(H$91&amp;"_1",管理者用人口入力シート!BH:CE,J96,FALSE),0)</f>
        <v>408</v>
      </c>
      <c r="I96" s="17">
        <f>ROUND(VLOOKUP(H$91&amp;"_2",管理者用人口入力シート!BH:CE,J96,FALSE),0)</f>
        <v>437</v>
      </c>
      <c r="J96" s="2">
        <v>7</v>
      </c>
      <c r="K96" s="12"/>
      <c r="N96" s="2" t="s">
        <v>3</v>
      </c>
      <c r="O96" s="17">
        <f>ROUND(VLOOKUP(O$91&amp;"_1",管理者用人口入力シート!CO:DL,Q96,FALSE),0)</f>
        <v>409</v>
      </c>
      <c r="P96" s="17">
        <f>ROUND(VLOOKUP(O$91&amp;"_2",管理者用人口入力シート!CO:DL,Q96,FALSE),0)</f>
        <v>438</v>
      </c>
      <c r="Q96" s="2">
        <v>7</v>
      </c>
      <c r="T96" s="85"/>
    </row>
    <row r="97" spans="1:20" x14ac:dyDescent="0.15">
      <c r="A97" s="2" t="s">
        <v>8</v>
      </c>
      <c r="B97" s="17">
        <f>ROUND(VLOOKUP(B$87&amp;"_1",管理者用人口入力シート!A:X,D97,FALSE),0)</f>
        <v>546</v>
      </c>
      <c r="C97" s="17">
        <f>ROUND(VLOOKUP(B$87&amp;"_2",管理者用人口入力シート!A:X,D97,FALSE),0)</f>
        <v>589</v>
      </c>
      <c r="D97" s="2">
        <v>12</v>
      </c>
      <c r="G97" s="2" t="s">
        <v>4</v>
      </c>
      <c r="H97" s="17">
        <f>ROUND(VLOOKUP(H$91&amp;"_1",管理者用人口入力シート!BH:CE,J97,FALSE),0)</f>
        <v>279</v>
      </c>
      <c r="I97" s="17">
        <f>ROUND(VLOOKUP(H$91&amp;"_2",管理者用人口入力シート!BH:CE,J97,FALSE),0)</f>
        <v>283</v>
      </c>
      <c r="J97" s="2">
        <v>8</v>
      </c>
      <c r="K97" s="12"/>
      <c r="N97" s="2" t="s">
        <v>4</v>
      </c>
      <c r="O97" s="17">
        <f>ROUND(VLOOKUP(O$91&amp;"_1",管理者用人口入力シート!CO:DL,Q97,FALSE),0)</f>
        <v>279</v>
      </c>
      <c r="P97" s="17">
        <f>ROUND(VLOOKUP(O$91&amp;"_2",管理者用人口入力シート!CO:DL,Q97,FALSE),0)</f>
        <v>283</v>
      </c>
      <c r="Q97" s="2">
        <v>8</v>
      </c>
      <c r="T97" s="85"/>
    </row>
    <row r="98" spans="1:20" x14ac:dyDescent="0.15">
      <c r="A98" s="2" t="s">
        <v>9</v>
      </c>
      <c r="B98" s="17">
        <f>ROUND(VLOOKUP(B$87&amp;"_1",管理者用人口入力シート!A:X,D98,FALSE),0)</f>
        <v>586</v>
      </c>
      <c r="C98" s="17">
        <f>ROUND(VLOOKUP(B$87&amp;"_2",管理者用人口入力シート!A:X,D98,FALSE),0)</f>
        <v>585</v>
      </c>
      <c r="D98" s="2">
        <v>13</v>
      </c>
      <c r="G98" s="2" t="s">
        <v>5</v>
      </c>
      <c r="H98" s="17">
        <f>ROUND(VLOOKUP(H$91&amp;"_1",管理者用人口入力シート!BH:CE,J98,FALSE),0)</f>
        <v>349</v>
      </c>
      <c r="I98" s="17">
        <f>ROUND(VLOOKUP(H$91&amp;"_2",管理者用人口入力シート!BH:CE,J98,FALSE),0)</f>
        <v>291</v>
      </c>
      <c r="J98" s="2">
        <v>9</v>
      </c>
      <c r="K98" s="12"/>
      <c r="N98" s="2" t="s">
        <v>5</v>
      </c>
      <c r="O98" s="17">
        <f>ROUND(VLOOKUP(O$91&amp;"_1",管理者用人口入力シート!CO:DL,Q98,FALSE),0)</f>
        <v>351</v>
      </c>
      <c r="P98" s="17">
        <f>ROUND(VLOOKUP(O$91&amp;"_2",管理者用人口入力シート!CO:DL,Q98,FALSE),0)</f>
        <v>293</v>
      </c>
      <c r="Q98" s="2">
        <v>9</v>
      </c>
      <c r="T98" s="85"/>
    </row>
    <row r="99" spans="1:20" x14ac:dyDescent="0.15">
      <c r="A99" s="2" t="s">
        <v>10</v>
      </c>
      <c r="B99" s="17">
        <f>ROUND(VLOOKUP(B$87&amp;"_1",管理者用人口入力シート!A:X,D99,FALSE),0)</f>
        <v>517</v>
      </c>
      <c r="C99" s="17">
        <f>ROUND(VLOOKUP(B$87&amp;"_2",管理者用人口入力シート!A:X,D99,FALSE),0)</f>
        <v>499</v>
      </c>
      <c r="D99" s="2">
        <v>14</v>
      </c>
      <c r="G99" s="2" t="s">
        <v>6</v>
      </c>
      <c r="H99" s="17">
        <f>ROUND(VLOOKUP(H$91&amp;"_1",管理者用人口入力シート!BH:CE,J99,FALSE),0)</f>
        <v>371</v>
      </c>
      <c r="I99" s="17">
        <f>ROUND(VLOOKUP(H$91&amp;"_2",管理者用人口入力シート!BH:CE,J99,FALSE),0)</f>
        <v>324</v>
      </c>
      <c r="J99" s="2">
        <v>10</v>
      </c>
      <c r="K99" s="12"/>
      <c r="N99" s="2" t="s">
        <v>6</v>
      </c>
      <c r="O99" s="17">
        <f>ROUND(VLOOKUP(O$91&amp;"_1",管理者用人口入力シート!CO:DL,Q99,FALSE),0)</f>
        <v>373</v>
      </c>
      <c r="P99" s="17">
        <f>ROUND(VLOOKUP(O$91&amp;"_2",管理者用人口入力シート!CO:DL,Q99,FALSE),0)</f>
        <v>326</v>
      </c>
      <c r="Q99" s="2">
        <v>10</v>
      </c>
      <c r="T99" s="85"/>
    </row>
    <row r="100" spans="1:20" x14ac:dyDescent="0.15">
      <c r="A100" s="2" t="s">
        <v>11</v>
      </c>
      <c r="B100" s="17">
        <f>ROUND(VLOOKUP(B$87&amp;"_1",管理者用人口入力シート!A:X,D100,FALSE),0)</f>
        <v>500</v>
      </c>
      <c r="C100" s="17">
        <f>ROUND(VLOOKUP(B$87&amp;"_2",管理者用人口入力シート!A:X,D100,FALSE),0)</f>
        <v>622</v>
      </c>
      <c r="D100" s="2">
        <v>15</v>
      </c>
      <c r="G100" s="2" t="s">
        <v>7</v>
      </c>
      <c r="H100" s="17">
        <f>ROUND(VLOOKUP(H$91&amp;"_1",管理者用人口入力シート!BH:CE,J100,FALSE),0)</f>
        <v>478</v>
      </c>
      <c r="I100" s="17">
        <f>ROUND(VLOOKUP(H$91&amp;"_2",管理者用人口入力シート!BH:CE,J100,FALSE),0)</f>
        <v>439</v>
      </c>
      <c r="J100" s="2">
        <v>11</v>
      </c>
      <c r="K100" s="12"/>
      <c r="N100" s="2" t="s">
        <v>7</v>
      </c>
      <c r="O100" s="17">
        <f>ROUND(VLOOKUP(O$91&amp;"_1",管理者用人口入力シート!CO:DL,Q100,FALSE),0)</f>
        <v>478</v>
      </c>
      <c r="P100" s="17">
        <f>ROUND(VLOOKUP(O$91&amp;"_2",管理者用人口入力シート!CO:DL,Q100,FALSE),0)</f>
        <v>439</v>
      </c>
      <c r="Q100" s="2">
        <v>11</v>
      </c>
      <c r="T100" s="85"/>
    </row>
    <row r="101" spans="1:20" x14ac:dyDescent="0.15">
      <c r="A101" s="2" t="s">
        <v>12</v>
      </c>
      <c r="B101" s="17">
        <f>ROUND(VLOOKUP(B$87&amp;"_1",管理者用人口入力シート!A:X,D101,FALSE),0)</f>
        <v>653</v>
      </c>
      <c r="C101" s="17">
        <f>ROUND(VLOOKUP(B$87&amp;"_2",管理者用人口入力シート!A:X,D101,FALSE),0)</f>
        <v>660</v>
      </c>
      <c r="D101" s="2">
        <v>16</v>
      </c>
      <c r="G101" s="2" t="s">
        <v>8</v>
      </c>
      <c r="H101" s="17">
        <f>ROUND(VLOOKUP(H$91&amp;"_1",管理者用人口入力シート!BH:CE,J101,FALSE),0)</f>
        <v>437</v>
      </c>
      <c r="I101" s="17">
        <f>ROUND(VLOOKUP(H$91&amp;"_2",管理者用人口入力シート!BH:CE,J101,FALSE),0)</f>
        <v>457</v>
      </c>
      <c r="J101" s="2">
        <v>12</v>
      </c>
      <c r="K101" s="12"/>
      <c r="N101" s="2" t="s">
        <v>8</v>
      </c>
      <c r="O101" s="17">
        <f>ROUND(VLOOKUP(O$91&amp;"_1",管理者用人口入力シート!CO:DL,Q101,FALSE),0)</f>
        <v>437</v>
      </c>
      <c r="P101" s="17">
        <f>ROUND(VLOOKUP(O$91&amp;"_2",管理者用人口入力シート!CO:DL,Q101,FALSE),0)</f>
        <v>458</v>
      </c>
      <c r="Q101" s="2">
        <v>12</v>
      </c>
      <c r="T101" s="85"/>
    </row>
    <row r="102" spans="1:20" x14ac:dyDescent="0.15">
      <c r="A102" s="2" t="s">
        <v>13</v>
      </c>
      <c r="B102" s="17">
        <f>ROUND(VLOOKUP(B$87&amp;"_1",管理者用人口入力シート!A:X,D102,FALSE),0)</f>
        <v>611</v>
      </c>
      <c r="C102" s="17">
        <f>ROUND(VLOOKUP(B$87&amp;"_2",管理者用人口入力シート!A:X,D102,FALSE),0)</f>
        <v>684</v>
      </c>
      <c r="D102" s="2">
        <v>17</v>
      </c>
      <c r="G102" s="2" t="s">
        <v>9</v>
      </c>
      <c r="H102" s="17">
        <f>ROUND(VLOOKUP(H$91&amp;"_1",管理者用人口入力シート!BH:CE,J102,FALSE),0)</f>
        <v>494</v>
      </c>
      <c r="I102" s="17">
        <f>ROUND(VLOOKUP(H$91&amp;"_2",管理者用人口入力シート!BH:CE,J102,FALSE),0)</f>
        <v>534</v>
      </c>
      <c r="J102" s="2">
        <v>13</v>
      </c>
      <c r="K102" s="12"/>
      <c r="N102" s="2" t="s">
        <v>9</v>
      </c>
      <c r="O102" s="17">
        <f>ROUND(VLOOKUP(O$91&amp;"_1",管理者用人口入力シート!CO:DL,Q102,FALSE),0)</f>
        <v>494</v>
      </c>
      <c r="P102" s="17">
        <f>ROUND(VLOOKUP(O$91&amp;"_2",管理者用人口入力シート!CO:DL,Q102,FALSE),0)</f>
        <v>535</v>
      </c>
      <c r="Q102" s="2">
        <v>13</v>
      </c>
      <c r="T102" s="85"/>
    </row>
    <row r="103" spans="1:20" x14ac:dyDescent="0.15">
      <c r="A103" s="2" t="s">
        <v>14</v>
      </c>
      <c r="B103" s="17">
        <f>ROUND(VLOOKUP(B$87&amp;"_1",管理者用人口入力シート!A:X,D103,FALSE),0)</f>
        <v>563</v>
      </c>
      <c r="C103" s="17">
        <f>ROUND(VLOOKUP(B$87&amp;"_2",管理者用人口入力シート!A:X,D103,FALSE),0)</f>
        <v>698</v>
      </c>
      <c r="D103" s="2">
        <v>18</v>
      </c>
      <c r="G103" s="2" t="s">
        <v>10</v>
      </c>
      <c r="H103" s="17">
        <f>ROUND(VLOOKUP(H$91&amp;"_1",管理者用人口入力シート!BH:CE,J103,FALSE),0)</f>
        <v>544</v>
      </c>
      <c r="I103" s="17">
        <f>ROUND(VLOOKUP(H$91&amp;"_2",管理者用人口入力シート!BH:CE,J103,FALSE),0)</f>
        <v>577</v>
      </c>
      <c r="J103" s="2">
        <v>14</v>
      </c>
      <c r="K103" s="12"/>
      <c r="N103" s="2" t="s">
        <v>10</v>
      </c>
      <c r="O103" s="17">
        <f>ROUND(VLOOKUP(O$91&amp;"_1",管理者用人口入力シート!CO:DL,Q103,FALSE),0)</f>
        <v>544</v>
      </c>
      <c r="P103" s="17">
        <f>ROUND(VLOOKUP(O$91&amp;"_2",管理者用人口入力シート!CO:DL,Q103,FALSE),0)</f>
        <v>577</v>
      </c>
      <c r="Q103" s="2">
        <v>14</v>
      </c>
      <c r="T103" s="85"/>
    </row>
    <row r="104" spans="1:20" x14ac:dyDescent="0.15">
      <c r="A104" s="2" t="s">
        <v>15</v>
      </c>
      <c r="B104" s="17">
        <f>ROUND(VLOOKUP(B$87&amp;"_1",管理者用人口入力シート!A:X,D104,FALSE),0)</f>
        <v>470</v>
      </c>
      <c r="C104" s="17">
        <f>ROUND(VLOOKUP(B$87&amp;"_2",管理者用人口入力シート!A:X,D104,FALSE),0)</f>
        <v>550</v>
      </c>
      <c r="D104" s="2">
        <v>19</v>
      </c>
      <c r="G104" s="2" t="s">
        <v>11</v>
      </c>
      <c r="H104" s="17">
        <f>ROUND(VLOOKUP(H$91&amp;"_1",管理者用人口入力シート!BH:CE,J104,FALSE),0)</f>
        <v>587</v>
      </c>
      <c r="I104" s="17">
        <f>ROUND(VLOOKUP(H$91&amp;"_2",管理者用人口入力シート!BH:CE,J104,FALSE),0)</f>
        <v>579</v>
      </c>
      <c r="J104" s="2">
        <v>15</v>
      </c>
      <c r="K104" s="12"/>
      <c r="N104" s="2" t="s">
        <v>11</v>
      </c>
      <c r="O104" s="17">
        <f>ROUND(VLOOKUP(O$91&amp;"_1",管理者用人口入力シート!CO:DL,Q104,FALSE),0)</f>
        <v>587</v>
      </c>
      <c r="P104" s="17">
        <f>ROUND(VLOOKUP(O$91&amp;"_2",管理者用人口入力シート!CO:DL,Q104,FALSE),0)</f>
        <v>579</v>
      </c>
      <c r="Q104" s="2">
        <v>15</v>
      </c>
      <c r="T104" s="85"/>
    </row>
    <row r="105" spans="1:20" x14ac:dyDescent="0.15">
      <c r="A105" s="2" t="s">
        <v>16</v>
      </c>
      <c r="B105" s="17">
        <f>ROUND(VLOOKUP(B$87&amp;"_1",管理者用人口入力シート!A:X,D105,FALSE),0)</f>
        <v>318</v>
      </c>
      <c r="C105" s="17">
        <f>ROUND(VLOOKUP(B$87&amp;"_2",管理者用人口入力シート!A:X,D105,FALSE),0)</f>
        <v>484</v>
      </c>
      <c r="D105" s="2">
        <v>20</v>
      </c>
      <c r="G105" s="2" t="s">
        <v>12</v>
      </c>
      <c r="H105" s="17">
        <f>ROUND(VLOOKUP(H$91&amp;"_1",管理者用人口入力シート!BH:CE,J105,FALSE),0)</f>
        <v>469</v>
      </c>
      <c r="I105" s="17">
        <f>ROUND(VLOOKUP(H$91&amp;"_2",管理者用人口入力シート!BH:CE,J105,FALSE),0)</f>
        <v>491</v>
      </c>
      <c r="J105" s="2">
        <v>16</v>
      </c>
      <c r="K105" s="12"/>
      <c r="N105" s="2" t="s">
        <v>12</v>
      </c>
      <c r="O105" s="17">
        <f>ROUND(VLOOKUP(O$91&amp;"_1",管理者用人口入力シート!CO:DL,Q105,FALSE),0)</f>
        <v>469</v>
      </c>
      <c r="P105" s="17">
        <f>ROUND(VLOOKUP(O$91&amp;"_2",管理者用人口入力シート!CO:DL,Q105,FALSE),0)</f>
        <v>491</v>
      </c>
      <c r="Q105" s="2">
        <v>16</v>
      </c>
      <c r="T105" s="85"/>
    </row>
    <row r="106" spans="1:20" x14ac:dyDescent="0.15">
      <c r="A106" s="2" t="s">
        <v>17</v>
      </c>
      <c r="B106" s="17">
        <f>ROUND(VLOOKUP(B$87&amp;"_1",管理者用人口入力シート!A:X,D106,FALSE),0)</f>
        <v>241</v>
      </c>
      <c r="C106" s="17">
        <f>ROUND(VLOOKUP(B$87&amp;"_2",管理者用人口入力シート!A:X,D106,FALSE),0)</f>
        <v>477</v>
      </c>
      <c r="D106" s="2">
        <v>21</v>
      </c>
      <c r="G106" s="2" t="s">
        <v>13</v>
      </c>
      <c r="H106" s="17">
        <f>ROUND(VLOOKUP(H$91&amp;"_1",管理者用人口入力シート!BH:CE,J106,FALSE),0)</f>
        <v>457</v>
      </c>
      <c r="I106" s="17">
        <f>ROUND(VLOOKUP(H$91&amp;"_2",管理者用人口入力シート!BH:CE,J106,FALSE),0)</f>
        <v>603</v>
      </c>
      <c r="J106" s="2">
        <v>17</v>
      </c>
      <c r="K106" s="12"/>
      <c r="N106" s="2" t="s">
        <v>13</v>
      </c>
      <c r="O106" s="17">
        <f>ROUND(VLOOKUP(O$91&amp;"_1",管理者用人口入力シート!CO:DL,Q106,FALSE),0)</f>
        <v>457</v>
      </c>
      <c r="P106" s="17">
        <f>ROUND(VLOOKUP(O$91&amp;"_2",管理者用人口入力シート!CO:DL,Q106,FALSE),0)</f>
        <v>603</v>
      </c>
      <c r="Q106" s="2">
        <v>17</v>
      </c>
      <c r="T106" s="85"/>
    </row>
    <row r="107" spans="1:20" x14ac:dyDescent="0.15">
      <c r="A107" s="2" t="s">
        <v>18</v>
      </c>
      <c r="B107" s="17">
        <f>ROUND(VLOOKUP(B$87&amp;"_1",管理者用人口入力シート!A:X,D107,FALSE),0)</f>
        <v>103</v>
      </c>
      <c r="C107" s="17">
        <f>ROUND(VLOOKUP(B$87&amp;"_2",管理者用人口入力シート!A:X,D107,FALSE),0)</f>
        <v>267</v>
      </c>
      <c r="D107" s="2">
        <v>22</v>
      </c>
      <c r="G107" s="2" t="s">
        <v>14</v>
      </c>
      <c r="H107" s="17">
        <f>ROUND(VLOOKUP(H$91&amp;"_1",管理者用人口入力シート!BH:CE,J107,FALSE),0)</f>
        <v>600</v>
      </c>
      <c r="I107" s="17">
        <f>ROUND(VLOOKUP(H$91&amp;"_2",管理者用人口入力シート!BH:CE,J107,FALSE),0)</f>
        <v>615</v>
      </c>
      <c r="J107" s="2">
        <v>18</v>
      </c>
      <c r="K107" s="12"/>
      <c r="N107" s="2" t="s">
        <v>14</v>
      </c>
      <c r="O107" s="17">
        <f>ROUND(VLOOKUP(O$91&amp;"_1",管理者用人口入力シート!CO:DL,Q107,FALSE),0)</f>
        <v>600</v>
      </c>
      <c r="P107" s="17">
        <f>ROUND(VLOOKUP(O$91&amp;"_2",管理者用人口入力シート!CO:DL,Q107,FALSE),0)</f>
        <v>615</v>
      </c>
      <c r="Q107" s="2">
        <v>18</v>
      </c>
      <c r="T107" s="85"/>
    </row>
    <row r="108" spans="1:20" x14ac:dyDescent="0.15">
      <c r="A108" s="2" t="s">
        <v>19</v>
      </c>
      <c r="B108" s="17">
        <f>ROUND(VLOOKUP(B$87&amp;"_1",管理者用人口入力シート!A:X,D108,FALSE),0)</f>
        <v>15</v>
      </c>
      <c r="C108" s="17">
        <f>ROUND(VLOOKUP(B$87&amp;"_2",管理者用人口入力シート!A:X,D108,FALSE),0)</f>
        <v>82</v>
      </c>
      <c r="D108" s="2">
        <v>23</v>
      </c>
      <c r="G108" s="2" t="s">
        <v>15</v>
      </c>
      <c r="H108" s="17">
        <f>ROUND(VLOOKUP(H$91&amp;"_1",管理者用人口入力シート!BH:CE,J108,FALSE),0)</f>
        <v>511</v>
      </c>
      <c r="I108" s="17">
        <f>ROUND(VLOOKUP(H$91&amp;"_2",管理者用人口入力シート!BH:CE,J108,FALSE),0)</f>
        <v>606</v>
      </c>
      <c r="J108" s="2">
        <v>19</v>
      </c>
      <c r="K108" s="12"/>
      <c r="N108" s="2" t="s">
        <v>15</v>
      </c>
      <c r="O108" s="17">
        <f>ROUND(VLOOKUP(O$91&amp;"_1",管理者用人口入力シート!CO:DL,Q108,FALSE),0)</f>
        <v>511</v>
      </c>
      <c r="P108" s="17">
        <f>ROUND(VLOOKUP(O$91&amp;"_2",管理者用人口入力シート!CO:DL,Q108,FALSE),0)</f>
        <v>606</v>
      </c>
      <c r="Q108" s="2">
        <v>19</v>
      </c>
      <c r="T108" s="85"/>
    </row>
    <row r="109" spans="1:20" x14ac:dyDescent="0.15">
      <c r="A109" s="2" t="s">
        <v>20</v>
      </c>
      <c r="B109" s="17">
        <f>ROUND(VLOOKUP(B$87&amp;"_1",管理者用人口入力シート!A:X,D109,FALSE),0)</f>
        <v>2</v>
      </c>
      <c r="C109" s="17">
        <f>ROUND(VLOOKUP(B$87&amp;"_2",管理者用人口入力シート!A:X,D109,FALSE),0)</f>
        <v>19</v>
      </c>
      <c r="D109" s="2">
        <v>24</v>
      </c>
      <c r="G109" s="2" t="s">
        <v>16</v>
      </c>
      <c r="H109" s="17">
        <f>ROUND(VLOOKUP(H$91&amp;"_1",管理者用人口入力シート!BH:CE,J109,FALSE),0)</f>
        <v>389</v>
      </c>
      <c r="I109" s="17">
        <f>ROUND(VLOOKUP(H$91&amp;"_2",管理者用人口入力シート!BH:CE,J109,FALSE),0)</f>
        <v>584</v>
      </c>
      <c r="J109" s="2">
        <v>20</v>
      </c>
      <c r="K109" s="12"/>
      <c r="N109" s="2" t="s">
        <v>16</v>
      </c>
      <c r="O109" s="17">
        <f>ROUND(VLOOKUP(O$91&amp;"_1",管理者用人口入力シート!CO:DL,Q109,FALSE),0)</f>
        <v>389</v>
      </c>
      <c r="P109" s="17">
        <f>ROUND(VLOOKUP(O$91&amp;"_2",管理者用人口入力シート!CO:DL,Q109,FALSE),0)</f>
        <v>584</v>
      </c>
      <c r="Q109" s="2">
        <v>20</v>
      </c>
      <c r="T109" s="85"/>
    </row>
    <row r="110" spans="1:20" x14ac:dyDescent="0.15">
      <c r="G110" s="2" t="s">
        <v>17</v>
      </c>
      <c r="H110" s="17">
        <f>ROUND(VLOOKUP(H$91&amp;"_1",管理者用人口入力シート!BH:CE,J110,FALSE),0)</f>
        <v>248</v>
      </c>
      <c r="I110" s="17">
        <f>ROUND(VLOOKUP(H$91&amp;"_2",管理者用人口入力シート!BH:CE,J110,FALSE),0)</f>
        <v>403</v>
      </c>
      <c r="J110" s="2">
        <v>21</v>
      </c>
      <c r="K110" s="12"/>
      <c r="N110" s="2" t="s">
        <v>17</v>
      </c>
      <c r="O110" s="17">
        <f>ROUND(VLOOKUP(O$91&amp;"_1",管理者用人口入力シート!CO:DL,Q110,FALSE),0)</f>
        <v>248</v>
      </c>
      <c r="P110" s="17">
        <f>ROUND(VLOOKUP(O$91&amp;"_2",管理者用人口入力シート!CO:DL,Q110,FALSE),0)</f>
        <v>403</v>
      </c>
      <c r="Q110" s="2">
        <v>21</v>
      </c>
      <c r="T110" s="85"/>
    </row>
    <row r="111" spans="1:20" x14ac:dyDescent="0.15">
      <c r="G111" s="2" t="s">
        <v>18</v>
      </c>
      <c r="H111" s="17">
        <f>ROUND(VLOOKUP(H$91&amp;"_1",管理者用人口入力シート!BH:CE,J111,FALSE),0)</f>
        <v>108</v>
      </c>
      <c r="I111" s="17">
        <f>ROUND(VLOOKUP(H$91&amp;"_2",管理者用人口入力シート!BH:CE,J111,FALSE),0)</f>
        <v>262</v>
      </c>
      <c r="J111" s="2">
        <v>22</v>
      </c>
      <c r="K111" s="12"/>
      <c r="N111" s="2" t="s">
        <v>18</v>
      </c>
      <c r="O111" s="17">
        <f>ROUND(VLOOKUP(O$91&amp;"_1",管理者用人口入力シート!CO:DL,Q111,FALSE),0)</f>
        <v>108</v>
      </c>
      <c r="P111" s="17">
        <f>ROUND(VLOOKUP(O$91&amp;"_2",管理者用人口入力シート!CO:DL,Q111,FALSE),0)</f>
        <v>262</v>
      </c>
      <c r="Q111" s="2">
        <v>22</v>
      </c>
      <c r="T111" s="85"/>
    </row>
    <row r="112" spans="1:20" x14ac:dyDescent="0.15">
      <c r="G112" s="2" t="s">
        <v>19</v>
      </c>
      <c r="H112" s="17">
        <f>ROUND(VLOOKUP(H$91&amp;"_1",管理者用人口入力シート!BH:CE,J112,FALSE),0)</f>
        <v>29</v>
      </c>
      <c r="I112" s="17">
        <f>ROUND(VLOOKUP(H$91&amp;"_2",管理者用人口入力シート!BH:CE,J112,FALSE),0)</f>
        <v>134</v>
      </c>
      <c r="J112" s="2">
        <v>23</v>
      </c>
      <c r="K112" s="12"/>
      <c r="N112" s="2" t="s">
        <v>19</v>
      </c>
      <c r="O112" s="17">
        <f>ROUND(VLOOKUP(O$91&amp;"_1",管理者用人口入力シート!CO:DL,Q112,FALSE),0)</f>
        <v>29</v>
      </c>
      <c r="P112" s="17">
        <f>ROUND(VLOOKUP(O$91&amp;"_2",管理者用人口入力シート!CO:DL,Q112,FALSE),0)</f>
        <v>134</v>
      </c>
      <c r="Q112" s="2">
        <v>23</v>
      </c>
      <c r="T112" s="85"/>
    </row>
    <row r="113" spans="7:20" x14ac:dyDescent="0.15">
      <c r="G113" s="2" t="s">
        <v>20</v>
      </c>
      <c r="H113" s="17">
        <f>ROUND(VLOOKUP(H$91&amp;"_1",管理者用人口入力シート!BH:CE,J113,FALSE),0)</f>
        <v>7</v>
      </c>
      <c r="I113" s="17">
        <f>ROUND(VLOOKUP(H$91&amp;"_2",管理者用人口入力シート!BH:CE,J113,FALSE),0)</f>
        <v>26</v>
      </c>
      <c r="J113" s="2">
        <v>24</v>
      </c>
      <c r="K113" s="12"/>
      <c r="N113" s="2" t="s">
        <v>20</v>
      </c>
      <c r="O113" s="17">
        <f>ROUND(VLOOKUP(O$91&amp;"_1",管理者用人口入力シート!CO:DL,Q113,FALSE),0)</f>
        <v>7</v>
      </c>
      <c r="P113" s="17">
        <f>ROUND(VLOOKUP(O$91&amp;"_2",管理者用人口入力シート!CO:DL,Q113,FALSE),0)</f>
        <v>26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310</v>
      </c>
      <c r="I117" s="17">
        <f>ROUND(VLOOKUP(H$115&amp;"_2",管理者用人口入力シート!BH:CE,J117,FALSE),0)</f>
        <v>288</v>
      </c>
      <c r="J117" s="2">
        <v>4</v>
      </c>
      <c r="N117" s="2" t="s">
        <v>0</v>
      </c>
      <c r="O117" s="17">
        <f>ROUND(VLOOKUP(O$115&amp;"_1",管理者用人口入力シート!CO:DL,Q117,FALSE),0)</f>
        <v>313</v>
      </c>
      <c r="P117" s="17">
        <f>ROUND(VLOOKUP(O$115&amp;"_2",管理者用人口入力シート!CO:DL,Q117,FALSE),0)</f>
        <v>291</v>
      </c>
      <c r="Q117" s="2">
        <v>4</v>
      </c>
      <c r="T117" s="85"/>
    </row>
    <row r="118" spans="7:20" x14ac:dyDescent="0.15">
      <c r="G118" s="2" t="s">
        <v>1</v>
      </c>
      <c r="H118" s="17">
        <f>ROUND(VLOOKUP(H$115&amp;"_1",管理者用人口入力シート!BH:CE,J118,FALSE),0)</f>
        <v>324</v>
      </c>
      <c r="I118" s="17">
        <f>ROUND(VLOOKUP(H$115&amp;"_2",管理者用人口入力シート!BH:CE,J118,FALSE),0)</f>
        <v>301</v>
      </c>
      <c r="J118" s="2">
        <v>5</v>
      </c>
      <c r="N118" s="2" t="s">
        <v>1</v>
      </c>
      <c r="O118" s="17">
        <f>ROUND(VLOOKUP(O$115&amp;"_1",管理者用人口入力シート!CO:DL,Q118,FALSE),0)</f>
        <v>326</v>
      </c>
      <c r="P118" s="17">
        <f>ROUND(VLOOKUP(O$115&amp;"_2",管理者用人口入力シート!CO:DL,Q118,FALSE),0)</f>
        <v>303</v>
      </c>
      <c r="Q118" s="2">
        <v>5</v>
      </c>
      <c r="T118" s="85"/>
    </row>
    <row r="119" spans="7:20" x14ac:dyDescent="0.15">
      <c r="G119" s="2" t="s">
        <v>2</v>
      </c>
      <c r="H119" s="17">
        <f>ROUND(VLOOKUP(H$115&amp;"_1",管理者用人口入力シート!BH:CE,J119,FALSE),0)</f>
        <v>337</v>
      </c>
      <c r="I119" s="17">
        <f>ROUND(VLOOKUP(H$115&amp;"_2",管理者用人口入力シート!BH:CE,J119,FALSE),0)</f>
        <v>324</v>
      </c>
      <c r="J119" s="2">
        <v>6</v>
      </c>
      <c r="N119" s="2" t="s">
        <v>2</v>
      </c>
      <c r="O119" s="17">
        <f>ROUND(VLOOKUP(O$115&amp;"_1",管理者用人口入力シート!CO:DL,Q119,FALSE),0)</f>
        <v>339</v>
      </c>
      <c r="P119" s="17">
        <f>ROUND(VLOOKUP(O$115&amp;"_2",管理者用人口入力シート!CO:DL,Q119,FALSE),0)</f>
        <v>326</v>
      </c>
      <c r="Q119" s="2">
        <v>6</v>
      </c>
      <c r="T119" s="85"/>
    </row>
    <row r="120" spans="7:20" x14ac:dyDescent="0.15">
      <c r="G120" s="2" t="s">
        <v>3</v>
      </c>
      <c r="H120" s="17">
        <f>ROUND(VLOOKUP(H$115&amp;"_1",管理者用人口入力シート!BH:CE,J120,FALSE),0)</f>
        <v>393</v>
      </c>
      <c r="I120" s="17">
        <f>ROUND(VLOOKUP(H$115&amp;"_2",管理者用人口入力シート!BH:CE,J120,FALSE),0)</f>
        <v>381</v>
      </c>
      <c r="J120" s="2">
        <v>7</v>
      </c>
      <c r="N120" s="2" t="s">
        <v>3</v>
      </c>
      <c r="O120" s="17">
        <f>ROUND(VLOOKUP(O$115&amp;"_1",管理者用人口入力シート!CO:DL,Q120,FALSE),0)</f>
        <v>394</v>
      </c>
      <c r="P120" s="17">
        <f>ROUND(VLOOKUP(O$115&amp;"_2",管理者用人口入力シート!CO:DL,Q120,FALSE),0)</f>
        <v>382</v>
      </c>
      <c r="Q120" s="2">
        <v>7</v>
      </c>
      <c r="T120" s="85"/>
    </row>
    <row r="121" spans="7:20" x14ac:dyDescent="0.15">
      <c r="G121" s="2" t="s">
        <v>4</v>
      </c>
      <c r="H121" s="17">
        <f>ROUND(VLOOKUP(H$115&amp;"_1",管理者用人口入力シート!BH:CE,J121,FALSE),0)</f>
        <v>241</v>
      </c>
      <c r="I121" s="17">
        <f>ROUND(VLOOKUP(H$115&amp;"_2",管理者用人口入力シート!BH:CE,J121,FALSE),0)</f>
        <v>290</v>
      </c>
      <c r="J121" s="2">
        <v>8</v>
      </c>
      <c r="N121" s="2" t="s">
        <v>4</v>
      </c>
      <c r="O121" s="17">
        <f>ROUND(VLOOKUP(O$115&amp;"_1",管理者用人口入力シート!CO:DL,Q121,FALSE),0)</f>
        <v>242</v>
      </c>
      <c r="P121" s="17">
        <f>ROUND(VLOOKUP(O$115&amp;"_2",管理者用人口入力シート!CO:DL,Q121,FALSE),0)</f>
        <v>291</v>
      </c>
      <c r="Q121" s="2">
        <v>8</v>
      </c>
      <c r="T121" s="85"/>
    </row>
    <row r="122" spans="7:20" x14ac:dyDescent="0.15">
      <c r="G122" s="2" t="s">
        <v>5</v>
      </c>
      <c r="H122" s="17">
        <f>ROUND(VLOOKUP(H$115&amp;"_1",管理者用人口入力シート!BH:CE,J122,FALSE),0)</f>
        <v>377</v>
      </c>
      <c r="I122" s="17">
        <f>ROUND(VLOOKUP(H$115&amp;"_2",管理者用人口入力シート!BH:CE,J122,FALSE),0)</f>
        <v>317</v>
      </c>
      <c r="J122" s="2">
        <v>9</v>
      </c>
      <c r="N122" s="2" t="s">
        <v>5</v>
      </c>
      <c r="O122" s="17">
        <f>ROUND(VLOOKUP(O$115&amp;"_1",管理者用人口入力シート!CO:DL,Q122,FALSE),0)</f>
        <v>379</v>
      </c>
      <c r="P122" s="17">
        <f>ROUND(VLOOKUP(O$115&amp;"_2",管理者用人口入力シート!CO:DL,Q122,FALSE),0)</f>
        <v>319</v>
      </c>
      <c r="Q122" s="2">
        <v>9</v>
      </c>
      <c r="T122" s="85"/>
    </row>
    <row r="123" spans="7:20" x14ac:dyDescent="0.15">
      <c r="G123" s="2" t="s">
        <v>6</v>
      </c>
      <c r="H123" s="17">
        <f>ROUND(VLOOKUP(H$115&amp;"_1",管理者用人口入力シート!BH:CE,J123,FALSE),0)</f>
        <v>382</v>
      </c>
      <c r="I123" s="17">
        <f>ROUND(VLOOKUP(H$115&amp;"_2",管理者用人口入力シート!BH:CE,J123,FALSE),0)</f>
        <v>299</v>
      </c>
      <c r="J123" s="2">
        <v>10</v>
      </c>
      <c r="N123" s="2" t="s">
        <v>6</v>
      </c>
      <c r="O123" s="17">
        <f>ROUND(VLOOKUP(O$115&amp;"_1",管理者用人口入力シート!CO:DL,Q123,FALSE),0)</f>
        <v>384</v>
      </c>
      <c r="P123" s="17">
        <f>ROUND(VLOOKUP(O$115&amp;"_2",管理者用人口入力シート!CO:DL,Q123,FALSE),0)</f>
        <v>301</v>
      </c>
      <c r="Q123" s="2">
        <v>10</v>
      </c>
      <c r="T123" s="85"/>
    </row>
    <row r="124" spans="7:20" x14ac:dyDescent="0.15">
      <c r="G124" s="2" t="s">
        <v>7</v>
      </c>
      <c r="H124" s="17">
        <f>ROUND(VLOOKUP(H$115&amp;"_1",管理者用人口入力シート!BH:CE,J124,FALSE),0)</f>
        <v>368</v>
      </c>
      <c r="I124" s="17">
        <f>ROUND(VLOOKUP(H$115&amp;"_2",管理者用人口入力シート!BH:CE,J124,FALSE),0)</f>
        <v>317</v>
      </c>
      <c r="J124" s="2">
        <v>11</v>
      </c>
      <c r="N124" s="2" t="s">
        <v>7</v>
      </c>
      <c r="O124" s="17">
        <f>ROUND(VLOOKUP(O$115&amp;"_1",管理者用人口入力シート!CO:DL,Q124,FALSE),0)</f>
        <v>370</v>
      </c>
      <c r="P124" s="17">
        <f>ROUND(VLOOKUP(O$115&amp;"_2",管理者用人口入力シート!CO:DL,Q124,FALSE),0)</f>
        <v>319</v>
      </c>
      <c r="Q124" s="2">
        <v>11</v>
      </c>
      <c r="T124" s="85"/>
    </row>
    <row r="125" spans="7:20" x14ac:dyDescent="0.15">
      <c r="G125" s="2" t="s">
        <v>8</v>
      </c>
      <c r="H125" s="17">
        <f>ROUND(VLOOKUP(H$115&amp;"_1",管理者用人口入力シート!BH:CE,J125,FALSE),0)</f>
        <v>465</v>
      </c>
      <c r="I125" s="17">
        <f>ROUND(VLOOKUP(H$115&amp;"_2",管理者用人口入力シート!BH:CE,J125,FALSE),0)</f>
        <v>435</v>
      </c>
      <c r="J125" s="2">
        <v>12</v>
      </c>
      <c r="N125" s="2" t="s">
        <v>8</v>
      </c>
      <c r="O125" s="17">
        <f>ROUND(VLOOKUP(O$115&amp;"_1",管理者用人口入力シート!CO:DL,Q125,FALSE),0)</f>
        <v>465</v>
      </c>
      <c r="P125" s="17">
        <f>ROUND(VLOOKUP(O$115&amp;"_2",管理者用人口入力シート!CO:DL,Q125,FALSE),0)</f>
        <v>436</v>
      </c>
      <c r="Q125" s="2">
        <v>12</v>
      </c>
      <c r="T125" s="85"/>
    </row>
    <row r="126" spans="7:20" x14ac:dyDescent="0.15">
      <c r="G126" s="2" t="s">
        <v>9</v>
      </c>
      <c r="H126" s="17">
        <f>ROUND(VLOOKUP(H$115&amp;"_1",管理者用人口入力シート!BH:CE,J126,FALSE),0)</f>
        <v>418</v>
      </c>
      <c r="I126" s="17">
        <f>ROUND(VLOOKUP(H$115&amp;"_2",管理者用人口入力シート!BH:CE,J126,FALSE),0)</f>
        <v>450</v>
      </c>
      <c r="J126" s="2">
        <v>13</v>
      </c>
      <c r="N126" s="2" t="s">
        <v>9</v>
      </c>
      <c r="O126" s="17">
        <f>ROUND(VLOOKUP(O$115&amp;"_1",管理者用人口入力シート!CO:DL,Q126,FALSE),0)</f>
        <v>418</v>
      </c>
      <c r="P126" s="17">
        <f>ROUND(VLOOKUP(O$115&amp;"_2",管理者用人口入力シート!CO:DL,Q126,FALSE),0)</f>
        <v>451</v>
      </c>
      <c r="Q126" s="2">
        <v>13</v>
      </c>
      <c r="T126" s="85"/>
    </row>
    <row r="127" spans="7:20" x14ac:dyDescent="0.15">
      <c r="G127" s="2" t="s">
        <v>10</v>
      </c>
      <c r="H127" s="17">
        <f>ROUND(VLOOKUP(H$115&amp;"_1",管理者用人口入力シート!BH:CE,J127,FALSE),0)</f>
        <v>514</v>
      </c>
      <c r="I127" s="17">
        <f>ROUND(VLOOKUP(H$115&amp;"_2",管理者用人口入力シート!BH:CE,J127,FALSE),0)</f>
        <v>531</v>
      </c>
      <c r="J127" s="2">
        <v>14</v>
      </c>
      <c r="N127" s="2" t="s">
        <v>10</v>
      </c>
      <c r="O127" s="17">
        <f>ROUND(VLOOKUP(O$115&amp;"_1",管理者用人口入力シート!CO:DL,Q127,FALSE),0)</f>
        <v>514</v>
      </c>
      <c r="P127" s="17">
        <f>ROUND(VLOOKUP(O$115&amp;"_2",管理者用人口入力シート!CO:DL,Q127,FALSE),0)</f>
        <v>532</v>
      </c>
      <c r="Q127" s="2">
        <v>14</v>
      </c>
      <c r="T127" s="85"/>
    </row>
    <row r="128" spans="7:20" x14ac:dyDescent="0.15">
      <c r="G128" s="2" t="s">
        <v>11</v>
      </c>
      <c r="H128" s="17">
        <f>ROUND(VLOOKUP(H$115&amp;"_1",管理者用人口入力シート!BH:CE,J128,FALSE),0)</f>
        <v>523</v>
      </c>
      <c r="I128" s="17">
        <f>ROUND(VLOOKUP(H$115&amp;"_2",管理者用人口入力シート!BH:CE,J128,FALSE),0)</f>
        <v>575</v>
      </c>
      <c r="J128" s="2">
        <v>15</v>
      </c>
      <c r="N128" s="2" t="s">
        <v>11</v>
      </c>
      <c r="O128" s="17">
        <f>ROUND(VLOOKUP(O$115&amp;"_1",管理者用人口入力シート!CO:DL,Q128,FALSE),0)</f>
        <v>523</v>
      </c>
      <c r="P128" s="17">
        <f>ROUND(VLOOKUP(O$115&amp;"_2",管理者用人口入力シート!CO:DL,Q128,FALSE),0)</f>
        <v>575</v>
      </c>
      <c r="Q128" s="2">
        <v>15</v>
      </c>
      <c r="T128" s="85"/>
    </row>
    <row r="129" spans="7:20" x14ac:dyDescent="0.15">
      <c r="G129" s="2" t="s">
        <v>12</v>
      </c>
      <c r="H129" s="17">
        <f>ROUND(VLOOKUP(H$115&amp;"_1",管理者用人口入力シート!BH:CE,J129,FALSE),0)</f>
        <v>552</v>
      </c>
      <c r="I129" s="17">
        <f>ROUND(VLOOKUP(H$115&amp;"_2",管理者用人口入力シート!BH:CE,J129,FALSE),0)</f>
        <v>572</v>
      </c>
      <c r="J129" s="2">
        <v>16</v>
      </c>
      <c r="N129" s="2" t="s">
        <v>12</v>
      </c>
      <c r="O129" s="17">
        <f>ROUND(VLOOKUP(O$115&amp;"_1",管理者用人口入力シート!CO:DL,Q129,FALSE),0)</f>
        <v>552</v>
      </c>
      <c r="P129" s="17">
        <f>ROUND(VLOOKUP(O$115&amp;"_2",管理者用人口入力シート!CO:DL,Q129,FALSE),0)</f>
        <v>572</v>
      </c>
      <c r="Q129" s="2">
        <v>16</v>
      </c>
      <c r="T129" s="85"/>
    </row>
    <row r="130" spans="7:20" x14ac:dyDescent="0.15">
      <c r="G130" s="2" t="s">
        <v>13</v>
      </c>
      <c r="H130" s="17">
        <f>ROUND(VLOOKUP(H$115&amp;"_1",管理者用人口入力シート!BH:CE,J130,FALSE),0)</f>
        <v>455</v>
      </c>
      <c r="I130" s="17">
        <f>ROUND(VLOOKUP(H$115&amp;"_2",管理者用人口入力シート!BH:CE,J130,FALSE),0)</f>
        <v>481</v>
      </c>
      <c r="J130" s="2">
        <v>17</v>
      </c>
      <c r="N130" s="2" t="s">
        <v>13</v>
      </c>
      <c r="O130" s="17">
        <f>ROUND(VLOOKUP(O$115&amp;"_1",管理者用人口入力シート!CO:DL,Q130,FALSE),0)</f>
        <v>455</v>
      </c>
      <c r="P130" s="17">
        <f>ROUND(VLOOKUP(O$115&amp;"_2",管理者用人口入力シート!CO:DL,Q130,FALSE),0)</f>
        <v>481</v>
      </c>
      <c r="Q130" s="2">
        <v>17</v>
      </c>
      <c r="T130" s="85"/>
    </row>
    <row r="131" spans="7:20" x14ac:dyDescent="0.15">
      <c r="G131" s="2" t="s">
        <v>14</v>
      </c>
      <c r="H131" s="17">
        <f>ROUND(VLOOKUP(H$115&amp;"_1",管理者用人口入力シート!BH:CE,J131,FALSE),0)</f>
        <v>433</v>
      </c>
      <c r="I131" s="17">
        <f>ROUND(VLOOKUP(H$115&amp;"_2",管理者用人口入力シート!BH:CE,J131,FALSE),0)</f>
        <v>574</v>
      </c>
      <c r="J131" s="2">
        <v>18</v>
      </c>
      <c r="N131" s="2" t="s">
        <v>14</v>
      </c>
      <c r="O131" s="17">
        <f>ROUND(VLOOKUP(O$115&amp;"_1",管理者用人口入力シート!CO:DL,Q131,FALSE),0)</f>
        <v>433</v>
      </c>
      <c r="P131" s="17">
        <f>ROUND(VLOOKUP(O$115&amp;"_2",管理者用人口入力シート!CO:DL,Q131,FALSE),0)</f>
        <v>574</v>
      </c>
      <c r="Q131" s="2">
        <v>18</v>
      </c>
      <c r="T131" s="85"/>
    </row>
    <row r="132" spans="7:20" x14ac:dyDescent="0.15">
      <c r="G132" s="2" t="s">
        <v>15</v>
      </c>
      <c r="H132" s="17">
        <f>ROUND(VLOOKUP(H$115&amp;"_1",管理者用人口入力シート!BH:CE,J132,FALSE),0)</f>
        <v>530</v>
      </c>
      <c r="I132" s="17">
        <f>ROUND(VLOOKUP(H$115&amp;"_2",管理者用人口入力シート!BH:CE,J132,FALSE),0)</f>
        <v>572</v>
      </c>
      <c r="J132" s="2">
        <v>19</v>
      </c>
      <c r="N132" s="2" t="s">
        <v>15</v>
      </c>
      <c r="O132" s="17">
        <f>ROUND(VLOOKUP(O$115&amp;"_1",管理者用人口入力シート!CO:DL,Q132,FALSE),0)</f>
        <v>530</v>
      </c>
      <c r="P132" s="17">
        <f>ROUND(VLOOKUP(O$115&amp;"_2",管理者用人口入力シート!CO:DL,Q132,FALSE),0)</f>
        <v>572</v>
      </c>
      <c r="Q132" s="2">
        <v>19</v>
      </c>
      <c r="T132" s="85"/>
    </row>
    <row r="133" spans="7:20" x14ac:dyDescent="0.15">
      <c r="G133" s="2" t="s">
        <v>16</v>
      </c>
      <c r="H133" s="17">
        <f>ROUND(VLOOKUP(H$115&amp;"_1",管理者用人口入力シート!BH:CE,J133,FALSE),0)</f>
        <v>399</v>
      </c>
      <c r="I133" s="17">
        <f>ROUND(VLOOKUP(H$115&amp;"_2",管理者用人口入力シート!BH:CE,J133,FALSE),0)</f>
        <v>545</v>
      </c>
      <c r="J133" s="2">
        <v>20</v>
      </c>
      <c r="N133" s="2" t="s">
        <v>16</v>
      </c>
      <c r="O133" s="17">
        <f>ROUND(VLOOKUP(O$115&amp;"_1",管理者用人口入力シート!CO:DL,Q133,FALSE),0)</f>
        <v>399</v>
      </c>
      <c r="P133" s="17">
        <f>ROUND(VLOOKUP(O$115&amp;"_2",管理者用人口入力シート!CO:DL,Q133,FALSE),0)</f>
        <v>545</v>
      </c>
      <c r="Q133" s="2">
        <v>20</v>
      </c>
      <c r="T133" s="85"/>
    </row>
    <row r="134" spans="7:20" x14ac:dyDescent="0.15">
      <c r="G134" s="2" t="s">
        <v>17</v>
      </c>
      <c r="H134" s="17">
        <f>ROUND(VLOOKUP(H$115&amp;"_1",管理者用人口入力シート!BH:CE,J134,FALSE),0)</f>
        <v>263</v>
      </c>
      <c r="I134" s="17">
        <f>ROUND(VLOOKUP(H$115&amp;"_2",管理者用人口入力シート!BH:CE,J134,FALSE),0)</f>
        <v>475</v>
      </c>
      <c r="J134" s="2">
        <v>21</v>
      </c>
      <c r="N134" s="2" t="s">
        <v>17</v>
      </c>
      <c r="O134" s="17">
        <f>ROUND(VLOOKUP(O$115&amp;"_1",管理者用人口入力シート!CO:DL,Q134,FALSE),0)</f>
        <v>263</v>
      </c>
      <c r="P134" s="17">
        <f>ROUND(VLOOKUP(O$115&amp;"_2",管理者用人口入力シート!CO:DL,Q134,FALSE),0)</f>
        <v>475</v>
      </c>
      <c r="Q134" s="2">
        <v>21</v>
      </c>
      <c r="T134" s="85"/>
    </row>
    <row r="135" spans="7:20" x14ac:dyDescent="0.15">
      <c r="G135" s="2" t="s">
        <v>18</v>
      </c>
      <c r="H135" s="17">
        <f>ROUND(VLOOKUP(H$115&amp;"_1",管理者用人口入力シート!BH:CE,J135,FALSE),0)</f>
        <v>125</v>
      </c>
      <c r="I135" s="17">
        <f>ROUND(VLOOKUP(H$115&amp;"_2",管理者用人口入力シート!BH:CE,J135,FALSE),0)</f>
        <v>268</v>
      </c>
      <c r="J135" s="2">
        <v>22</v>
      </c>
      <c r="N135" s="2" t="s">
        <v>18</v>
      </c>
      <c r="O135" s="17">
        <f>ROUND(VLOOKUP(O$115&amp;"_1",管理者用人口入力シート!CO:DL,Q135,FALSE),0)</f>
        <v>125</v>
      </c>
      <c r="P135" s="17">
        <f>ROUND(VLOOKUP(O$115&amp;"_2",管理者用人口入力シート!CO:DL,Q135,FALSE),0)</f>
        <v>268</v>
      </c>
      <c r="Q135" s="2">
        <v>22</v>
      </c>
      <c r="T135" s="85"/>
    </row>
    <row r="136" spans="7:20" x14ac:dyDescent="0.15">
      <c r="G136" s="2" t="s">
        <v>19</v>
      </c>
      <c r="H136" s="17">
        <f>ROUND(VLOOKUP(H$115&amp;"_1",管理者用人口入力シート!BH:CE,J136,FALSE),0)</f>
        <v>26</v>
      </c>
      <c r="I136" s="17">
        <f>ROUND(VLOOKUP(H$115&amp;"_2",管理者用人口入力シート!BH:CE,J136,FALSE),0)</f>
        <v>111</v>
      </c>
      <c r="J136" s="2">
        <v>23</v>
      </c>
      <c r="N136" s="2" t="s">
        <v>19</v>
      </c>
      <c r="O136" s="17">
        <f>ROUND(VLOOKUP(O$115&amp;"_1",管理者用人口入力シート!CO:DL,Q136,FALSE),0)</f>
        <v>26</v>
      </c>
      <c r="P136" s="17">
        <f>ROUND(VLOOKUP(O$115&amp;"_2",管理者用人口入力シート!CO:DL,Q136,FALSE),0)</f>
        <v>111</v>
      </c>
      <c r="Q136" s="2">
        <v>23</v>
      </c>
      <c r="T136" s="85"/>
    </row>
    <row r="137" spans="7:20" x14ac:dyDescent="0.15">
      <c r="G137" s="2" t="s">
        <v>20</v>
      </c>
      <c r="H137" s="17">
        <f>ROUND(VLOOKUP(H$115&amp;"_1",管理者用人口入力シート!BH:CE,J137,FALSE),0)</f>
        <v>8</v>
      </c>
      <c r="I137" s="17">
        <f>ROUND(VLOOKUP(H$115&amp;"_2",管理者用人口入力シート!BH:CE,J137,FALSE),0)</f>
        <v>31</v>
      </c>
      <c r="J137" s="2">
        <v>24</v>
      </c>
      <c r="N137" s="2" t="s">
        <v>20</v>
      </c>
      <c r="O137" s="17">
        <f>ROUND(VLOOKUP(O$115&amp;"_1",管理者用人口入力シート!CO:DL,Q137,FALSE),0)</f>
        <v>8</v>
      </c>
      <c r="P137" s="17">
        <f>ROUND(VLOOKUP(O$115&amp;"_2",管理者用人口入力シート!CO:DL,Q137,FALSE),0)</f>
        <v>31</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303</v>
      </c>
      <c r="I141" s="17">
        <f>ROUND(VLOOKUP(H$139&amp;"_2",管理者用人口入力シート!BH:CE,J141,FALSE),0)</f>
        <v>282</v>
      </c>
      <c r="J141" s="2">
        <v>4</v>
      </c>
      <c r="N141" s="2" t="s">
        <v>0</v>
      </c>
      <c r="O141" s="17">
        <f>ROUND(VLOOKUP(O$139&amp;"_1",管理者用人口入力シート!CO:DL,Q141,FALSE),0)</f>
        <v>306</v>
      </c>
      <c r="P141" s="17">
        <f>ROUND(VLOOKUP(O$139&amp;"_2",管理者用人口入力シート!CO:DL,Q141,FALSE),0)</f>
        <v>284</v>
      </c>
      <c r="Q141" s="2">
        <v>4</v>
      </c>
    </row>
    <row r="142" spans="7:20" x14ac:dyDescent="0.15">
      <c r="G142" s="2" t="s">
        <v>1</v>
      </c>
      <c r="H142" s="17">
        <f>ROUND(VLOOKUP(H$139&amp;"_1",管理者用人口入力シート!BH:CE,J142,FALSE),0)</f>
        <v>296</v>
      </c>
      <c r="I142" s="17">
        <f>ROUND(VLOOKUP(H$139&amp;"_2",管理者用人口入力シート!BH:CE,J142,FALSE),0)</f>
        <v>276</v>
      </c>
      <c r="J142" s="2">
        <v>5</v>
      </c>
      <c r="N142" s="2" t="s">
        <v>1</v>
      </c>
      <c r="O142" s="17">
        <f>ROUND(VLOOKUP(O$139&amp;"_1",管理者用人口入力シート!CO:DL,Q142,FALSE),0)</f>
        <v>299</v>
      </c>
      <c r="P142" s="17">
        <f>ROUND(VLOOKUP(O$139&amp;"_2",管理者用人口入力シート!CO:DL,Q142,FALSE),0)</f>
        <v>278</v>
      </c>
      <c r="Q142" s="2">
        <v>5</v>
      </c>
    </row>
    <row r="143" spans="7:20" x14ac:dyDescent="0.15">
      <c r="G143" s="2" t="s">
        <v>2</v>
      </c>
      <c r="H143" s="17">
        <f>ROUND(VLOOKUP(H$139&amp;"_1",管理者用人口入力シート!BH:CE,J143,FALSE),0)</f>
        <v>304</v>
      </c>
      <c r="I143" s="17">
        <f>ROUND(VLOOKUP(H$139&amp;"_2",管理者用人口入力シート!BH:CE,J143,FALSE),0)</f>
        <v>292</v>
      </c>
      <c r="J143" s="2">
        <v>6</v>
      </c>
      <c r="N143" s="2" t="s">
        <v>2</v>
      </c>
      <c r="O143" s="17">
        <f>ROUND(VLOOKUP(O$139&amp;"_1",管理者用人口入力シート!CO:DL,Q143,FALSE),0)</f>
        <v>306</v>
      </c>
      <c r="P143" s="17">
        <f>ROUND(VLOOKUP(O$139&amp;"_2",管理者用人口入力シート!CO:DL,Q143,FALSE),0)</f>
        <v>295</v>
      </c>
      <c r="Q143" s="2">
        <v>6</v>
      </c>
    </row>
    <row r="144" spans="7:20" x14ac:dyDescent="0.15">
      <c r="G144" s="2" t="s">
        <v>3</v>
      </c>
      <c r="H144" s="17">
        <f>ROUND(VLOOKUP(H$139&amp;"_1",管理者用人口入力シート!BH:CE,J144,FALSE),0)</f>
        <v>336</v>
      </c>
      <c r="I144" s="17">
        <f>ROUND(VLOOKUP(H$139&amp;"_2",管理者用人口入力シート!BH:CE,J144,FALSE),0)</f>
        <v>326</v>
      </c>
      <c r="J144" s="2">
        <v>7</v>
      </c>
      <c r="N144" s="2" t="s">
        <v>3</v>
      </c>
      <c r="O144" s="17">
        <f>ROUND(VLOOKUP(O$139&amp;"_1",管理者用人口入力シート!CO:DL,Q144,FALSE),0)</f>
        <v>338</v>
      </c>
      <c r="P144" s="17">
        <f>ROUND(VLOOKUP(O$139&amp;"_2",管理者用人口入力シート!CO:DL,Q144,FALSE),0)</f>
        <v>328</v>
      </c>
      <c r="Q144" s="2">
        <v>7</v>
      </c>
    </row>
    <row r="145" spans="7:17" x14ac:dyDescent="0.15">
      <c r="G145" s="2" t="s">
        <v>4</v>
      </c>
      <c r="H145" s="17">
        <f>ROUND(VLOOKUP(H$139&amp;"_1",管理者用人口入力シート!BH:CE,J145,FALSE),0)</f>
        <v>232</v>
      </c>
      <c r="I145" s="17">
        <f>ROUND(VLOOKUP(H$139&amp;"_2",管理者用人口入力シート!BH:CE,J145,FALSE),0)</f>
        <v>253</v>
      </c>
      <c r="J145" s="2">
        <v>8</v>
      </c>
      <c r="N145" s="2" t="s">
        <v>4</v>
      </c>
      <c r="O145" s="17">
        <f>ROUND(VLOOKUP(O$139&amp;"_1",管理者用人口入力シート!CO:DL,Q145,FALSE),0)</f>
        <v>233</v>
      </c>
      <c r="P145" s="17">
        <f>ROUND(VLOOKUP(O$139&amp;"_2",管理者用人口入力シート!CO:DL,Q145,FALSE),0)</f>
        <v>254</v>
      </c>
      <c r="Q145" s="2">
        <v>8</v>
      </c>
    </row>
    <row r="146" spans="7:17" x14ac:dyDescent="0.15">
      <c r="G146" s="2" t="s">
        <v>5</v>
      </c>
      <c r="H146" s="17">
        <f>ROUND(VLOOKUP(H$139&amp;"_1",管理者用人口入力シート!BH:CE,J146,FALSE),0)</f>
        <v>326</v>
      </c>
      <c r="I146" s="17">
        <f>ROUND(VLOOKUP(H$139&amp;"_2",管理者用人口入力シート!BH:CE,J146,FALSE),0)</f>
        <v>325</v>
      </c>
      <c r="J146" s="2">
        <v>9</v>
      </c>
      <c r="N146" s="2" t="s">
        <v>5</v>
      </c>
      <c r="O146" s="17">
        <f>ROUND(VLOOKUP(O$139&amp;"_1",管理者用人口入力シート!CO:DL,Q146,FALSE),0)</f>
        <v>329</v>
      </c>
      <c r="P146" s="17">
        <f>ROUND(VLOOKUP(O$139&amp;"_2",管理者用人口入力シート!CO:DL,Q146,FALSE),0)</f>
        <v>328</v>
      </c>
      <c r="Q146" s="2">
        <v>9</v>
      </c>
    </row>
    <row r="147" spans="7:17" x14ac:dyDescent="0.15">
      <c r="G147" s="2" t="s">
        <v>6</v>
      </c>
      <c r="H147" s="17">
        <f>ROUND(VLOOKUP(H$139&amp;"_1",管理者用人口入力シート!BH:CE,J147,FALSE),0)</f>
        <v>414</v>
      </c>
      <c r="I147" s="17">
        <f>ROUND(VLOOKUP(H$139&amp;"_2",管理者用人口入力シート!BH:CE,J147,FALSE),0)</f>
        <v>325</v>
      </c>
      <c r="J147" s="2">
        <v>10</v>
      </c>
      <c r="N147" s="2" t="s">
        <v>6</v>
      </c>
      <c r="O147" s="17">
        <f>ROUND(VLOOKUP(O$139&amp;"_1",管理者用人口入力シート!CO:DL,Q147,FALSE),0)</f>
        <v>416</v>
      </c>
      <c r="P147" s="17">
        <f>ROUND(VLOOKUP(O$139&amp;"_2",管理者用人口入力シート!CO:DL,Q147,FALSE),0)</f>
        <v>327</v>
      </c>
      <c r="Q147" s="2">
        <v>10</v>
      </c>
    </row>
    <row r="148" spans="7:17" x14ac:dyDescent="0.15">
      <c r="G148" s="2" t="s">
        <v>7</v>
      </c>
      <c r="H148" s="17">
        <f>ROUND(VLOOKUP(H$139&amp;"_1",管理者用人口入力シート!BH:CE,J148,FALSE),0)</f>
        <v>379</v>
      </c>
      <c r="I148" s="17">
        <f>ROUND(VLOOKUP(H$139&amp;"_2",管理者用人口入力シート!BH:CE,J148,FALSE),0)</f>
        <v>292</v>
      </c>
      <c r="J148" s="2">
        <v>11</v>
      </c>
      <c r="N148" s="2" t="s">
        <v>7</v>
      </c>
      <c r="O148" s="17">
        <f>ROUND(VLOOKUP(O$139&amp;"_1",管理者用人口入力シート!CO:DL,Q148,FALSE),0)</f>
        <v>381</v>
      </c>
      <c r="P148" s="17">
        <f>ROUND(VLOOKUP(O$139&amp;"_2",管理者用人口入力シート!CO:DL,Q148,FALSE),0)</f>
        <v>294</v>
      </c>
      <c r="Q148" s="2">
        <v>11</v>
      </c>
    </row>
    <row r="149" spans="7:17" x14ac:dyDescent="0.15">
      <c r="G149" s="2" t="s">
        <v>8</v>
      </c>
      <c r="H149" s="17">
        <f>ROUND(VLOOKUP(H$139&amp;"_1",管理者用人口入力シート!BH:CE,J149,FALSE),0)</f>
        <v>358</v>
      </c>
      <c r="I149" s="17">
        <f>ROUND(VLOOKUP(H$139&amp;"_2",管理者用人口入力シート!BH:CE,J149,FALSE),0)</f>
        <v>314</v>
      </c>
      <c r="J149" s="2">
        <v>12</v>
      </c>
      <c r="N149" s="2" t="s">
        <v>8</v>
      </c>
      <c r="O149" s="17">
        <f>ROUND(VLOOKUP(O$139&amp;"_1",管理者用人口入力シート!CO:DL,Q149,FALSE),0)</f>
        <v>360</v>
      </c>
      <c r="P149" s="17">
        <f>ROUND(VLOOKUP(O$139&amp;"_2",管理者用人口入力シート!CO:DL,Q149,FALSE),0)</f>
        <v>317</v>
      </c>
      <c r="Q149" s="2">
        <v>12</v>
      </c>
    </row>
    <row r="150" spans="7:17" x14ac:dyDescent="0.15">
      <c r="G150" s="2" t="s">
        <v>9</v>
      </c>
      <c r="H150" s="17">
        <f>ROUND(VLOOKUP(H$139&amp;"_1",管理者用人口入力シート!BH:CE,J150,FALSE),0)</f>
        <v>445</v>
      </c>
      <c r="I150" s="17">
        <f>ROUND(VLOOKUP(H$139&amp;"_2",管理者用人口入力シート!BH:CE,J150,FALSE),0)</f>
        <v>429</v>
      </c>
      <c r="J150" s="2">
        <v>13</v>
      </c>
      <c r="N150" s="2" t="s">
        <v>9</v>
      </c>
      <c r="O150" s="17">
        <f>ROUND(VLOOKUP(O$139&amp;"_1",管理者用人口入力シート!CO:DL,Q150,FALSE),0)</f>
        <v>445</v>
      </c>
      <c r="P150" s="17">
        <f>ROUND(VLOOKUP(O$139&amp;"_2",管理者用人口入力シート!CO:DL,Q150,FALSE),0)</f>
        <v>430</v>
      </c>
      <c r="Q150" s="2">
        <v>13</v>
      </c>
    </row>
    <row r="151" spans="7:17" x14ac:dyDescent="0.15">
      <c r="G151" s="2" t="s">
        <v>10</v>
      </c>
      <c r="H151" s="17">
        <f>ROUND(VLOOKUP(H$139&amp;"_1",管理者用人口入力シート!BH:CE,J151,FALSE),0)</f>
        <v>435</v>
      </c>
      <c r="I151" s="17">
        <f>ROUND(VLOOKUP(H$139&amp;"_2",管理者用人口入力シート!BH:CE,J151,FALSE),0)</f>
        <v>447</v>
      </c>
      <c r="J151" s="2">
        <v>14</v>
      </c>
      <c r="N151" s="2" t="s">
        <v>10</v>
      </c>
      <c r="O151" s="17">
        <f>ROUND(VLOOKUP(O$139&amp;"_1",管理者用人口入力シート!CO:DL,Q151,FALSE),0)</f>
        <v>435</v>
      </c>
      <c r="P151" s="17">
        <f>ROUND(VLOOKUP(O$139&amp;"_2",管理者用人口入力シート!CO:DL,Q151,FALSE),0)</f>
        <v>448</v>
      </c>
      <c r="Q151" s="2">
        <v>14</v>
      </c>
    </row>
    <row r="152" spans="7:17" x14ac:dyDescent="0.15">
      <c r="G152" s="2" t="s">
        <v>11</v>
      </c>
      <c r="H152" s="17">
        <f>ROUND(VLOOKUP(H$139&amp;"_1",管理者用人口入力シート!BH:CE,J152,FALSE),0)</f>
        <v>495</v>
      </c>
      <c r="I152" s="17">
        <f>ROUND(VLOOKUP(H$139&amp;"_2",管理者用人口入力シート!BH:CE,J152,FALSE),0)</f>
        <v>528</v>
      </c>
      <c r="J152" s="2">
        <v>15</v>
      </c>
      <c r="N152" s="2" t="s">
        <v>11</v>
      </c>
      <c r="O152" s="17">
        <f>ROUND(VLOOKUP(O$139&amp;"_1",管理者用人口入力シート!CO:DL,Q152,FALSE),0)</f>
        <v>495</v>
      </c>
      <c r="P152" s="17">
        <f>ROUND(VLOOKUP(O$139&amp;"_2",管理者用人口入力シート!CO:DL,Q152,FALSE),0)</f>
        <v>529</v>
      </c>
      <c r="Q152" s="2">
        <v>15</v>
      </c>
    </row>
    <row r="153" spans="7:17" x14ac:dyDescent="0.15">
      <c r="G153" s="2" t="s">
        <v>12</v>
      </c>
      <c r="H153" s="17">
        <f>ROUND(VLOOKUP(H$139&amp;"_1",管理者用人口入力シート!BH:CE,J153,FALSE),0)</f>
        <v>493</v>
      </c>
      <c r="I153" s="17">
        <f>ROUND(VLOOKUP(H$139&amp;"_2",管理者用人口入力シート!BH:CE,J153,FALSE),0)</f>
        <v>569</v>
      </c>
      <c r="J153" s="2">
        <v>16</v>
      </c>
      <c r="N153" s="2" t="s">
        <v>12</v>
      </c>
      <c r="O153" s="17">
        <f>ROUND(VLOOKUP(O$139&amp;"_1",管理者用人口入力シート!CO:DL,Q153,FALSE),0)</f>
        <v>493</v>
      </c>
      <c r="P153" s="17">
        <f>ROUND(VLOOKUP(O$139&amp;"_2",管理者用人口入力シート!CO:DL,Q153,FALSE),0)</f>
        <v>569</v>
      </c>
      <c r="Q153" s="2">
        <v>16</v>
      </c>
    </row>
    <row r="154" spans="7:17" x14ac:dyDescent="0.15">
      <c r="G154" s="2" t="s">
        <v>13</v>
      </c>
      <c r="H154" s="17">
        <f>ROUND(VLOOKUP(H$139&amp;"_1",管理者用人口入力シート!BH:CE,J154,FALSE),0)</f>
        <v>536</v>
      </c>
      <c r="I154" s="17">
        <f>ROUND(VLOOKUP(H$139&amp;"_2",管理者用人口入力シート!BH:CE,J154,FALSE),0)</f>
        <v>561</v>
      </c>
      <c r="J154" s="2">
        <v>17</v>
      </c>
      <c r="N154" s="2" t="s">
        <v>13</v>
      </c>
      <c r="O154" s="17">
        <f>ROUND(VLOOKUP(O$139&amp;"_1",管理者用人口入力シート!CO:DL,Q154,FALSE),0)</f>
        <v>536</v>
      </c>
      <c r="P154" s="17">
        <f>ROUND(VLOOKUP(O$139&amp;"_2",管理者用人口入力シート!CO:DL,Q154,FALSE),0)</f>
        <v>561</v>
      </c>
      <c r="Q154" s="2">
        <v>17</v>
      </c>
    </row>
    <row r="155" spans="7:17" x14ac:dyDescent="0.15">
      <c r="G155" s="2" t="s">
        <v>14</v>
      </c>
      <c r="H155" s="17">
        <f>ROUND(VLOOKUP(H$139&amp;"_1",管理者用人口入力シート!BH:CE,J155,FALSE),0)</f>
        <v>431</v>
      </c>
      <c r="I155" s="17">
        <f>ROUND(VLOOKUP(H$139&amp;"_2",管理者用人口入力シート!BH:CE,J155,FALSE),0)</f>
        <v>458</v>
      </c>
      <c r="J155" s="2">
        <v>18</v>
      </c>
      <c r="N155" s="2" t="s">
        <v>14</v>
      </c>
      <c r="O155" s="17">
        <f>ROUND(VLOOKUP(O$139&amp;"_1",管理者用人口入力シート!CO:DL,Q155,FALSE),0)</f>
        <v>431</v>
      </c>
      <c r="P155" s="17">
        <f>ROUND(VLOOKUP(O$139&amp;"_2",管理者用人口入力シート!CO:DL,Q155,FALSE),0)</f>
        <v>458</v>
      </c>
      <c r="Q155" s="2">
        <v>18</v>
      </c>
    </row>
    <row r="156" spans="7:17" x14ac:dyDescent="0.15">
      <c r="G156" s="2" t="s">
        <v>15</v>
      </c>
      <c r="H156" s="17">
        <f>ROUND(VLOOKUP(H$139&amp;"_1",管理者用人口入力シート!BH:CE,J156,FALSE),0)</f>
        <v>382</v>
      </c>
      <c r="I156" s="17">
        <f>ROUND(VLOOKUP(H$139&amp;"_2",管理者用人口入力シート!BH:CE,J156,FALSE),0)</f>
        <v>533</v>
      </c>
      <c r="J156" s="2">
        <v>19</v>
      </c>
      <c r="N156" s="2" t="s">
        <v>15</v>
      </c>
      <c r="O156" s="17">
        <f>ROUND(VLOOKUP(O$139&amp;"_1",管理者用人口入力シート!CO:DL,Q156,FALSE),0)</f>
        <v>382</v>
      </c>
      <c r="P156" s="17">
        <f>ROUND(VLOOKUP(O$139&amp;"_2",管理者用人口入力シート!CO:DL,Q156,FALSE),0)</f>
        <v>533</v>
      </c>
      <c r="Q156" s="2">
        <v>19</v>
      </c>
    </row>
    <row r="157" spans="7:17" x14ac:dyDescent="0.15">
      <c r="G157" s="2" t="s">
        <v>16</v>
      </c>
      <c r="H157" s="17">
        <f>ROUND(VLOOKUP(H$139&amp;"_1",管理者用人口入力シート!BH:CE,J157,FALSE),0)</f>
        <v>414</v>
      </c>
      <c r="I157" s="17">
        <f>ROUND(VLOOKUP(H$139&amp;"_2",管理者用人口入力シート!BH:CE,J157,FALSE),0)</f>
        <v>515</v>
      </c>
      <c r="J157" s="2">
        <v>20</v>
      </c>
      <c r="N157" s="2" t="s">
        <v>16</v>
      </c>
      <c r="O157" s="17">
        <f>ROUND(VLOOKUP(O$139&amp;"_1",管理者用人口入力シート!CO:DL,Q157,FALSE),0)</f>
        <v>414</v>
      </c>
      <c r="P157" s="17">
        <f>ROUND(VLOOKUP(O$139&amp;"_2",管理者用人口入力シート!CO:DL,Q157,FALSE),0)</f>
        <v>515</v>
      </c>
      <c r="Q157" s="2">
        <v>20</v>
      </c>
    </row>
    <row r="158" spans="7:17" x14ac:dyDescent="0.15">
      <c r="G158" s="2" t="s">
        <v>17</v>
      </c>
      <c r="H158" s="17">
        <f>ROUND(VLOOKUP(H$139&amp;"_1",管理者用人口入力シート!BH:CE,J158,FALSE),0)</f>
        <v>270</v>
      </c>
      <c r="I158" s="17">
        <f>ROUND(VLOOKUP(H$139&amp;"_2",管理者用人口入力シート!BH:CE,J158,FALSE),0)</f>
        <v>444</v>
      </c>
      <c r="J158" s="2">
        <v>21</v>
      </c>
      <c r="N158" s="2" t="s">
        <v>17</v>
      </c>
      <c r="O158" s="17">
        <f>ROUND(VLOOKUP(O$139&amp;"_1",管理者用人口入力シート!CO:DL,Q158,FALSE),0)</f>
        <v>270</v>
      </c>
      <c r="P158" s="17">
        <f>ROUND(VLOOKUP(O$139&amp;"_2",管理者用人口入力シート!CO:DL,Q158,FALSE),0)</f>
        <v>444</v>
      </c>
      <c r="Q158" s="2">
        <v>21</v>
      </c>
    </row>
    <row r="159" spans="7:17" x14ac:dyDescent="0.15">
      <c r="G159" s="2" t="s">
        <v>18</v>
      </c>
      <c r="H159" s="17">
        <f>ROUND(VLOOKUP(H$139&amp;"_1",管理者用人口入力シート!BH:CE,J159,FALSE),0)</f>
        <v>132</v>
      </c>
      <c r="I159" s="17">
        <f>ROUND(VLOOKUP(H$139&amp;"_2",管理者用人口入力シート!BH:CE,J159,FALSE),0)</f>
        <v>316</v>
      </c>
      <c r="J159" s="2">
        <v>22</v>
      </c>
      <c r="N159" s="2" t="s">
        <v>18</v>
      </c>
      <c r="O159" s="17">
        <f>ROUND(VLOOKUP(O$139&amp;"_1",管理者用人口入力シート!CO:DL,Q159,FALSE),0)</f>
        <v>132</v>
      </c>
      <c r="P159" s="17">
        <f>ROUND(VLOOKUP(O$139&amp;"_2",管理者用人口入力シート!CO:DL,Q159,FALSE),0)</f>
        <v>316</v>
      </c>
      <c r="Q159" s="2">
        <v>22</v>
      </c>
    </row>
    <row r="160" spans="7:17" x14ac:dyDescent="0.15">
      <c r="G160" s="2" t="s">
        <v>19</v>
      </c>
      <c r="H160" s="17">
        <f>ROUND(VLOOKUP(H$139&amp;"_1",管理者用人口入力シート!BH:CE,J160,FALSE),0)</f>
        <v>30</v>
      </c>
      <c r="I160" s="17">
        <f>ROUND(VLOOKUP(H$139&amp;"_2",管理者用人口入力シート!BH:CE,J160,FALSE),0)</f>
        <v>113</v>
      </c>
      <c r="J160" s="2">
        <v>23</v>
      </c>
      <c r="N160" s="2" t="s">
        <v>19</v>
      </c>
      <c r="O160" s="17">
        <f>ROUND(VLOOKUP(O$139&amp;"_1",管理者用人口入力シート!CO:DL,Q160,FALSE),0)</f>
        <v>30</v>
      </c>
      <c r="P160" s="17">
        <f>ROUND(VLOOKUP(O$139&amp;"_2",管理者用人口入力シート!CO:DL,Q160,FALSE),0)</f>
        <v>113</v>
      </c>
      <c r="Q160" s="2">
        <v>23</v>
      </c>
    </row>
    <row r="161" spans="7:17" x14ac:dyDescent="0.15">
      <c r="G161" s="2" t="s">
        <v>20</v>
      </c>
      <c r="H161" s="17">
        <f>ROUND(VLOOKUP(H$139&amp;"_1",管理者用人口入力シート!BH:CE,J161,FALSE),0)</f>
        <v>7</v>
      </c>
      <c r="I161" s="17">
        <f>ROUND(VLOOKUP(H$139&amp;"_2",管理者用人口入力シート!BH:CE,J161,FALSE),0)</f>
        <v>25</v>
      </c>
      <c r="J161" s="2">
        <v>24</v>
      </c>
      <c r="N161" s="2" t="s">
        <v>20</v>
      </c>
      <c r="O161" s="17">
        <f>ROUND(VLOOKUP(O$139&amp;"_1",管理者用人口入力シート!CO:DL,Q161,FALSE),0)</f>
        <v>7</v>
      </c>
      <c r="P161" s="17">
        <f>ROUND(VLOOKUP(O$139&amp;"_2",管理者用人口入力シート!CO:DL,Q161,FALSE),0)</f>
        <v>25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292</v>
      </c>
      <c r="I165" s="17">
        <f>ROUND(VLOOKUP(H$163&amp;"_2",管理者用人口入力シート!BH:CE,J165,FALSE),0)</f>
        <v>271</v>
      </c>
      <c r="J165" s="2">
        <v>4</v>
      </c>
      <c r="N165" s="2" t="s">
        <v>0</v>
      </c>
      <c r="O165" s="17">
        <f>ROUND(VLOOKUP(O$163&amp;"_1",管理者用人口入力シート!CO:DL,Q165,FALSE),0)</f>
        <v>295</v>
      </c>
      <c r="P165" s="17">
        <f>ROUND(VLOOKUP(O$163&amp;"_2",管理者用人口入力シート!CO:DL,Q165,FALSE),0)</f>
        <v>274</v>
      </c>
      <c r="Q165" s="2">
        <v>4</v>
      </c>
    </row>
    <row r="166" spans="7:17" x14ac:dyDescent="0.15">
      <c r="G166" s="2" t="s">
        <v>1</v>
      </c>
      <c r="H166" s="17">
        <f>ROUND(VLOOKUP(H$163&amp;"_1",管理者用人口入力シート!BH:CE,J166,FALSE),0)</f>
        <v>290</v>
      </c>
      <c r="I166" s="17">
        <f>ROUND(VLOOKUP(H$163&amp;"_2",管理者用人口入力シート!BH:CE,J166,FALSE),0)</f>
        <v>270</v>
      </c>
      <c r="J166" s="2">
        <v>5</v>
      </c>
      <c r="N166" s="2" t="s">
        <v>1</v>
      </c>
      <c r="O166" s="17">
        <f>ROUND(VLOOKUP(O$163&amp;"_1",管理者用人口入力シート!CO:DL,Q166,FALSE),0)</f>
        <v>293</v>
      </c>
      <c r="P166" s="17">
        <f>ROUND(VLOOKUP(O$163&amp;"_2",管理者用人口入力シート!CO:DL,Q166,FALSE),0)</f>
        <v>272</v>
      </c>
      <c r="Q166" s="2">
        <v>5</v>
      </c>
    </row>
    <row r="167" spans="7:17" x14ac:dyDescent="0.15">
      <c r="G167" s="2" t="s">
        <v>2</v>
      </c>
      <c r="H167" s="17">
        <f>ROUND(VLOOKUP(H$163&amp;"_1",管理者用人口入力シート!BH:CE,J167,FALSE),0)</f>
        <v>278</v>
      </c>
      <c r="I167" s="17">
        <f>ROUND(VLOOKUP(H$163&amp;"_2",管理者用人口入力シート!BH:CE,J167,FALSE),0)</f>
        <v>267</v>
      </c>
      <c r="J167" s="2">
        <v>6</v>
      </c>
      <c r="N167" s="2" t="s">
        <v>2</v>
      </c>
      <c r="O167" s="17">
        <f>ROUND(VLOOKUP(O$163&amp;"_1",管理者用人口入力シート!CO:DL,Q167,FALSE),0)</f>
        <v>281</v>
      </c>
      <c r="P167" s="17">
        <f>ROUND(VLOOKUP(O$163&amp;"_2",管理者用人口入力シート!CO:DL,Q167,FALSE),0)</f>
        <v>270</v>
      </c>
      <c r="Q167" s="2">
        <v>6</v>
      </c>
    </row>
    <row r="168" spans="7:17" x14ac:dyDescent="0.15">
      <c r="G168" s="2" t="s">
        <v>3</v>
      </c>
      <c r="H168" s="17">
        <f>ROUND(VLOOKUP(H$163&amp;"_1",管理者用人口入力シート!BH:CE,J168,FALSE),0)</f>
        <v>303</v>
      </c>
      <c r="I168" s="17">
        <f>ROUND(VLOOKUP(H$163&amp;"_2",管理者用人口入力シート!BH:CE,J168,FALSE),0)</f>
        <v>294</v>
      </c>
      <c r="J168" s="2">
        <v>7</v>
      </c>
      <c r="N168" s="2" t="s">
        <v>3</v>
      </c>
      <c r="O168" s="17">
        <f>ROUND(VLOOKUP(O$163&amp;"_1",管理者用人口入力シート!CO:DL,Q168,FALSE),0)</f>
        <v>306</v>
      </c>
      <c r="P168" s="17">
        <f>ROUND(VLOOKUP(O$163&amp;"_2",管理者用人口入力シート!CO:DL,Q168,FALSE),0)</f>
        <v>296</v>
      </c>
      <c r="Q168" s="2">
        <v>7</v>
      </c>
    </row>
    <row r="169" spans="7:17" x14ac:dyDescent="0.15">
      <c r="G169" s="2" t="s">
        <v>4</v>
      </c>
      <c r="H169" s="17">
        <f>ROUND(VLOOKUP(H$163&amp;"_1",管理者用人口入力シート!BH:CE,J169,FALSE),0)</f>
        <v>198</v>
      </c>
      <c r="I169" s="17">
        <f>ROUND(VLOOKUP(H$163&amp;"_2",管理者用人口入力シート!BH:CE,J169,FALSE),0)</f>
        <v>216</v>
      </c>
      <c r="J169" s="2">
        <v>8</v>
      </c>
      <c r="N169" s="2" t="s">
        <v>4</v>
      </c>
      <c r="O169" s="17">
        <f>ROUND(VLOOKUP(O$163&amp;"_1",管理者用人口入力シート!CO:DL,Q169,FALSE),0)</f>
        <v>200</v>
      </c>
      <c r="P169" s="17">
        <f>ROUND(VLOOKUP(O$163&amp;"_2",管理者用人口入力シート!CO:DL,Q169,FALSE),0)</f>
        <v>217</v>
      </c>
      <c r="Q169" s="2">
        <v>8</v>
      </c>
    </row>
    <row r="170" spans="7:17" x14ac:dyDescent="0.15">
      <c r="G170" s="2" t="s">
        <v>5</v>
      </c>
      <c r="H170" s="17">
        <f>ROUND(VLOOKUP(H$163&amp;"_1",管理者用人口入力シート!BH:CE,J170,FALSE),0)</f>
        <v>314</v>
      </c>
      <c r="I170" s="17">
        <f>ROUND(VLOOKUP(H$163&amp;"_2",管理者用人口入力シート!BH:CE,J170,FALSE),0)</f>
        <v>284</v>
      </c>
      <c r="J170" s="2">
        <v>9</v>
      </c>
      <c r="N170" s="2" t="s">
        <v>5</v>
      </c>
      <c r="O170" s="17">
        <f>ROUND(VLOOKUP(O$163&amp;"_1",管理者用人口入力シート!CO:DL,Q170,FALSE),0)</f>
        <v>317</v>
      </c>
      <c r="P170" s="17">
        <f>ROUND(VLOOKUP(O$163&amp;"_2",管理者用人口入力シート!CO:DL,Q170,FALSE),0)</f>
        <v>286</v>
      </c>
      <c r="Q170" s="2">
        <v>9</v>
      </c>
    </row>
    <row r="171" spans="7:17" x14ac:dyDescent="0.15">
      <c r="G171" s="2" t="s">
        <v>6</v>
      </c>
      <c r="H171" s="17">
        <f>ROUND(VLOOKUP(H$163&amp;"_1",管理者用人口入力シート!BH:CE,J171,FALSE),0)</f>
        <v>357</v>
      </c>
      <c r="I171" s="17">
        <f>ROUND(VLOOKUP(H$163&amp;"_2",管理者用人口入力シート!BH:CE,J171,FALSE),0)</f>
        <v>334</v>
      </c>
      <c r="J171" s="2">
        <v>10</v>
      </c>
      <c r="N171" s="2" t="s">
        <v>6</v>
      </c>
      <c r="O171" s="17">
        <f>ROUND(VLOOKUP(O$163&amp;"_1",管理者用人口入力シート!CO:DL,Q171,FALSE),0)</f>
        <v>361</v>
      </c>
      <c r="P171" s="17">
        <f>ROUND(VLOOKUP(O$163&amp;"_2",管理者用人口入力シート!CO:DL,Q171,FALSE),0)</f>
        <v>336</v>
      </c>
      <c r="Q171" s="2">
        <v>10</v>
      </c>
    </row>
    <row r="172" spans="7:17" x14ac:dyDescent="0.15">
      <c r="G172" s="2" t="s">
        <v>7</v>
      </c>
      <c r="H172" s="17">
        <f>ROUND(VLOOKUP(H$163&amp;"_1",管理者用人口入力シート!BH:CE,J172,FALSE),0)</f>
        <v>410</v>
      </c>
      <c r="I172" s="17">
        <f>ROUND(VLOOKUP(H$163&amp;"_2",管理者用人口入力シート!BH:CE,J172,FALSE),0)</f>
        <v>318</v>
      </c>
      <c r="J172" s="2">
        <v>11</v>
      </c>
      <c r="N172" s="2" t="s">
        <v>7</v>
      </c>
      <c r="O172" s="17">
        <f>ROUND(VLOOKUP(O$163&amp;"_1",管理者用人口入力シート!CO:DL,Q172,FALSE),0)</f>
        <v>413</v>
      </c>
      <c r="P172" s="17">
        <f>ROUND(VLOOKUP(O$163&amp;"_2",管理者用人口入力シート!CO:DL,Q172,FALSE),0)</f>
        <v>320</v>
      </c>
      <c r="Q172" s="2">
        <v>11</v>
      </c>
    </row>
    <row r="173" spans="7:17" x14ac:dyDescent="0.15">
      <c r="G173" s="2" t="s">
        <v>8</v>
      </c>
      <c r="H173" s="17">
        <f>ROUND(VLOOKUP(H$163&amp;"_1",管理者用人口入力シート!BH:CE,J173,FALSE),0)</f>
        <v>369</v>
      </c>
      <c r="I173" s="17">
        <f>ROUND(VLOOKUP(H$163&amp;"_2",管理者用人口入力シート!BH:CE,J173,FALSE),0)</f>
        <v>290</v>
      </c>
      <c r="J173" s="2">
        <v>12</v>
      </c>
      <c r="N173" s="2" t="s">
        <v>8</v>
      </c>
      <c r="O173" s="17">
        <f>ROUND(VLOOKUP(O$163&amp;"_1",管理者用人口入力シート!CO:DL,Q173,FALSE),0)</f>
        <v>371</v>
      </c>
      <c r="P173" s="17">
        <f>ROUND(VLOOKUP(O$163&amp;"_2",管理者用人口入力シート!CO:DL,Q173,FALSE),0)</f>
        <v>293</v>
      </c>
      <c r="Q173" s="2">
        <v>12</v>
      </c>
    </row>
    <row r="174" spans="7:17" x14ac:dyDescent="0.15">
      <c r="G174" s="2" t="s">
        <v>9</v>
      </c>
      <c r="H174" s="17">
        <f>ROUND(VLOOKUP(H$163&amp;"_1",管理者用人口入力シート!BH:CE,J174,FALSE),0)</f>
        <v>343</v>
      </c>
      <c r="I174" s="17">
        <f>ROUND(VLOOKUP(H$163&amp;"_2",管理者用人口入力シート!BH:CE,J174,FALSE),0)</f>
        <v>310</v>
      </c>
      <c r="J174" s="2">
        <v>13</v>
      </c>
      <c r="N174" s="2" t="s">
        <v>9</v>
      </c>
      <c r="O174" s="17">
        <f>ROUND(VLOOKUP(O$163&amp;"_1",管理者用人口入力シート!CO:DL,Q174,FALSE),0)</f>
        <v>345</v>
      </c>
      <c r="P174" s="17">
        <f>ROUND(VLOOKUP(O$163&amp;"_2",管理者用人口入力シート!CO:DL,Q174,FALSE),0)</f>
        <v>313</v>
      </c>
      <c r="Q174" s="2">
        <v>13</v>
      </c>
    </row>
    <row r="175" spans="7:17" x14ac:dyDescent="0.15">
      <c r="G175" s="2" t="s">
        <v>10</v>
      </c>
      <c r="H175" s="17">
        <f>ROUND(VLOOKUP(H$163&amp;"_1",管理者用人口入力シート!BH:CE,J175,FALSE),0)</f>
        <v>463</v>
      </c>
      <c r="I175" s="17">
        <f>ROUND(VLOOKUP(H$163&amp;"_2",管理者用人口入力シート!BH:CE,J175,FALSE),0)</f>
        <v>426</v>
      </c>
      <c r="J175" s="2">
        <v>14</v>
      </c>
      <c r="N175" s="2" t="s">
        <v>10</v>
      </c>
      <c r="O175" s="17">
        <f>ROUND(VLOOKUP(O$163&amp;"_1",管理者用人口入力シート!CO:DL,Q175,FALSE),0)</f>
        <v>463</v>
      </c>
      <c r="P175" s="17">
        <f>ROUND(VLOOKUP(O$163&amp;"_2",管理者用人口入力シート!CO:DL,Q175,FALSE),0)</f>
        <v>427</v>
      </c>
      <c r="Q175" s="2">
        <v>14</v>
      </c>
    </row>
    <row r="176" spans="7:17" x14ac:dyDescent="0.15">
      <c r="G176" s="2" t="s">
        <v>11</v>
      </c>
      <c r="H176" s="17">
        <f>ROUND(VLOOKUP(H$163&amp;"_1",管理者用人口入力シート!BH:CE,J176,FALSE),0)</f>
        <v>419</v>
      </c>
      <c r="I176" s="17">
        <f>ROUND(VLOOKUP(H$163&amp;"_2",管理者用人口入力シート!BH:CE,J176,FALSE),0)</f>
        <v>446</v>
      </c>
      <c r="J176" s="2">
        <v>15</v>
      </c>
      <c r="N176" s="2" t="s">
        <v>11</v>
      </c>
      <c r="O176" s="17">
        <f>ROUND(VLOOKUP(O$163&amp;"_1",管理者用人口入力シート!CO:DL,Q176,FALSE),0)</f>
        <v>419</v>
      </c>
      <c r="P176" s="17">
        <f>ROUND(VLOOKUP(O$163&amp;"_2",管理者用人口入力シート!CO:DL,Q176,FALSE),0)</f>
        <v>447</v>
      </c>
      <c r="Q176" s="2">
        <v>15</v>
      </c>
    </row>
    <row r="177" spans="7:17" x14ac:dyDescent="0.15">
      <c r="G177" s="2" t="s">
        <v>12</v>
      </c>
      <c r="H177" s="17">
        <f>ROUND(VLOOKUP(H$163&amp;"_1",管理者用人口入力シート!BH:CE,J177,FALSE),0)</f>
        <v>466</v>
      </c>
      <c r="I177" s="17">
        <f>ROUND(VLOOKUP(H$163&amp;"_2",管理者用人口入力シート!BH:CE,J177,FALSE),0)</f>
        <v>523</v>
      </c>
      <c r="J177" s="2">
        <v>16</v>
      </c>
      <c r="N177" s="2" t="s">
        <v>12</v>
      </c>
      <c r="O177" s="17">
        <f>ROUND(VLOOKUP(O$163&amp;"_1",管理者用人口入力シート!CO:DL,Q177,FALSE),0)</f>
        <v>466</v>
      </c>
      <c r="P177" s="17">
        <f>ROUND(VLOOKUP(O$163&amp;"_2",管理者用人口入力シート!CO:DL,Q177,FALSE),0)</f>
        <v>524</v>
      </c>
      <c r="Q177" s="2">
        <v>16</v>
      </c>
    </row>
    <row r="178" spans="7:17" x14ac:dyDescent="0.15">
      <c r="G178" s="2" t="s">
        <v>13</v>
      </c>
      <c r="H178" s="17">
        <f>ROUND(VLOOKUP(H$163&amp;"_1",管理者用人口入力シート!BH:CE,J178,FALSE),0)</f>
        <v>478</v>
      </c>
      <c r="I178" s="17">
        <f>ROUND(VLOOKUP(H$163&amp;"_2",管理者用人口入力シート!BH:CE,J178,FALSE),0)</f>
        <v>557</v>
      </c>
      <c r="J178" s="2">
        <v>17</v>
      </c>
      <c r="N178" s="2" t="s">
        <v>13</v>
      </c>
      <c r="O178" s="17">
        <f>ROUND(VLOOKUP(O$163&amp;"_1",管理者用人口入力シート!CO:DL,Q178,FALSE),0)</f>
        <v>478</v>
      </c>
      <c r="P178" s="17">
        <f>ROUND(VLOOKUP(O$163&amp;"_2",管理者用人口入力シート!CO:DL,Q178,FALSE),0)</f>
        <v>557</v>
      </c>
      <c r="Q178" s="2">
        <v>17</v>
      </c>
    </row>
    <row r="179" spans="7:17" x14ac:dyDescent="0.15">
      <c r="G179" s="2" t="s">
        <v>14</v>
      </c>
      <c r="H179" s="17">
        <f>ROUND(VLOOKUP(H$163&amp;"_1",管理者用人口入力シート!BH:CE,J179,FALSE),0)</f>
        <v>508</v>
      </c>
      <c r="I179" s="17">
        <f>ROUND(VLOOKUP(H$163&amp;"_2",管理者用人口入力シート!BH:CE,J179,FALSE),0)</f>
        <v>534</v>
      </c>
      <c r="J179" s="2">
        <v>18</v>
      </c>
      <c r="N179" s="2" t="s">
        <v>14</v>
      </c>
      <c r="O179" s="17">
        <f>ROUND(VLOOKUP(O$163&amp;"_1",管理者用人口入力シート!CO:DL,Q179,FALSE),0)</f>
        <v>508</v>
      </c>
      <c r="P179" s="17">
        <f>ROUND(VLOOKUP(O$163&amp;"_2",管理者用人口入力シート!CO:DL,Q179,FALSE),0)</f>
        <v>534</v>
      </c>
      <c r="Q179" s="2">
        <v>18</v>
      </c>
    </row>
    <row r="180" spans="7:17" x14ac:dyDescent="0.15">
      <c r="G180" s="2" t="s">
        <v>15</v>
      </c>
      <c r="H180" s="17">
        <f>ROUND(VLOOKUP(H$163&amp;"_1",管理者用人口入力シート!BH:CE,J180,FALSE),0)</f>
        <v>381</v>
      </c>
      <c r="I180" s="17">
        <f>ROUND(VLOOKUP(H$163&amp;"_2",管理者用人口入力シート!BH:CE,J180,FALSE),0)</f>
        <v>426</v>
      </c>
      <c r="J180" s="2">
        <v>19</v>
      </c>
      <c r="N180" s="2" t="s">
        <v>15</v>
      </c>
      <c r="O180" s="17">
        <f>ROUND(VLOOKUP(O$163&amp;"_1",管理者用人口入力シート!CO:DL,Q180,FALSE),0)</f>
        <v>381</v>
      </c>
      <c r="P180" s="17">
        <f>ROUND(VLOOKUP(O$163&amp;"_2",管理者用人口入力シート!CO:DL,Q180,FALSE),0)</f>
        <v>426</v>
      </c>
      <c r="Q180" s="2">
        <v>19</v>
      </c>
    </row>
    <row r="181" spans="7:17" x14ac:dyDescent="0.15">
      <c r="G181" s="2" t="s">
        <v>16</v>
      </c>
      <c r="H181" s="17">
        <f>ROUND(VLOOKUP(H$163&amp;"_1",管理者用人口入力シート!BH:CE,J181,FALSE),0)</f>
        <v>299</v>
      </c>
      <c r="I181" s="17">
        <f>ROUND(VLOOKUP(H$163&amp;"_2",管理者用人口入力シート!BH:CE,J181,FALSE),0)</f>
        <v>480</v>
      </c>
      <c r="J181" s="2">
        <v>20</v>
      </c>
      <c r="N181" s="2" t="s">
        <v>16</v>
      </c>
      <c r="O181" s="17">
        <f>ROUND(VLOOKUP(O$163&amp;"_1",管理者用人口入力シート!CO:DL,Q181,FALSE),0)</f>
        <v>299</v>
      </c>
      <c r="P181" s="17">
        <f>ROUND(VLOOKUP(O$163&amp;"_2",管理者用人口入力シート!CO:DL,Q181,FALSE),0)</f>
        <v>480</v>
      </c>
      <c r="Q181" s="2">
        <v>20</v>
      </c>
    </row>
    <row r="182" spans="7:17" x14ac:dyDescent="0.15">
      <c r="G182" s="2" t="s">
        <v>17</v>
      </c>
      <c r="H182" s="17">
        <f>ROUND(VLOOKUP(H$163&amp;"_1",管理者用人口入力シート!BH:CE,J182,FALSE),0)</f>
        <v>280</v>
      </c>
      <c r="I182" s="17">
        <f>ROUND(VLOOKUP(H$163&amp;"_2",管理者用人口入力シート!BH:CE,J182,FALSE),0)</f>
        <v>419</v>
      </c>
      <c r="J182" s="2">
        <v>21</v>
      </c>
      <c r="N182" s="2" t="s">
        <v>17</v>
      </c>
      <c r="O182" s="17">
        <f>ROUND(VLOOKUP(O$163&amp;"_1",管理者用人口入力シート!CO:DL,Q182,FALSE),0)</f>
        <v>280</v>
      </c>
      <c r="P182" s="17">
        <f>ROUND(VLOOKUP(O$163&amp;"_2",管理者用人口入力シート!CO:DL,Q182,FALSE),0)</f>
        <v>419</v>
      </c>
      <c r="Q182" s="2">
        <v>21</v>
      </c>
    </row>
    <row r="183" spans="7:17" x14ac:dyDescent="0.15">
      <c r="G183" s="2" t="s">
        <v>18</v>
      </c>
      <c r="H183" s="17">
        <f>ROUND(VLOOKUP(H$163&amp;"_1",管理者用人口入力シート!BH:CE,J183,FALSE),0)</f>
        <v>136</v>
      </c>
      <c r="I183" s="17">
        <f>ROUND(VLOOKUP(H$163&amp;"_2",管理者用人口入力シート!BH:CE,J183,FALSE),0)</f>
        <v>295</v>
      </c>
      <c r="J183" s="2">
        <v>22</v>
      </c>
      <c r="N183" s="2" t="s">
        <v>18</v>
      </c>
      <c r="O183" s="17">
        <f>ROUND(VLOOKUP(O$163&amp;"_1",管理者用人口入力シート!CO:DL,Q183,FALSE),0)</f>
        <v>136</v>
      </c>
      <c r="P183" s="17">
        <f>ROUND(VLOOKUP(O$163&amp;"_2",管理者用人口入力シート!CO:DL,Q183,FALSE),0)</f>
        <v>295</v>
      </c>
      <c r="Q183" s="2">
        <v>22</v>
      </c>
    </row>
    <row r="184" spans="7:17" x14ac:dyDescent="0.15">
      <c r="G184" s="2" t="s">
        <v>19</v>
      </c>
      <c r="H184" s="17">
        <f>ROUND(VLOOKUP(H$163&amp;"_1",管理者用人口入力シート!BH:CE,J184,FALSE),0)</f>
        <v>32</v>
      </c>
      <c r="I184" s="17">
        <f>ROUND(VLOOKUP(H$163&amp;"_2",管理者用人口入力シート!BH:CE,J184,FALSE),0)</f>
        <v>134</v>
      </c>
      <c r="J184" s="2">
        <v>23</v>
      </c>
      <c r="N184" s="2" t="s">
        <v>19</v>
      </c>
      <c r="O184" s="17">
        <f>ROUND(VLOOKUP(O$163&amp;"_1",管理者用人口入力シート!CO:DL,Q184,FALSE),0)</f>
        <v>32</v>
      </c>
      <c r="P184" s="17">
        <f>ROUND(VLOOKUP(O$163&amp;"_2",管理者用人口入力シート!CO:DL,Q184,FALSE),0)</f>
        <v>134</v>
      </c>
      <c r="Q184" s="2">
        <v>23</v>
      </c>
    </row>
    <row r="185" spans="7:17" x14ac:dyDescent="0.15">
      <c r="G185" s="2" t="s">
        <v>20</v>
      </c>
      <c r="H185" s="17">
        <f>ROUND(VLOOKUP(H$163&amp;"_1",管理者用人口入力シート!BH:CE,J185,FALSE),0)</f>
        <v>9</v>
      </c>
      <c r="I185" s="17">
        <f>ROUND(VLOOKUP(H$163&amp;"_2",管理者用人口入力シート!BH:CE,J185,FALSE),0)</f>
        <v>26</v>
      </c>
      <c r="J185" s="2">
        <v>24</v>
      </c>
      <c r="N185" s="2" t="s">
        <v>20</v>
      </c>
      <c r="O185" s="17">
        <f>ROUND(VLOOKUP(O$163&amp;"_1",管理者用人口入力シート!CO:DL,Q185,FALSE),0)</f>
        <v>9</v>
      </c>
      <c r="P185" s="17">
        <f>ROUND(VLOOKUP(O$163&amp;"_2",管理者用人口入力シート!CO:DL,Q185,FALSE),0)</f>
        <v>26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267</v>
      </c>
      <c r="I189" s="17">
        <f>ROUND(VLOOKUP(H$187&amp;"_2",管理者用人口入力シート!BH:CE,J189,FALSE),0)</f>
        <v>248</v>
      </c>
      <c r="J189" s="2">
        <v>4</v>
      </c>
      <c r="N189" s="2" t="s">
        <v>0</v>
      </c>
      <c r="O189" s="17">
        <f>ROUND(VLOOKUP(O$187&amp;"_1",管理者用人口入力シート!CO:DL,Q189,FALSE),0)</f>
        <v>271</v>
      </c>
      <c r="P189" s="17">
        <f>ROUND(VLOOKUP(O$187&amp;"_2",管理者用人口入力シート!CO:DL,Q189,FALSE),0)</f>
        <v>252</v>
      </c>
      <c r="Q189" s="2">
        <v>4</v>
      </c>
    </row>
    <row r="190" spans="7:17" x14ac:dyDescent="0.15">
      <c r="G190" s="2" t="s">
        <v>1</v>
      </c>
      <c r="H190" s="17">
        <f>ROUND(VLOOKUP(H$187&amp;"_1",管理者用人口入力シート!BH:CE,J190,FALSE),0)</f>
        <v>279</v>
      </c>
      <c r="I190" s="17">
        <f>ROUND(VLOOKUP(H$187&amp;"_2",管理者用人口入力シート!BH:CE,J190,FALSE),0)</f>
        <v>260</v>
      </c>
      <c r="J190" s="2">
        <v>5</v>
      </c>
      <c r="N190" s="2" t="s">
        <v>1</v>
      </c>
      <c r="O190" s="17">
        <f>ROUND(VLOOKUP(O$187&amp;"_1",管理者用人口入力シート!CO:DL,Q190,FALSE),0)</f>
        <v>282</v>
      </c>
      <c r="P190" s="17">
        <f>ROUND(VLOOKUP(O$187&amp;"_2",管理者用人口入力シート!CO:DL,Q190,FALSE),0)</f>
        <v>263</v>
      </c>
      <c r="Q190" s="2">
        <v>5</v>
      </c>
    </row>
    <row r="191" spans="7:17" x14ac:dyDescent="0.15">
      <c r="G191" s="2" t="s">
        <v>2</v>
      </c>
      <c r="H191" s="17">
        <f>ROUND(VLOOKUP(H$187&amp;"_1",管理者用人口入力シート!BH:CE,J191,FALSE),0)</f>
        <v>271</v>
      </c>
      <c r="I191" s="17">
        <f>ROUND(VLOOKUP(H$187&amp;"_2",管理者用人口入力シート!BH:CE,J191,FALSE),0)</f>
        <v>261</v>
      </c>
      <c r="J191" s="2">
        <v>6</v>
      </c>
      <c r="N191" s="2" t="s">
        <v>2</v>
      </c>
      <c r="O191" s="17">
        <f>ROUND(VLOOKUP(O$187&amp;"_1",管理者用人口入力シート!CO:DL,Q191,FALSE),0)</f>
        <v>275</v>
      </c>
      <c r="P191" s="17">
        <f>ROUND(VLOOKUP(O$187&amp;"_2",管理者用人口入力シート!CO:DL,Q191,FALSE),0)</f>
        <v>264</v>
      </c>
      <c r="Q191" s="2">
        <v>6</v>
      </c>
    </row>
    <row r="192" spans="7:17" x14ac:dyDescent="0.15">
      <c r="G192" s="2" t="s">
        <v>3</v>
      </c>
      <c r="H192" s="17">
        <f>ROUND(VLOOKUP(H$187&amp;"_1",管理者用人口入力シート!BH:CE,J192,FALSE),0)</f>
        <v>277</v>
      </c>
      <c r="I192" s="17">
        <f>ROUND(VLOOKUP(H$187&amp;"_2",管理者用人口入力シート!BH:CE,J192,FALSE),0)</f>
        <v>269</v>
      </c>
      <c r="J192" s="2">
        <v>7</v>
      </c>
      <c r="N192" s="2" t="s">
        <v>3</v>
      </c>
      <c r="O192" s="17">
        <f>ROUND(VLOOKUP(O$187&amp;"_1",管理者用人口入力シート!CO:DL,Q192,FALSE),0)</f>
        <v>280</v>
      </c>
      <c r="P192" s="17">
        <f>ROUND(VLOOKUP(O$187&amp;"_2",管理者用人口入力シート!CO:DL,Q192,FALSE),0)</f>
        <v>272</v>
      </c>
      <c r="Q192" s="2">
        <v>7</v>
      </c>
    </row>
    <row r="193" spans="7:17" x14ac:dyDescent="0.15">
      <c r="G193" s="2" t="s">
        <v>4</v>
      </c>
      <c r="H193" s="17">
        <f>ROUND(VLOOKUP(H$187&amp;"_1",管理者用人口入力シート!BH:CE,J193,FALSE),0)</f>
        <v>179</v>
      </c>
      <c r="I193" s="17">
        <f>ROUND(VLOOKUP(H$187&amp;"_2",管理者用人口入力シート!BH:CE,J193,FALSE),0)</f>
        <v>195</v>
      </c>
      <c r="J193" s="2">
        <v>8</v>
      </c>
      <c r="N193" s="2" t="s">
        <v>4</v>
      </c>
      <c r="O193" s="17">
        <f>ROUND(VLOOKUP(O$187&amp;"_1",管理者用人口入力シート!CO:DL,Q193,FALSE),0)</f>
        <v>180</v>
      </c>
      <c r="P193" s="17">
        <f>ROUND(VLOOKUP(O$187&amp;"_2",管理者用人口入力シート!CO:DL,Q193,FALSE),0)</f>
        <v>197</v>
      </c>
      <c r="Q193" s="2">
        <v>8</v>
      </c>
    </row>
    <row r="194" spans="7:17" x14ac:dyDescent="0.15">
      <c r="G194" s="2" t="s">
        <v>5</v>
      </c>
      <c r="H194" s="17">
        <f>ROUND(VLOOKUP(H$187&amp;"_1",管理者用人口入力シート!BH:CE,J194,FALSE),0)</f>
        <v>269</v>
      </c>
      <c r="I194" s="17">
        <f>ROUND(VLOOKUP(H$187&amp;"_2",管理者用人口入力シート!BH:CE,J194,FALSE),0)</f>
        <v>243</v>
      </c>
      <c r="J194" s="2">
        <v>9</v>
      </c>
      <c r="N194" s="2" t="s">
        <v>5</v>
      </c>
      <c r="O194" s="17">
        <f>ROUND(VLOOKUP(O$187&amp;"_1",管理者用人口入力シート!CO:DL,Q194,FALSE),0)</f>
        <v>272</v>
      </c>
      <c r="P194" s="17">
        <f>ROUND(VLOOKUP(O$187&amp;"_2",管理者用人口入力シート!CO:DL,Q194,FALSE),0)</f>
        <v>246</v>
      </c>
      <c r="Q194" s="2">
        <v>9</v>
      </c>
    </row>
    <row r="195" spans="7:17" x14ac:dyDescent="0.15">
      <c r="G195" s="2" t="s">
        <v>6</v>
      </c>
      <c r="H195" s="17">
        <f>ROUND(VLOOKUP(H$187&amp;"_1",管理者用人口入力シート!BH:CE,J195,FALSE),0)</f>
        <v>344</v>
      </c>
      <c r="I195" s="17">
        <f>ROUND(VLOOKUP(H$187&amp;"_2",管理者用人口入力シート!BH:CE,J195,FALSE),0)</f>
        <v>291</v>
      </c>
      <c r="J195" s="2">
        <v>10</v>
      </c>
      <c r="N195" s="2" t="s">
        <v>6</v>
      </c>
      <c r="O195" s="17">
        <f>ROUND(VLOOKUP(O$187&amp;"_1",管理者用人口入力シート!CO:DL,Q195,FALSE),0)</f>
        <v>347</v>
      </c>
      <c r="P195" s="17">
        <f>ROUND(VLOOKUP(O$187&amp;"_2",管理者用人口入力シート!CO:DL,Q195,FALSE),0)</f>
        <v>294</v>
      </c>
      <c r="Q195" s="2">
        <v>10</v>
      </c>
    </row>
    <row r="196" spans="7:17" x14ac:dyDescent="0.15">
      <c r="G196" s="2" t="s">
        <v>7</v>
      </c>
      <c r="H196" s="17">
        <f>ROUND(VLOOKUP(H$187&amp;"_1",管理者用人口入力シート!BH:CE,J196,FALSE),0)</f>
        <v>355</v>
      </c>
      <c r="I196" s="17">
        <f>ROUND(VLOOKUP(H$187&amp;"_2",管理者用人口入力シート!BH:CE,J196,FALSE),0)</f>
        <v>326</v>
      </c>
      <c r="J196" s="2">
        <v>11</v>
      </c>
      <c r="N196" s="2" t="s">
        <v>7</v>
      </c>
      <c r="O196" s="17">
        <f>ROUND(VLOOKUP(O$187&amp;"_1",管理者用人口入力シート!CO:DL,Q196,FALSE),0)</f>
        <v>358</v>
      </c>
      <c r="P196" s="17">
        <f>ROUND(VLOOKUP(O$187&amp;"_2",管理者用人口入力シート!CO:DL,Q196,FALSE),0)</f>
        <v>329</v>
      </c>
      <c r="Q196" s="2">
        <v>11</v>
      </c>
    </row>
    <row r="197" spans="7:17" x14ac:dyDescent="0.15">
      <c r="G197" s="2" t="s">
        <v>8</v>
      </c>
      <c r="H197" s="17">
        <f>ROUND(VLOOKUP(H$187&amp;"_1",管理者用人口入力シート!BH:CE,J197,FALSE),0)</f>
        <v>400</v>
      </c>
      <c r="I197" s="17">
        <f>ROUND(VLOOKUP(H$187&amp;"_2",管理者用人口入力シート!BH:CE,J197,FALSE),0)</f>
        <v>315</v>
      </c>
      <c r="J197" s="2">
        <v>12</v>
      </c>
      <c r="N197" s="2" t="s">
        <v>8</v>
      </c>
      <c r="O197" s="17">
        <f>ROUND(VLOOKUP(O$187&amp;"_1",管理者用人口入力シート!CO:DL,Q197,FALSE),0)</f>
        <v>402</v>
      </c>
      <c r="P197" s="17">
        <f>ROUND(VLOOKUP(O$187&amp;"_2",管理者用人口入力シート!CO:DL,Q197,FALSE),0)</f>
        <v>318</v>
      </c>
      <c r="Q197" s="2">
        <v>12</v>
      </c>
    </row>
    <row r="198" spans="7:17" x14ac:dyDescent="0.15">
      <c r="G198" s="2" t="s">
        <v>9</v>
      </c>
      <c r="H198" s="17">
        <f>ROUND(VLOOKUP(H$187&amp;"_1",管理者用人口入力シート!BH:CE,J198,FALSE),0)</f>
        <v>353</v>
      </c>
      <c r="I198" s="17">
        <f>ROUND(VLOOKUP(H$187&amp;"_2",管理者用人口入力シート!BH:CE,J198,FALSE),0)</f>
        <v>286</v>
      </c>
      <c r="J198" s="2">
        <v>13</v>
      </c>
      <c r="N198" s="2" t="s">
        <v>9</v>
      </c>
      <c r="O198" s="17">
        <f>ROUND(VLOOKUP(O$187&amp;"_1",管理者用人口入力シート!CO:DL,Q198,FALSE),0)</f>
        <v>355</v>
      </c>
      <c r="P198" s="17">
        <f>ROUND(VLOOKUP(O$187&amp;"_2",管理者用人口入力シート!CO:DL,Q198,FALSE),0)</f>
        <v>289</v>
      </c>
      <c r="Q198" s="2">
        <v>13</v>
      </c>
    </row>
    <row r="199" spans="7:17" x14ac:dyDescent="0.15">
      <c r="G199" s="2" t="s">
        <v>10</v>
      </c>
      <c r="H199" s="17">
        <f>ROUND(VLOOKUP(H$187&amp;"_1",管理者用人口入力シート!BH:CE,J199,FALSE),0)</f>
        <v>357</v>
      </c>
      <c r="I199" s="17">
        <f>ROUND(VLOOKUP(H$187&amp;"_2",管理者用人口入力シート!BH:CE,J199,FALSE),0)</f>
        <v>308</v>
      </c>
      <c r="J199" s="2">
        <v>14</v>
      </c>
      <c r="N199" s="2" t="s">
        <v>10</v>
      </c>
      <c r="O199" s="17">
        <f>ROUND(VLOOKUP(O$187&amp;"_1",管理者用人口入力シート!CO:DL,Q199,FALSE),0)</f>
        <v>359</v>
      </c>
      <c r="P199" s="17">
        <f>ROUND(VLOOKUP(O$187&amp;"_2",管理者用人口入力シート!CO:DL,Q199,FALSE),0)</f>
        <v>311</v>
      </c>
      <c r="Q199" s="2">
        <v>14</v>
      </c>
    </row>
    <row r="200" spans="7:17" x14ac:dyDescent="0.15">
      <c r="G200" s="2" t="s">
        <v>11</v>
      </c>
      <c r="H200" s="17">
        <f>ROUND(VLOOKUP(H$187&amp;"_1",管理者用人口入力シート!BH:CE,J200,FALSE),0)</f>
        <v>446</v>
      </c>
      <c r="I200" s="17">
        <f>ROUND(VLOOKUP(H$187&amp;"_2",管理者用人口入力シート!BH:CE,J200,FALSE),0)</f>
        <v>424</v>
      </c>
      <c r="J200" s="2">
        <v>15</v>
      </c>
      <c r="N200" s="2" t="s">
        <v>11</v>
      </c>
      <c r="O200" s="17">
        <f>ROUND(VLOOKUP(O$187&amp;"_1",管理者用人口入力シート!CO:DL,Q200,FALSE),0)</f>
        <v>446</v>
      </c>
      <c r="P200" s="17">
        <f>ROUND(VLOOKUP(O$187&amp;"_2",管理者用人口入力シート!CO:DL,Q200,FALSE),0)</f>
        <v>425</v>
      </c>
      <c r="Q200" s="2">
        <v>15</v>
      </c>
    </row>
    <row r="201" spans="7:17" x14ac:dyDescent="0.15">
      <c r="G201" s="2" t="s">
        <v>12</v>
      </c>
      <c r="H201" s="17">
        <f>ROUND(VLOOKUP(H$187&amp;"_1",管理者用人口入力シート!BH:CE,J201,FALSE),0)</f>
        <v>394</v>
      </c>
      <c r="I201" s="17">
        <f>ROUND(VLOOKUP(H$187&amp;"_2",管理者用人口入力シート!BH:CE,J201,FALSE),0)</f>
        <v>441</v>
      </c>
      <c r="J201" s="2">
        <v>16</v>
      </c>
      <c r="N201" s="2" t="s">
        <v>12</v>
      </c>
      <c r="O201" s="17">
        <f>ROUND(VLOOKUP(O$187&amp;"_1",管理者用人口入力シート!CO:DL,Q201,FALSE),0)</f>
        <v>394</v>
      </c>
      <c r="P201" s="17">
        <f>ROUND(VLOOKUP(O$187&amp;"_2",管理者用人口入力シート!CO:DL,Q201,FALSE),0)</f>
        <v>442</v>
      </c>
      <c r="Q201" s="2">
        <v>16</v>
      </c>
    </row>
    <row r="202" spans="7:17" x14ac:dyDescent="0.15">
      <c r="G202" s="2" t="s">
        <v>13</v>
      </c>
      <c r="H202" s="17">
        <f>ROUND(VLOOKUP(H$187&amp;"_1",管理者用人口入力シート!BH:CE,J202,FALSE),0)</f>
        <v>452</v>
      </c>
      <c r="I202" s="17">
        <f>ROUND(VLOOKUP(H$187&amp;"_2",管理者用人口入力シート!BH:CE,J202,FALSE),0)</f>
        <v>512</v>
      </c>
      <c r="J202" s="2">
        <v>17</v>
      </c>
      <c r="N202" s="2" t="s">
        <v>13</v>
      </c>
      <c r="O202" s="17">
        <f>ROUND(VLOOKUP(O$187&amp;"_1",管理者用人口入力シート!CO:DL,Q202,FALSE),0)</f>
        <v>452</v>
      </c>
      <c r="P202" s="17">
        <f>ROUND(VLOOKUP(O$187&amp;"_2",管理者用人口入力シート!CO:DL,Q202,FALSE),0)</f>
        <v>513</v>
      </c>
      <c r="Q202" s="2">
        <v>17</v>
      </c>
    </row>
    <row r="203" spans="7:17" x14ac:dyDescent="0.15">
      <c r="G203" s="2" t="s">
        <v>14</v>
      </c>
      <c r="H203" s="17">
        <f>ROUND(VLOOKUP(H$187&amp;"_1",管理者用人口入力シート!BH:CE,J203,FALSE),0)</f>
        <v>453</v>
      </c>
      <c r="I203" s="17">
        <f>ROUND(VLOOKUP(H$187&amp;"_2",管理者用人口入力シート!BH:CE,J203,FALSE),0)</f>
        <v>530</v>
      </c>
      <c r="J203" s="2">
        <v>18</v>
      </c>
      <c r="N203" s="2" t="s">
        <v>14</v>
      </c>
      <c r="O203" s="17">
        <f>ROUND(VLOOKUP(O$187&amp;"_1",管理者用人口入力シート!CO:DL,Q203,FALSE),0)</f>
        <v>453</v>
      </c>
      <c r="P203" s="17">
        <f>ROUND(VLOOKUP(O$187&amp;"_2",管理者用人口入力シート!CO:DL,Q203,FALSE),0)</f>
        <v>530</v>
      </c>
      <c r="Q203" s="2">
        <v>18</v>
      </c>
    </row>
    <row r="204" spans="7:17" x14ac:dyDescent="0.15">
      <c r="G204" s="2" t="s">
        <v>15</v>
      </c>
      <c r="H204" s="17">
        <f>ROUND(VLOOKUP(H$187&amp;"_1",管理者用人口入力シート!BH:CE,J204,FALSE),0)</f>
        <v>448</v>
      </c>
      <c r="I204" s="17">
        <f>ROUND(VLOOKUP(H$187&amp;"_2",管理者用人口入力シート!BH:CE,J204,FALSE),0)</f>
        <v>496</v>
      </c>
      <c r="J204" s="2">
        <v>19</v>
      </c>
      <c r="N204" s="2" t="s">
        <v>15</v>
      </c>
      <c r="O204" s="17">
        <f>ROUND(VLOOKUP(O$187&amp;"_1",管理者用人口入力シート!CO:DL,Q204,FALSE),0)</f>
        <v>448</v>
      </c>
      <c r="P204" s="17">
        <f>ROUND(VLOOKUP(O$187&amp;"_2",管理者用人口入力シート!CO:DL,Q204,FALSE),0)</f>
        <v>496</v>
      </c>
      <c r="Q204" s="2">
        <v>19</v>
      </c>
    </row>
    <row r="205" spans="7:17" x14ac:dyDescent="0.15">
      <c r="G205" s="2" t="s">
        <v>16</v>
      </c>
      <c r="H205" s="17">
        <f>ROUND(VLOOKUP(H$187&amp;"_1",管理者用人口入力シート!BH:CE,J205,FALSE),0)</f>
        <v>298</v>
      </c>
      <c r="I205" s="17">
        <f>ROUND(VLOOKUP(H$187&amp;"_2",管理者用人口入力シート!BH:CE,J205,FALSE),0)</f>
        <v>383</v>
      </c>
      <c r="J205" s="2">
        <v>20</v>
      </c>
      <c r="N205" s="2" t="s">
        <v>16</v>
      </c>
      <c r="O205" s="17">
        <f>ROUND(VLOOKUP(O$187&amp;"_1",管理者用人口入力シート!CO:DL,Q205,FALSE),0)</f>
        <v>298</v>
      </c>
      <c r="P205" s="17">
        <f>ROUND(VLOOKUP(O$187&amp;"_2",管理者用人口入力シート!CO:DL,Q205,FALSE),0)</f>
        <v>383</v>
      </c>
      <c r="Q205" s="2">
        <v>20</v>
      </c>
    </row>
    <row r="206" spans="7:17" x14ac:dyDescent="0.15">
      <c r="G206" s="2" t="s">
        <v>17</v>
      </c>
      <c r="H206" s="17">
        <f>ROUND(VLOOKUP(H$187&amp;"_1",管理者用人口入力シート!BH:CE,J206,FALSE),0)</f>
        <v>202</v>
      </c>
      <c r="I206" s="17">
        <f>ROUND(VLOOKUP(H$187&amp;"_2",管理者用人口入力シート!BH:CE,J206,FALSE),0)</f>
        <v>391</v>
      </c>
      <c r="J206" s="2">
        <v>21</v>
      </c>
      <c r="N206" s="2" t="s">
        <v>17</v>
      </c>
      <c r="O206" s="17">
        <f>ROUND(VLOOKUP(O$187&amp;"_1",管理者用人口入力シート!CO:DL,Q206,FALSE),0)</f>
        <v>202</v>
      </c>
      <c r="P206" s="17">
        <f>ROUND(VLOOKUP(O$187&amp;"_2",管理者用人口入力シート!CO:DL,Q206,FALSE),0)</f>
        <v>391</v>
      </c>
      <c r="Q206" s="2">
        <v>21</v>
      </c>
    </row>
    <row r="207" spans="7:17" x14ac:dyDescent="0.15">
      <c r="G207" s="2" t="s">
        <v>18</v>
      </c>
      <c r="H207" s="17">
        <f>ROUND(VLOOKUP(H$187&amp;"_1",管理者用人口入力シート!BH:CE,J207,FALSE),0)</f>
        <v>141</v>
      </c>
      <c r="I207" s="17">
        <f>ROUND(VLOOKUP(H$187&amp;"_2",管理者用人口入力シート!BH:CE,J207,FALSE),0)</f>
        <v>279</v>
      </c>
      <c r="J207" s="2">
        <v>22</v>
      </c>
      <c r="N207" s="2" t="s">
        <v>18</v>
      </c>
      <c r="O207" s="17">
        <f>ROUND(VLOOKUP(O$187&amp;"_1",管理者用人口入力シート!CO:DL,Q207,FALSE),0)</f>
        <v>141</v>
      </c>
      <c r="P207" s="17">
        <f>ROUND(VLOOKUP(O$187&amp;"_2",管理者用人口入力シート!CO:DL,Q207,FALSE),0)</f>
        <v>279</v>
      </c>
      <c r="Q207" s="2">
        <v>22</v>
      </c>
    </row>
    <row r="208" spans="7:17" x14ac:dyDescent="0.15">
      <c r="G208" s="2" t="s">
        <v>19</v>
      </c>
      <c r="H208" s="17">
        <f>ROUND(VLOOKUP(H$187&amp;"_1",管理者用人口入力シート!BH:CE,J208,FALSE),0)</f>
        <v>32</v>
      </c>
      <c r="I208" s="17">
        <f>ROUND(VLOOKUP(H$187&amp;"_2",管理者用人口入力シート!BH:CE,J208,FALSE),0)</f>
        <v>125</v>
      </c>
      <c r="J208" s="2">
        <v>23</v>
      </c>
      <c r="N208" s="2" t="s">
        <v>19</v>
      </c>
      <c r="O208" s="17">
        <f>ROUND(VLOOKUP(O$187&amp;"_1",管理者用人口入力シート!CO:DL,Q208,FALSE),0)</f>
        <v>32</v>
      </c>
      <c r="P208" s="17">
        <f>ROUND(VLOOKUP(O$187&amp;"_2",管理者用人口入力シート!CO:DL,Q208,FALSE),0)</f>
        <v>125</v>
      </c>
      <c r="Q208" s="2">
        <v>23</v>
      </c>
    </row>
    <row r="209" spans="7:17" x14ac:dyDescent="0.15">
      <c r="G209" s="2" t="s">
        <v>20</v>
      </c>
      <c r="H209" s="17">
        <f>ROUND(VLOOKUP(H$187&amp;"_1",管理者用人口入力シート!BH:CE,J209,FALSE),0)</f>
        <v>9</v>
      </c>
      <c r="I209" s="17">
        <f>ROUND(VLOOKUP(H$187&amp;"_2",管理者用人口入力シート!BH:CE,J209,FALSE),0)</f>
        <v>30</v>
      </c>
      <c r="J209" s="2">
        <v>24</v>
      </c>
      <c r="N209" s="2" t="s">
        <v>20</v>
      </c>
      <c r="O209" s="17">
        <f>ROUND(VLOOKUP(O$187&amp;"_1",管理者用人口入力シート!CO:DL,Q209,FALSE),0)</f>
        <v>9</v>
      </c>
      <c r="P209" s="17">
        <f>ROUND(VLOOKUP(O$187&amp;"_2",管理者用人口入力シート!CO:DL,Q209,FALSE),0)</f>
        <v>30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654</v>
      </c>
      <c r="P214" s="17">
        <f>O93+P93</f>
        <v>658</v>
      </c>
      <c r="Q214" s="2">
        <v>4</v>
      </c>
    </row>
    <row r="215" spans="7:17" x14ac:dyDescent="0.15">
      <c r="N215" s="2" t="s">
        <v>1</v>
      </c>
      <c r="O215" s="17">
        <f t="shared" ref="O215:O233" si="37">H94+I94</f>
        <v>695</v>
      </c>
      <c r="P215" s="17">
        <f t="shared" ref="P215:P233" si="38">O94+P94</f>
        <v>697</v>
      </c>
      <c r="Q215" s="2">
        <v>5</v>
      </c>
    </row>
    <row r="216" spans="7:17" x14ac:dyDescent="0.15">
      <c r="N216" s="2" t="s">
        <v>2</v>
      </c>
      <c r="O216" s="17">
        <f t="shared" si="37"/>
        <v>773</v>
      </c>
      <c r="P216" s="17">
        <f t="shared" si="38"/>
        <v>775</v>
      </c>
      <c r="Q216" s="2">
        <v>6</v>
      </c>
    </row>
    <row r="217" spans="7:17" x14ac:dyDescent="0.15">
      <c r="N217" s="2" t="s">
        <v>3</v>
      </c>
      <c r="O217" s="17">
        <f t="shared" si="37"/>
        <v>845</v>
      </c>
      <c r="P217" s="17">
        <f t="shared" si="38"/>
        <v>847</v>
      </c>
      <c r="Q217" s="2">
        <v>7</v>
      </c>
    </row>
    <row r="218" spans="7:17" x14ac:dyDescent="0.15">
      <c r="N218" s="2" t="s">
        <v>4</v>
      </c>
      <c r="O218" s="17">
        <f t="shared" si="37"/>
        <v>562</v>
      </c>
      <c r="P218" s="17">
        <f t="shared" si="38"/>
        <v>562</v>
      </c>
      <c r="Q218" s="2">
        <v>8</v>
      </c>
    </row>
    <row r="219" spans="7:17" x14ac:dyDescent="0.15">
      <c r="N219" s="2" t="s">
        <v>5</v>
      </c>
      <c r="O219" s="17">
        <f t="shared" si="37"/>
        <v>640</v>
      </c>
      <c r="P219" s="17">
        <f t="shared" si="38"/>
        <v>644</v>
      </c>
      <c r="Q219" s="2">
        <v>9</v>
      </c>
    </row>
    <row r="220" spans="7:17" x14ac:dyDescent="0.15">
      <c r="N220" s="2" t="s">
        <v>6</v>
      </c>
      <c r="O220" s="17">
        <f t="shared" si="37"/>
        <v>695</v>
      </c>
      <c r="P220" s="17">
        <f t="shared" si="38"/>
        <v>699</v>
      </c>
      <c r="Q220" s="2">
        <v>10</v>
      </c>
    </row>
    <row r="221" spans="7:17" x14ac:dyDescent="0.15">
      <c r="N221" s="2" t="s">
        <v>7</v>
      </c>
      <c r="O221" s="17">
        <f t="shared" si="37"/>
        <v>917</v>
      </c>
      <c r="P221" s="17">
        <f t="shared" si="38"/>
        <v>917</v>
      </c>
      <c r="Q221" s="2">
        <v>11</v>
      </c>
    </row>
    <row r="222" spans="7:17" x14ac:dyDescent="0.15">
      <c r="N222" s="2" t="s">
        <v>8</v>
      </c>
      <c r="O222" s="17">
        <f t="shared" si="37"/>
        <v>894</v>
      </c>
      <c r="P222" s="17">
        <f t="shared" si="38"/>
        <v>895</v>
      </c>
      <c r="Q222" s="2">
        <v>12</v>
      </c>
    </row>
    <row r="223" spans="7:17" x14ac:dyDescent="0.15">
      <c r="N223" s="2" t="s">
        <v>9</v>
      </c>
      <c r="O223" s="17">
        <f t="shared" si="37"/>
        <v>1028</v>
      </c>
      <c r="P223" s="17">
        <f t="shared" si="38"/>
        <v>1029</v>
      </c>
      <c r="Q223" s="2">
        <v>13</v>
      </c>
    </row>
    <row r="224" spans="7:17" x14ac:dyDescent="0.15">
      <c r="N224" s="2" t="s">
        <v>10</v>
      </c>
      <c r="O224" s="17">
        <f t="shared" si="37"/>
        <v>1121</v>
      </c>
      <c r="P224" s="17">
        <f t="shared" si="38"/>
        <v>1121</v>
      </c>
      <c r="Q224" s="2">
        <v>14</v>
      </c>
    </row>
    <row r="225" spans="14:17" x14ac:dyDescent="0.15">
      <c r="N225" s="2" t="s">
        <v>11</v>
      </c>
      <c r="O225" s="17">
        <f t="shared" si="37"/>
        <v>1166</v>
      </c>
      <c r="P225" s="17">
        <f t="shared" si="38"/>
        <v>1166</v>
      </c>
      <c r="Q225" s="2">
        <v>15</v>
      </c>
    </row>
    <row r="226" spans="14:17" x14ac:dyDescent="0.15">
      <c r="N226" s="2" t="s">
        <v>12</v>
      </c>
      <c r="O226" s="17">
        <f t="shared" si="37"/>
        <v>960</v>
      </c>
      <c r="P226" s="17">
        <f t="shared" si="38"/>
        <v>960</v>
      </c>
      <c r="Q226" s="2">
        <v>16</v>
      </c>
    </row>
    <row r="227" spans="14:17" x14ac:dyDescent="0.15">
      <c r="N227" s="2" t="s">
        <v>13</v>
      </c>
      <c r="O227" s="17">
        <f t="shared" si="37"/>
        <v>1060</v>
      </c>
      <c r="P227" s="17">
        <f t="shared" si="38"/>
        <v>1060</v>
      </c>
      <c r="Q227" s="2">
        <v>17</v>
      </c>
    </row>
    <row r="228" spans="14:17" x14ac:dyDescent="0.15">
      <c r="N228" s="2" t="s">
        <v>14</v>
      </c>
      <c r="O228" s="17">
        <f t="shared" si="37"/>
        <v>1215</v>
      </c>
      <c r="P228" s="17">
        <f t="shared" si="38"/>
        <v>1215</v>
      </c>
      <c r="Q228" s="2">
        <v>18</v>
      </c>
    </row>
    <row r="229" spans="14:17" x14ac:dyDescent="0.15">
      <c r="N229" s="2" t="s">
        <v>15</v>
      </c>
      <c r="O229" s="17">
        <f t="shared" si="37"/>
        <v>1117</v>
      </c>
      <c r="P229" s="17">
        <f t="shared" si="38"/>
        <v>1117</v>
      </c>
      <c r="Q229" s="2">
        <v>19</v>
      </c>
    </row>
    <row r="230" spans="14:17" x14ac:dyDescent="0.15">
      <c r="N230" s="2" t="s">
        <v>16</v>
      </c>
      <c r="O230" s="17">
        <f t="shared" si="37"/>
        <v>973</v>
      </c>
      <c r="P230" s="17">
        <f t="shared" si="38"/>
        <v>973</v>
      </c>
      <c r="Q230" s="2">
        <v>20</v>
      </c>
    </row>
    <row r="231" spans="14:17" x14ac:dyDescent="0.15">
      <c r="N231" s="2" t="s">
        <v>17</v>
      </c>
      <c r="O231" s="17">
        <f t="shared" si="37"/>
        <v>651</v>
      </c>
      <c r="P231" s="17">
        <f t="shared" si="38"/>
        <v>651</v>
      </c>
      <c r="Q231" s="2">
        <v>21</v>
      </c>
    </row>
    <row r="232" spans="14:17" x14ac:dyDescent="0.15">
      <c r="N232" s="2" t="s">
        <v>18</v>
      </c>
      <c r="O232" s="17">
        <f t="shared" si="37"/>
        <v>370</v>
      </c>
      <c r="P232" s="17">
        <f t="shared" si="38"/>
        <v>370</v>
      </c>
      <c r="Q232" s="2">
        <v>22</v>
      </c>
    </row>
    <row r="233" spans="14:17" x14ac:dyDescent="0.15">
      <c r="N233" s="2" t="s">
        <v>19</v>
      </c>
      <c r="O233" s="17">
        <f t="shared" si="37"/>
        <v>163</v>
      </c>
      <c r="P233" s="17">
        <f t="shared" si="38"/>
        <v>163</v>
      </c>
      <c r="Q233" s="2">
        <v>23</v>
      </c>
    </row>
    <row r="234" spans="14:17" x14ac:dyDescent="0.15">
      <c r="N234" s="2" t="s">
        <v>20</v>
      </c>
      <c r="O234" s="17">
        <f>H113+I113</f>
        <v>33</v>
      </c>
      <c r="P234" s="17">
        <f>O113+P113</f>
        <v>33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585</v>
      </c>
      <c r="P238" s="17">
        <f>O141+P141</f>
        <v>590</v>
      </c>
      <c r="Q238" s="2">
        <v>4</v>
      </c>
    </row>
    <row r="239" spans="14:17" x14ac:dyDescent="0.15">
      <c r="N239" s="2" t="s">
        <v>1</v>
      </c>
      <c r="O239" s="17">
        <f t="shared" ref="O239:O257" si="39">H142+I142</f>
        <v>572</v>
      </c>
      <c r="P239" s="17">
        <f t="shared" ref="P239:P257" si="40">O142+P142</f>
        <v>577</v>
      </c>
      <c r="Q239" s="2">
        <v>5</v>
      </c>
    </row>
    <row r="240" spans="14:17" x14ac:dyDescent="0.15">
      <c r="N240" s="2" t="s">
        <v>2</v>
      </c>
      <c r="O240" s="17">
        <f t="shared" si="39"/>
        <v>596</v>
      </c>
      <c r="P240" s="17">
        <f t="shared" si="40"/>
        <v>601</v>
      </c>
      <c r="Q240" s="2">
        <v>6</v>
      </c>
    </row>
    <row r="241" spans="14:17" x14ac:dyDescent="0.15">
      <c r="N241" s="2" t="s">
        <v>3</v>
      </c>
      <c r="O241" s="17">
        <f t="shared" si="39"/>
        <v>662</v>
      </c>
      <c r="P241" s="17">
        <f t="shared" si="40"/>
        <v>666</v>
      </c>
      <c r="Q241" s="2">
        <v>7</v>
      </c>
    </row>
    <row r="242" spans="14:17" x14ac:dyDescent="0.15">
      <c r="N242" s="2" t="s">
        <v>4</v>
      </c>
      <c r="O242" s="17">
        <f t="shared" si="39"/>
        <v>485</v>
      </c>
      <c r="P242" s="17">
        <f t="shared" si="40"/>
        <v>487</v>
      </c>
      <c r="Q242" s="2">
        <v>8</v>
      </c>
    </row>
    <row r="243" spans="14:17" x14ac:dyDescent="0.15">
      <c r="N243" s="2" t="s">
        <v>5</v>
      </c>
      <c r="O243" s="17">
        <f t="shared" si="39"/>
        <v>651</v>
      </c>
      <c r="P243" s="17">
        <f t="shared" si="40"/>
        <v>657</v>
      </c>
      <c r="Q243" s="2">
        <v>9</v>
      </c>
    </row>
    <row r="244" spans="14:17" x14ac:dyDescent="0.15">
      <c r="N244" s="2" t="s">
        <v>6</v>
      </c>
      <c r="O244" s="17">
        <f t="shared" si="39"/>
        <v>739</v>
      </c>
      <c r="P244" s="17">
        <f t="shared" si="40"/>
        <v>743</v>
      </c>
      <c r="Q244" s="2">
        <v>10</v>
      </c>
    </row>
    <row r="245" spans="14:17" x14ac:dyDescent="0.15">
      <c r="N245" s="2" t="s">
        <v>7</v>
      </c>
      <c r="O245" s="17">
        <f t="shared" si="39"/>
        <v>671</v>
      </c>
      <c r="P245" s="17">
        <f t="shared" si="40"/>
        <v>675</v>
      </c>
      <c r="Q245" s="2">
        <v>11</v>
      </c>
    </row>
    <row r="246" spans="14:17" x14ac:dyDescent="0.15">
      <c r="N246" s="2" t="s">
        <v>8</v>
      </c>
      <c r="O246" s="17">
        <f t="shared" si="39"/>
        <v>672</v>
      </c>
      <c r="P246" s="17">
        <f t="shared" si="40"/>
        <v>677</v>
      </c>
      <c r="Q246" s="2">
        <v>12</v>
      </c>
    </row>
    <row r="247" spans="14:17" x14ac:dyDescent="0.15">
      <c r="N247" s="2" t="s">
        <v>9</v>
      </c>
      <c r="O247" s="17">
        <f t="shared" si="39"/>
        <v>874</v>
      </c>
      <c r="P247" s="17">
        <f t="shared" si="40"/>
        <v>875</v>
      </c>
      <c r="Q247" s="2">
        <v>13</v>
      </c>
    </row>
    <row r="248" spans="14:17" x14ac:dyDescent="0.15">
      <c r="N248" s="2" t="s">
        <v>10</v>
      </c>
      <c r="O248" s="17">
        <f t="shared" si="39"/>
        <v>882</v>
      </c>
      <c r="P248" s="17">
        <f t="shared" si="40"/>
        <v>883</v>
      </c>
      <c r="Q248" s="2">
        <v>14</v>
      </c>
    </row>
    <row r="249" spans="14:17" x14ac:dyDescent="0.15">
      <c r="N249" s="2" t="s">
        <v>11</v>
      </c>
      <c r="O249" s="17">
        <f t="shared" si="39"/>
        <v>1023</v>
      </c>
      <c r="P249" s="17">
        <f t="shared" si="40"/>
        <v>1024</v>
      </c>
      <c r="Q249" s="2">
        <v>15</v>
      </c>
    </row>
    <row r="250" spans="14:17" x14ac:dyDescent="0.15">
      <c r="N250" s="2" t="s">
        <v>12</v>
      </c>
      <c r="O250" s="17">
        <f t="shared" si="39"/>
        <v>1062</v>
      </c>
      <c r="P250" s="17">
        <f t="shared" si="40"/>
        <v>1062</v>
      </c>
      <c r="Q250" s="2">
        <v>16</v>
      </c>
    </row>
    <row r="251" spans="14:17" x14ac:dyDescent="0.15">
      <c r="N251" s="2" t="s">
        <v>13</v>
      </c>
      <c r="O251" s="17">
        <f t="shared" si="39"/>
        <v>1097</v>
      </c>
      <c r="P251" s="17">
        <f t="shared" si="40"/>
        <v>1097</v>
      </c>
      <c r="Q251" s="2">
        <v>17</v>
      </c>
    </row>
    <row r="252" spans="14:17" x14ac:dyDescent="0.15">
      <c r="N252" s="2" t="s">
        <v>14</v>
      </c>
      <c r="O252" s="17">
        <f t="shared" si="39"/>
        <v>889</v>
      </c>
      <c r="P252" s="17">
        <f t="shared" si="40"/>
        <v>889</v>
      </c>
      <c r="Q252" s="2">
        <v>18</v>
      </c>
    </row>
    <row r="253" spans="14:17" x14ac:dyDescent="0.15">
      <c r="N253" s="2" t="s">
        <v>15</v>
      </c>
      <c r="O253" s="17">
        <f t="shared" si="39"/>
        <v>915</v>
      </c>
      <c r="P253" s="17">
        <f t="shared" si="40"/>
        <v>915</v>
      </c>
      <c r="Q253" s="2">
        <v>19</v>
      </c>
    </row>
    <row r="254" spans="14:17" x14ac:dyDescent="0.15">
      <c r="N254" s="2" t="s">
        <v>16</v>
      </c>
      <c r="O254" s="17">
        <f t="shared" si="39"/>
        <v>929</v>
      </c>
      <c r="P254" s="17">
        <f t="shared" si="40"/>
        <v>929</v>
      </c>
      <c r="Q254" s="2">
        <v>20</v>
      </c>
    </row>
    <row r="255" spans="14:17" x14ac:dyDescent="0.15">
      <c r="N255" s="2" t="s">
        <v>17</v>
      </c>
      <c r="O255" s="17">
        <f t="shared" si="39"/>
        <v>714</v>
      </c>
      <c r="P255" s="17">
        <f t="shared" si="40"/>
        <v>714</v>
      </c>
      <c r="Q255" s="2">
        <v>21</v>
      </c>
    </row>
    <row r="256" spans="14:17" x14ac:dyDescent="0.15">
      <c r="N256" s="2" t="s">
        <v>18</v>
      </c>
      <c r="O256" s="17">
        <f t="shared" si="39"/>
        <v>448</v>
      </c>
      <c r="P256" s="17">
        <f t="shared" si="40"/>
        <v>448</v>
      </c>
      <c r="Q256" s="2">
        <v>22</v>
      </c>
    </row>
    <row r="257" spans="14:17" x14ac:dyDescent="0.15">
      <c r="N257" s="2" t="s">
        <v>19</v>
      </c>
      <c r="O257" s="17">
        <f t="shared" si="39"/>
        <v>143</v>
      </c>
      <c r="P257" s="17">
        <f t="shared" si="40"/>
        <v>143</v>
      </c>
      <c r="Q257" s="2">
        <v>23</v>
      </c>
    </row>
    <row r="258" spans="14:17" x14ac:dyDescent="0.15">
      <c r="N258" s="2" t="s">
        <v>20</v>
      </c>
      <c r="O258" s="17">
        <f>H161+I161</f>
        <v>32</v>
      </c>
      <c r="P258" s="17">
        <f>O161+P161</f>
        <v>32</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2019-03-15T12:09:08Z</cp:lastPrinted>
  <dcterms:created xsi:type="dcterms:W3CDTF">2018-08-17T00:57:13Z</dcterms:created>
  <dcterms:modified xsi:type="dcterms:W3CDTF">2023-03-06T09:12:26Z</dcterms:modified>
</cp:coreProperties>
</file>