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wZswKiJGiBrMgieKCelbhLcfF3yzxFVbf40PDkwCGMufFUTID0o/nrouHGDzgX4L65dFn/vDqjgrxuSp/yXSMA==" workbookSaltValue="/r6bUmo8ST+jGyGQi/uq8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P8" i="17" l="1"/>
  <c r="BO4" i="17" s="1"/>
  <c r="AT8" i="17"/>
  <c r="BS4" i="17" s="1"/>
  <c r="BT7" i="17" s="1"/>
  <c r="AX8" i="17"/>
  <c r="BW4" i="17" s="1"/>
  <c r="EL4" i="17" s="1"/>
  <c r="O14" i="18"/>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DJ4" i="17"/>
  <c r="BT5" i="17"/>
  <c r="BU6" i="17"/>
  <c r="BW6" i="17"/>
  <c r="BO6" i="17"/>
  <c r="CH3" i="17"/>
  <c r="BR6" i="17"/>
  <c r="BS6" i="17"/>
  <c r="BQ6" i="17"/>
  <c r="DI3" i="17"/>
  <c r="CC6" i="17"/>
  <c r="BM6" i="17"/>
  <c r="CG3" i="17"/>
  <c r="DH4" i="17"/>
  <c r="DI7" i="17" s="1"/>
  <c r="CM3" i="17"/>
  <c r="DG3" i="17"/>
  <c r="CA6" i="17"/>
  <c r="CJ3" i="17"/>
  <c r="DF3" i="17"/>
  <c r="BZ6" i="17"/>
  <c r="DE3" i="17"/>
  <c r="BY6" i="17"/>
  <c r="CI3" i="17"/>
  <c r="DH3" i="17"/>
  <c r="CB6" i="17"/>
  <c r="CA5" i="17"/>
  <c r="BN6" i="17"/>
  <c r="BO5" i="17"/>
  <c r="BS5" i="17"/>
  <c r="BV6" i="17"/>
  <c r="CC5" i="17"/>
  <c r="BX6" i="17"/>
  <c r="BP6" i="17"/>
  <c r="BT6" i="17"/>
  <c r="O42" i="18"/>
  <c r="O60" i="18"/>
  <c r="O52" i="18"/>
  <c r="O24" i="18"/>
  <c r="O34" i="18"/>
  <c r="O16" i="18"/>
  <c r="DD4" i="17" l="1"/>
  <c r="BW5" i="17"/>
  <c r="CZ4" i="17"/>
  <c r="DA7" i="17" s="1"/>
  <c r="DB10" i="17" s="1"/>
  <c r="EQ4" i="17"/>
  <c r="EQ5" i="17" s="1"/>
  <c r="O75" i="18"/>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DJ10" i="17"/>
  <c r="I86" i="18"/>
  <c r="I80" i="18"/>
  <c r="CE9" i="17"/>
  <c r="H137" i="18" s="1"/>
  <c r="H88" i="18"/>
  <c r="P87"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DA8" i="17" l="1"/>
  <c r="DH7" i="17"/>
  <c r="P85" i="18" s="1"/>
  <c r="ER7" i="17"/>
  <c r="ES10" i="17" s="1"/>
  <c r="EQ21" i="17"/>
  <c r="EQ22" i="17" s="1"/>
  <c r="CM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ER24" i="17" l="1"/>
  <c r="ER25" i="17" s="1"/>
  <c r="EY21" i="17"/>
  <c r="O247" i="18"/>
  <c r="EX21" i="17"/>
  <c r="DE13" i="17"/>
  <c r="DF16" i="17"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226" i="18" l="1"/>
  <c r="DB16" i="17"/>
  <c r="DC19" i="17" s="1"/>
  <c r="P200" i="18" s="1"/>
  <c r="P250"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O215" i="18" l="1"/>
  <c r="CJ19" i="17"/>
  <c r="H142"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12" i="17" l="1"/>
  <c r="EE6" i="17"/>
  <c r="DX18" i="17"/>
  <c r="EE4" i="17"/>
  <c r="EF7" i="17" s="1"/>
  <c r="EF4" i="17"/>
  <c r="EF21" i="17" s="1"/>
  <c r="EG4" i="17"/>
  <c r="EE3" i="17"/>
  <c r="EE13" i="17"/>
  <c r="EE10" i="17"/>
  <c r="EE7" i="17"/>
  <c r="EE9" i="17"/>
  <c r="EF12" i="17" s="1"/>
  <c r="C37" i="21"/>
  <c r="EG3" i="17"/>
  <c r="EF3" i="17"/>
  <c r="EF9"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FB7" i="17" s="1"/>
  <c r="CH20" i="17"/>
  <c r="EE26" i="17"/>
  <c r="EE11" i="17"/>
  <c r="EE24" i="17"/>
  <c r="EF13" i="17"/>
  <c r="EF30" i="17" s="1"/>
  <c r="EE27" i="17"/>
  <c r="EE28" i="17" s="1"/>
  <c r="EE30" i="17"/>
  <c r="EF29" i="17"/>
  <c r="EF6" i="17"/>
  <c r="EE5" i="17"/>
  <c r="EE20" i="17"/>
  <c r="EU3" i="17"/>
  <c r="FB3" i="17"/>
  <c r="D38" i="21"/>
  <c r="C38" i="21"/>
  <c r="C39" i="21"/>
  <c r="D39" i="21"/>
  <c r="D37" i="21"/>
  <c r="EH10" i="17"/>
  <c r="EG24" i="17"/>
  <c r="EG21" i="17"/>
  <c r="EH7" i="17"/>
  <c r="EG12" i="17"/>
  <c r="FB12" i="17" s="1"/>
  <c r="EF26" i="17"/>
  <c r="EG10" i="17"/>
  <c r="EF24" i="17"/>
  <c r="EE21" i="17"/>
  <c r="EU4" i="17"/>
  <c r="FB4" i="17"/>
  <c r="EF10" i="17"/>
  <c r="EF11" i="17" s="1"/>
  <c r="EG6" i="17"/>
  <c r="EG8" i="17" s="1"/>
  <c r="EF5" i="17"/>
  <c r="EF20" i="17"/>
  <c r="EF22" i="17" s="1"/>
  <c r="EE23" i="17"/>
  <c r="EE8" i="17"/>
  <c r="EH6" i="17"/>
  <c r="EG5" i="17"/>
  <c r="EG20" i="17"/>
  <c r="EE29" i="17"/>
  <c r="EE14"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25" i="17" l="1"/>
  <c r="FB6" i="17"/>
  <c r="EF31" i="17"/>
  <c r="EF14" i="17"/>
  <c r="EE31" i="17"/>
  <c r="EG22" i="17"/>
  <c r="EH27" i="17"/>
  <c r="EI13" i="17"/>
  <c r="EI30" i="17" s="1"/>
  <c r="FA4" i="17"/>
  <c r="EZ4" i="17"/>
  <c r="FB21" i="17"/>
  <c r="EU21" i="17"/>
  <c r="EI9" i="17"/>
  <c r="EH23" i="17"/>
  <c r="EH8" i="17"/>
  <c r="FB10" i="17"/>
  <c r="EH13" i="17"/>
  <c r="EH30" i="17" s="1"/>
  <c r="EG27" i="17"/>
  <c r="EF8" i="17"/>
  <c r="FB8" i="17" s="1"/>
  <c r="DZ7" i="17"/>
  <c r="DZ6" i="17"/>
  <c r="EG13" i="17"/>
  <c r="EG14" i="17" s="1"/>
  <c r="EF27" i="17"/>
  <c r="EF28" i="17" s="1"/>
  <c r="FB24" i="17"/>
  <c r="EG29" i="17"/>
  <c r="EZ3" i="17"/>
  <c r="FA3" i="17"/>
  <c r="EF23" i="17"/>
  <c r="EF25" i="17" s="1"/>
  <c r="EG9" i="17"/>
  <c r="EI10" i="17"/>
  <c r="EH24" i="17"/>
  <c r="FB20" i="17"/>
  <c r="EU20" i="17"/>
  <c r="EE22" i="17"/>
  <c r="EG23" i="17"/>
  <c r="EH9" i="17"/>
  <c r="EU5" i="17"/>
  <c r="FB5" i="17"/>
  <c r="D11" i="19"/>
  <c r="CK18" i="17"/>
  <c r="DS20" i="17"/>
  <c r="DS18" i="17"/>
  <c r="CK19" i="17"/>
  <c r="CL19" i="17"/>
  <c r="CF20" i="17"/>
  <c r="FB23" i="17" l="1"/>
  <c r="FB14" i="17"/>
  <c r="FB27" i="17"/>
  <c r="FB29" i="17"/>
  <c r="EI11" i="17"/>
  <c r="EJ12" i="17"/>
  <c r="EI26" i="17"/>
  <c r="EG30" i="17"/>
  <c r="FB30" i="17" s="1"/>
  <c r="FB13" i="17"/>
  <c r="FA21" i="17"/>
  <c r="EZ21" i="17"/>
  <c r="DZ10" i="17"/>
  <c r="DZ9" i="17"/>
  <c r="FA20" i="17"/>
  <c r="EZ20" i="17"/>
  <c r="EH25" i="17"/>
  <c r="DZ23" i="17"/>
  <c r="DZ8" i="17"/>
  <c r="EU8" i="17" s="1"/>
  <c r="EU6" i="17"/>
  <c r="EA9" i="17"/>
  <c r="EJ13" i="17"/>
  <c r="EJ30" i="17" s="1"/>
  <c r="EI27" i="17"/>
  <c r="EA10" i="17"/>
  <c r="DZ24" i="17"/>
  <c r="EU24" i="17" s="1"/>
  <c r="EU7" i="17"/>
  <c r="EG26" i="17"/>
  <c r="FB26" i="17" s="1"/>
  <c r="EH12" i="17"/>
  <c r="EG11" i="17"/>
  <c r="FB11" i="17" s="1"/>
  <c r="FB9" i="17"/>
  <c r="EH26" i="17"/>
  <c r="EH28" i="17" s="1"/>
  <c r="EI12" i="17"/>
  <c r="EH11" i="17"/>
  <c r="FB22" i="17"/>
  <c r="EU22" i="17"/>
  <c r="EZ5" i="17"/>
  <c r="FA5" i="17"/>
  <c r="EG25" i="17"/>
  <c r="FB25" i="17" s="1"/>
  <c r="CK20" i="17"/>
  <c r="CL20" i="17"/>
  <c r="FA7" i="17" l="1"/>
  <c r="EZ7" i="17"/>
  <c r="EA12" i="17"/>
  <c r="DZ26" i="17"/>
  <c r="DZ11" i="17"/>
  <c r="EA13" i="17"/>
  <c r="EA30" i="17" s="1"/>
  <c r="DZ27" i="17"/>
  <c r="EU10" i="17"/>
  <c r="FA22" i="17"/>
  <c r="H36" i="21"/>
  <c r="EZ22" i="17"/>
  <c r="DZ12" i="17"/>
  <c r="DZ13" i="17"/>
  <c r="FA24" i="17"/>
  <c r="EZ24" i="17"/>
  <c r="EA27" i="17"/>
  <c r="EV27" i="17" s="1"/>
  <c r="EB13" i="17"/>
  <c r="EV10" i="17"/>
  <c r="EI28" i="17"/>
  <c r="FA8" i="17"/>
  <c r="EZ8" i="17"/>
  <c r="EJ29" i="17"/>
  <c r="EJ31" i="17" s="1"/>
  <c r="EJ14" i="17"/>
  <c r="EU9" i="17"/>
  <c r="EA11" i="17"/>
  <c r="EV11" i="17" s="1"/>
  <c r="EA26" i="17"/>
  <c r="EV9" i="17"/>
  <c r="EB12" i="17"/>
  <c r="EU23" i="17"/>
  <c r="DZ25" i="17"/>
  <c r="EU25" i="17" s="1"/>
  <c r="EZ6" i="17"/>
  <c r="FA6" i="17"/>
  <c r="EG31" i="17"/>
  <c r="FB31" i="17" s="1"/>
  <c r="EG28" i="17"/>
  <c r="FB28" i="17" s="1"/>
  <c r="EI29" i="17"/>
  <c r="EI31" i="17" s="1"/>
  <c r="EI14" i="17"/>
  <c r="EH29" i="17"/>
  <c r="EH31" i="17" s="1"/>
  <c r="EH14" i="17"/>
  <c r="EU11" i="17" l="1"/>
  <c r="EU27" i="17"/>
  <c r="EZ27" i="17" s="1"/>
  <c r="EZ10" i="17"/>
  <c r="FA10" i="17"/>
  <c r="EZ9" i="17"/>
  <c r="FA9" i="17"/>
  <c r="DZ29" i="17"/>
  <c r="DZ14" i="17"/>
  <c r="EU12" i="17"/>
  <c r="EV13" i="17"/>
  <c r="EB30" i="17"/>
  <c r="EW30" i="17" s="1"/>
  <c r="EW13" i="17"/>
  <c r="EZ11" i="17"/>
  <c r="FA11" i="17"/>
  <c r="DZ28" i="17"/>
  <c r="EU26" i="17"/>
  <c r="EA29" i="17"/>
  <c r="EA14" i="17"/>
  <c r="EV14" i="17" s="1"/>
  <c r="EV12" i="17"/>
  <c r="EZ25" i="17"/>
  <c r="H37" i="21"/>
  <c r="FA25" i="17"/>
  <c r="EB29" i="17"/>
  <c r="EW12" i="17"/>
  <c r="EB14" i="17"/>
  <c r="EW14" i="17" s="1"/>
  <c r="EA28" i="17"/>
  <c r="EV28" i="17" s="1"/>
  <c r="EV26" i="17"/>
  <c r="EZ23" i="17"/>
  <c r="FA23" i="17"/>
  <c r="DZ30" i="17"/>
  <c r="EU13" i="17"/>
  <c r="EU14" i="17" l="1"/>
  <c r="FA14" i="17" s="1"/>
  <c r="FA27" i="17"/>
  <c r="EU28" i="17"/>
  <c r="FA28" i="17" s="1"/>
  <c r="EZ14" i="17"/>
  <c r="EV30" i="17"/>
  <c r="EA31" i="17"/>
  <c r="EV29" i="17"/>
  <c r="FA13" i="17"/>
  <c r="EZ13" i="17"/>
  <c r="FA26" i="17"/>
  <c r="EZ26" i="17"/>
  <c r="EB31" i="17"/>
  <c r="EW31" i="17" s="1"/>
  <c r="EW29" i="17"/>
  <c r="FA12" i="17"/>
  <c r="EZ12" i="17"/>
  <c r="DZ31" i="17"/>
  <c r="EU29" i="17"/>
  <c r="EU30" i="17"/>
  <c r="H38" i="21" l="1"/>
  <c r="EZ28" i="17"/>
  <c r="EZ30" i="17"/>
  <c r="FA30" i="17"/>
  <c r="FA29" i="17"/>
  <c r="EZ29" i="17"/>
  <c r="EU31" i="17"/>
  <c r="EV31" i="17"/>
  <c r="FA31" i="17" l="1"/>
  <c r="H39" i="21"/>
  <c r="EZ31" i="17"/>
</calcChain>
</file>

<file path=xl/sharedStrings.xml><?xml version="1.0" encoding="utf-8"?>
<sst xmlns="http://schemas.openxmlformats.org/spreadsheetml/2006/main" count="1366" uniqueCount="450">
  <si>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</si>
  <si>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</si>
  <si>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</si>
  <si>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</si>
  <si>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</si>
  <si>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</si>
  <si>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</si>
  <si>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</si>
  <si>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</si>
  <si>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</si>
  <si>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</si>
  <si>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</si>
  <si>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</si>
  <si>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</si>
  <si>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</si>
  <si>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</si>
  <si>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</si>
  <si>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</si>
  <si>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</si>
  <si>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</si>
  <si>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</si>
  <si>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</si>
  <si>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</si>
  <si>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</si>
  <si>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</si>
  <si>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</si>
  <si>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</si>
  <si>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</si>
  <si>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</si>
  <si>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</si>
  <si>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</si>
  <si>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</si>
  <si>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</si>
  <si>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</si>
  <si>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</si>
  <si>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</si>
  <si>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</si>
  <si>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</si>
  <si>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</si>
  <si>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</si>
  <si>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</si>
  <si>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</si>
  <si>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</si>
  <si>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</si>
  <si>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</si>
  <si>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</si>
  <si>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</si>
  <si>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</si>
  <si>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</si>
  <si>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</si>
  <si>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</si>
  <si>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</si>
  <si>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</si>
  <si>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</si>
  <si>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</si>
  <si>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</si>
  <si>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</si>
  <si>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</si>
  <si>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</si>
  <si>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</si>
  <si>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</si>
  <si>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</si>
  <si>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</si>
  <si>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</si>
  <si>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</si>
  <si>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</si>
  <si>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</si>
  <si>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</si>
  <si>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</si>
  <si>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</si>
  <si>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</si>
  <si>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</si>
  <si>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</si>
  <si>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</si>
  <si>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</si>
  <si>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</si>
  <si>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</si>
  <si>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</si>
  <si>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</si>
  <si>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</si>
  <si>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</si>
  <si>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</si>
  <si>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</si>
  <si>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</si>
  <si>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</si>
  <si>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</si>
  <si>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</si>
  <si>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</si>
  <si>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</si>
  <si>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</si>
  <si>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</si>
  <si>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</si>
  <si>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</si>
  <si>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</si>
  <si>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</si>
  <si>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</si>
  <si>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</si>
  <si>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</si>
  <si>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</si>
  <si>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</si>
  <si>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</si>
  <si>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</si>
  <si>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</si>
  <si>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</si>
  <si>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</si>
  <si>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</si>
  <si>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</si>
  <si>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</si>
  <si>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</si>
  <si>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</si>
  <si>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</si>
  <si>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</si>
  <si>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</si>
  <si>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</si>
  <si>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</si>
  <si>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</si>
  <si>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</si>
  <si>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</si>
  <si>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</si>
  <si>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</si>
  <si>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</si>
  <si>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</si>
  <si>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</si>
  <si>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</si>
  <si>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</si>
  <si>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</si>
  <si>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</si>
  <si>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</si>
  <si>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</si>
  <si>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</si>
  <si>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</si>
  <si>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</si>
  <si>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</si>
  <si>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</si>
  <si>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</si>
  <si>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</si>
  <si>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</si>
  <si>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</si>
  <si>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</si>
  <si>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</si>
  <si>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</si>
  <si>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</si>
  <si>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</si>
  <si>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</si>
  <si>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</si>
  <si>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</si>
  <si>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</si>
  <si>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</si>
  <si>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</si>
  <si>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</si>
  <si>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</si>
  <si>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</si>
  <si>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</si>
  <si>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</si>
  <si>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</si>
  <si>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</si>
  <si>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</si>
  <si>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</si>
  <si>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</si>
  <si>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</si>
  <si>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</si>
  <si>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</si>
  <si>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</si>
  <si>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</si>
  <si>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</si>
  <si>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</si>
  <si>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</si>
  <si>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</si>
  <si>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</si>
  <si>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</si>
  <si>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</si>
  <si>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</si>
  <si>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</si>
  <si>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</si>
  <si>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</si>
  <si>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</si>
  <si>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</si>
  <si>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</si>
  <si>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</si>
  <si>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</si>
  <si>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</si>
  <si>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</si>
  <si>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</si>
  <si>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</si>
  <si>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</si>
  <si>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</si>
  <si>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</si>
  <si>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</si>
  <si>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</si>
  <si>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</si>
  <si>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</si>
  <si>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</si>
  <si>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</si>
  <si>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</si>
  <si>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</si>
  <si>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</si>
  <si>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</si>
  <si>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</si>
  <si>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</si>
  <si>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</si>
  <si>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</si>
  <si>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</si>
  <si>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</si>
  <si>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</si>
  <si>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</si>
  <si>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</si>
  <si>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</si>
  <si>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</si>
  <si>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</si>
  <si>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</si>
  <si>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</si>
  <si>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</si>
  <si>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</si>
  <si>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</si>
  <si>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</si>
  <si>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</si>
  <si>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</si>
  <si>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</si>
  <si>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</si>
  <si>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</si>
  <si>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</si>
  <si>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</si>
  <si>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</si>
  <si>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</si>
  <si>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</si>
  <si>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</si>
  <si>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</si>
  <si>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</si>
  <si>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</si>
  <si>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</si>
  <si>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</si>
  <si>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</si>
  <si>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</si>
  <si>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</si>
  <si>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</si>
  <si>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</si>
  <si>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</si>
  <si>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</si>
  <si>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</si>
  <si>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</si>
  <si>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</si>
  <si>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</si>
  <si>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</si>
  <si>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</si>
  <si>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</si>
  <si>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</si>
  <si>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</si>
  <si>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</si>
  <si>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</si>
  <si>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</si>
  <si>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</si>
  <si>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</si>
  <si>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</si>
  <si>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</si>
  <si>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</si>
  <si>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</si>
  <si>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</si>
  <si>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</si>
  <si>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</si>
  <si>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</si>
  <si>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</si>
  <si>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</si>
  <si>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</si>
  <si>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</si>
  <si>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</si>
  <si>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</si>
  <si>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</si>
  <si>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</si>
  <si>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</si>
  <si>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</si>
  <si>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</si>
  <si>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</si>
  <si>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</si>
  <si>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</si>
  <si>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</si>
  <si>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</si>
  <si>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</si>
  <si>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</si>
  <si>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</si>
  <si>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</si>
  <si>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</si>
  <si>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</si>
  <si>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</si>
  <si>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</si>
  <si>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</si>
  <si>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</si>
  <si>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</si>
  <si>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</si>
  <si>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</si>
  <si>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</si>
  <si>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</si>
  <si>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</si>
  <si>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</si>
  <si>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</si>
  <si>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</si>
  <si>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</si>
  <si>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</si>
  <si>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</si>
  <si>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</si>
  <si>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</si>
  <si>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</si>
  <si>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</si>
  <si>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</si>
  <si>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</si>
  <si>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</si>
  <si>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</si>
  <si>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</si>
  <si>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</si>
  <si>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</si>
  <si>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</si>
  <si>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</si>
  <si>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</si>
  <si>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</si>
  <si>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</si>
  <si>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</si>
  <si>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</si>
  <si>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</si>
  <si>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</si>
  <si>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</si>
  <si>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</si>
  <si>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</si>
  <si>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</si>
  <si>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</si>
  <si>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</si>
  <si>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</si>
  <si>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</si>
  <si>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</si>
  <si>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</si>
  <si>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</si>
  <si>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</si>
  <si>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</si>
  <si>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</si>
  <si>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</si>
  <si>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</si>
  <si>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</si>
  <si>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</si>
  <si>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</si>
  <si>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</si>
  <si>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</si>
  <si>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</si>
  <si>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</si>
  <si>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</si>
  <si>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</si>
  <si>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</si>
  <si>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</si>
  <si>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</si>
  <si>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</si>
  <si>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</si>
  <si>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</si>
  <si>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</si>
  <si>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</si>
  <si>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</si>
  <si>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</si>
  <si>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</si>
  <si>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</si>
  <si>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</si>
  <si>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</si>
  <si>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</si>
  <si>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</si>
  <si>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</si>
  <si>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</si>
  <si>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</si>
  <si>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</si>
  <si>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</si>
  <si>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</si>
  <si>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</si>
  <si>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</si>
  <si>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</si>
  <si>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</si>
  <si>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</si>
  <si>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</si>
  <si>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</si>
  <si>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</si>
  <si>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</si>
  <si>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</si>
  <si>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</si>
  <si>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</si>
  <si>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</si>
  <si>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</si>
  <si>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</si>
  <si>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</si>
  <si>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</si>
  <si>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</si>
  <si>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</si>
  <si>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</si>
  <si>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</si>
  <si>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</si>
  <si>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</si>
  <si>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</si>
  <si>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</si>
  <si>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</si>
  <si>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</si>
  <si>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</si>
  <si>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</si>
  <si>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</si>
  <si>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</si>
  <si>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</si>
  <si>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</si>
  <si>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</si>
  <si>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</si>
  <si>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</si>
  <si>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</si>
  <si>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</si>
  <si>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</si>
  <si>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</si>
  <si>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</si>
  <si>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</si>
  <si>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</si>
  <si>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</si>
  <si>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</si>
  <si>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</si>
  <si>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</si>
  <si>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</si>
  <si>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</si>
  <si>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</si>
  <si>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</si>
  <si>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</si>
  <si>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</si>
  <si>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</si>
  <si>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</si>
  <si>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</si>
  <si>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</si>
  <si>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</si>
  <si>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</si>
  <si>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</si>
  <si>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</si>
  <si>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</si>
  <si>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</si>
  <si>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45204_1</t>
  </si>
  <si>
    <t>日南市</t>
    <rPh sb="0" eb="3">
      <t>ニチナンシ</t>
    </rPh>
    <phoneticPr fontId="1"/>
  </si>
  <si>
    <t>飫肥地区</t>
  </si>
  <si>
    <t>45204_2</t>
  </si>
  <si>
    <t>吾田地区</t>
  </si>
  <si>
    <t>45204_3</t>
  </si>
  <si>
    <t>油津地区</t>
  </si>
  <si>
    <t>45204_4</t>
  </si>
  <si>
    <t>東郷地区</t>
  </si>
  <si>
    <t>45204_5</t>
  </si>
  <si>
    <t>細田地区</t>
  </si>
  <si>
    <t>45204_6</t>
  </si>
  <si>
    <t>鵜戸地区</t>
  </si>
  <si>
    <t>45204_7</t>
  </si>
  <si>
    <t>酒谷地区</t>
  </si>
  <si>
    <t>45204_8</t>
  </si>
  <si>
    <t>北郷地区</t>
  </si>
  <si>
    <t>45204_9</t>
  </si>
  <si>
    <t>南郷地区</t>
  </si>
  <si>
    <t>45204_4</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</si>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</sst>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233</c:v>
                </c:pt>
                <c:pt idx="1">
                  <c:v>188</c:v>
                </c:pt>
                <c:pt idx="2">
                  <c:v>209</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2780456"/>
        <c:axId val="382779280"/>
      </c:barChart>
      <c:catAx>
        <c:axId val="382780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779280"/>
        <c:crosses val="autoZero"/>
        <c:auto val="1"/>
        <c:lblAlgn val="ctr"/>
        <c:lblOffset val="100"/>
        <c:noMultiLvlLbl val="0"/>
      </c:catAx>
      <c:valAx>
        <c:axId val="3827792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7804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155</c:v>
                </c:pt>
                <c:pt idx="1">
                  <c:v>120</c:v>
                </c:pt>
                <c:pt idx="2">
                  <c:v>116</c:v>
                </c:pt>
                <c:pt idx="3">
                  <c:v>120</c:v>
                </c:pt>
                <c:pt idx="4">
                  <c:v>101</c:v>
                </c:pt>
                <c:pt idx="5">
                  <c:v>77</c:v>
                </c:pt>
                <c:pt idx="6">
                  <c:v>64</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88720120"/>
        <c:axId val="382783592"/>
      </c:barChart>
      <c:catAx>
        <c:axId val="388720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783592"/>
        <c:crosses val="autoZero"/>
        <c:auto val="1"/>
        <c:lblAlgn val="ctr"/>
        <c:lblOffset val="100"/>
        <c:noMultiLvlLbl val="0"/>
      </c:catAx>
      <c:valAx>
        <c:axId val="3827835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201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0.32</c:v>
                </c:pt>
                <c:pt idx="1">
                  <c:v>0.37</c:v>
                </c:pt>
                <c:pt idx="2">
                  <c:v>0.41</c:v>
                </c:pt>
                <c:pt idx="3">
                  <c:v>0.43</c:v>
                </c:pt>
                <c:pt idx="4">
                  <c:v>0.44</c:v>
                </c:pt>
                <c:pt idx="5">
                  <c:v>0.44</c:v>
                </c:pt>
                <c:pt idx="6">
                  <c:v>0.45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89164288"/>
        <c:axId val="389160760"/>
      </c:barChart>
      <c:catAx>
        <c:axId val="389164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60760"/>
        <c:crosses val="autoZero"/>
        <c:auto val="1"/>
        <c:lblAlgn val="ctr"/>
        <c:lblOffset val="100"/>
        <c:noMultiLvlLbl val="0"/>
      </c:catAx>
      <c:valAx>
        <c:axId val="3891607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642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0.18</c:v>
                </c:pt>
                <c:pt idx="1">
                  <c:v>0.21</c:v>
                </c:pt>
                <c:pt idx="2">
                  <c:v>0.22</c:v>
                </c:pt>
                <c:pt idx="3">
                  <c:v>0.25</c:v>
                </c:pt>
                <c:pt idx="4">
                  <c:v>0.28999999999999998</c:v>
                </c:pt>
                <c:pt idx="5">
                  <c:v>0.3</c:v>
                </c:pt>
                <c:pt idx="6">
                  <c:v>0.3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89167816"/>
        <c:axId val="389167032"/>
      </c:barChart>
      <c:catAx>
        <c:axId val="389167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67032"/>
        <c:crosses val="autoZero"/>
        <c:auto val="1"/>
        <c:lblAlgn val="ctr"/>
        <c:lblOffset val="100"/>
        <c:noMultiLvlLbl val="0"/>
      </c:catAx>
      <c:valAx>
        <c:axId val="3891670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678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DBE-4099-810F-71C2F0606578}"/>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DBE-4099-810F-71C2F060657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40</c:v>
                </c:pt>
                <c:pt idx="1">
                  <c:v>54</c:v>
                </c:pt>
                <c:pt idx="2">
                  <c:v>78</c:v>
                </c:pt>
                <c:pt idx="3">
                  <c:v>149</c:v>
                </c:pt>
                <c:pt idx="4">
                  <c:v>56</c:v>
                </c:pt>
                <c:pt idx="5">
                  <c:v>61</c:v>
                </c:pt>
                <c:pt idx="6">
                  <c:v>65</c:v>
                </c:pt>
                <c:pt idx="7">
                  <c:v>94</c:v>
                </c:pt>
                <c:pt idx="8">
                  <c:v>93</c:v>
                </c:pt>
                <c:pt idx="9">
                  <c:v>119</c:v>
                </c:pt>
                <c:pt idx="10">
                  <c:v>144</c:v>
                </c:pt>
                <c:pt idx="11">
                  <c:v>125</c:v>
                </c:pt>
                <c:pt idx="12">
                  <c:v>135</c:v>
                </c:pt>
                <c:pt idx="13">
                  <c:v>142</c:v>
                </c:pt>
                <c:pt idx="14">
                  <c:v>152</c:v>
                </c:pt>
                <c:pt idx="15">
                  <c:v>172</c:v>
                </c:pt>
                <c:pt idx="16">
                  <c:v>151</c:v>
                </c:pt>
                <c:pt idx="17">
                  <c:v>97</c:v>
                </c:pt>
                <c:pt idx="18">
                  <c:v>36</c:v>
                </c:pt>
                <c:pt idx="19">
                  <c:v>10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89168208"/>
        <c:axId val="38916154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32</c:v>
                </c:pt>
                <c:pt idx="1">
                  <c:v>42</c:v>
                </c:pt>
                <c:pt idx="2">
                  <c:v>57</c:v>
                </c:pt>
                <c:pt idx="3">
                  <c:v>85</c:v>
                </c:pt>
                <c:pt idx="4">
                  <c:v>46</c:v>
                </c:pt>
                <c:pt idx="5">
                  <c:v>33</c:v>
                </c:pt>
                <c:pt idx="6">
                  <c:v>55</c:v>
                </c:pt>
                <c:pt idx="7">
                  <c:v>78</c:v>
                </c:pt>
                <c:pt idx="8">
                  <c:v>93</c:v>
                </c:pt>
                <c:pt idx="9">
                  <c:v>128</c:v>
                </c:pt>
                <c:pt idx="10">
                  <c:v>143</c:v>
                </c:pt>
                <c:pt idx="11">
                  <c:v>145</c:v>
                </c:pt>
                <c:pt idx="12">
                  <c:v>127</c:v>
                </c:pt>
                <c:pt idx="13">
                  <c:v>154</c:v>
                </c:pt>
                <c:pt idx="14">
                  <c:v>171</c:v>
                </c:pt>
                <c:pt idx="15">
                  <c:v>220</c:v>
                </c:pt>
                <c:pt idx="16">
                  <c:v>193</c:v>
                </c:pt>
                <c:pt idx="17">
                  <c:v>133</c:v>
                </c:pt>
                <c:pt idx="18">
                  <c:v>101</c:v>
                </c:pt>
                <c:pt idx="19">
                  <c:v>48</c:v>
                </c:pt>
                <c:pt idx="20">
                  <c:v>9</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89162328"/>
        <c:axId val="389161936"/>
      </c:barChart>
      <c:catAx>
        <c:axId val="3891682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61544"/>
        <c:crosses val="autoZero"/>
        <c:auto val="1"/>
        <c:lblAlgn val="ctr"/>
        <c:lblOffset val="100"/>
        <c:noMultiLvlLbl val="0"/>
      </c:catAx>
      <c:valAx>
        <c:axId val="38916154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68208"/>
        <c:crosses val="autoZero"/>
        <c:crossBetween val="between"/>
        <c:majorUnit val="150"/>
      </c:valAx>
      <c:valAx>
        <c:axId val="38916193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62328"/>
        <c:crosses val="max"/>
        <c:crossBetween val="between"/>
        <c:majorUnit val="150"/>
      </c:valAx>
      <c:catAx>
        <c:axId val="389162328"/>
        <c:scaling>
          <c:orientation val="minMax"/>
        </c:scaling>
        <c:delete val="1"/>
        <c:axPos val="l"/>
        <c:numFmt formatCode="General" sourceLinked="1"/>
        <c:majorTickMark val="out"/>
        <c:minorTickMark val="none"/>
        <c:tickLblPos val="nextTo"/>
        <c:crossAx val="3891619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D9C-44E2-BAB5-83F1E1734A9D}"/>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D9C-44E2-BAB5-83F1E1734A9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30</c:v>
                </c:pt>
                <c:pt idx="1">
                  <c:v>42</c:v>
                </c:pt>
                <c:pt idx="2">
                  <c:v>52</c:v>
                </c:pt>
                <c:pt idx="3">
                  <c:v>98</c:v>
                </c:pt>
                <c:pt idx="4">
                  <c:v>45</c:v>
                </c:pt>
                <c:pt idx="5">
                  <c:v>57</c:v>
                </c:pt>
                <c:pt idx="6">
                  <c:v>63</c:v>
                </c:pt>
                <c:pt idx="7">
                  <c:v>68</c:v>
                </c:pt>
                <c:pt idx="8">
                  <c:v>72</c:v>
                </c:pt>
                <c:pt idx="9">
                  <c:v>103</c:v>
                </c:pt>
                <c:pt idx="10">
                  <c:v>103</c:v>
                </c:pt>
                <c:pt idx="11">
                  <c:v>124</c:v>
                </c:pt>
                <c:pt idx="12">
                  <c:v>147</c:v>
                </c:pt>
                <c:pt idx="13">
                  <c:v>122</c:v>
                </c:pt>
                <c:pt idx="14">
                  <c:v>122</c:v>
                </c:pt>
                <c:pt idx="15">
                  <c:v>113</c:v>
                </c:pt>
                <c:pt idx="16">
                  <c:v>111</c:v>
                </c:pt>
                <c:pt idx="17">
                  <c:v>103</c:v>
                </c:pt>
                <c:pt idx="18">
                  <c:v>47</c:v>
                </c:pt>
                <c:pt idx="19">
                  <c:v>10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89163112"/>
        <c:axId val="38916350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25</c:v>
                </c:pt>
                <c:pt idx="1">
                  <c:v>32</c:v>
                </c:pt>
                <c:pt idx="2">
                  <c:v>38</c:v>
                </c:pt>
                <c:pt idx="3">
                  <c:v>40</c:v>
                </c:pt>
                <c:pt idx="4">
                  <c:v>32</c:v>
                </c:pt>
                <c:pt idx="5">
                  <c:v>44</c:v>
                </c:pt>
                <c:pt idx="6">
                  <c:v>44</c:v>
                </c:pt>
                <c:pt idx="7">
                  <c:v>42</c:v>
                </c:pt>
                <c:pt idx="8">
                  <c:v>64</c:v>
                </c:pt>
                <c:pt idx="9">
                  <c:v>84</c:v>
                </c:pt>
                <c:pt idx="10">
                  <c:v>106</c:v>
                </c:pt>
                <c:pt idx="11">
                  <c:v>145</c:v>
                </c:pt>
                <c:pt idx="12">
                  <c:v>148</c:v>
                </c:pt>
                <c:pt idx="13">
                  <c:v>144</c:v>
                </c:pt>
                <c:pt idx="14">
                  <c:v>121</c:v>
                </c:pt>
                <c:pt idx="15">
                  <c:v>145</c:v>
                </c:pt>
                <c:pt idx="16">
                  <c:v>153</c:v>
                </c:pt>
                <c:pt idx="17">
                  <c:v>179</c:v>
                </c:pt>
                <c:pt idx="18">
                  <c:v>117</c:v>
                </c:pt>
                <c:pt idx="19">
                  <c:v>39</c:v>
                </c:pt>
                <c:pt idx="20">
                  <c:v>9</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89164680"/>
        <c:axId val="389163896"/>
      </c:barChart>
      <c:catAx>
        <c:axId val="3891631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63504"/>
        <c:crosses val="autoZero"/>
        <c:auto val="1"/>
        <c:lblAlgn val="ctr"/>
        <c:lblOffset val="100"/>
        <c:noMultiLvlLbl val="0"/>
      </c:catAx>
      <c:valAx>
        <c:axId val="38916350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63112"/>
        <c:crosses val="autoZero"/>
        <c:crossBetween val="between"/>
        <c:majorUnit val="150"/>
      </c:valAx>
      <c:valAx>
        <c:axId val="38916389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64680"/>
        <c:crosses val="max"/>
        <c:crossBetween val="between"/>
        <c:majorUnit val="150"/>
      </c:valAx>
      <c:catAx>
        <c:axId val="389164680"/>
        <c:scaling>
          <c:orientation val="minMax"/>
        </c:scaling>
        <c:delete val="1"/>
        <c:axPos val="l"/>
        <c:numFmt formatCode="General" sourceLinked="1"/>
        <c:majorTickMark val="out"/>
        <c:minorTickMark val="none"/>
        <c:tickLblPos val="nextTo"/>
        <c:crossAx val="3891638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5041</c:v>
                </c:pt>
                <c:pt idx="1">
                  <c:v>4829</c:v>
                </c:pt>
                <c:pt idx="2">
                  <c:v>4653</c:v>
                </c:pt>
                <c:pt idx="3">
                  <c:v>4383</c:v>
                </c:pt>
                <c:pt idx="4">
                  <c:v>4066</c:v>
                </c:pt>
                <c:pt idx="5">
                  <c:v>3724</c:v>
                </c:pt>
                <c:pt idx="6">
                  <c:v>3383</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AC69-4413-8C72-102CB9280D6A}"/>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AC69-4413-8C72-102CB9280D6A}"/>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AC69-4413-8C72-102CB9280D6A}"/>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AC69-4413-8C72-102CB9280D6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4392</c:v>
                </c:pt>
                <c:pt idx="4" formatCode="#,##0_);[Red]\(#,##0\)">
                  <c:v>4086</c:v>
                </c:pt>
                <c:pt idx="5" formatCode="#,##0_);[Red]\(#,##0\)">
                  <c:v>3758</c:v>
                </c:pt>
                <c:pt idx="6" formatCode="#,##0_);[Red]\(#,##0\)">
                  <c:v>3430</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89165464"/>
        <c:axId val="389166248"/>
      </c:barChart>
      <c:catAx>
        <c:axId val="38916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66248"/>
        <c:crosses val="autoZero"/>
        <c:auto val="1"/>
        <c:lblAlgn val="ctr"/>
        <c:lblOffset val="100"/>
        <c:noMultiLvlLbl val="0"/>
      </c:catAx>
      <c:valAx>
        <c:axId val="3891662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6546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233</c:v>
                </c:pt>
                <c:pt idx="1">
                  <c:v>188</c:v>
                </c:pt>
                <c:pt idx="2">
                  <c:v>209</c:v>
                </c:pt>
                <c:pt idx="3">
                  <c:v>186</c:v>
                </c:pt>
                <c:pt idx="4">
                  <c:v>139</c:v>
                </c:pt>
                <c:pt idx="5">
                  <c:v>113</c:v>
                </c:pt>
                <c:pt idx="6">
                  <c:v>99</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187</c:v>
                </c:pt>
                <c:pt idx="4">
                  <c:v>141</c:v>
                </c:pt>
                <c:pt idx="5">
                  <c:v>118</c:v>
                </c:pt>
                <c:pt idx="6">
                  <c:v>106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87907776"/>
        <c:axId val="387908560"/>
      </c:barChart>
      <c:catAx>
        <c:axId val="387907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08560"/>
        <c:crosses val="autoZero"/>
        <c:auto val="1"/>
        <c:lblAlgn val="ctr"/>
        <c:lblOffset val="100"/>
        <c:noMultiLvlLbl val="0"/>
      </c:catAx>
      <c:valAx>
        <c:axId val="3879085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07776"/>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0.32</c:v>
                </c:pt>
                <c:pt idx="1">
                  <c:v>0.37</c:v>
                </c:pt>
                <c:pt idx="2">
                  <c:v>0.41</c:v>
                </c:pt>
                <c:pt idx="3">
                  <c:v>0.43</c:v>
                </c:pt>
                <c:pt idx="4">
                  <c:v>0.44</c:v>
                </c:pt>
                <c:pt idx="5">
                  <c:v>0.44</c:v>
                </c:pt>
                <c:pt idx="6">
                  <c:v>0.45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329-482B-9062-89D130DC9578}"/>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329-482B-9062-89D130DC9578}"/>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329-482B-9062-89D130DC9578}"/>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329-482B-9062-89D130DC957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0.43</c:v>
                </c:pt>
                <c:pt idx="4" formatCode="0%">
                  <c:v>0.44</c:v>
                </c:pt>
                <c:pt idx="5" formatCode="0%">
                  <c:v>0.44</c:v>
                </c:pt>
                <c:pt idx="6" formatCode="0%">
                  <c:v>0.45</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87912088"/>
        <c:axId val="387910128"/>
      </c:barChart>
      <c:catAx>
        <c:axId val="387912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10128"/>
        <c:crosses val="autoZero"/>
        <c:auto val="1"/>
        <c:lblAlgn val="ctr"/>
        <c:lblOffset val="100"/>
        <c:noMultiLvlLbl val="0"/>
      </c:catAx>
      <c:valAx>
        <c:axId val="3879101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1208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0.18</c:v>
                </c:pt>
                <c:pt idx="1">
                  <c:v>0.21</c:v>
                </c:pt>
                <c:pt idx="2">
                  <c:v>0.22</c:v>
                </c:pt>
                <c:pt idx="3">
                  <c:v>0.25</c:v>
                </c:pt>
                <c:pt idx="4">
                  <c:v>0.28999999999999998</c:v>
                </c:pt>
                <c:pt idx="5">
                  <c:v>0.3</c:v>
                </c:pt>
                <c:pt idx="6">
                  <c:v>0.3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A156-46F1-8AB8-6CB14E9D8BA6}"/>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A156-46F1-8AB8-6CB14E9D8BA6}"/>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A156-46F1-8AB8-6CB14E9D8BA6}"/>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156-46F1-8AB8-6CB14E9D8BA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0.25</c:v>
                </c:pt>
                <c:pt idx="4" formatCode="0%">
                  <c:v>0.28999999999999998</c:v>
                </c:pt>
                <c:pt idx="5" formatCode="0%">
                  <c:v>0.3</c:v>
                </c:pt>
                <c:pt idx="6" formatCode="0%">
                  <c:v>0.3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87911304"/>
        <c:axId val="387913656"/>
      </c:barChart>
      <c:catAx>
        <c:axId val="387911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13656"/>
        <c:crosses val="autoZero"/>
        <c:auto val="1"/>
        <c:lblAlgn val="ctr"/>
        <c:lblOffset val="100"/>
        <c:noMultiLvlLbl val="0"/>
      </c:catAx>
      <c:valAx>
        <c:axId val="3879136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1130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155</c:v>
                </c:pt>
                <c:pt idx="1">
                  <c:v>120</c:v>
                </c:pt>
                <c:pt idx="2">
                  <c:v>116</c:v>
                </c:pt>
                <c:pt idx="3">
                  <c:v>120</c:v>
                </c:pt>
                <c:pt idx="4">
                  <c:v>101</c:v>
                </c:pt>
                <c:pt idx="5">
                  <c:v>77</c:v>
                </c:pt>
                <c:pt idx="6">
                  <c:v>64</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121</c:v>
                </c:pt>
                <c:pt idx="4">
                  <c:v>102</c:v>
                </c:pt>
                <c:pt idx="5">
                  <c:v>80</c:v>
                </c:pt>
                <c:pt idx="6">
                  <c:v>67</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87910520"/>
        <c:axId val="387908168"/>
      </c:barChart>
      <c:catAx>
        <c:axId val="387910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08168"/>
        <c:crosses val="autoZero"/>
        <c:auto val="1"/>
        <c:lblAlgn val="ctr"/>
        <c:lblOffset val="100"/>
        <c:noMultiLvlLbl val="0"/>
      </c:catAx>
      <c:valAx>
        <c:axId val="3879081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1052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155</c:v>
                </c:pt>
                <c:pt idx="1">
                  <c:v>120</c:v>
                </c:pt>
                <c:pt idx="2">
                  <c:v>116</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2781240"/>
        <c:axId val="382781632"/>
      </c:barChart>
      <c:catAx>
        <c:axId val="382781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781632"/>
        <c:crosses val="autoZero"/>
        <c:auto val="1"/>
        <c:lblAlgn val="ctr"/>
        <c:lblOffset val="100"/>
        <c:noMultiLvlLbl val="0"/>
      </c:catAx>
      <c:valAx>
        <c:axId val="3827816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7812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888-4A19-8022-B1058593A378}"/>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888-4A19-8022-B1058593A37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41</c:v>
                </c:pt>
                <c:pt idx="1">
                  <c:v>55</c:v>
                </c:pt>
                <c:pt idx="2">
                  <c:v>79</c:v>
                </c:pt>
                <c:pt idx="3">
                  <c:v>150</c:v>
                </c:pt>
                <c:pt idx="4">
                  <c:v>56</c:v>
                </c:pt>
                <c:pt idx="5">
                  <c:v>63</c:v>
                </c:pt>
                <c:pt idx="6">
                  <c:v>68</c:v>
                </c:pt>
                <c:pt idx="7">
                  <c:v>94</c:v>
                </c:pt>
                <c:pt idx="8">
                  <c:v>93</c:v>
                </c:pt>
                <c:pt idx="9">
                  <c:v>119</c:v>
                </c:pt>
                <c:pt idx="10">
                  <c:v>144</c:v>
                </c:pt>
                <c:pt idx="11">
                  <c:v>125</c:v>
                </c:pt>
                <c:pt idx="12">
                  <c:v>135</c:v>
                </c:pt>
                <c:pt idx="13">
                  <c:v>142</c:v>
                </c:pt>
                <c:pt idx="14">
                  <c:v>152</c:v>
                </c:pt>
                <c:pt idx="15">
                  <c:v>172</c:v>
                </c:pt>
                <c:pt idx="16">
                  <c:v>151</c:v>
                </c:pt>
                <c:pt idx="17">
                  <c:v>97</c:v>
                </c:pt>
                <c:pt idx="18">
                  <c:v>36</c:v>
                </c:pt>
                <c:pt idx="19">
                  <c:v>10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87909344"/>
        <c:axId val="38790973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34</c:v>
                </c:pt>
                <c:pt idx="1">
                  <c:v>43</c:v>
                </c:pt>
                <c:pt idx="2">
                  <c:v>58</c:v>
                </c:pt>
                <c:pt idx="3">
                  <c:v>86</c:v>
                </c:pt>
                <c:pt idx="4">
                  <c:v>46</c:v>
                </c:pt>
                <c:pt idx="5">
                  <c:v>35</c:v>
                </c:pt>
                <c:pt idx="6">
                  <c:v>57</c:v>
                </c:pt>
                <c:pt idx="7">
                  <c:v>78</c:v>
                </c:pt>
                <c:pt idx="8">
                  <c:v>94</c:v>
                </c:pt>
                <c:pt idx="9">
                  <c:v>129</c:v>
                </c:pt>
                <c:pt idx="10">
                  <c:v>143</c:v>
                </c:pt>
                <c:pt idx="11">
                  <c:v>145</c:v>
                </c:pt>
                <c:pt idx="12">
                  <c:v>127</c:v>
                </c:pt>
                <c:pt idx="13">
                  <c:v>154</c:v>
                </c:pt>
                <c:pt idx="14">
                  <c:v>171</c:v>
                </c:pt>
                <c:pt idx="15">
                  <c:v>220</c:v>
                </c:pt>
                <c:pt idx="16">
                  <c:v>193</c:v>
                </c:pt>
                <c:pt idx="17">
                  <c:v>133</c:v>
                </c:pt>
                <c:pt idx="18">
                  <c:v>101</c:v>
                </c:pt>
                <c:pt idx="19">
                  <c:v>48</c:v>
                </c:pt>
                <c:pt idx="20">
                  <c:v>9</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87912480"/>
        <c:axId val="387910912"/>
      </c:barChart>
      <c:catAx>
        <c:axId val="3879093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09736"/>
        <c:crosses val="autoZero"/>
        <c:auto val="1"/>
        <c:lblAlgn val="ctr"/>
        <c:lblOffset val="100"/>
        <c:noMultiLvlLbl val="0"/>
      </c:catAx>
      <c:valAx>
        <c:axId val="38790973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09344"/>
        <c:crosses val="autoZero"/>
        <c:crossBetween val="between"/>
        <c:majorUnit val="150"/>
      </c:valAx>
      <c:valAx>
        <c:axId val="38791091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12480"/>
        <c:crosses val="max"/>
        <c:crossBetween val="between"/>
        <c:majorUnit val="150"/>
      </c:valAx>
      <c:catAx>
        <c:axId val="387912480"/>
        <c:scaling>
          <c:orientation val="minMax"/>
        </c:scaling>
        <c:delete val="1"/>
        <c:axPos val="l"/>
        <c:numFmt formatCode="General" sourceLinked="1"/>
        <c:majorTickMark val="out"/>
        <c:minorTickMark val="none"/>
        <c:tickLblPos val="nextTo"/>
        <c:crossAx val="3879109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638-4851-AA72-9DF4FF68232D}"/>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638-4851-AA72-9DF4FF68232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33</c:v>
                </c:pt>
                <c:pt idx="1">
                  <c:v>44</c:v>
                </c:pt>
                <c:pt idx="2">
                  <c:v>56</c:v>
                </c:pt>
                <c:pt idx="3">
                  <c:v>101</c:v>
                </c:pt>
                <c:pt idx="4">
                  <c:v>46</c:v>
                </c:pt>
                <c:pt idx="5">
                  <c:v>60</c:v>
                </c:pt>
                <c:pt idx="6">
                  <c:v>65</c:v>
                </c:pt>
                <c:pt idx="7">
                  <c:v>70</c:v>
                </c:pt>
                <c:pt idx="8">
                  <c:v>74</c:v>
                </c:pt>
                <c:pt idx="9">
                  <c:v>103</c:v>
                </c:pt>
                <c:pt idx="10">
                  <c:v>103</c:v>
                </c:pt>
                <c:pt idx="11">
                  <c:v>124</c:v>
                </c:pt>
                <c:pt idx="12">
                  <c:v>147</c:v>
                </c:pt>
                <c:pt idx="13">
                  <c:v>122</c:v>
                </c:pt>
                <c:pt idx="14">
                  <c:v>122</c:v>
                </c:pt>
                <c:pt idx="15">
                  <c:v>113</c:v>
                </c:pt>
                <c:pt idx="16">
                  <c:v>111</c:v>
                </c:pt>
                <c:pt idx="17">
                  <c:v>103</c:v>
                </c:pt>
                <c:pt idx="18">
                  <c:v>47</c:v>
                </c:pt>
                <c:pt idx="19">
                  <c:v>10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87914832"/>
        <c:axId val="38790895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27</c:v>
                </c:pt>
                <c:pt idx="1">
                  <c:v>35</c:v>
                </c:pt>
                <c:pt idx="2">
                  <c:v>41</c:v>
                </c:pt>
                <c:pt idx="3">
                  <c:v>42</c:v>
                </c:pt>
                <c:pt idx="4">
                  <c:v>32</c:v>
                </c:pt>
                <c:pt idx="5">
                  <c:v>47</c:v>
                </c:pt>
                <c:pt idx="6">
                  <c:v>47</c:v>
                </c:pt>
                <c:pt idx="7">
                  <c:v>44</c:v>
                </c:pt>
                <c:pt idx="8">
                  <c:v>68</c:v>
                </c:pt>
                <c:pt idx="9">
                  <c:v>85</c:v>
                </c:pt>
                <c:pt idx="10">
                  <c:v>107</c:v>
                </c:pt>
                <c:pt idx="11">
                  <c:v>146</c:v>
                </c:pt>
                <c:pt idx="12">
                  <c:v>148</c:v>
                </c:pt>
                <c:pt idx="13">
                  <c:v>144</c:v>
                </c:pt>
                <c:pt idx="14">
                  <c:v>121</c:v>
                </c:pt>
                <c:pt idx="15">
                  <c:v>145</c:v>
                </c:pt>
                <c:pt idx="16">
                  <c:v>153</c:v>
                </c:pt>
                <c:pt idx="17">
                  <c:v>179</c:v>
                </c:pt>
                <c:pt idx="18">
                  <c:v>117</c:v>
                </c:pt>
                <c:pt idx="19">
                  <c:v>39</c:v>
                </c:pt>
                <c:pt idx="20">
                  <c:v>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49289016"/>
        <c:axId val="387914440"/>
      </c:barChart>
      <c:catAx>
        <c:axId val="3879148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08952"/>
        <c:crosses val="autoZero"/>
        <c:auto val="1"/>
        <c:lblAlgn val="ctr"/>
        <c:lblOffset val="100"/>
        <c:noMultiLvlLbl val="0"/>
      </c:catAx>
      <c:valAx>
        <c:axId val="38790895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14832"/>
        <c:crosses val="autoZero"/>
        <c:crossBetween val="between"/>
        <c:majorUnit val="150"/>
      </c:valAx>
      <c:valAx>
        <c:axId val="38791444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289016"/>
        <c:crosses val="max"/>
        <c:crossBetween val="between"/>
        <c:majorUnit val="150"/>
      </c:valAx>
      <c:catAx>
        <c:axId val="449289016"/>
        <c:scaling>
          <c:orientation val="minMax"/>
        </c:scaling>
        <c:delete val="1"/>
        <c:axPos val="l"/>
        <c:numFmt formatCode="General" sourceLinked="1"/>
        <c:majorTickMark val="out"/>
        <c:minorTickMark val="none"/>
        <c:tickLblPos val="nextTo"/>
        <c:crossAx val="3879144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72</c:v>
                </c:pt>
                <c:pt idx="1">
                  <c:v>96</c:v>
                </c:pt>
                <c:pt idx="2">
                  <c:v>135</c:v>
                </c:pt>
                <c:pt idx="3">
                  <c:v>234</c:v>
                </c:pt>
                <c:pt idx="4">
                  <c:v>102</c:v>
                </c:pt>
                <c:pt idx="5">
                  <c:v>94</c:v>
                </c:pt>
                <c:pt idx="6">
                  <c:v>120</c:v>
                </c:pt>
                <c:pt idx="7">
                  <c:v>172</c:v>
                </c:pt>
                <c:pt idx="8">
                  <c:v>186</c:v>
                </c:pt>
                <c:pt idx="9">
                  <c:v>247</c:v>
                </c:pt>
                <c:pt idx="10">
                  <c:v>287</c:v>
                </c:pt>
                <c:pt idx="11">
                  <c:v>270</c:v>
                </c:pt>
                <c:pt idx="12">
                  <c:v>262</c:v>
                </c:pt>
                <c:pt idx="13">
                  <c:v>296</c:v>
                </c:pt>
                <c:pt idx="14">
                  <c:v>323</c:v>
                </c:pt>
                <c:pt idx="15">
                  <c:v>392</c:v>
                </c:pt>
                <c:pt idx="16">
                  <c:v>344</c:v>
                </c:pt>
                <c:pt idx="17">
                  <c:v>230</c:v>
                </c:pt>
                <c:pt idx="18">
                  <c:v>137</c:v>
                </c:pt>
                <c:pt idx="19">
                  <c:v>58</c:v>
                </c:pt>
                <c:pt idx="20">
                  <c:v>9</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49288232"/>
        <c:axId val="44929332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75</c:v>
                </c:pt>
                <c:pt idx="1">
                  <c:v>98</c:v>
                </c:pt>
                <c:pt idx="2">
                  <c:v>137</c:v>
                </c:pt>
                <c:pt idx="3">
                  <c:v>236</c:v>
                </c:pt>
                <c:pt idx="4">
                  <c:v>102</c:v>
                </c:pt>
                <c:pt idx="5">
                  <c:v>98</c:v>
                </c:pt>
                <c:pt idx="6">
                  <c:v>125</c:v>
                </c:pt>
                <c:pt idx="7">
                  <c:v>172</c:v>
                </c:pt>
                <c:pt idx="8">
                  <c:v>187</c:v>
                </c:pt>
                <c:pt idx="9">
                  <c:v>248</c:v>
                </c:pt>
                <c:pt idx="10">
                  <c:v>287</c:v>
                </c:pt>
                <c:pt idx="11">
                  <c:v>270</c:v>
                </c:pt>
                <c:pt idx="12">
                  <c:v>262</c:v>
                </c:pt>
                <c:pt idx="13">
                  <c:v>296</c:v>
                </c:pt>
                <c:pt idx="14">
                  <c:v>323</c:v>
                </c:pt>
                <c:pt idx="15">
                  <c:v>392</c:v>
                </c:pt>
                <c:pt idx="16">
                  <c:v>344</c:v>
                </c:pt>
                <c:pt idx="17">
                  <c:v>230</c:v>
                </c:pt>
                <c:pt idx="18">
                  <c:v>137</c:v>
                </c:pt>
                <c:pt idx="19">
                  <c:v>58</c:v>
                </c:pt>
                <c:pt idx="20">
                  <c:v>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49290192"/>
        <c:axId val="449293720"/>
      </c:barChart>
      <c:catAx>
        <c:axId val="4492882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293328"/>
        <c:crosses val="autoZero"/>
        <c:auto val="1"/>
        <c:lblAlgn val="ctr"/>
        <c:lblOffset val="100"/>
        <c:noMultiLvlLbl val="0"/>
      </c:catAx>
      <c:valAx>
        <c:axId val="44929332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288232"/>
        <c:crosses val="autoZero"/>
        <c:crossBetween val="between"/>
        <c:majorUnit val="250"/>
      </c:valAx>
      <c:valAx>
        <c:axId val="44929372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290192"/>
        <c:crosses val="max"/>
        <c:crossBetween val="between"/>
        <c:majorUnit val="250"/>
      </c:valAx>
      <c:catAx>
        <c:axId val="449290192"/>
        <c:scaling>
          <c:orientation val="minMax"/>
        </c:scaling>
        <c:delete val="1"/>
        <c:axPos val="l"/>
        <c:numFmt formatCode="General" sourceLinked="1"/>
        <c:majorTickMark val="out"/>
        <c:minorTickMark val="none"/>
        <c:tickLblPos val="nextTo"/>
        <c:crossAx val="44929372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55</c:v>
                </c:pt>
                <c:pt idx="1">
                  <c:v>74</c:v>
                </c:pt>
                <c:pt idx="2">
                  <c:v>90</c:v>
                </c:pt>
                <c:pt idx="3">
                  <c:v>138</c:v>
                </c:pt>
                <c:pt idx="4">
                  <c:v>77</c:v>
                </c:pt>
                <c:pt idx="5">
                  <c:v>101</c:v>
                </c:pt>
                <c:pt idx="6">
                  <c:v>107</c:v>
                </c:pt>
                <c:pt idx="7">
                  <c:v>110</c:v>
                </c:pt>
                <c:pt idx="8">
                  <c:v>136</c:v>
                </c:pt>
                <c:pt idx="9">
                  <c:v>187</c:v>
                </c:pt>
                <c:pt idx="10">
                  <c:v>209</c:v>
                </c:pt>
                <c:pt idx="11">
                  <c:v>269</c:v>
                </c:pt>
                <c:pt idx="12">
                  <c:v>295</c:v>
                </c:pt>
                <c:pt idx="13">
                  <c:v>266</c:v>
                </c:pt>
                <c:pt idx="14">
                  <c:v>243</c:v>
                </c:pt>
                <c:pt idx="15">
                  <c:v>258</c:v>
                </c:pt>
                <c:pt idx="16">
                  <c:v>264</c:v>
                </c:pt>
                <c:pt idx="17">
                  <c:v>282</c:v>
                </c:pt>
                <c:pt idx="18">
                  <c:v>164</c:v>
                </c:pt>
                <c:pt idx="19">
                  <c:v>49</c:v>
                </c:pt>
                <c:pt idx="20">
                  <c:v>9</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49286272"/>
        <c:axId val="44928666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60</c:v>
                </c:pt>
                <c:pt idx="1">
                  <c:v>79</c:v>
                </c:pt>
                <c:pt idx="2">
                  <c:v>97</c:v>
                </c:pt>
                <c:pt idx="3">
                  <c:v>143</c:v>
                </c:pt>
                <c:pt idx="4">
                  <c:v>78</c:v>
                </c:pt>
                <c:pt idx="5">
                  <c:v>107</c:v>
                </c:pt>
                <c:pt idx="6">
                  <c:v>112</c:v>
                </c:pt>
                <c:pt idx="7">
                  <c:v>114</c:v>
                </c:pt>
                <c:pt idx="8">
                  <c:v>142</c:v>
                </c:pt>
                <c:pt idx="9">
                  <c:v>188</c:v>
                </c:pt>
                <c:pt idx="10">
                  <c:v>210</c:v>
                </c:pt>
                <c:pt idx="11">
                  <c:v>270</c:v>
                </c:pt>
                <c:pt idx="12">
                  <c:v>295</c:v>
                </c:pt>
                <c:pt idx="13">
                  <c:v>266</c:v>
                </c:pt>
                <c:pt idx="14">
                  <c:v>243</c:v>
                </c:pt>
                <c:pt idx="15">
                  <c:v>258</c:v>
                </c:pt>
                <c:pt idx="16">
                  <c:v>264</c:v>
                </c:pt>
                <c:pt idx="17">
                  <c:v>282</c:v>
                </c:pt>
                <c:pt idx="18">
                  <c:v>164</c:v>
                </c:pt>
                <c:pt idx="19">
                  <c:v>49</c:v>
                </c:pt>
                <c:pt idx="20">
                  <c:v>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49287448"/>
        <c:axId val="449291368"/>
      </c:barChart>
      <c:catAx>
        <c:axId val="4492862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286664"/>
        <c:crosses val="autoZero"/>
        <c:auto val="1"/>
        <c:lblAlgn val="ctr"/>
        <c:lblOffset val="100"/>
        <c:noMultiLvlLbl val="0"/>
      </c:catAx>
      <c:valAx>
        <c:axId val="44928666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286272"/>
        <c:crosses val="autoZero"/>
        <c:crossBetween val="between"/>
        <c:majorUnit val="250"/>
      </c:valAx>
      <c:valAx>
        <c:axId val="44929136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287448"/>
        <c:crosses val="max"/>
        <c:crossBetween val="between"/>
        <c:majorUnit val="250"/>
      </c:valAx>
      <c:catAx>
        <c:axId val="449287448"/>
        <c:scaling>
          <c:orientation val="minMax"/>
        </c:scaling>
        <c:delete val="1"/>
        <c:axPos val="l"/>
        <c:numFmt formatCode="General" sourceLinked="1"/>
        <c:majorTickMark val="out"/>
        <c:minorTickMark val="none"/>
        <c:tickLblPos val="nextTo"/>
        <c:crossAx val="44929136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東郷地区</c:v>
                </c:pt>
              </c:strCache>
            </c:strRef>
          </c:cat>
          <c:val>
            <c:numRef>
              <c:f>管理者用地域特徴シート!$H$3:$H$5</c:f>
              <c:numCache>
                <c:formatCode>0.0%</c:formatCode>
                <c:ptCount val="3"/>
                <c:pt idx="0">
                  <c:v>0.46108733927332846</c:v>
                </c:pt>
                <c:pt idx="1">
                  <c:v>0.54890710382513663</c:v>
                </c:pt>
                <c:pt idx="2">
                  <c:v>0.57389749702026227</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49288624"/>
        <c:axId val="449290976"/>
      </c:barChart>
      <c:catAx>
        <c:axId val="4492886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290976"/>
        <c:crosses val="autoZero"/>
        <c:auto val="1"/>
        <c:lblAlgn val="ctr"/>
        <c:lblOffset val="100"/>
        <c:noMultiLvlLbl val="0"/>
      </c:catAx>
      <c:valAx>
        <c:axId val="4492909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2886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東郷地区</c:v>
                </c:pt>
              </c:strCache>
            </c:strRef>
          </c:cat>
          <c:val>
            <c:numRef>
              <c:f>管理者用地域特徴シート!$J$3:$J$5</c:f>
              <c:numCache>
                <c:formatCode>0.0%</c:formatCode>
                <c:ptCount val="3"/>
                <c:pt idx="0">
                  <c:v>0.15075281438403673</c:v>
                </c:pt>
                <c:pt idx="1">
                  <c:v>0.18647540983606559</c:v>
                </c:pt>
                <c:pt idx="2">
                  <c:v>0.17103694874851014</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49289800"/>
        <c:axId val="449291760"/>
      </c:barChart>
      <c:catAx>
        <c:axId val="4492898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291760"/>
        <c:crosses val="autoZero"/>
        <c:auto val="1"/>
        <c:lblAlgn val="ctr"/>
        <c:lblOffset val="100"/>
        <c:noMultiLvlLbl val="0"/>
      </c:catAx>
      <c:valAx>
        <c:axId val="4492917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2898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東郷地区</c:v>
                </c:pt>
              </c:strCache>
            </c:strRef>
          </c:cat>
          <c:val>
            <c:numRef>
              <c:f>管理者用地域特徴シート!$P$3:$P$5</c:f>
              <c:numCache>
                <c:formatCode>0.0%</c:formatCode>
                <c:ptCount val="3"/>
                <c:pt idx="0">
                  <c:v>0.34758352842621743</c:v>
                </c:pt>
                <c:pt idx="1">
                  <c:v>0.3382630585273757</c:v>
                </c:pt>
                <c:pt idx="2">
                  <c:v>0.36455424274973147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49292544"/>
        <c:axId val="449292936"/>
      </c:barChart>
      <c:catAx>
        <c:axId val="4492925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292936"/>
        <c:crosses val="autoZero"/>
        <c:auto val="1"/>
        <c:lblAlgn val="ctr"/>
        <c:lblOffset val="100"/>
        <c:noMultiLvlLbl val="0"/>
      </c:catAx>
      <c:valAx>
        <c:axId val="4492929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2925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東郷地区</c:v>
                </c:pt>
              </c:strCache>
            </c:strRef>
          </c:cat>
          <c:val>
            <c:numRef>
              <c:f>管理者用地域特徴シート!$AO$3:$AO$5</c:f>
              <c:numCache>
                <c:formatCode>0.0%</c:formatCode>
                <c:ptCount val="3"/>
                <c:pt idx="0">
                  <c:v>0.5259093009439566</c:v>
                </c:pt>
                <c:pt idx="1">
                  <c:v>0.5262963986368242</c:v>
                </c:pt>
                <c:pt idx="2">
                  <c:v>0.50134529147982065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88483744"/>
        <c:axId val="388487272"/>
      </c:barChart>
      <c:catAx>
        <c:axId val="3884837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487272"/>
        <c:crosses val="autoZero"/>
        <c:auto val="1"/>
        <c:lblAlgn val="ctr"/>
        <c:lblOffset val="100"/>
        <c:noMultiLvlLbl val="0"/>
      </c:catAx>
      <c:valAx>
        <c:axId val="3884872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4837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東郷地区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9.2382495948136148E-2</c:v>
                </c:pt>
                <c:pt idx="1">
                  <c:v>4.8622366288492711E-3</c:v>
                </c:pt>
                <c:pt idx="2">
                  <c:v>0</c:v>
                </c:pt>
                <c:pt idx="3">
                  <c:v>9.1301998919502969E-2</c:v>
                </c:pt>
                <c:pt idx="4">
                  <c:v>0.15018908698001079</c:v>
                </c:pt>
                <c:pt idx="5">
                  <c:v>6.4829821717990272E-3</c:v>
                </c:pt>
                <c:pt idx="6">
                  <c:v>3.7817396002160996E-3</c:v>
                </c:pt>
                <c:pt idx="7">
                  <c:v>5.4565099945975151E-2</c:v>
                </c:pt>
                <c:pt idx="8">
                  <c:v>0.11345218800648298</c:v>
                </c:pt>
                <c:pt idx="9">
                  <c:v>1.5667206915180983E-2</c:v>
                </c:pt>
                <c:pt idx="10">
                  <c:v>6.4829821717990272E-3</c:v>
                </c:pt>
                <c:pt idx="11">
                  <c:v>1.8368449486763912E-2</c:v>
                </c:pt>
                <c:pt idx="12">
                  <c:v>3.9438141545110751E-2</c:v>
                </c:pt>
                <c:pt idx="13">
                  <c:v>2.5931928687196109E-2</c:v>
                </c:pt>
                <c:pt idx="14">
                  <c:v>4.0518638573743923E-2</c:v>
                </c:pt>
                <c:pt idx="15">
                  <c:v>0.21339816315505133</c:v>
                </c:pt>
                <c:pt idx="16">
                  <c:v>1.8368449486763912E-2</c:v>
                </c:pt>
                <c:pt idx="17">
                  <c:v>6.3209076175040513E-2</c:v>
                </c:pt>
                <c:pt idx="18">
                  <c:v>4.1058887088060506E-2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日南市平均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9.3480827248480614E-2</c:v>
                </c:pt>
                <c:pt idx="1">
                  <c:v>2.2911110139477942E-2</c:v>
                </c:pt>
                <c:pt idx="2">
                  <c:v>2.6234095579554895E-4</c:v>
                </c:pt>
                <c:pt idx="3">
                  <c:v>7.1050675527961168E-2</c:v>
                </c:pt>
                <c:pt idx="4">
                  <c:v>0.13082068995671375</c:v>
                </c:pt>
                <c:pt idx="5">
                  <c:v>5.2905426085435702E-3</c:v>
                </c:pt>
                <c:pt idx="6">
                  <c:v>5.4654365790739361E-3</c:v>
                </c:pt>
                <c:pt idx="7">
                  <c:v>6.1562677626688822E-2</c:v>
                </c:pt>
                <c:pt idx="8">
                  <c:v>0.13068951947881596</c:v>
                </c:pt>
                <c:pt idx="9">
                  <c:v>1.8232696427790653E-2</c:v>
                </c:pt>
                <c:pt idx="10">
                  <c:v>7.5204407328057369E-3</c:v>
                </c:pt>
                <c:pt idx="11">
                  <c:v>1.845131389095361E-2</c:v>
                </c:pt>
                <c:pt idx="12">
                  <c:v>5.1331380350662412E-2</c:v>
                </c:pt>
                <c:pt idx="13">
                  <c:v>3.3361024878667309E-2</c:v>
                </c:pt>
                <c:pt idx="14">
                  <c:v>4.5778496786323293E-2</c:v>
                </c:pt>
                <c:pt idx="15">
                  <c:v>0.18381356302741464</c:v>
                </c:pt>
                <c:pt idx="16">
                  <c:v>1.8975995802544707E-2</c:v>
                </c:pt>
                <c:pt idx="17">
                  <c:v>5.6578199466573387E-2</c:v>
                </c:pt>
                <c:pt idx="18">
                  <c:v>4.1581041493594512E-2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88485704"/>
        <c:axId val="388488840"/>
      </c:barChart>
      <c:catAx>
        <c:axId val="388485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488840"/>
        <c:crosses val="autoZero"/>
        <c:auto val="1"/>
        <c:lblAlgn val="ctr"/>
        <c:lblOffset val="100"/>
        <c:noMultiLvlLbl val="0"/>
      </c:catAx>
      <c:valAx>
        <c:axId val="38848884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485704"/>
        <c:crosses val="autoZero"/>
        <c:crossBetween val="between"/>
      </c:valAx>
      <c:spPr>
        <a:noFill/>
        <a:ln>
          <a:noFill/>
        </a:ln>
        <a:effectLst/>
      </c:spPr>
    </c:plotArea>
    <c:legend>
      <c:legendPos val="b"/>
      <c:layout>
        <c:manualLayout>
          <c:xMode val="edge"/>
          <c:yMode val="edge"/>
          <c:x val="0.5420556726183875"/>
          <c:y val="9.103322298200318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東郷地区</c:v>
                </c:pt>
              </c:strCache>
            </c:strRef>
          </c:cat>
          <c:val>
            <c:numRef>
              <c:f>管理者用地域特徴シート!$CK$3:$CK$5</c:f>
              <c:numCache>
                <c:formatCode>0.0%</c:formatCode>
                <c:ptCount val="3"/>
                <c:pt idx="0">
                  <c:v>0.82747216160708559</c:v>
                </c:pt>
                <c:pt idx="1">
                  <c:v>0.89961086091556997</c:v>
                </c:pt>
                <c:pt idx="2">
                  <c:v>0.92220421393841168</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88485312"/>
        <c:axId val="388486096"/>
      </c:barChart>
      <c:catAx>
        <c:axId val="3884853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486096"/>
        <c:crosses val="autoZero"/>
        <c:auto val="1"/>
        <c:lblAlgn val="ctr"/>
        <c:lblOffset val="100"/>
        <c:noMultiLvlLbl val="0"/>
      </c:catAx>
      <c:valAx>
        <c:axId val="3884860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4853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0.32</c:v>
                </c:pt>
                <c:pt idx="1">
                  <c:v>0.37</c:v>
                </c:pt>
                <c:pt idx="2">
                  <c:v>0.41</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2784376"/>
        <c:axId val="382785552"/>
      </c:barChart>
      <c:catAx>
        <c:axId val="382784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785552"/>
        <c:crosses val="autoZero"/>
        <c:auto val="1"/>
        <c:lblAlgn val="ctr"/>
        <c:lblOffset val="100"/>
        <c:noMultiLvlLbl val="0"/>
      </c:catAx>
      <c:valAx>
        <c:axId val="3827855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7843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0.18</c:v>
                </c:pt>
                <c:pt idx="1">
                  <c:v>0.21</c:v>
                </c:pt>
                <c:pt idx="2">
                  <c:v>0.22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2782024"/>
        <c:axId val="382782416"/>
      </c:barChart>
      <c:catAx>
        <c:axId val="382782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782416"/>
        <c:crosses val="autoZero"/>
        <c:auto val="1"/>
        <c:lblAlgn val="ctr"/>
        <c:lblOffset val="100"/>
        <c:noMultiLvlLbl val="0"/>
      </c:catAx>
      <c:valAx>
        <c:axId val="3827824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7820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5029980197088056E-2"/>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9C7-484E-A7BC-8ACFF680AA99}"/>
                </c:ext>
                <c:ext xmlns:c15="http://schemas.microsoft.com/office/drawing/2012/chart" uri="{CE6537A1-D6FC-4f65-9D91-7224C49458BB}"/>
              </c:extLst>
            </c:dLbl>
            <c:dLbl>
              <c:idx val="20"/>
              <c:layout>
                <c:manualLayout>
                  <c:x val="-3.9053354285533491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9C7-484E-A7BC-8ACFF680AA9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88</c:v>
                </c:pt>
                <c:pt idx="1">
                  <c:v>81</c:v>
                </c:pt>
                <c:pt idx="2">
                  <c:v>122</c:v>
                </c:pt>
                <c:pt idx="3">
                  <c:v>192</c:v>
                </c:pt>
                <c:pt idx="4">
                  <c:v>81</c:v>
                </c:pt>
                <c:pt idx="5">
                  <c:v>83</c:v>
                </c:pt>
                <c:pt idx="6">
                  <c:v>126</c:v>
                </c:pt>
                <c:pt idx="7">
                  <c:v>110</c:v>
                </c:pt>
                <c:pt idx="8">
                  <c:v>126</c:v>
                </c:pt>
                <c:pt idx="9">
                  <c:v>139</c:v>
                </c:pt>
                <c:pt idx="10">
                  <c:v>168</c:v>
                </c:pt>
                <c:pt idx="11">
                  <c:v>226</c:v>
                </c:pt>
                <c:pt idx="12">
                  <c:v>233</c:v>
                </c:pt>
                <c:pt idx="13">
                  <c:v>185</c:v>
                </c:pt>
                <c:pt idx="14">
                  <c:v>168</c:v>
                </c:pt>
                <c:pt idx="15">
                  <c:v>136</c:v>
                </c:pt>
                <c:pt idx="16">
                  <c:v>120</c:v>
                </c:pt>
                <c:pt idx="17">
                  <c:v>47</c:v>
                </c:pt>
                <c:pt idx="18">
                  <c:v>18</c:v>
                </c:pt>
                <c:pt idx="19">
                  <c:v>6</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2783984"/>
        <c:axId val="38871698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64</c:v>
                </c:pt>
                <c:pt idx="1">
                  <c:v>71</c:v>
                </c:pt>
                <c:pt idx="2">
                  <c:v>115</c:v>
                </c:pt>
                <c:pt idx="3">
                  <c:v>110</c:v>
                </c:pt>
                <c:pt idx="4">
                  <c:v>77</c:v>
                </c:pt>
                <c:pt idx="5">
                  <c:v>95</c:v>
                </c:pt>
                <c:pt idx="6">
                  <c:v>105</c:v>
                </c:pt>
                <c:pt idx="7">
                  <c:v>125</c:v>
                </c:pt>
                <c:pt idx="8">
                  <c:v>113</c:v>
                </c:pt>
                <c:pt idx="9">
                  <c:v>136</c:v>
                </c:pt>
                <c:pt idx="10">
                  <c:v>174</c:v>
                </c:pt>
                <c:pt idx="11">
                  <c:v>220</c:v>
                </c:pt>
                <c:pt idx="12">
                  <c:v>232</c:v>
                </c:pt>
                <c:pt idx="13">
                  <c:v>169</c:v>
                </c:pt>
                <c:pt idx="14">
                  <c:v>192</c:v>
                </c:pt>
                <c:pt idx="15">
                  <c:v>199</c:v>
                </c:pt>
                <c:pt idx="16">
                  <c:v>166</c:v>
                </c:pt>
                <c:pt idx="17">
                  <c:v>132</c:v>
                </c:pt>
                <c:pt idx="18">
                  <c:v>67</c:v>
                </c:pt>
                <c:pt idx="19">
                  <c:v>19</c:v>
                </c:pt>
                <c:pt idx="20">
                  <c:v>4</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8717376"/>
        <c:axId val="388717768"/>
      </c:barChart>
      <c:catAx>
        <c:axId val="3827839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16984"/>
        <c:crosses val="autoZero"/>
        <c:auto val="1"/>
        <c:lblAlgn val="ctr"/>
        <c:lblOffset val="100"/>
        <c:noMultiLvlLbl val="0"/>
      </c:catAx>
      <c:valAx>
        <c:axId val="38871698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783984"/>
        <c:crosses val="autoZero"/>
        <c:crossBetween val="between"/>
        <c:majorUnit val="150"/>
      </c:valAx>
      <c:valAx>
        <c:axId val="38871776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17376"/>
        <c:crosses val="max"/>
        <c:crossBetween val="between"/>
        <c:majorUnit val="150"/>
      </c:valAx>
      <c:catAx>
        <c:axId val="388717376"/>
        <c:scaling>
          <c:orientation val="minMax"/>
        </c:scaling>
        <c:delete val="1"/>
        <c:axPos val="l"/>
        <c:numFmt formatCode="General" sourceLinked="1"/>
        <c:majorTickMark val="out"/>
        <c:minorTickMark val="none"/>
        <c:tickLblPos val="nextTo"/>
        <c:crossAx val="3887177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2456</c:v>
                </c:pt>
                <c:pt idx="1">
                  <c:v>2350</c:v>
                </c:pt>
                <c:pt idx="2">
                  <c:v>2260</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2585</c:v>
                </c:pt>
                <c:pt idx="1">
                  <c:v>2479</c:v>
                </c:pt>
                <c:pt idx="2">
                  <c:v>2393</c:v>
                </c:pt>
              </c:numCache>
            </c:numRef>
          </c:val>
          <c:extLst xmlns:c16r2="http://schemas.microsoft.com/office/drawing/2015/06/chart">
            <c:ext xmlns:c16="http://schemas.microsoft.com/office/drawing/2014/chart" uri="{C3380CC4-5D6E-409C-BE32-E72D297353CC}">
              <c16:uniqueId val="{00000000-6DCA-48A0-8E2E-BF251CE02587}"/>
            </c:ext>
          </c:extLst>
        </c:ser>
        <c:dLbls>
          <c:showLegendKey val="0"/>
          <c:showVal val="0"/>
          <c:showCatName val="0"/>
          <c:showSerName val="0"/>
          <c:showPercent val="0"/>
          <c:showBubbleSize val="0"/>
        </c:dLbls>
        <c:gapWidth val="219"/>
        <c:overlap val="100"/>
        <c:axId val="388716592"/>
        <c:axId val="38872168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DCA-48A0-8E2E-BF251CE02587}"/>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5041</c:v>
                </c:pt>
                <c:pt idx="1">
                  <c:v>4829</c:v>
                </c:pt>
                <c:pt idx="2">
                  <c:v>4653</c:v>
                </c:pt>
              </c:numCache>
            </c:numRef>
          </c:val>
          <c:smooth val="0"/>
          <c:extLst xmlns:c16r2="http://schemas.microsoft.com/office/drawing/2015/06/chart">
            <c:ext xmlns:c16="http://schemas.microsoft.com/office/drawing/2014/chart" uri="{C3380CC4-5D6E-409C-BE32-E72D297353CC}">
              <c16:uniqueId val="{00000002-6DCA-48A0-8E2E-BF251CE02587}"/>
            </c:ext>
          </c:extLst>
        </c:ser>
        <c:dLbls>
          <c:showLegendKey val="0"/>
          <c:showVal val="0"/>
          <c:showCatName val="0"/>
          <c:showSerName val="0"/>
          <c:showPercent val="0"/>
          <c:showBubbleSize val="0"/>
        </c:dLbls>
        <c:marker val="1"/>
        <c:smooth val="0"/>
        <c:axId val="388716592"/>
        <c:axId val="388721688"/>
      </c:lineChart>
      <c:catAx>
        <c:axId val="388716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21688"/>
        <c:crosses val="autoZero"/>
        <c:auto val="1"/>
        <c:lblAlgn val="ctr"/>
        <c:lblOffset val="100"/>
        <c:noMultiLvlLbl val="0"/>
      </c:catAx>
      <c:valAx>
        <c:axId val="3887216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16592"/>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478-4903-AC30-B3F215C9EDDE}"/>
                </c:ext>
                <c:ext xmlns:c15="http://schemas.microsoft.com/office/drawing/2012/chart" uri="{CE6537A1-D6FC-4f65-9D91-7224C49458BB}"/>
              </c:extLst>
            </c:dLbl>
            <c:dLbl>
              <c:idx val="20"/>
              <c:layout>
                <c:manualLayout>
                  <c:x val="-3.6947054801632573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478-4903-AC30-B3F215C9EDD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59</c:v>
                </c:pt>
                <c:pt idx="1">
                  <c:v>82</c:v>
                </c:pt>
                <c:pt idx="2">
                  <c:v>96</c:v>
                </c:pt>
                <c:pt idx="3">
                  <c:v>159</c:v>
                </c:pt>
                <c:pt idx="4">
                  <c:v>58</c:v>
                </c:pt>
                <c:pt idx="5">
                  <c:v>84</c:v>
                </c:pt>
                <c:pt idx="6">
                  <c:v>85</c:v>
                </c:pt>
                <c:pt idx="7">
                  <c:v>108</c:v>
                </c:pt>
                <c:pt idx="8">
                  <c:v>131</c:v>
                </c:pt>
                <c:pt idx="9">
                  <c:v>120</c:v>
                </c:pt>
                <c:pt idx="10">
                  <c:v>133</c:v>
                </c:pt>
                <c:pt idx="11">
                  <c:v>145</c:v>
                </c:pt>
                <c:pt idx="12">
                  <c:v>169</c:v>
                </c:pt>
                <c:pt idx="13">
                  <c:v>215</c:v>
                </c:pt>
                <c:pt idx="14">
                  <c:v>207</c:v>
                </c:pt>
                <c:pt idx="15">
                  <c:v>162</c:v>
                </c:pt>
                <c:pt idx="16">
                  <c:v>116</c:v>
                </c:pt>
                <c:pt idx="17">
                  <c:v>90</c:v>
                </c:pt>
                <c:pt idx="18">
                  <c:v>37</c:v>
                </c:pt>
                <c:pt idx="19">
                  <c:v>4</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8714632"/>
        <c:axId val="38871502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48</c:v>
                </c:pt>
                <c:pt idx="1">
                  <c:v>88</c:v>
                </c:pt>
                <c:pt idx="2">
                  <c:v>83</c:v>
                </c:pt>
                <c:pt idx="3">
                  <c:v>63</c:v>
                </c:pt>
                <c:pt idx="4">
                  <c:v>57</c:v>
                </c:pt>
                <c:pt idx="5">
                  <c:v>62</c:v>
                </c:pt>
                <c:pt idx="6">
                  <c:v>79</c:v>
                </c:pt>
                <c:pt idx="7">
                  <c:v>119</c:v>
                </c:pt>
                <c:pt idx="8">
                  <c:v>126</c:v>
                </c:pt>
                <c:pt idx="9">
                  <c:v>128</c:v>
                </c:pt>
                <c:pt idx="10">
                  <c:v>123</c:v>
                </c:pt>
                <c:pt idx="11">
                  <c:v>154</c:v>
                </c:pt>
                <c:pt idx="12">
                  <c:v>179</c:v>
                </c:pt>
                <c:pt idx="13">
                  <c:v>233</c:v>
                </c:pt>
                <c:pt idx="14">
                  <c:v>215</c:v>
                </c:pt>
                <c:pt idx="15">
                  <c:v>163</c:v>
                </c:pt>
                <c:pt idx="16">
                  <c:v>168</c:v>
                </c:pt>
                <c:pt idx="17">
                  <c:v>161</c:v>
                </c:pt>
                <c:pt idx="18">
                  <c:v>108</c:v>
                </c:pt>
                <c:pt idx="19">
                  <c:v>31</c:v>
                </c:pt>
                <c:pt idx="20">
                  <c:v>5</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8718552"/>
        <c:axId val="388720904"/>
      </c:barChart>
      <c:catAx>
        <c:axId val="3887146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15024"/>
        <c:crosses val="autoZero"/>
        <c:auto val="1"/>
        <c:lblAlgn val="ctr"/>
        <c:lblOffset val="100"/>
        <c:noMultiLvlLbl val="0"/>
      </c:catAx>
      <c:valAx>
        <c:axId val="38871502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14632"/>
        <c:crosses val="autoZero"/>
        <c:crossBetween val="between"/>
        <c:majorUnit val="150"/>
      </c:valAx>
      <c:valAx>
        <c:axId val="38872090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18552"/>
        <c:crosses val="max"/>
        <c:crossBetween val="between"/>
        <c:majorUnit val="150"/>
      </c:valAx>
      <c:catAx>
        <c:axId val="388718552"/>
        <c:scaling>
          <c:orientation val="minMax"/>
        </c:scaling>
        <c:delete val="1"/>
        <c:axPos val="l"/>
        <c:numFmt formatCode="General" sourceLinked="1"/>
        <c:majorTickMark val="out"/>
        <c:minorTickMark val="none"/>
        <c:tickLblPos val="nextTo"/>
        <c:crossAx val="3887209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CC72-48B0-82A3-2B5E73664C89}"/>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CC72-48B0-82A3-2B5E73664C89}"/>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CC72-48B0-82A3-2B5E73664C89}"/>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C72-48B0-82A3-2B5E73664C89}"/>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C72-48B0-82A3-2B5E73664C89}"/>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2456</c:v>
                </c:pt>
                <c:pt idx="1">
                  <c:v>2350</c:v>
                </c:pt>
                <c:pt idx="2">
                  <c:v>2260</c:v>
                </c:pt>
                <c:pt idx="3">
                  <c:v>2126</c:v>
                </c:pt>
                <c:pt idx="4">
                  <c:v>1973</c:v>
                </c:pt>
                <c:pt idx="5">
                  <c:v>1802</c:v>
                </c:pt>
                <c:pt idx="6">
                  <c:v>1632</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CC72-48B0-82A3-2B5E73664C89}"/>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CC72-48B0-82A3-2B5E73664C89}"/>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CC72-48B0-82A3-2B5E73664C89}"/>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2585</c:v>
                </c:pt>
                <c:pt idx="1">
                  <c:v>2479</c:v>
                </c:pt>
                <c:pt idx="2">
                  <c:v>2393</c:v>
                </c:pt>
                <c:pt idx="3">
                  <c:v>2257</c:v>
                </c:pt>
                <c:pt idx="4">
                  <c:v>2093</c:v>
                </c:pt>
                <c:pt idx="5">
                  <c:v>1922</c:v>
                </c:pt>
                <c:pt idx="6">
                  <c:v>1751</c:v>
                </c:pt>
              </c:numCache>
            </c:numRef>
          </c:val>
          <c:extLst xmlns:c16r2="http://schemas.microsoft.com/office/drawing/2015/06/chart">
            <c:ext xmlns:c16="http://schemas.microsoft.com/office/drawing/2014/chart" uri="{C3380CC4-5D6E-409C-BE32-E72D297353CC}">
              <c16:uniqueId val="{00000010-CC72-48B0-82A3-2B5E73664C89}"/>
            </c:ext>
          </c:extLst>
        </c:ser>
        <c:dLbls>
          <c:showLegendKey val="0"/>
          <c:showVal val="0"/>
          <c:showCatName val="0"/>
          <c:showSerName val="0"/>
          <c:showPercent val="0"/>
          <c:showBubbleSize val="0"/>
        </c:dLbls>
        <c:gapWidth val="219"/>
        <c:overlap val="100"/>
        <c:axId val="388715416"/>
        <c:axId val="38871580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5041</c:v>
                </c:pt>
                <c:pt idx="1">
                  <c:v>4829</c:v>
                </c:pt>
                <c:pt idx="2">
                  <c:v>4653</c:v>
                </c:pt>
                <c:pt idx="3">
                  <c:v>4383</c:v>
                </c:pt>
                <c:pt idx="4">
                  <c:v>4066</c:v>
                </c:pt>
                <c:pt idx="5">
                  <c:v>3724</c:v>
                </c:pt>
                <c:pt idx="6">
                  <c:v>3383</c:v>
                </c:pt>
              </c:numCache>
            </c:numRef>
          </c:val>
          <c:smooth val="0"/>
          <c:extLst xmlns:c16r2="http://schemas.microsoft.com/office/drawing/2015/06/chart">
            <c:ext xmlns:c16="http://schemas.microsoft.com/office/drawing/2014/chart" uri="{C3380CC4-5D6E-409C-BE32-E72D297353CC}">
              <c16:uniqueId val="{00000011-CC72-48B0-82A3-2B5E73664C89}"/>
            </c:ext>
          </c:extLst>
        </c:ser>
        <c:dLbls>
          <c:showLegendKey val="0"/>
          <c:showVal val="0"/>
          <c:showCatName val="0"/>
          <c:showSerName val="0"/>
          <c:showPercent val="0"/>
          <c:showBubbleSize val="0"/>
        </c:dLbls>
        <c:marker val="1"/>
        <c:smooth val="0"/>
        <c:axId val="388715416"/>
        <c:axId val="388715808"/>
      </c:lineChart>
      <c:catAx>
        <c:axId val="388715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15808"/>
        <c:crosses val="autoZero"/>
        <c:auto val="1"/>
        <c:lblAlgn val="ctr"/>
        <c:lblOffset val="100"/>
        <c:noMultiLvlLbl val="0"/>
      </c:catAx>
      <c:valAx>
        <c:axId val="3887158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1541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233</c:v>
                </c:pt>
                <c:pt idx="1">
                  <c:v>188</c:v>
                </c:pt>
                <c:pt idx="2">
                  <c:v>209</c:v>
                </c:pt>
                <c:pt idx="3">
                  <c:v>186</c:v>
                </c:pt>
                <c:pt idx="4">
                  <c:v>139</c:v>
                </c:pt>
                <c:pt idx="5">
                  <c:v>113</c:v>
                </c:pt>
                <c:pt idx="6">
                  <c:v>99</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88718944"/>
        <c:axId val="388719336"/>
      </c:barChart>
      <c:catAx>
        <c:axId val="388718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19336"/>
        <c:crosses val="autoZero"/>
        <c:auto val="1"/>
        <c:lblAlgn val="ctr"/>
        <c:lblOffset val="100"/>
        <c:noMultiLvlLbl val="0"/>
      </c:catAx>
      <c:valAx>
        <c:axId val="3887193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189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東郷地区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日南市平均</v>
      </c>
      <c r="C4" s="88" t="str">
        <f>B4</f>
        <v>日南市平均</v>
      </c>
      <c r="D4" s="185">
        <f>SUM(D7:D70)</f>
        <v>21960</v>
      </c>
      <c r="E4" s="186">
        <f>SUM(E7:E70)</f>
        <v>12054</v>
      </c>
      <c r="F4" s="186">
        <f>SUM(F7:F70)</f>
        <v>4047</v>
      </c>
      <c r="G4" s="187">
        <f>SUM(G7:G70)</f>
        <v>4095</v>
      </c>
      <c r="H4" s="148">
        <f>E4/D4</f>
        <v>0.54890710382513663</v>
      </c>
      <c r="I4" s="149">
        <f>F4/D4</f>
        <v>0.18428961748633879</v>
      </c>
      <c r="J4" s="150">
        <f>G4/D4</f>
        <v>0.18647540983606559</v>
      </c>
      <c r="K4" s="185">
        <f>SUM(K7:K70)</f>
        <v>50848</v>
      </c>
      <c r="L4" s="186">
        <f>SUM(L7:L70)</f>
        <v>5580</v>
      </c>
      <c r="M4" s="186">
        <f>SUM(M7:M70)</f>
        <v>17200</v>
      </c>
      <c r="N4" s="187">
        <f>SUM(N7:N70)</f>
        <v>26596</v>
      </c>
      <c r="O4" s="148">
        <f>L4/K4</f>
        <v>0.10973882945248584</v>
      </c>
      <c r="P4" s="149">
        <f>M4/K4</f>
        <v>0.3382630585273757</v>
      </c>
      <c r="Q4" s="150">
        <f>N4/K4</f>
        <v>0.52304908747640022</v>
      </c>
      <c r="R4" s="185">
        <f>SUM(R7:R70)</f>
        <v>50848</v>
      </c>
      <c r="S4" s="145">
        <f>SUM(S7:S70)</f>
        <v>7174</v>
      </c>
      <c r="T4" s="145">
        <f>SUM(T7:T70)</f>
        <v>1643</v>
      </c>
      <c r="U4" s="144">
        <f>SUM(U7:U70)</f>
        <v>1730</v>
      </c>
      <c r="V4" s="144">
        <f>SUM(V7:V70)</f>
        <v>310</v>
      </c>
      <c r="W4" s="146">
        <f>S4+T4+U4+V4</f>
        <v>10857</v>
      </c>
      <c r="X4" s="143">
        <f>SUM(X7:X70)</f>
        <v>23930</v>
      </c>
      <c r="Y4" s="144">
        <f>SUM(Y7:Y70)</f>
        <v>3115</v>
      </c>
      <c r="Z4" s="144">
        <f>SUM(Z7:Z70)</f>
        <v>805</v>
      </c>
      <c r="AA4" s="144">
        <f>SUM(AA7:AA70)</f>
        <v>985</v>
      </c>
      <c r="AB4" s="144">
        <f>SUM(AB7:AB70)</f>
        <v>238</v>
      </c>
      <c r="AC4" s="146">
        <f>Y4+Z4+AA4+AB4</f>
        <v>5143</v>
      </c>
      <c r="AD4" s="143">
        <f>SUM(AD7:AD70)</f>
        <v>26918</v>
      </c>
      <c r="AE4" s="143">
        <f t="shared" ref="AE4:AH4" si="0">SUM(AE7:AE70)</f>
        <v>4059</v>
      </c>
      <c r="AF4" s="143">
        <f t="shared" si="0"/>
        <v>838</v>
      </c>
      <c r="AG4" s="143">
        <f t="shared" si="0"/>
        <v>745</v>
      </c>
      <c r="AH4" s="143">
        <f t="shared" si="0"/>
        <v>72</v>
      </c>
      <c r="AI4" s="146">
        <f>AE4+AF4+AG4+AH4</f>
        <v>5714</v>
      </c>
      <c r="AJ4" s="148">
        <f>W4/R4</f>
        <v>0.21351872246696035</v>
      </c>
      <c r="AK4" s="149">
        <f>T4/W4</f>
        <v>0.15133093856498112</v>
      </c>
      <c r="AL4" s="149">
        <f>U4/W4</f>
        <v>0.1593442018973934</v>
      </c>
      <c r="AM4" s="149">
        <f>V4/W4</f>
        <v>2.8553007276411531E-2</v>
      </c>
      <c r="AN4" s="147">
        <f>AC4/W4</f>
        <v>0.47370360136317585</v>
      </c>
      <c r="AO4" s="150">
        <f>AI4/W4</f>
        <v>0.5262963986368242</v>
      </c>
      <c r="AP4" s="143">
        <f>SUM(AP7:AP70)</f>
        <v>22871</v>
      </c>
      <c r="AQ4" s="144">
        <f t="shared" ref="AQ4:BI4" si="1">SUM(AQ7:AQ70)</f>
        <v>2138</v>
      </c>
      <c r="AR4" s="144">
        <f t="shared" si="1"/>
        <v>524</v>
      </c>
      <c r="AS4" s="144">
        <f t="shared" si="1"/>
        <v>6</v>
      </c>
      <c r="AT4" s="144">
        <f t="shared" si="1"/>
        <v>1625</v>
      </c>
      <c r="AU4" s="144">
        <f t="shared" si="1"/>
        <v>2992</v>
      </c>
      <c r="AV4" s="144">
        <f t="shared" si="1"/>
        <v>121</v>
      </c>
      <c r="AW4" s="144">
        <f t="shared" si="1"/>
        <v>125</v>
      </c>
      <c r="AX4" s="144">
        <f t="shared" si="1"/>
        <v>1408</v>
      </c>
      <c r="AY4" s="144">
        <f t="shared" si="1"/>
        <v>2989</v>
      </c>
      <c r="AZ4" s="144">
        <f t="shared" si="1"/>
        <v>417</v>
      </c>
      <c r="BA4" s="144">
        <f t="shared" si="1"/>
        <v>172</v>
      </c>
      <c r="BB4" s="144">
        <f t="shared" si="1"/>
        <v>422</v>
      </c>
      <c r="BC4" s="144">
        <f t="shared" si="1"/>
        <v>1174</v>
      </c>
      <c r="BD4" s="144">
        <f t="shared" si="1"/>
        <v>763</v>
      </c>
      <c r="BE4" s="144">
        <f t="shared" si="1"/>
        <v>1047</v>
      </c>
      <c r="BF4" s="144">
        <f t="shared" si="1"/>
        <v>4204</v>
      </c>
      <c r="BG4" s="144">
        <f t="shared" si="1"/>
        <v>434</v>
      </c>
      <c r="BH4" s="144">
        <f t="shared" si="1"/>
        <v>1294</v>
      </c>
      <c r="BI4" s="146">
        <f t="shared" si="1"/>
        <v>951</v>
      </c>
      <c r="BJ4" s="147">
        <f>IF($AP4=0,0,AQ4/$AP4)</f>
        <v>9.3480827248480614E-2</v>
      </c>
      <c r="BK4" s="149">
        <f t="shared" ref="BK4:CB4" si="2">IF($AP4=0,0,AR4/$AP4)</f>
        <v>2.2911110139477942E-2</v>
      </c>
      <c r="BL4" s="149">
        <f t="shared" si="2"/>
        <v>2.6234095579554895E-4</v>
      </c>
      <c r="BM4" s="149">
        <f t="shared" si="2"/>
        <v>7.1050675527961168E-2</v>
      </c>
      <c r="BN4" s="149">
        <f t="shared" si="2"/>
        <v>0.13082068995671375</v>
      </c>
      <c r="BO4" s="149">
        <f t="shared" si="2"/>
        <v>5.2905426085435702E-3</v>
      </c>
      <c r="BP4" s="149">
        <f t="shared" si="2"/>
        <v>5.4654365790739361E-3</v>
      </c>
      <c r="BQ4" s="149">
        <f t="shared" si="2"/>
        <v>6.1562677626688822E-2</v>
      </c>
      <c r="BR4" s="149">
        <f t="shared" si="2"/>
        <v>0.13068951947881596</v>
      </c>
      <c r="BS4" s="149">
        <f t="shared" si="2"/>
        <v>1.8232696427790653E-2</v>
      </c>
      <c r="BT4" s="149">
        <f t="shared" si="2"/>
        <v>7.5204407328057369E-3</v>
      </c>
      <c r="BU4" s="149">
        <f t="shared" si="2"/>
        <v>1.845131389095361E-2</v>
      </c>
      <c r="BV4" s="149">
        <f t="shared" si="2"/>
        <v>5.1331380350662412E-2</v>
      </c>
      <c r="BW4" s="149">
        <f t="shared" si="2"/>
        <v>3.3361024878667309E-2</v>
      </c>
      <c r="BX4" s="149">
        <f t="shared" si="2"/>
        <v>4.5778496786323293E-2</v>
      </c>
      <c r="BY4" s="149">
        <f t="shared" si="2"/>
        <v>0.18381356302741464</v>
      </c>
      <c r="BZ4" s="149">
        <f t="shared" si="2"/>
        <v>1.8975995802544707E-2</v>
      </c>
      <c r="CA4" s="149">
        <f t="shared" si="2"/>
        <v>5.6578199466573387E-2</v>
      </c>
      <c r="CB4" s="150">
        <f t="shared" si="2"/>
        <v>4.1581041493594512E-2</v>
      </c>
      <c r="CC4" s="143">
        <f>SUM(CC7:CC70)</f>
        <v>22871</v>
      </c>
      <c r="CD4" s="144">
        <f t="shared" ref="CD4:CI4" si="3">SUM(CD7:CD70)</f>
        <v>20575</v>
      </c>
      <c r="CE4" s="144">
        <f t="shared" si="3"/>
        <v>1483</v>
      </c>
      <c r="CF4" s="144">
        <f t="shared" si="3"/>
        <v>688</v>
      </c>
      <c r="CG4" s="143">
        <f t="shared" si="3"/>
        <v>1866</v>
      </c>
      <c r="CH4" s="144">
        <f t="shared" si="3"/>
        <v>1523</v>
      </c>
      <c r="CI4" s="144">
        <f t="shared" si="3"/>
        <v>297</v>
      </c>
      <c r="CJ4" s="144">
        <f>SUM(CJ7:CJ70)</f>
        <v>23</v>
      </c>
      <c r="CK4" s="148">
        <f t="shared" ref="CK4:CM4" si="4">IF($CC4=0,0,CD4/$CC4)</f>
        <v>0.89961086091556997</v>
      </c>
      <c r="CL4" s="149">
        <f t="shared" si="4"/>
        <v>6.4841939574133187E-2</v>
      </c>
      <c r="CM4" s="150">
        <f t="shared" si="4"/>
        <v>3.0081762931222947E-2</v>
      </c>
      <c r="CN4" s="148">
        <f t="shared" ref="CN4:CP4" si="5">IF($CG4=0,0,CH4/$CG4)</f>
        <v>0.8161843515541265</v>
      </c>
      <c r="CO4" s="149">
        <f t="shared" si="5"/>
        <v>0.15916398713826366</v>
      </c>
      <c r="CP4" s="150">
        <f t="shared" si="5"/>
        <v>1.232583065380493E-2</v>
      </c>
    </row>
    <row r="5" spans="1:94" s="181" customFormat="1" x14ac:dyDescent="0.15">
      <c r="A5" s="183" t="str">
        <f>管理者入力シート!B2</f>
        <v>45204_4</v>
      </c>
      <c r="B5" s="201" t="str">
        <f>VLOOKUP($A$5,$A$7:$CP$50,2,FALSE)</f>
        <v>日南市</v>
      </c>
      <c r="C5" s="201" t="str">
        <f>VLOOKUP($A$5,$A$7:$CP$50,3,FALSE)</f>
        <v>東郷地区</v>
      </c>
      <c r="D5" s="188">
        <f>VLOOKUP($A$5,$A$7:$CP$70,4,FALSE)</f>
        <v>1678</v>
      </c>
      <c r="E5" s="189">
        <f>VLOOKUP($A$5,$A$7:$CP$70,5,FALSE)</f>
        <v>963</v>
      </c>
      <c r="F5" s="189">
        <f>VLOOKUP($A$5,$A$7:$CP$70,6,FALSE)</f>
        <v>341</v>
      </c>
      <c r="G5" s="190">
        <f>VLOOKUP($A$5,$A$7:$CP$70,7,FALSE)</f>
        <v>287</v>
      </c>
      <c r="H5" s="178">
        <f>VLOOKUP($A$5,$A$7:$CP$70,8,FALSE)</f>
        <v>0.57389749702026227</v>
      </c>
      <c r="I5" s="179">
        <f>VLOOKUP($A$5,$A$7:$CP$70,9,FALSE)</f>
        <v>0.20321811680572111</v>
      </c>
      <c r="J5" s="180">
        <f>VLOOKUP($A$5,$A$7:$CP$70,10,FALSE)</f>
        <v>0.17103694874851014</v>
      </c>
      <c r="K5" s="188">
        <f>VLOOKUP($A$5,$A$7:$CP$70,11,FALSE)</f>
        <v>4655</v>
      </c>
      <c r="L5" s="189">
        <f>VLOOKUP($A$5,$A$7:$CP$70,12,FALSE)</f>
        <v>406</v>
      </c>
      <c r="M5" s="189">
        <f>VLOOKUP($A$5,$A$7:$CP$70,13,FALSE)</f>
        <v>1697</v>
      </c>
      <c r="N5" s="190">
        <f>VLOOKUP($A$5,$A$7:$CP$70,14,FALSE)</f>
        <v>2443</v>
      </c>
      <c r="O5" s="178">
        <f>VLOOKUP($A$5,$A$7:$CP$70,15,FALSE)</f>
        <v>8.7218045112781958E-2</v>
      </c>
      <c r="P5" s="179">
        <f>VLOOKUP($A$5,$A$7:$CP$70,16,FALSE)</f>
        <v>0.36455424274973147</v>
      </c>
      <c r="Q5" s="180">
        <f>VLOOKUP($A$5,$A$7:$CP$70,17,FALSE)</f>
        <v>0.52481203007518795</v>
      </c>
      <c r="R5" s="188">
        <f>VLOOKUP($A$5,$A$7:$CP$70,18,FALSE)</f>
        <v>4655</v>
      </c>
      <c r="S5" s="189">
        <f>VLOOKUP($A$5,$A$7:$CP$70,19,FALSE)</f>
        <v>811</v>
      </c>
      <c r="T5" s="189">
        <f>VLOOKUP($A$5,$A$7:$CP$70,20,FALSE)</f>
        <v>155</v>
      </c>
      <c r="U5" s="189">
        <f>VLOOKUP($A$5,$A$7:$CP$70,21,FALSE)</f>
        <v>148</v>
      </c>
      <c r="V5" s="189">
        <f>VLOOKUP($A$5,$A$7:$CP$70,22,FALSE)</f>
        <v>1</v>
      </c>
      <c r="W5" s="190">
        <f>VLOOKUP($A$5,$A$7:$CP$70,23,FALSE)</f>
        <v>1115</v>
      </c>
      <c r="X5" s="188">
        <f>VLOOKUP($A$5,$A$7:$CP$70,24,FALSE)</f>
        <v>2262</v>
      </c>
      <c r="Y5" s="189">
        <f>VLOOKUP($A$5,$A$7:$CP$70,25,FALSE)</f>
        <v>372</v>
      </c>
      <c r="Z5" s="189">
        <f>VLOOKUP($A$5,$A$7:$CP$70,26,FALSE)</f>
        <v>82</v>
      </c>
      <c r="AA5" s="189">
        <f>VLOOKUP($A$5,$A$7:$CP$70,27,FALSE)</f>
        <v>101</v>
      </c>
      <c r="AB5" s="189">
        <f>VLOOKUP($A$5,$A$7:$CP$70,28,FALSE)</f>
        <v>1</v>
      </c>
      <c r="AC5" s="191">
        <f>VLOOKUP($A$5,$A$7:$CP$70,29,FALSE)</f>
        <v>556</v>
      </c>
      <c r="AD5" s="188">
        <f>VLOOKUP($A$5,$A$7:$CP$70,30,FALSE)</f>
        <v>2393</v>
      </c>
      <c r="AE5" s="189">
        <f>VLOOKUP($A$5,$A$7:$CP$70,31,FALSE)</f>
        <v>439</v>
      </c>
      <c r="AF5" s="189">
        <f>VLOOKUP($A$5,$A$7:$CP$70,32,FALSE)</f>
        <v>73</v>
      </c>
      <c r="AG5" s="189">
        <f>VLOOKUP($A$5,$A$7:$CP$70,33,FALSE)</f>
        <v>47</v>
      </c>
      <c r="AH5" s="189">
        <f>VLOOKUP($A$5,$A$7:$CP$70,34,FALSE)</f>
        <v>0</v>
      </c>
      <c r="AI5" s="191">
        <f>VLOOKUP($A$5,$A$7:$CP$70,35,FALSE)</f>
        <v>559</v>
      </c>
      <c r="AJ5" s="178">
        <f>VLOOKUP($A$5,$A$7:$CP$70,36,FALSE)</f>
        <v>0.23952738990332975</v>
      </c>
      <c r="AK5" s="179">
        <f>VLOOKUP($A$5,$A$7:$CP$70,37,FALSE)</f>
        <v>0.13901345291479822</v>
      </c>
      <c r="AL5" s="179">
        <f>VLOOKUP($A$5,$A$7:$CP$70,38,FALSE)</f>
        <v>0.13273542600896862</v>
      </c>
      <c r="AM5" s="179">
        <f>VLOOKUP($A$5,$A$7:$CP$70,39,FALSE)</f>
        <v>8.9686098654708521E-4</v>
      </c>
      <c r="AN5" s="182">
        <f>VLOOKUP($A$5,$A$7:$CP$70,40,FALSE)</f>
        <v>0.49865470852017935</v>
      </c>
      <c r="AO5" s="180">
        <f>VLOOKUP($A$5,$A$7:$CP$70,41,FALSE)</f>
        <v>0.50134529147982065</v>
      </c>
      <c r="AP5" s="192">
        <f>VLOOKUP($A$5,$A$7:$CP$70,42,FALSE)</f>
        <v>1851</v>
      </c>
      <c r="AQ5" s="189">
        <f>VLOOKUP($A$5,$A$7:$CP$70,43,FALSE)</f>
        <v>171</v>
      </c>
      <c r="AR5" s="189">
        <f>VLOOKUP($A$5,$A$7:$CP$70,44,FALSE)</f>
        <v>9</v>
      </c>
      <c r="AS5" s="189">
        <f>VLOOKUP($A$5,$A$7:$CP$70,45,FALSE)</f>
        <v>0</v>
      </c>
      <c r="AT5" s="189">
        <f>VLOOKUP($A$5,$A$7:$CP$70,46,FALSE)</f>
        <v>169</v>
      </c>
      <c r="AU5" s="189">
        <f>VLOOKUP($A$5,$A$7:$CP$70,47,FALSE)</f>
        <v>278</v>
      </c>
      <c r="AV5" s="189">
        <f>VLOOKUP($A$5,$A$7:$CP$70,48,FALSE)</f>
        <v>12</v>
      </c>
      <c r="AW5" s="189">
        <f>VLOOKUP($A$5,$A$7:$CP$70,49,FALSE)</f>
        <v>7</v>
      </c>
      <c r="AX5" s="189">
        <f>VLOOKUP($A$5,$A$7:$CP$70,50,FALSE)</f>
        <v>101</v>
      </c>
      <c r="AY5" s="189">
        <f>VLOOKUP($A$5,$A$7:$CP$70,51,FALSE)</f>
        <v>210</v>
      </c>
      <c r="AZ5" s="189">
        <f>VLOOKUP($A$5,$A$7:$CP$70,52,FALSE)</f>
        <v>29</v>
      </c>
      <c r="BA5" s="189">
        <f>VLOOKUP($A$5,$A$7:$CP$70,53,FALSE)</f>
        <v>12</v>
      </c>
      <c r="BB5" s="189">
        <f>VLOOKUP($A$5,$A$7:$CP$70,54,FALSE)</f>
        <v>34</v>
      </c>
      <c r="BC5" s="189">
        <f>VLOOKUP($A$5,$A$7:$CP$70,55,FALSE)</f>
        <v>73</v>
      </c>
      <c r="BD5" s="189">
        <f>VLOOKUP($A$5,$A$7:$CP$70,56,FALSE)</f>
        <v>48</v>
      </c>
      <c r="BE5" s="189">
        <f>VLOOKUP($A$5,$A$7:$CP$70,57,FALSE)</f>
        <v>75</v>
      </c>
      <c r="BF5" s="189">
        <f>VLOOKUP($A$5,$A$7:$CP$70,58,FALSE)</f>
        <v>395</v>
      </c>
      <c r="BG5" s="189">
        <f>VLOOKUP($A$5,$A$7:$CP$70,59,FALSE)</f>
        <v>34</v>
      </c>
      <c r="BH5" s="189">
        <f>VLOOKUP($A$5,$A$7:$CP$70,60,FALSE)</f>
        <v>117</v>
      </c>
      <c r="BI5" s="189">
        <f>VLOOKUP($A$5,$A$7:$CP$70,61,FALSE)</f>
        <v>76</v>
      </c>
      <c r="BJ5" s="178">
        <f>VLOOKUP($A$5,$A$7:$CP$70,62,FALSE)</f>
        <v>9.2382495948136148E-2</v>
      </c>
      <c r="BK5" s="179">
        <f>VLOOKUP($A$5,$A$7:$CP$70,63,FALSE)</f>
        <v>4.8622366288492711E-3</v>
      </c>
      <c r="BL5" s="179">
        <f>VLOOKUP($A$5,$A$7:$CP$70,64,FALSE)</f>
        <v>0</v>
      </c>
      <c r="BM5" s="179">
        <f>VLOOKUP($A$5,$A$7:$CP$70,65,FALSE)</f>
        <v>9.1301998919502969E-2</v>
      </c>
      <c r="BN5" s="179">
        <f>VLOOKUP($A$5,$A$7:$CP$70,66,FALSE)</f>
        <v>0.15018908698001079</v>
      </c>
      <c r="BO5" s="179">
        <f>VLOOKUP($A$5,$A$7:$CP$70,67,FALSE)</f>
        <v>6.4829821717990272E-3</v>
      </c>
      <c r="BP5" s="179">
        <f>VLOOKUP($A$5,$A$7:$CP$70,68,FALSE)</f>
        <v>3.7817396002160996E-3</v>
      </c>
      <c r="BQ5" s="179">
        <f>VLOOKUP($A$5,$A$7:$CP$70,69,FALSE)</f>
        <v>5.4565099945975151E-2</v>
      </c>
      <c r="BR5" s="179">
        <f>VLOOKUP($A$5,$A$7:$CP$70,70,FALSE)</f>
        <v>0.11345218800648298</v>
      </c>
      <c r="BS5" s="179">
        <f>VLOOKUP($A$5,$A$7:$CP$70,71,FALSE)</f>
        <v>1.5667206915180983E-2</v>
      </c>
      <c r="BT5" s="179">
        <f>VLOOKUP($A$5,$A$7:$CP$70,72,FALSE)</f>
        <v>6.4829821717990272E-3</v>
      </c>
      <c r="BU5" s="179">
        <f>VLOOKUP($A$5,$A$7:$CP$70,73,FALSE)</f>
        <v>1.8368449486763912E-2</v>
      </c>
      <c r="BV5" s="179">
        <f>VLOOKUP($A$5,$A$7:$CP$70,74,FALSE)</f>
        <v>3.9438141545110751E-2</v>
      </c>
      <c r="BW5" s="179">
        <f>VLOOKUP($A$5,$A$7:$CP$70,75,FALSE)</f>
        <v>2.5931928687196109E-2</v>
      </c>
      <c r="BX5" s="179">
        <f>VLOOKUP($A$5,$A$7:$CP$70,76,FALSE)</f>
        <v>4.0518638573743923E-2</v>
      </c>
      <c r="BY5" s="179">
        <f>VLOOKUP($A$5,$A$7:$CP$70,77,FALSE)</f>
        <v>0.21339816315505133</v>
      </c>
      <c r="BZ5" s="179">
        <f>VLOOKUP($A$5,$A$7:$CP$70,78,FALSE)</f>
        <v>1.8368449486763912E-2</v>
      </c>
      <c r="CA5" s="179">
        <f>VLOOKUP($A$5,$A$7:$CP$70,79,FALSE)</f>
        <v>6.3209076175040513E-2</v>
      </c>
      <c r="CB5" s="180">
        <f>VLOOKUP($A$5,$A$7:$CP$70,80,FALSE)</f>
        <v>4.1058887088060506E-2</v>
      </c>
      <c r="CC5" s="188">
        <f>VLOOKUP($A$5,$A$7:$CP$70,81,FALSE)</f>
        <v>1851</v>
      </c>
      <c r="CD5" s="190">
        <f>VLOOKUP($A$5,$A$7:$CP$70,82,FALSE)</f>
        <v>1707</v>
      </c>
      <c r="CE5" s="189">
        <f>VLOOKUP($A$5,$A$7:$CP$70,83,FALSE)</f>
        <v>115</v>
      </c>
      <c r="CF5" s="191">
        <f>VLOOKUP($A$5,$A$7:$CP$70,84,FALSE)</f>
        <v>25</v>
      </c>
      <c r="CG5" s="188">
        <f>VLOOKUP($A$5,$A$7:$CP$70,85,FALSE)</f>
        <v>197</v>
      </c>
      <c r="CH5" s="189">
        <f>VLOOKUP($A$5,$A$7:$CP$70,86,FALSE)</f>
        <v>180</v>
      </c>
      <c r="CI5" s="189">
        <f>VLOOKUP($A$5,$A$7:$CP$70,87,FALSE)</f>
        <v>14</v>
      </c>
      <c r="CJ5" s="191">
        <f>VLOOKUP($A$5,$A$7:$CP$70,88,FALSE)</f>
        <v>0</v>
      </c>
      <c r="CK5" s="178">
        <f>VLOOKUP($A$5,$A$7:$CP$70,89,FALSE)</f>
        <v>0.92220421393841168</v>
      </c>
      <c r="CL5" s="179">
        <f>VLOOKUP($A$5,$A$7:$CP$70,90,FALSE)</f>
        <v>6.2128579146407348E-2</v>
      </c>
      <c r="CM5" s="180">
        <f>VLOOKUP($A$5,$A$7:$CP$70,91,FALSE)</f>
        <v>1.350621285791464E-2</v>
      </c>
      <c r="CN5" s="178">
        <f>VLOOKUP($A$5,$A$7:$CP$70,92,FALSE)</f>
        <v>0.91370558375634514</v>
      </c>
      <c r="CO5" s="179">
        <f>VLOOKUP($A$5,$A$7:$CP$70,93,FALSE)</f>
        <v>7.1065989847715741E-2</v>
      </c>
      <c r="CP5" s="180">
        <f>VLOOKUP($A$5,$A$7:$CP$70,94,FALSE)</f>
        <v>0</v>
      </c>
    </row>
    <row r="6" spans="1:94" s="241" customFormat="1" x14ac:dyDescent="0.15"/>
    <row r="7" spans="1:94" x14ac:dyDescent="0.15">
      <c r="A7" t="s">
        <v>428</v>
      </c>
      <c r="B7" t="s">
        <v>429</v>
      </c>
      <c r="C7" t="s">
        <v>430</v>
      </c>
      <c r="D7">
        <v>2332</v>
      </c>
      <c r="E7">
        <v>1476</v>
      </c>
      <c r="F7">
        <v>523</v>
      </c>
      <c r="G7">
        <v>500</v>
      </c>
      <c r="H7">
        <v>0.63293310463121788</v>
      </c>
      <c r="I7">
        <v>0.22427101200686106</v>
      </c>
      <c r="J7">
        <v>0.21440823327615779</v>
      </c>
      <c r="K7">
        <v>5590</v>
      </c>
      <c r="L7">
        <v>570</v>
      </c>
      <c r="M7">
        <v>1835</v>
      </c>
      <c r="N7">
        <v>3104</v>
      </c>
      <c r="O7">
        <v>0.10196779964221825</v>
      </c>
      <c r="P7">
        <v>0.32826475849731662</v>
      </c>
      <c r="Q7">
        <v>0.55527728085867623</v>
      </c>
      <c r="R7">
        <v>5590</v>
      </c>
      <c r="S7">
        <v>881</v>
      </c>
      <c r="T7">
        <v>127</v>
      </c>
      <c r="U7">
        <v>153</v>
      </c>
      <c r="V7">
        <v>4</v>
      </c>
      <c r="W7">
        <v>1165</v>
      </c>
      <c r="X7">
        <v>2557</v>
      </c>
      <c r="Y7">
        <v>364</v>
      </c>
      <c r="Z7">
        <v>57</v>
      </c>
      <c r="AA7">
        <v>84</v>
      </c>
      <c r="AB7">
        <v>2</v>
      </c>
      <c r="AC7">
        <v>507</v>
      </c>
      <c r="AD7">
        <v>3033</v>
      </c>
      <c r="AE7">
        <v>517</v>
      </c>
      <c r="AF7">
        <v>70</v>
      </c>
      <c r="AG7">
        <v>69</v>
      </c>
      <c r="AH7">
        <v>2</v>
      </c>
      <c r="AI7">
        <v>658</v>
      </c>
      <c r="AJ7">
        <v>0.20840787119856888</v>
      </c>
      <c r="AK7">
        <v>0.10901287553648069</v>
      </c>
      <c r="AL7">
        <v>0.1313304721030043</v>
      </c>
      <c r="AM7">
        <v>3.4334763948497852E-3</v>
      </c>
      <c r="AN7">
        <v>0.4351931330472103</v>
      </c>
      <c r="AO7">
        <v>0.5648068669527897</v>
      </c>
      <c r="AP7">
        <v>2369</v>
      </c>
      <c r="AQ7">
        <v>225</v>
      </c>
      <c r="AR7">
        <v>9</v>
      </c>
      <c r="AS7">
        <v>0</v>
      </c>
      <c r="AT7">
        <v>218</v>
      </c>
      <c r="AU7">
        <v>327</v>
      </c>
      <c r="AV7">
        <v>8</v>
      </c>
      <c r="AW7">
        <v>11</v>
      </c>
      <c r="AX7">
        <v>125</v>
      </c>
      <c r="AY7">
        <v>304</v>
      </c>
      <c r="AZ7">
        <v>30</v>
      </c>
      <c r="BA7">
        <v>16</v>
      </c>
      <c r="BB7">
        <v>62</v>
      </c>
      <c r="BC7">
        <v>131</v>
      </c>
      <c r="BD7">
        <v>82</v>
      </c>
      <c r="BE7">
        <v>128</v>
      </c>
      <c r="BF7">
        <v>452</v>
      </c>
      <c r="BG7">
        <v>38</v>
      </c>
      <c r="BH7">
        <v>122</v>
      </c>
      <c r="BI7">
        <v>76</v>
      </c>
      <c r="BJ7">
        <v>9.4976783452933727E-2</v>
      </c>
      <c r="BK7">
        <v>3.799071338117349E-3</v>
      </c>
      <c r="BL7">
        <v>0</v>
      </c>
      <c r="BM7">
        <v>9.2021950189953572E-2</v>
      </c>
      <c r="BN7">
        <v>0.13803292528493036</v>
      </c>
      <c r="BO7">
        <v>3.3769523005487546E-3</v>
      </c>
      <c r="BP7">
        <v>4.6433094132545382E-3</v>
      </c>
      <c r="BQ7">
        <v>5.2764879696074296E-2</v>
      </c>
      <c r="BR7">
        <v>0.12832418742085269</v>
      </c>
      <c r="BS7">
        <v>1.266357112705783E-2</v>
      </c>
      <c r="BT7">
        <v>6.7539046010975093E-3</v>
      </c>
      <c r="BU7">
        <v>2.6171380329252848E-2</v>
      </c>
      <c r="BV7">
        <v>5.5297593921485859E-2</v>
      </c>
      <c r="BW7">
        <v>3.4613761080624736E-2</v>
      </c>
      <c r="BX7">
        <v>5.4031236808780074E-2</v>
      </c>
      <c r="BY7">
        <v>0.19079780498100465</v>
      </c>
      <c r="BZ7">
        <v>1.6040523427606587E-2</v>
      </c>
      <c r="CA7">
        <v>5.1498522583368511E-2</v>
      </c>
      <c r="CB7">
        <v>3.2081046855213173E-2</v>
      </c>
      <c r="CC7">
        <v>2369</v>
      </c>
      <c r="CD7">
        <v>2179</v>
      </c>
      <c r="CE7">
        <v>153</v>
      </c>
      <c r="CF7">
        <v>27</v>
      </c>
      <c r="CG7">
        <v>159</v>
      </c>
      <c r="CH7">
        <v>123</v>
      </c>
      <c r="CI7">
        <v>32</v>
      </c>
      <c r="CJ7">
        <v>3</v>
      </c>
      <c r="CK7">
        <v>0.91979738286196711</v>
      </c>
      <c r="CL7">
        <v>6.4584212747994932E-2</v>
      </c>
      <c r="CM7">
        <v>1.1397214014352047E-2</v>
      </c>
      <c r="CN7">
        <v>0.77358490566037741</v>
      </c>
      <c r="CO7">
        <v>0.20125786163522014</v>
      </c>
      <c r="CP7">
        <v>1.8867924528301886E-2</v>
      </c>
    </row>
    <row r="8" spans="1:94" x14ac:dyDescent="0.15">
      <c r="A8" t="s">
        <v>431</v>
      </c>
      <c r="B8" t="s">
        <v>429</v>
      </c>
      <c r="C8" t="s">
        <v>432</v>
      </c>
      <c r="D8">
        <v>7930</v>
      </c>
      <c r="E8">
        <v>3448</v>
      </c>
      <c r="F8">
        <v>1208</v>
      </c>
      <c r="G8">
        <v>1204</v>
      </c>
      <c r="H8">
        <v>0.43480453972257249</v>
      </c>
      <c r="I8">
        <v>0.1523329129886507</v>
      </c>
      <c r="J8">
        <v>0.15182849936948298</v>
      </c>
      <c r="K8">
        <v>18210</v>
      </c>
      <c r="L8">
        <v>1543</v>
      </c>
      <c r="M8">
        <v>7468</v>
      </c>
      <c r="N8">
        <v>8414</v>
      </c>
      <c r="O8">
        <v>8.4733662822624928E-2</v>
      </c>
      <c r="P8">
        <v>0.41010433827567272</v>
      </c>
      <c r="Q8">
        <v>0.46205381658429434</v>
      </c>
      <c r="R8">
        <v>18210</v>
      </c>
      <c r="S8">
        <v>3071</v>
      </c>
      <c r="T8">
        <v>894</v>
      </c>
      <c r="U8">
        <v>862</v>
      </c>
      <c r="V8">
        <v>35</v>
      </c>
      <c r="W8">
        <v>4862</v>
      </c>
      <c r="X8">
        <v>8582</v>
      </c>
      <c r="Y8">
        <v>1345</v>
      </c>
      <c r="Z8">
        <v>435</v>
      </c>
      <c r="AA8">
        <v>502</v>
      </c>
      <c r="AB8">
        <v>21</v>
      </c>
      <c r="AC8">
        <v>2303</v>
      </c>
      <c r="AD8">
        <v>9628</v>
      </c>
      <c r="AE8">
        <v>1726</v>
      </c>
      <c r="AF8">
        <v>459</v>
      </c>
      <c r="AG8">
        <v>360</v>
      </c>
      <c r="AH8">
        <v>14</v>
      </c>
      <c r="AI8">
        <v>2559</v>
      </c>
      <c r="AJ8">
        <v>0.2669961559582647</v>
      </c>
      <c r="AK8">
        <v>0.18387494858083092</v>
      </c>
      <c r="AL8">
        <v>0.17729329494035376</v>
      </c>
      <c r="AM8">
        <v>7.1986836692719044E-3</v>
      </c>
      <c r="AN8">
        <v>0.47367338543809134</v>
      </c>
      <c r="AO8">
        <v>0.52632661456190866</v>
      </c>
      <c r="AP8">
        <v>8477</v>
      </c>
      <c r="AQ8">
        <v>377</v>
      </c>
      <c r="AR8">
        <v>28</v>
      </c>
      <c r="AS8">
        <v>2</v>
      </c>
      <c r="AT8">
        <v>548</v>
      </c>
      <c r="AU8">
        <v>1134</v>
      </c>
      <c r="AV8">
        <v>73</v>
      </c>
      <c r="AW8">
        <v>58</v>
      </c>
      <c r="AX8">
        <v>427</v>
      </c>
      <c r="AY8">
        <v>1183</v>
      </c>
      <c r="AZ8">
        <v>194</v>
      </c>
      <c r="BA8">
        <v>81</v>
      </c>
      <c r="BB8">
        <v>171</v>
      </c>
      <c r="BC8">
        <v>417</v>
      </c>
      <c r="BD8">
        <v>312</v>
      </c>
      <c r="BE8">
        <v>570</v>
      </c>
      <c r="BF8">
        <v>1696</v>
      </c>
      <c r="BG8">
        <v>163</v>
      </c>
      <c r="BH8">
        <v>479</v>
      </c>
      <c r="BI8">
        <v>551</v>
      </c>
      <c r="BJ8">
        <v>4.4473280641736467E-2</v>
      </c>
      <c r="BK8">
        <v>3.3030553261767133E-3</v>
      </c>
      <c r="BL8">
        <v>2.3593252329833669E-4</v>
      </c>
      <c r="BM8">
        <v>6.4645511383744247E-2</v>
      </c>
      <c r="BN8">
        <v>0.13377374071015691</v>
      </c>
      <c r="BO8">
        <v>8.6115371003892879E-3</v>
      </c>
      <c r="BP8">
        <v>6.8420431756517639E-3</v>
      </c>
      <c r="BQ8">
        <v>5.0371593724194877E-2</v>
      </c>
      <c r="BR8">
        <v>0.13955408753096615</v>
      </c>
      <c r="BS8">
        <v>2.2885454759938657E-2</v>
      </c>
      <c r="BT8">
        <v>9.5552671935826353E-3</v>
      </c>
      <c r="BU8">
        <v>2.0172230742007784E-2</v>
      </c>
      <c r="BV8">
        <v>4.9191931107703195E-2</v>
      </c>
      <c r="BW8">
        <v>3.6805473634540523E-2</v>
      </c>
      <c r="BX8">
        <v>6.7240769140025955E-2</v>
      </c>
      <c r="BY8">
        <v>0.2000707797569895</v>
      </c>
      <c r="BZ8">
        <v>1.9228500648814439E-2</v>
      </c>
      <c r="CA8">
        <v>5.6505839329951631E-2</v>
      </c>
      <c r="CB8">
        <v>6.4999410168691749E-2</v>
      </c>
      <c r="CC8">
        <v>8477</v>
      </c>
      <c r="CD8">
        <v>7776</v>
      </c>
      <c r="CE8">
        <v>541</v>
      </c>
      <c r="CF8">
        <v>128</v>
      </c>
      <c r="CG8">
        <v>784</v>
      </c>
      <c r="CH8">
        <v>650</v>
      </c>
      <c r="CI8">
        <v>116</v>
      </c>
      <c r="CJ8">
        <v>8</v>
      </c>
      <c r="CK8">
        <v>0.91730565058393299</v>
      </c>
      <c r="CL8">
        <v>6.3819747552200073E-2</v>
      </c>
      <c r="CM8">
        <v>1.5099681491093548E-2</v>
      </c>
      <c r="CN8">
        <v>0.82908163265306123</v>
      </c>
      <c r="CO8">
        <v>0.14795918367346939</v>
      </c>
      <c r="CP8">
        <v>1.020408163265306E-2</v>
      </c>
    </row>
    <row r="9" spans="1:94" x14ac:dyDescent="0.15">
      <c r="A9" t="s">
        <v>433</v>
      </c>
      <c r="B9" t="s">
        <v>429</v>
      </c>
      <c r="C9" t="s">
        <v>434</v>
      </c>
      <c r="D9">
        <v>2464</v>
      </c>
      <c r="E9">
        <v>1345</v>
      </c>
      <c r="F9">
        <v>386</v>
      </c>
      <c r="G9">
        <v>582</v>
      </c>
      <c r="H9">
        <v>0.54586038961038963</v>
      </c>
      <c r="I9">
        <v>0.15665584415584416</v>
      </c>
      <c r="J9">
        <v>0.23620129870129869</v>
      </c>
      <c r="K9">
        <v>4844</v>
      </c>
      <c r="L9">
        <v>448</v>
      </c>
      <c r="M9">
        <v>1716</v>
      </c>
      <c r="N9">
        <v>2489</v>
      </c>
      <c r="O9">
        <v>9.2485549132947972E-2</v>
      </c>
      <c r="P9">
        <v>0.3542526837324525</v>
      </c>
      <c r="Q9">
        <v>0.51383154417836496</v>
      </c>
      <c r="R9">
        <v>4844</v>
      </c>
      <c r="S9">
        <v>670</v>
      </c>
      <c r="T9">
        <v>168</v>
      </c>
      <c r="U9">
        <v>177</v>
      </c>
      <c r="V9">
        <v>28</v>
      </c>
      <c r="W9">
        <v>1043</v>
      </c>
      <c r="X9">
        <v>2243</v>
      </c>
      <c r="Y9">
        <v>301</v>
      </c>
      <c r="Z9">
        <v>77</v>
      </c>
      <c r="AA9">
        <v>99</v>
      </c>
      <c r="AB9">
        <v>13</v>
      </c>
      <c r="AC9">
        <v>490</v>
      </c>
      <c r="AD9">
        <v>2601</v>
      </c>
      <c r="AE9">
        <v>369</v>
      </c>
      <c r="AF9">
        <v>91</v>
      </c>
      <c r="AG9">
        <v>78</v>
      </c>
      <c r="AH9">
        <v>15</v>
      </c>
      <c r="AI9">
        <v>553</v>
      </c>
      <c r="AJ9">
        <v>0.2153179190751445</v>
      </c>
      <c r="AK9">
        <v>0.16107382550335569</v>
      </c>
      <c r="AL9">
        <v>0.16970278044103548</v>
      </c>
      <c r="AM9">
        <v>2.6845637583892617E-2</v>
      </c>
      <c r="AN9">
        <v>0.46979865771812079</v>
      </c>
      <c r="AO9">
        <v>0.53020134228187921</v>
      </c>
      <c r="AP9">
        <v>2184</v>
      </c>
      <c r="AQ9">
        <v>61</v>
      </c>
      <c r="AR9">
        <v>41</v>
      </c>
      <c r="AS9">
        <v>1</v>
      </c>
      <c r="AT9">
        <v>138</v>
      </c>
      <c r="AU9">
        <v>270</v>
      </c>
      <c r="AV9">
        <v>7</v>
      </c>
      <c r="AW9">
        <v>27</v>
      </c>
      <c r="AX9">
        <v>131</v>
      </c>
      <c r="AY9">
        <v>369</v>
      </c>
      <c r="AZ9">
        <v>53</v>
      </c>
      <c r="BA9">
        <v>25</v>
      </c>
      <c r="BB9">
        <v>52</v>
      </c>
      <c r="BC9">
        <v>186</v>
      </c>
      <c r="BD9">
        <v>90</v>
      </c>
      <c r="BE9">
        <v>72</v>
      </c>
      <c r="BF9">
        <v>397</v>
      </c>
      <c r="BG9">
        <v>35</v>
      </c>
      <c r="BH9">
        <v>160</v>
      </c>
      <c r="BI9">
        <v>65</v>
      </c>
      <c r="BJ9">
        <v>2.7930402930402932E-2</v>
      </c>
      <c r="BK9">
        <v>1.8772893772893772E-2</v>
      </c>
      <c r="BL9">
        <v>4.5787545787545788E-4</v>
      </c>
      <c r="BM9">
        <v>6.3186813186813184E-2</v>
      </c>
      <c r="BN9">
        <v>0.12362637362637363</v>
      </c>
      <c r="BO9">
        <v>3.205128205128205E-3</v>
      </c>
      <c r="BP9">
        <v>1.2362637362637362E-2</v>
      </c>
      <c r="BQ9">
        <v>5.9981684981684984E-2</v>
      </c>
      <c r="BR9">
        <v>0.16895604395604397</v>
      </c>
      <c r="BS9">
        <v>2.4267399267399268E-2</v>
      </c>
      <c r="BT9">
        <v>1.1446886446886446E-2</v>
      </c>
      <c r="BU9">
        <v>2.3809523809523808E-2</v>
      </c>
      <c r="BV9">
        <v>8.5164835164835168E-2</v>
      </c>
      <c r="BW9">
        <v>4.1208791208791208E-2</v>
      </c>
      <c r="BX9">
        <v>3.2967032967032968E-2</v>
      </c>
      <c r="BY9">
        <v>0.18177655677655677</v>
      </c>
      <c r="BZ9">
        <v>1.6025641025641024E-2</v>
      </c>
      <c r="CA9">
        <v>7.3260073260073263E-2</v>
      </c>
      <c r="CB9">
        <v>2.976190476190476E-2</v>
      </c>
      <c r="CC9">
        <v>2184</v>
      </c>
      <c r="CD9">
        <v>2006</v>
      </c>
      <c r="CE9">
        <v>114</v>
      </c>
      <c r="CF9">
        <v>53</v>
      </c>
      <c r="CG9">
        <v>176</v>
      </c>
      <c r="CH9">
        <v>155</v>
      </c>
      <c r="CI9">
        <v>18</v>
      </c>
      <c r="CJ9">
        <v>3</v>
      </c>
      <c r="CK9">
        <v>0.91849816849816845</v>
      </c>
      <c r="CL9">
        <v>5.21978021978022E-2</v>
      </c>
      <c r="CM9">
        <v>2.4267399267399268E-2</v>
      </c>
      <c r="CN9">
        <v>0.88068181818181823</v>
      </c>
      <c r="CO9">
        <v>0.10227272727272728</v>
      </c>
      <c r="CP9">
        <v>1.7045454545454544E-2</v>
      </c>
    </row>
    <row r="10" spans="1:94" x14ac:dyDescent="0.15">
      <c r="A10" t="s">
        <v>435</v>
      </c>
      <c r="B10" t="s">
        <v>429</v>
      </c>
      <c r="C10" t="s">
        <v>436</v>
      </c>
      <c r="D10">
        <v>1678</v>
      </c>
      <c r="E10">
        <v>963</v>
      </c>
      <c r="F10">
        <v>341</v>
      </c>
      <c r="G10">
        <v>287</v>
      </c>
      <c r="H10">
        <v>0.57389749702026227</v>
      </c>
      <c r="I10">
        <v>0.20321811680572111</v>
      </c>
      <c r="J10">
        <v>0.17103694874851014</v>
      </c>
      <c r="K10">
        <v>4655</v>
      </c>
      <c r="L10">
        <v>406</v>
      </c>
      <c r="M10">
        <v>1697</v>
      </c>
      <c r="N10">
        <v>2443</v>
      </c>
      <c r="O10">
        <v>8.7218045112781958E-2</v>
      </c>
      <c r="P10">
        <v>0.36455424274973147</v>
      </c>
      <c r="Q10">
        <v>0.52481203007518795</v>
      </c>
      <c r="R10">
        <v>4655</v>
      </c>
      <c r="S10">
        <v>811</v>
      </c>
      <c r="T10">
        <v>155</v>
      </c>
      <c r="U10">
        <v>148</v>
      </c>
      <c r="V10">
        <v>1</v>
      </c>
      <c r="W10">
        <v>1115</v>
      </c>
      <c r="X10">
        <v>2262</v>
      </c>
      <c r="Y10">
        <v>372</v>
      </c>
      <c r="Z10">
        <v>82</v>
      </c>
      <c r="AA10">
        <v>101</v>
      </c>
      <c r="AB10">
        <v>1</v>
      </c>
      <c r="AC10">
        <v>556</v>
      </c>
      <c r="AD10">
        <v>2393</v>
      </c>
      <c r="AE10">
        <v>439</v>
      </c>
      <c r="AF10">
        <v>73</v>
      </c>
      <c r="AG10">
        <v>47</v>
      </c>
      <c r="AH10">
        <v>0</v>
      </c>
      <c r="AI10">
        <v>559</v>
      </c>
      <c r="AJ10">
        <v>0.23952738990332975</v>
      </c>
      <c r="AK10">
        <v>0.13901345291479822</v>
      </c>
      <c r="AL10">
        <v>0.13273542600896862</v>
      </c>
      <c r="AM10">
        <v>8.9686098654708521E-4</v>
      </c>
      <c r="AN10">
        <v>0.49865470852017935</v>
      </c>
      <c r="AO10">
        <v>0.50134529147982065</v>
      </c>
      <c r="AP10">
        <v>1851</v>
      </c>
      <c r="AQ10">
        <v>171</v>
      </c>
      <c r="AR10">
        <v>9</v>
      </c>
      <c r="AS10">
        <v>0</v>
      </c>
      <c r="AT10">
        <v>169</v>
      </c>
      <c r="AU10">
        <v>278</v>
      </c>
      <c r="AV10">
        <v>12</v>
      </c>
      <c r="AW10">
        <v>7</v>
      </c>
      <c r="AX10">
        <v>101</v>
      </c>
      <c r="AY10">
        <v>210</v>
      </c>
      <c r="AZ10">
        <v>29</v>
      </c>
      <c r="BA10">
        <v>12</v>
      </c>
      <c r="BB10">
        <v>34</v>
      </c>
      <c r="BC10">
        <v>73</v>
      </c>
      <c r="BD10">
        <v>48</v>
      </c>
      <c r="BE10">
        <v>75</v>
      </c>
      <c r="BF10">
        <v>395</v>
      </c>
      <c r="BG10">
        <v>34</v>
      </c>
      <c r="BH10">
        <v>117</v>
      </c>
      <c r="BI10">
        <v>76</v>
      </c>
      <c r="BJ10">
        <v>9.2382495948136148E-2</v>
      </c>
      <c r="BK10">
        <v>4.8622366288492711E-3</v>
      </c>
      <c r="BL10">
        <v>0</v>
      </c>
      <c r="BM10">
        <v>9.1301998919502969E-2</v>
      </c>
      <c r="BN10">
        <v>0.15018908698001079</v>
      </c>
      <c r="BO10">
        <v>6.4829821717990272E-3</v>
      </c>
      <c r="BP10">
        <v>3.7817396002160996E-3</v>
      </c>
      <c r="BQ10">
        <v>5.4565099945975151E-2</v>
      </c>
      <c r="BR10">
        <v>0.11345218800648298</v>
      </c>
      <c r="BS10">
        <v>1.5667206915180983E-2</v>
      </c>
      <c r="BT10">
        <v>6.4829821717990272E-3</v>
      </c>
      <c r="BU10">
        <v>1.8368449486763912E-2</v>
      </c>
      <c r="BV10">
        <v>3.9438141545110751E-2</v>
      </c>
      <c r="BW10">
        <v>2.5931928687196109E-2</v>
      </c>
      <c r="BX10">
        <v>4.0518638573743923E-2</v>
      </c>
      <c r="BY10">
        <v>0.21339816315505133</v>
      </c>
      <c r="BZ10">
        <v>1.8368449486763912E-2</v>
      </c>
      <c r="CA10">
        <v>6.3209076175040513E-2</v>
      </c>
      <c r="CB10">
        <v>4.1058887088060506E-2</v>
      </c>
      <c r="CC10">
        <v>1851</v>
      </c>
      <c r="CD10">
        <v>1707</v>
      </c>
      <c r="CE10">
        <v>115</v>
      </c>
      <c r="CF10">
        <v>25</v>
      </c>
      <c r="CG10">
        <v>197</v>
      </c>
      <c r="CH10">
        <v>180</v>
      </c>
      <c r="CI10">
        <v>14</v>
      </c>
      <c r="CJ10">
        <v>0</v>
      </c>
      <c r="CK10">
        <v>0.92220421393841168</v>
      </c>
      <c r="CL10">
        <v>6.2128579146407348E-2</v>
      </c>
      <c r="CM10">
        <v>1.350621285791464E-2</v>
      </c>
      <c r="CN10">
        <v>0.91370558375634514</v>
      </c>
      <c r="CO10">
        <v>7.1065989847715741E-2</v>
      </c>
      <c r="CP10">
        <v>0</v>
      </c>
    </row>
    <row r="11" spans="1:94" x14ac:dyDescent="0.15">
      <c r="A11" t="s">
        <v>437</v>
      </c>
      <c r="B11" t="s">
        <v>429</v>
      </c>
      <c r="C11" t="s">
        <v>438</v>
      </c>
      <c r="D11">
        <v>1467</v>
      </c>
      <c r="E11">
        <v>1011</v>
      </c>
      <c r="F11">
        <v>339</v>
      </c>
      <c r="G11">
        <v>341</v>
      </c>
      <c r="H11">
        <v>0.68916155419222902</v>
      </c>
      <c r="I11">
        <v>0.2310838445807771</v>
      </c>
      <c r="J11">
        <v>0.23244717109747784</v>
      </c>
      <c r="K11">
        <v>3046</v>
      </c>
      <c r="L11">
        <v>538</v>
      </c>
      <c r="M11">
        <v>514</v>
      </c>
      <c r="N11">
        <v>1930</v>
      </c>
      <c r="O11">
        <v>0.17662508207485225</v>
      </c>
      <c r="P11">
        <v>0.16874589625738673</v>
      </c>
      <c r="Q11">
        <v>0.63361785948785287</v>
      </c>
      <c r="R11">
        <v>3046</v>
      </c>
      <c r="S11">
        <v>128</v>
      </c>
      <c r="T11">
        <v>38</v>
      </c>
      <c r="U11">
        <v>73</v>
      </c>
      <c r="V11">
        <v>50</v>
      </c>
      <c r="W11">
        <v>289</v>
      </c>
      <c r="X11">
        <v>1463</v>
      </c>
      <c r="Y11">
        <v>61</v>
      </c>
      <c r="Z11">
        <v>19</v>
      </c>
      <c r="AA11">
        <v>38</v>
      </c>
      <c r="AB11">
        <v>33</v>
      </c>
      <c r="AC11">
        <v>151</v>
      </c>
      <c r="AD11">
        <v>1583</v>
      </c>
      <c r="AE11">
        <v>67</v>
      </c>
      <c r="AF11">
        <v>19</v>
      </c>
      <c r="AG11">
        <v>35</v>
      </c>
      <c r="AH11">
        <v>17</v>
      </c>
      <c r="AI11">
        <v>138</v>
      </c>
      <c r="AJ11">
        <v>9.4878529218647409E-2</v>
      </c>
      <c r="AK11">
        <v>0.13148788927335639</v>
      </c>
      <c r="AL11">
        <v>0.25259515570934254</v>
      </c>
      <c r="AM11">
        <v>0.17301038062283736</v>
      </c>
      <c r="AN11">
        <v>0.52249134948096887</v>
      </c>
      <c r="AO11">
        <v>0.47750865051903113</v>
      </c>
      <c r="AP11">
        <v>1412</v>
      </c>
      <c r="AQ11">
        <v>322</v>
      </c>
      <c r="AR11">
        <v>34</v>
      </c>
      <c r="AS11">
        <v>1</v>
      </c>
      <c r="AT11">
        <v>94</v>
      </c>
      <c r="AU11">
        <v>159</v>
      </c>
      <c r="AV11">
        <v>4</v>
      </c>
      <c r="AW11">
        <v>2</v>
      </c>
      <c r="AX11">
        <v>63</v>
      </c>
      <c r="AY11">
        <v>176</v>
      </c>
      <c r="AZ11">
        <v>14</v>
      </c>
      <c r="BA11">
        <v>9</v>
      </c>
      <c r="BB11">
        <v>22</v>
      </c>
      <c r="BC11">
        <v>52</v>
      </c>
      <c r="BD11">
        <v>41</v>
      </c>
      <c r="BE11">
        <v>29</v>
      </c>
      <c r="BF11">
        <v>207</v>
      </c>
      <c r="BG11">
        <v>29</v>
      </c>
      <c r="BH11">
        <v>88</v>
      </c>
      <c r="BI11">
        <v>33</v>
      </c>
      <c r="BJ11">
        <v>0.22804532577903683</v>
      </c>
      <c r="BK11">
        <v>2.4079320113314446E-2</v>
      </c>
      <c r="BL11">
        <v>7.0821529745042496E-4</v>
      </c>
      <c r="BM11">
        <v>6.6572237960339939E-2</v>
      </c>
      <c r="BN11">
        <v>0.11260623229461757</v>
      </c>
      <c r="BO11">
        <v>2.8328611898016999E-3</v>
      </c>
      <c r="BP11">
        <v>1.4164305949008499E-3</v>
      </c>
      <c r="BQ11">
        <v>4.4617563739376767E-2</v>
      </c>
      <c r="BR11">
        <v>0.12464589235127478</v>
      </c>
      <c r="BS11">
        <v>9.9150141643059488E-3</v>
      </c>
      <c r="BT11">
        <v>6.3739376770538241E-3</v>
      </c>
      <c r="BU11">
        <v>1.5580736543909348E-2</v>
      </c>
      <c r="BV11">
        <v>3.6827195467422094E-2</v>
      </c>
      <c r="BW11">
        <v>2.9036827195467421E-2</v>
      </c>
      <c r="BX11">
        <v>2.0538243626062325E-2</v>
      </c>
      <c r="BY11">
        <v>0.14660056657223797</v>
      </c>
      <c r="BZ11">
        <v>2.0538243626062325E-2</v>
      </c>
      <c r="CA11">
        <v>6.2322946175637391E-2</v>
      </c>
      <c r="CB11">
        <v>2.3371104815864022E-2</v>
      </c>
      <c r="CC11">
        <v>1412</v>
      </c>
      <c r="CD11">
        <v>1285</v>
      </c>
      <c r="CE11">
        <v>58</v>
      </c>
      <c r="CF11">
        <v>35</v>
      </c>
      <c r="CG11">
        <v>73</v>
      </c>
      <c r="CH11">
        <v>57</v>
      </c>
      <c r="CI11">
        <v>12</v>
      </c>
      <c r="CJ11">
        <v>3</v>
      </c>
      <c r="CK11">
        <v>0.91005665722379603</v>
      </c>
      <c r="CL11">
        <v>4.1076487252124649E-2</v>
      </c>
      <c r="CM11">
        <v>2.4787535410764873E-2</v>
      </c>
      <c r="CN11">
        <v>0.78082191780821919</v>
      </c>
      <c r="CO11">
        <v>0.16438356164383561</v>
      </c>
      <c r="CP11">
        <v>4.1095890410958902E-2</v>
      </c>
    </row>
    <row r="12" spans="1:94" x14ac:dyDescent="0.15">
      <c r="A12" t="s">
        <v>439</v>
      </c>
      <c r="B12" t="s">
        <v>429</v>
      </c>
      <c r="C12" t="s">
        <v>440</v>
      </c>
      <c r="D12">
        <v>354</v>
      </c>
      <c r="E12">
        <v>246</v>
      </c>
      <c r="F12">
        <v>82</v>
      </c>
      <c r="G12">
        <v>79</v>
      </c>
      <c r="H12">
        <v>0.69491525423728817</v>
      </c>
      <c r="I12">
        <v>0.23163841807909605</v>
      </c>
      <c r="J12">
        <v>0.2231638418079096</v>
      </c>
      <c r="K12">
        <v>765</v>
      </c>
      <c r="L12">
        <v>110</v>
      </c>
      <c r="M12">
        <v>165</v>
      </c>
      <c r="N12">
        <v>478</v>
      </c>
      <c r="O12">
        <v>0.1437908496732026</v>
      </c>
      <c r="P12">
        <v>0.21568627450980393</v>
      </c>
      <c r="Q12">
        <v>0.62483660130718954</v>
      </c>
      <c r="R12">
        <v>765</v>
      </c>
      <c r="S12">
        <v>18</v>
      </c>
      <c r="T12">
        <v>28</v>
      </c>
      <c r="U12">
        <v>31</v>
      </c>
      <c r="V12">
        <v>0</v>
      </c>
      <c r="W12">
        <v>77</v>
      </c>
      <c r="X12">
        <v>377</v>
      </c>
      <c r="Y12">
        <v>11</v>
      </c>
      <c r="Z12">
        <v>15</v>
      </c>
      <c r="AA12">
        <v>18</v>
      </c>
      <c r="AB12">
        <v>0</v>
      </c>
      <c r="AC12">
        <v>44</v>
      </c>
      <c r="AD12">
        <v>388</v>
      </c>
      <c r="AE12">
        <v>7</v>
      </c>
      <c r="AF12">
        <v>13</v>
      </c>
      <c r="AG12">
        <v>13</v>
      </c>
      <c r="AH12">
        <v>0</v>
      </c>
      <c r="AI12">
        <v>33</v>
      </c>
      <c r="AJ12">
        <v>0.10065359477124183</v>
      </c>
      <c r="AK12">
        <v>0.36363636363636365</v>
      </c>
      <c r="AL12">
        <v>0.40259740259740262</v>
      </c>
      <c r="AM12">
        <v>0</v>
      </c>
      <c r="AN12">
        <v>0.5714285714285714</v>
      </c>
      <c r="AO12">
        <v>0.42857142857142855</v>
      </c>
      <c r="AP12">
        <v>365</v>
      </c>
      <c r="AQ12">
        <v>56</v>
      </c>
      <c r="AR12">
        <v>56</v>
      </c>
      <c r="AS12">
        <v>0</v>
      </c>
      <c r="AT12">
        <v>25</v>
      </c>
      <c r="AU12">
        <v>45</v>
      </c>
      <c r="AV12">
        <v>1</v>
      </c>
      <c r="AW12">
        <v>2</v>
      </c>
      <c r="AX12">
        <v>13</v>
      </c>
      <c r="AY12">
        <v>32</v>
      </c>
      <c r="AZ12">
        <v>3</v>
      </c>
      <c r="BA12">
        <v>2</v>
      </c>
      <c r="BB12">
        <v>6</v>
      </c>
      <c r="BC12">
        <v>31</v>
      </c>
      <c r="BD12">
        <v>13</v>
      </c>
      <c r="BE12">
        <v>8</v>
      </c>
      <c r="BF12">
        <v>34</v>
      </c>
      <c r="BG12">
        <v>1</v>
      </c>
      <c r="BH12">
        <v>26</v>
      </c>
      <c r="BI12">
        <v>11</v>
      </c>
      <c r="BJ12">
        <v>0.15342465753424658</v>
      </c>
      <c r="BK12">
        <v>0.15342465753424658</v>
      </c>
      <c r="BL12">
        <v>0</v>
      </c>
      <c r="BM12">
        <v>6.8493150684931503E-2</v>
      </c>
      <c r="BN12">
        <v>0.12328767123287671</v>
      </c>
      <c r="BO12">
        <v>2.7397260273972603E-3</v>
      </c>
      <c r="BP12">
        <v>5.4794520547945206E-3</v>
      </c>
      <c r="BQ12">
        <v>3.5616438356164383E-2</v>
      </c>
      <c r="BR12">
        <v>8.7671232876712329E-2</v>
      </c>
      <c r="BS12">
        <v>8.21917808219178E-3</v>
      </c>
      <c r="BT12">
        <v>5.4794520547945206E-3</v>
      </c>
      <c r="BU12">
        <v>1.643835616438356E-2</v>
      </c>
      <c r="BV12">
        <v>8.4931506849315067E-2</v>
      </c>
      <c r="BW12">
        <v>3.5616438356164383E-2</v>
      </c>
      <c r="BX12">
        <v>2.1917808219178082E-2</v>
      </c>
      <c r="BY12">
        <v>9.3150684931506855E-2</v>
      </c>
      <c r="BZ12">
        <v>2.7397260273972603E-3</v>
      </c>
      <c r="CA12">
        <v>7.1232876712328766E-2</v>
      </c>
      <c r="CB12">
        <v>3.0136986301369864E-2</v>
      </c>
      <c r="CC12">
        <v>365</v>
      </c>
      <c r="CD12">
        <v>291</v>
      </c>
      <c r="CE12">
        <v>71</v>
      </c>
      <c r="CF12">
        <v>2</v>
      </c>
      <c r="CG12">
        <v>29</v>
      </c>
      <c r="CH12">
        <v>17</v>
      </c>
      <c r="CI12">
        <v>12</v>
      </c>
      <c r="CJ12">
        <v>0</v>
      </c>
      <c r="CK12">
        <v>0.79726027397260268</v>
      </c>
      <c r="CL12">
        <v>0.19452054794520549</v>
      </c>
      <c r="CM12">
        <v>5.4794520547945206E-3</v>
      </c>
      <c r="CN12">
        <v>0.58620689655172409</v>
      </c>
      <c r="CO12">
        <v>0.41379310344827586</v>
      </c>
      <c r="CP12">
        <v>0</v>
      </c>
    </row>
    <row r="13" spans="1:94" x14ac:dyDescent="0.15">
      <c r="A13" t="s">
        <v>441</v>
      </c>
      <c r="B13" t="s">
        <v>429</v>
      </c>
      <c r="C13" t="s">
        <v>442</v>
      </c>
      <c r="D13">
        <v>416</v>
      </c>
      <c r="E13">
        <v>318</v>
      </c>
      <c r="F13">
        <v>97</v>
      </c>
      <c r="G13">
        <v>120</v>
      </c>
      <c r="H13">
        <v>0.76442307692307687</v>
      </c>
      <c r="I13">
        <v>0.23317307692307693</v>
      </c>
      <c r="J13">
        <v>0.28846153846153844</v>
      </c>
      <c r="K13">
        <v>845</v>
      </c>
      <c r="L13">
        <v>100</v>
      </c>
      <c r="M13">
        <v>152</v>
      </c>
      <c r="N13">
        <v>591</v>
      </c>
      <c r="O13">
        <v>0.11834319526627218</v>
      </c>
      <c r="P13">
        <v>0.17988165680473372</v>
      </c>
      <c r="Q13">
        <v>0.69940828402366861</v>
      </c>
      <c r="R13">
        <v>845</v>
      </c>
      <c r="S13">
        <v>43</v>
      </c>
      <c r="T13">
        <v>14</v>
      </c>
      <c r="U13">
        <v>28</v>
      </c>
      <c r="V13">
        <v>3</v>
      </c>
      <c r="W13">
        <v>88</v>
      </c>
      <c r="X13">
        <v>382</v>
      </c>
      <c r="Y13">
        <v>20</v>
      </c>
      <c r="Z13">
        <v>7</v>
      </c>
      <c r="AA13">
        <v>15</v>
      </c>
      <c r="AB13">
        <v>3</v>
      </c>
      <c r="AC13">
        <v>45</v>
      </c>
      <c r="AD13">
        <v>463</v>
      </c>
      <c r="AE13">
        <v>23</v>
      </c>
      <c r="AF13">
        <v>7</v>
      </c>
      <c r="AG13">
        <v>13</v>
      </c>
      <c r="AH13">
        <v>0</v>
      </c>
      <c r="AI13">
        <v>43</v>
      </c>
      <c r="AJ13">
        <v>0.10414201183431952</v>
      </c>
      <c r="AK13">
        <v>0.15909090909090909</v>
      </c>
      <c r="AL13">
        <v>0.31818181818181818</v>
      </c>
      <c r="AM13">
        <v>3.4090909090909088E-2</v>
      </c>
      <c r="AN13">
        <v>0.51136363636363635</v>
      </c>
      <c r="AO13">
        <v>0.48863636363636365</v>
      </c>
      <c r="AP13">
        <v>400</v>
      </c>
      <c r="AQ13">
        <v>94</v>
      </c>
      <c r="AR13">
        <v>2</v>
      </c>
      <c r="AS13">
        <v>0</v>
      </c>
      <c r="AT13">
        <v>30</v>
      </c>
      <c r="AU13">
        <v>58</v>
      </c>
      <c r="AV13">
        <v>0</v>
      </c>
      <c r="AW13">
        <v>1</v>
      </c>
      <c r="AX13">
        <v>20</v>
      </c>
      <c r="AY13">
        <v>52</v>
      </c>
      <c r="AZ13">
        <v>1</v>
      </c>
      <c r="BA13">
        <v>2</v>
      </c>
      <c r="BB13">
        <v>8</v>
      </c>
      <c r="BC13">
        <v>20</v>
      </c>
      <c r="BD13">
        <v>10</v>
      </c>
      <c r="BE13">
        <v>13</v>
      </c>
      <c r="BF13">
        <v>62</v>
      </c>
      <c r="BG13">
        <v>5</v>
      </c>
      <c r="BH13">
        <v>18</v>
      </c>
      <c r="BI13">
        <v>4</v>
      </c>
      <c r="BJ13">
        <v>0.23499999999999999</v>
      </c>
      <c r="BK13">
        <v>5.0000000000000001E-3</v>
      </c>
      <c r="BL13">
        <v>0</v>
      </c>
      <c r="BM13">
        <v>7.4999999999999997E-2</v>
      </c>
      <c r="BN13">
        <v>0.14499999999999999</v>
      </c>
      <c r="BO13">
        <v>0</v>
      </c>
      <c r="BP13">
        <v>2.5000000000000001E-3</v>
      </c>
      <c r="BQ13">
        <v>0.05</v>
      </c>
      <c r="BR13">
        <v>0.13</v>
      </c>
      <c r="BS13">
        <v>2.5000000000000001E-3</v>
      </c>
      <c r="BT13">
        <v>5.0000000000000001E-3</v>
      </c>
      <c r="BU13">
        <v>0.02</v>
      </c>
      <c r="BV13">
        <v>0.05</v>
      </c>
      <c r="BW13">
        <v>2.5000000000000001E-2</v>
      </c>
      <c r="BX13">
        <v>3.2500000000000001E-2</v>
      </c>
      <c r="BY13">
        <v>0.155</v>
      </c>
      <c r="BZ13">
        <v>1.2500000000000001E-2</v>
      </c>
      <c r="CA13">
        <v>4.4999999999999998E-2</v>
      </c>
      <c r="CB13">
        <v>0.01</v>
      </c>
      <c r="CC13">
        <v>400</v>
      </c>
      <c r="CD13">
        <v>375</v>
      </c>
      <c r="CE13">
        <v>23</v>
      </c>
      <c r="CF13">
        <v>1</v>
      </c>
      <c r="CG13">
        <v>15</v>
      </c>
      <c r="CH13">
        <v>8</v>
      </c>
      <c r="CI13">
        <v>5</v>
      </c>
      <c r="CJ13">
        <v>0</v>
      </c>
      <c r="CK13">
        <v>0.9375</v>
      </c>
      <c r="CL13">
        <v>5.7500000000000002E-2</v>
      </c>
      <c r="CM13">
        <v>2.5000000000000001E-3</v>
      </c>
      <c r="CN13">
        <v>0.53333333333333333</v>
      </c>
      <c r="CO13">
        <v>0.33333333333333331</v>
      </c>
      <c r="CP13">
        <v>0</v>
      </c>
    </row>
    <row r="14" spans="1:94" x14ac:dyDescent="0.15">
      <c r="A14" t="s">
        <v>443</v>
      </c>
      <c r="B14" t="s">
        <v>429</v>
      </c>
      <c r="C14" t="s">
        <v>444</v>
      </c>
      <c r="D14">
        <v>1564</v>
      </c>
      <c r="E14">
        <v>992</v>
      </c>
      <c r="F14">
        <v>318</v>
      </c>
      <c r="G14">
        <v>302</v>
      </c>
      <c r="H14">
        <v>0.63427109974424556</v>
      </c>
      <c r="I14">
        <v>0.20332480818414322</v>
      </c>
      <c r="J14">
        <v>0.19309462915601022</v>
      </c>
      <c r="K14">
        <v>3971</v>
      </c>
      <c r="L14">
        <v>513</v>
      </c>
      <c r="M14">
        <v>1202</v>
      </c>
      <c r="N14">
        <v>2199</v>
      </c>
      <c r="O14">
        <v>0.12918660287081341</v>
      </c>
      <c r="P14">
        <v>0.30269453538151597</v>
      </c>
      <c r="Q14">
        <v>0.55376479476202467</v>
      </c>
      <c r="R14">
        <v>3971</v>
      </c>
      <c r="S14">
        <v>543</v>
      </c>
      <c r="T14">
        <v>90</v>
      </c>
      <c r="U14">
        <v>86</v>
      </c>
      <c r="V14">
        <v>49</v>
      </c>
      <c r="W14">
        <v>768</v>
      </c>
      <c r="X14">
        <v>1832</v>
      </c>
      <c r="Y14">
        <v>218</v>
      </c>
      <c r="Z14">
        <v>53</v>
      </c>
      <c r="AA14">
        <v>44</v>
      </c>
      <c r="AB14">
        <v>26</v>
      </c>
      <c r="AC14">
        <v>341</v>
      </c>
      <c r="AD14">
        <v>2139</v>
      </c>
      <c r="AE14">
        <v>325</v>
      </c>
      <c r="AF14">
        <v>37</v>
      </c>
      <c r="AG14">
        <v>42</v>
      </c>
      <c r="AH14">
        <v>23</v>
      </c>
      <c r="AI14">
        <v>427</v>
      </c>
      <c r="AJ14">
        <v>0.19340216570133467</v>
      </c>
      <c r="AK14">
        <v>0.1171875</v>
      </c>
      <c r="AL14">
        <v>0.11197916666666667</v>
      </c>
      <c r="AM14">
        <v>6.3802083333333329E-2</v>
      </c>
      <c r="AN14">
        <v>0.44401041666666669</v>
      </c>
      <c r="AO14">
        <v>0.55598958333333337</v>
      </c>
      <c r="AP14">
        <v>1764</v>
      </c>
      <c r="AQ14">
        <v>310</v>
      </c>
      <c r="AR14">
        <v>4</v>
      </c>
      <c r="AS14">
        <v>2</v>
      </c>
      <c r="AT14">
        <v>168</v>
      </c>
      <c r="AU14">
        <v>343</v>
      </c>
      <c r="AV14">
        <v>7</v>
      </c>
      <c r="AW14">
        <v>7</v>
      </c>
      <c r="AX14">
        <v>60</v>
      </c>
      <c r="AY14">
        <v>181</v>
      </c>
      <c r="AZ14">
        <v>9</v>
      </c>
      <c r="BA14">
        <v>5</v>
      </c>
      <c r="BB14">
        <v>22</v>
      </c>
      <c r="BC14">
        <v>105</v>
      </c>
      <c r="BD14">
        <v>37</v>
      </c>
      <c r="BE14">
        <v>34</v>
      </c>
      <c r="BF14">
        <v>278</v>
      </c>
      <c r="BG14">
        <v>35</v>
      </c>
      <c r="BH14">
        <v>101</v>
      </c>
      <c r="BI14">
        <v>50</v>
      </c>
      <c r="BJ14">
        <v>0.17573696145124718</v>
      </c>
      <c r="BK14">
        <v>2.2675736961451248E-3</v>
      </c>
      <c r="BL14">
        <v>1.1337868480725624E-3</v>
      </c>
      <c r="BM14">
        <v>9.5238095238095233E-2</v>
      </c>
      <c r="BN14">
        <v>0.19444444444444445</v>
      </c>
      <c r="BO14">
        <v>3.968253968253968E-3</v>
      </c>
      <c r="BP14">
        <v>3.968253968253968E-3</v>
      </c>
      <c r="BQ14">
        <v>3.4013605442176874E-2</v>
      </c>
      <c r="BR14">
        <v>0.10260770975056689</v>
      </c>
      <c r="BS14">
        <v>5.1020408163265302E-3</v>
      </c>
      <c r="BT14">
        <v>2.8344671201814059E-3</v>
      </c>
      <c r="BU14">
        <v>1.2471655328798186E-2</v>
      </c>
      <c r="BV14">
        <v>5.9523809523809521E-2</v>
      </c>
      <c r="BW14">
        <v>2.0975056689342405E-2</v>
      </c>
      <c r="BX14">
        <v>1.927437641723356E-2</v>
      </c>
      <c r="BY14">
        <v>0.15759637188208617</v>
      </c>
      <c r="BZ14">
        <v>1.984126984126984E-2</v>
      </c>
      <c r="CA14">
        <v>5.7256235827664398E-2</v>
      </c>
      <c r="CB14">
        <v>2.834467120181406E-2</v>
      </c>
      <c r="CC14">
        <v>1764</v>
      </c>
      <c r="CD14">
        <v>1615</v>
      </c>
      <c r="CE14">
        <v>132</v>
      </c>
      <c r="CF14">
        <v>11</v>
      </c>
      <c r="CG14">
        <v>121</v>
      </c>
      <c r="CH14">
        <v>93</v>
      </c>
      <c r="CI14">
        <v>27</v>
      </c>
      <c r="CJ14">
        <v>0</v>
      </c>
      <c r="CK14">
        <v>0.9155328798185941</v>
      </c>
      <c r="CL14">
        <v>7.4829931972789115E-2</v>
      </c>
      <c r="CM14">
        <v>6.2358276643990932E-3</v>
      </c>
      <c r="CN14">
        <v>0.76859504132231404</v>
      </c>
      <c r="CO14">
        <v>0.2231404958677686</v>
      </c>
      <c r="CP14">
        <v>0</v>
      </c>
    </row>
    <row r="15" spans="1:94" x14ac:dyDescent="0.15">
      <c r="A15" t="s">
        <v>445</v>
      </c>
      <c r="B15" t="s">
        <v>429</v>
      </c>
      <c r="C15" t="s">
        <v>446</v>
      </c>
      <c r="D15">
        <v>3755</v>
      </c>
      <c r="E15">
        <v>2255</v>
      </c>
      <c r="F15">
        <v>753</v>
      </c>
      <c r="G15">
        <v>680</v>
      </c>
      <c r="H15">
        <v>0.60053262316910783</v>
      </c>
      <c r="I15">
        <v>0.20053262316910786</v>
      </c>
      <c r="J15">
        <v>0.18109187749667111</v>
      </c>
      <c r="K15">
        <v>8922</v>
      </c>
      <c r="L15">
        <v>1352</v>
      </c>
      <c r="M15">
        <v>2451</v>
      </c>
      <c r="N15">
        <v>4948</v>
      </c>
      <c r="O15">
        <v>0.15153553015019053</v>
      </c>
      <c r="P15">
        <v>0.27471418964357769</v>
      </c>
      <c r="Q15">
        <v>0.55458417395202875</v>
      </c>
      <c r="R15">
        <v>8922</v>
      </c>
      <c r="S15">
        <v>1009</v>
      </c>
      <c r="T15">
        <v>129</v>
      </c>
      <c r="U15">
        <v>172</v>
      </c>
      <c r="V15">
        <v>140</v>
      </c>
      <c r="W15">
        <v>1450</v>
      </c>
      <c r="X15">
        <v>4232</v>
      </c>
      <c r="Y15">
        <v>423</v>
      </c>
      <c r="Z15">
        <v>60</v>
      </c>
      <c r="AA15">
        <v>84</v>
      </c>
      <c r="AB15">
        <v>139</v>
      </c>
      <c r="AC15">
        <v>706</v>
      </c>
      <c r="AD15">
        <v>4690</v>
      </c>
      <c r="AE15">
        <v>586</v>
      </c>
      <c r="AF15">
        <v>69</v>
      </c>
      <c r="AG15">
        <v>88</v>
      </c>
      <c r="AH15">
        <v>1</v>
      </c>
      <c r="AI15">
        <v>744</v>
      </c>
      <c r="AJ15">
        <v>0.16251961443622506</v>
      </c>
      <c r="AK15">
        <v>8.8965517241379313E-2</v>
      </c>
      <c r="AL15">
        <v>0.11862068965517242</v>
      </c>
      <c r="AM15">
        <v>9.6551724137931033E-2</v>
      </c>
      <c r="AN15">
        <v>0.48689655172413793</v>
      </c>
      <c r="AO15">
        <v>0.51310344827586207</v>
      </c>
      <c r="AP15">
        <v>4049</v>
      </c>
      <c r="AQ15">
        <v>522</v>
      </c>
      <c r="AR15">
        <v>341</v>
      </c>
      <c r="AS15">
        <v>0</v>
      </c>
      <c r="AT15">
        <v>235</v>
      </c>
      <c r="AU15">
        <v>378</v>
      </c>
      <c r="AV15">
        <v>9</v>
      </c>
      <c r="AW15">
        <v>10</v>
      </c>
      <c r="AX15">
        <v>468</v>
      </c>
      <c r="AY15">
        <v>482</v>
      </c>
      <c r="AZ15">
        <v>84</v>
      </c>
      <c r="BA15">
        <v>20</v>
      </c>
      <c r="BB15">
        <v>45</v>
      </c>
      <c r="BC15">
        <v>159</v>
      </c>
      <c r="BD15">
        <v>130</v>
      </c>
      <c r="BE15">
        <v>118</v>
      </c>
      <c r="BF15">
        <v>683</v>
      </c>
      <c r="BG15">
        <v>94</v>
      </c>
      <c r="BH15">
        <v>183</v>
      </c>
      <c r="BI15">
        <v>85</v>
      </c>
      <c r="BJ15">
        <v>0.12892072116571993</v>
      </c>
      <c r="BK15">
        <v>8.4218325512472214E-2</v>
      </c>
      <c r="BL15">
        <v>0</v>
      </c>
      <c r="BM15">
        <v>5.8039021980735982E-2</v>
      </c>
      <c r="BN15">
        <v>9.3356384292417882E-2</v>
      </c>
      <c r="BO15">
        <v>2.2227710545813782E-3</v>
      </c>
      <c r="BP15">
        <v>2.4697456162015314E-3</v>
      </c>
      <c r="BQ15">
        <v>0.11558409483823166</v>
      </c>
      <c r="BR15">
        <v>0.11904173870091381</v>
      </c>
      <c r="BS15">
        <v>2.0745863176092862E-2</v>
      </c>
      <c r="BT15">
        <v>4.9394912324030628E-3</v>
      </c>
      <c r="BU15">
        <v>1.111385527290689E-2</v>
      </c>
      <c r="BV15">
        <v>3.9268955297604345E-2</v>
      </c>
      <c r="BW15">
        <v>3.2106693010619906E-2</v>
      </c>
      <c r="BX15">
        <v>2.9142998271178069E-2</v>
      </c>
      <c r="BY15">
        <v>0.16868362558656458</v>
      </c>
      <c r="BZ15">
        <v>2.3215608792294392E-2</v>
      </c>
      <c r="CA15">
        <v>4.5196344776488019E-2</v>
      </c>
      <c r="CB15">
        <v>2.0992837737713016E-2</v>
      </c>
      <c r="CC15">
        <v>4049</v>
      </c>
      <c r="CD15">
        <v>3341</v>
      </c>
      <c r="CE15">
        <v>276</v>
      </c>
      <c r="CF15">
        <v>406</v>
      </c>
      <c r="CG15">
        <v>312</v>
      </c>
      <c r="CH15">
        <v>240</v>
      </c>
      <c r="CI15">
        <v>61</v>
      </c>
      <c r="CJ15">
        <v>6</v>
      </c>
      <c r="CK15">
        <v>0.82514201037293156</v>
      </c>
      <c r="CL15">
        <v>6.8164979007162257E-2</v>
      </c>
      <c r="CM15">
        <v>0.10027167201778217</v>
      </c>
      <c r="CN15">
        <v>0.76923076923076927</v>
      </c>
      <c r="CO15">
        <v>0.19551282051282051</v>
      </c>
      <c r="CP15">
        <v>1.9230769230769232E-2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東郷地区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4653</v>
      </c>
      <c r="F6" s="256"/>
      <c r="G6" s="20" t="s">
        <v>54</v>
      </c>
    </row>
    <row r="7" spans="1:10" ht="22.5" customHeight="1" x14ac:dyDescent="0.15">
      <c r="A7" s="248">
        <f>管理者用グラフシート!B4</f>
        <v>2010</v>
      </c>
      <c r="B7" s="248"/>
      <c r="C7" s="82" t="s">
        <v>226</v>
      </c>
      <c r="D7" s="250">
        <f>E6-管理者用グラフシート!E4</f>
        <v>-388</v>
      </c>
      <c r="E7" s="250"/>
      <c r="F7" s="20" t="s">
        <v>356</v>
      </c>
    </row>
    <row r="8" spans="1:10" ht="22.5" customHeight="1" x14ac:dyDescent="0.15">
      <c r="A8" s="247" t="s">
        <v>380</v>
      </c>
      <c r="B8" s="247"/>
      <c r="C8" s="203">
        <f>管理者用グラフシート!C6-管理者用グラフシート!C4</f>
        <v>-196</v>
      </c>
      <c r="D8" s="206" t="s">
        <v>381</v>
      </c>
      <c r="F8" s="203">
        <f>管理者用グラフシート!D6-管理者用グラフシート!D4</f>
        <v>-192</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209</v>
      </c>
      <c r="G36" s="249"/>
      <c r="H36" s="20" t="s">
        <v>54</v>
      </c>
    </row>
    <row r="37" spans="1:9" ht="22.5" customHeight="1" x14ac:dyDescent="0.15">
      <c r="A37" s="20" t="s">
        <v>66</v>
      </c>
      <c r="F37" s="249">
        <f>管理者用グラフシート!C16</f>
        <v>116</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-24</v>
      </c>
      <c r="E40" s="250"/>
      <c r="F40" s="20" t="s">
        <v>60</v>
      </c>
    </row>
    <row r="41" spans="1:9" ht="22.5" customHeight="1" x14ac:dyDescent="0.15">
      <c r="B41" s="20" t="s">
        <v>69</v>
      </c>
      <c r="D41" s="250">
        <f>F37-管理者用グラフシート!C14</f>
        <v>-39</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1915</v>
      </c>
      <c r="D70" s="249"/>
      <c r="E70" s="20" t="s">
        <v>76</v>
      </c>
      <c r="F70" s="37"/>
      <c r="G70" s="254">
        <f>管理者用グラフシート!C32</f>
        <v>0.41</v>
      </c>
      <c r="H70" s="254"/>
      <c r="I70" s="20" t="s">
        <v>77</v>
      </c>
    </row>
    <row r="71" spans="1:9" ht="22.5" customHeight="1" x14ac:dyDescent="0.15">
      <c r="A71" s="20" t="s">
        <v>78</v>
      </c>
      <c r="C71" s="249">
        <f>管理者用グラフシート!C26</f>
        <v>1045</v>
      </c>
      <c r="D71" s="249"/>
      <c r="E71" s="20" t="s">
        <v>76</v>
      </c>
      <c r="F71" s="37"/>
      <c r="G71" s="254">
        <f>管理者用グラフシート!C36</f>
        <v>0.22</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9ポイント上昇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-75</v>
      </c>
      <c r="G135" s="207" t="s">
        <v>386</v>
      </c>
      <c r="H135" s="111"/>
    </row>
    <row r="136" spans="1:8" ht="22.5" customHeight="1" x14ac:dyDescent="0.15">
      <c r="A136" s="35" t="s">
        <v>387</v>
      </c>
      <c r="C136" s="205">
        <f>SUM(管理者用グラフシート!B95:C96)-SUM(管理者用グラフシート!B47:C48)</f>
        <v>-75</v>
      </c>
      <c r="D136" s="20" t="s">
        <v>388</v>
      </c>
      <c r="E136" s="34"/>
      <c r="F136" s="205">
        <f>SUM(管理者用グラフシート!B97:C98)-SUM(管理者用グラフシート!B49:C50)</f>
        <v>-9</v>
      </c>
      <c r="G136" s="20" t="s">
        <v>386</v>
      </c>
    </row>
    <row r="137" spans="1:8" ht="18.75" x14ac:dyDescent="0.15">
      <c r="A137" s="20" t="s">
        <v>389</v>
      </c>
      <c r="C137" s="205">
        <f>SUM(管理者用グラフシート!B99:C100)-SUM(管理者用グラフシート!B51:C52)</f>
        <v>-233</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東郷地区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4066</v>
      </c>
      <c r="E6" s="249"/>
      <c r="F6" s="20" t="s">
        <v>231</v>
      </c>
      <c r="H6" s="34"/>
      <c r="I6" s="34"/>
    </row>
    <row r="7" spans="1:9" ht="22.5" customHeight="1" x14ac:dyDescent="0.15">
      <c r="A7" s="248">
        <f>管理者入力シート!B5</f>
        <v>2020</v>
      </c>
      <c r="B7" s="248"/>
      <c r="C7" s="195" t="s">
        <v>362</v>
      </c>
      <c r="D7" s="250">
        <f>D6-現況シート!E6</f>
        <v>-587</v>
      </c>
      <c r="E7" s="250"/>
      <c r="F7" s="20" t="s">
        <v>232</v>
      </c>
      <c r="I7" s="34"/>
    </row>
    <row r="8" spans="1:9" ht="22.5" customHeight="1" x14ac:dyDescent="0.15">
      <c r="A8" s="247" t="s">
        <v>397</v>
      </c>
      <c r="B8" s="247"/>
      <c r="C8" s="205">
        <f>管理者用グラフシート!I8-管理者用グラフシート!C6</f>
        <v>-287</v>
      </c>
      <c r="D8" s="206" t="s">
        <v>398</v>
      </c>
      <c r="F8" s="260">
        <f>管理者用グラフシート!J8-管理者用グラフシート!D6</f>
        <v>-300</v>
      </c>
      <c r="G8" s="260"/>
      <c r="H8" s="20" t="s">
        <v>399</v>
      </c>
    </row>
    <row r="10" spans="1:9" ht="22.5" customHeight="1" x14ac:dyDescent="0.15">
      <c r="A10" s="248">
        <f>管理者入力シート!B11</f>
        <v>2040</v>
      </c>
      <c r="B10" s="248"/>
      <c r="C10" s="20" t="s">
        <v>361</v>
      </c>
      <c r="D10" s="249">
        <f>管理者用グラフシート!K10</f>
        <v>3383</v>
      </c>
      <c r="E10" s="249"/>
      <c r="F10" s="20" t="s">
        <v>231</v>
      </c>
      <c r="H10" s="34"/>
    </row>
    <row r="11" spans="1:9" ht="22.5" customHeight="1" x14ac:dyDescent="0.15">
      <c r="A11" s="248">
        <f>管理者入力シート!B5</f>
        <v>2020</v>
      </c>
      <c r="B11" s="248"/>
      <c r="C11" s="195" t="s">
        <v>362</v>
      </c>
      <c r="D11" s="250">
        <f>D10-現況シート!E6</f>
        <v>-1270</v>
      </c>
      <c r="E11" s="250"/>
      <c r="F11" s="20" t="s">
        <v>232</v>
      </c>
      <c r="H11" s="34"/>
    </row>
    <row r="12" spans="1:9" ht="22.5" customHeight="1" x14ac:dyDescent="0.15">
      <c r="A12" s="247" t="s">
        <v>397</v>
      </c>
      <c r="B12" s="247"/>
      <c r="C12" s="205">
        <f>管理者用グラフシート!I10-管理者用グラフシート!C6</f>
        <v>-628</v>
      </c>
      <c r="D12" s="206" t="s">
        <v>398</v>
      </c>
      <c r="F12" s="260">
        <f>管理者用グラフシート!J10-管理者用グラフシート!D6</f>
        <v>-642</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99</v>
      </c>
      <c r="G36" s="249"/>
      <c r="H36" s="82" t="s">
        <v>233</v>
      </c>
      <c r="I36" s="34"/>
    </row>
    <row r="37" spans="1:9" ht="22.5" customHeight="1" x14ac:dyDescent="0.15">
      <c r="A37" s="20" t="s">
        <v>234</v>
      </c>
      <c r="F37" s="249">
        <f>管理者用グラフシート!I28</f>
        <v>64</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-110</v>
      </c>
      <c r="G40" s="250"/>
      <c r="H40" s="35" t="s">
        <v>60</v>
      </c>
    </row>
    <row r="41" spans="1:9" ht="22.5" customHeight="1" x14ac:dyDescent="0.15">
      <c r="A41" s="20" t="s">
        <v>69</v>
      </c>
      <c r="C41" s="199">
        <f>管理者入力シート!B5</f>
        <v>2020</v>
      </c>
      <c r="D41" s="20" t="s">
        <v>374</v>
      </c>
      <c r="F41" s="250">
        <f>F37-現況シート!F37</f>
        <v>-52</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1535</v>
      </c>
      <c r="D70" s="249"/>
      <c r="E70" s="82" t="s">
        <v>239</v>
      </c>
      <c r="F70" s="34"/>
      <c r="G70" s="254">
        <f>管理者用グラフシート!I56</f>
        <v>0.45</v>
      </c>
      <c r="H70" s="254"/>
      <c r="I70" s="110" t="s">
        <v>240</v>
      </c>
    </row>
    <row r="71" spans="1:9" ht="22.5" customHeight="1" x14ac:dyDescent="0.15">
      <c r="A71" s="20" t="s">
        <v>241</v>
      </c>
      <c r="C71" s="249">
        <f>管理者用グラフシート!I46</f>
        <v>1026</v>
      </c>
      <c r="D71" s="249"/>
      <c r="E71" s="20" t="s">
        <v>239</v>
      </c>
      <c r="G71" s="258">
        <f>管理者用グラフシート!I64</f>
        <v>0.3</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4ポイント上昇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8ポイント上昇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-65</v>
      </c>
      <c r="H103" s="207" t="s">
        <v>60</v>
      </c>
    </row>
    <row r="104" spans="1:8" ht="22.5" customHeight="1" x14ac:dyDescent="0.15">
      <c r="A104" s="35" t="s">
        <v>387</v>
      </c>
      <c r="C104" s="205">
        <f>SUM(管理者用グラフシート!H99:I100)-SUM(管理者用グラフシート!B95:C96)</f>
        <v>-99</v>
      </c>
      <c r="D104" s="20" t="s">
        <v>423</v>
      </c>
      <c r="E104" s="34"/>
      <c r="G104" s="205">
        <f>SUM(管理者用グラフシート!H101:I102)-SUM(管理者用グラフシート!B97:C98)</f>
        <v>-72</v>
      </c>
      <c r="H104" s="20" t="s">
        <v>60</v>
      </c>
    </row>
    <row r="105" spans="1:8" ht="22.5" customHeight="1" x14ac:dyDescent="0.15">
      <c r="A105" s="20" t="s">
        <v>389</v>
      </c>
      <c r="C105" s="205">
        <f>SUM(管理者用グラフシート!H103:I104)-SUM(管理者用グラフシート!B99:C100)</f>
        <v>2</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-83</v>
      </c>
      <c r="H137" s="207" t="s">
        <v>60</v>
      </c>
    </row>
    <row r="138" spans="1:8" ht="22.5" customHeight="1" x14ac:dyDescent="0.15">
      <c r="A138" s="35" t="s">
        <v>387</v>
      </c>
      <c r="C138" s="205">
        <f>SUM(管理者用グラフシート!H147:I148)-SUM(管理者用グラフシート!B95:C96)</f>
        <v>-174</v>
      </c>
      <c r="D138" s="20" t="s">
        <v>423</v>
      </c>
      <c r="E138" s="34"/>
      <c r="G138" s="205">
        <f>SUM(管理者用グラフシート!H149:I150)-SUM(管理者用グラフシート!B97:C98)</f>
        <v>-182</v>
      </c>
      <c r="H138" s="20" t="s">
        <v>60</v>
      </c>
    </row>
    <row r="139" spans="1:8" ht="22.5" customHeight="1" x14ac:dyDescent="0.15">
      <c r="A139" s="20" t="s">
        <v>389</v>
      </c>
      <c r="C139" s="205">
        <f>SUM(管理者用グラフシート!H151:I152)-SUM(管理者用グラフシート!B99:C100)</f>
        <v>-77</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東郷地区</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4623</v>
      </c>
      <c r="I36" s="266"/>
    </row>
    <row r="37" spans="1:9" s="130" customFormat="1" ht="17.25" customHeight="1" x14ac:dyDescent="0.15">
      <c r="A37" s="165"/>
      <c r="B37" s="225" t="s">
        <v>5</v>
      </c>
      <c r="C37" s="226">
        <f>管理者用人口入力シート!DX1</f>
        <v>40</v>
      </c>
      <c r="D37" s="227">
        <f>C37</f>
        <v>40</v>
      </c>
      <c r="F37" s="162"/>
      <c r="G37" s="237">
        <f>管理者入力シート!B9</f>
        <v>2030</v>
      </c>
      <c r="H37" s="265">
        <f>管理者用人口入力シート!EU25</f>
        <v>4636</v>
      </c>
      <c r="I37" s="266"/>
    </row>
    <row r="38" spans="1:9" s="132" customFormat="1" ht="17.25" customHeight="1" x14ac:dyDescent="0.15">
      <c r="A38" s="160"/>
      <c r="B38" s="225" t="s">
        <v>6</v>
      </c>
      <c r="C38" s="226">
        <f>C37</f>
        <v>40</v>
      </c>
      <c r="D38" s="227">
        <f>C37</f>
        <v>40</v>
      </c>
      <c r="F38" s="162"/>
      <c r="G38" s="237">
        <f>管理者入力シート!B10</f>
        <v>2035</v>
      </c>
      <c r="H38" s="265">
        <f>管理者用人口入力シート!EU28</f>
        <v>4663</v>
      </c>
      <c r="I38" s="266"/>
    </row>
    <row r="39" spans="1:9" ht="17.25" customHeight="1" thickBot="1" x14ac:dyDescent="0.2">
      <c r="A39" s="166"/>
      <c r="B39" s="228" t="s">
        <v>7</v>
      </c>
      <c r="C39" s="229">
        <f>C37</f>
        <v>40</v>
      </c>
      <c r="D39" s="230">
        <f>C37</f>
        <v>40</v>
      </c>
      <c r="F39" s="162"/>
      <c r="G39" s="238">
        <f>管理者入力シート!B11</f>
        <v>2040</v>
      </c>
      <c r="H39" s="267">
        <f>管理者用人口入力シート!EU31</f>
        <v>4718</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4086</v>
      </c>
      <c r="E43" s="249"/>
      <c r="F43" s="20" t="s">
        <v>231</v>
      </c>
      <c r="H43" s="34"/>
      <c r="I43" s="34"/>
    </row>
    <row r="44" spans="1:9" ht="22.5" customHeight="1" x14ac:dyDescent="0.15">
      <c r="A44" s="248">
        <f>管理者入力シート!B11</f>
        <v>2040</v>
      </c>
      <c r="B44" s="248"/>
      <c r="C44" s="20" t="s">
        <v>417</v>
      </c>
      <c r="D44" s="249">
        <f>管理者用グラフシート!U10</f>
        <v>3430</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20</v>
      </c>
      <c r="E46" s="256"/>
      <c r="F46" s="20" t="s">
        <v>122</v>
      </c>
    </row>
    <row r="47" spans="1:9" ht="22.5" customHeight="1" x14ac:dyDescent="0.15">
      <c r="A47" s="248">
        <f>管理者入力シート!B11</f>
        <v>2040</v>
      </c>
      <c r="B47" s="248"/>
      <c r="C47" s="20" t="s">
        <v>418</v>
      </c>
      <c r="D47" s="256">
        <f>D44-将来予測シート①!D10</f>
        <v>47</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106</v>
      </c>
      <c r="G78" s="249"/>
      <c r="H78" s="82" t="s">
        <v>264</v>
      </c>
      <c r="I78" s="34"/>
    </row>
    <row r="79" spans="1:9" ht="22.5" customHeight="1" x14ac:dyDescent="0.15">
      <c r="A79" s="20" t="s">
        <v>234</v>
      </c>
      <c r="F79" s="249">
        <f>管理者用グラフシート!Q28</f>
        <v>67</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7</v>
      </c>
      <c r="D82" s="250"/>
      <c r="E82" s="20" t="s">
        <v>60</v>
      </c>
    </row>
    <row r="83" spans="1:13" ht="22.5" customHeight="1" x14ac:dyDescent="0.15">
      <c r="A83" s="20" t="s">
        <v>69</v>
      </c>
      <c r="C83" s="250">
        <f>F79-将来予測シート①!F37</f>
        <v>3</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1535</v>
      </c>
      <c r="D112" s="249"/>
      <c r="E112" s="20" t="s">
        <v>270</v>
      </c>
      <c r="F112" s="36"/>
      <c r="G112" s="111">
        <f>管理者用グラフシート!Q56</f>
        <v>0.45</v>
      </c>
      <c r="H112" s="82" t="s">
        <v>271</v>
      </c>
      <c r="I112" s="34"/>
    </row>
    <row r="113" spans="1:9" ht="22.5" customHeight="1" x14ac:dyDescent="0.15">
      <c r="A113" s="20" t="s">
        <v>268</v>
      </c>
      <c r="C113" s="249">
        <f>管理者用グラフシート!Q46</f>
        <v>1026</v>
      </c>
      <c r="D113" s="249"/>
      <c r="E113" s="82" t="s">
        <v>270</v>
      </c>
      <c r="F113" s="34"/>
      <c r="G113" s="111">
        <f>管理者用グラフシート!Q64</f>
        <v>0.3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448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東郷地区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0.57389749702026227</v>
      </c>
      <c r="G7" s="279"/>
      <c r="H7" s="20" t="s">
        <v>282</v>
      </c>
    </row>
    <row r="8" spans="1:8" ht="22.5" customHeight="1" x14ac:dyDescent="0.15">
      <c r="A8" s="34" t="str">
        <f>管理者入力シート!B3</f>
        <v>日南市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東郷地区</v>
      </c>
      <c r="B11" s="251"/>
      <c r="C11" s="256">
        <f>管理者用地域特徴シート!D5</f>
        <v>1678</v>
      </c>
      <c r="D11" s="251"/>
      <c r="E11" s="20" t="s">
        <v>413</v>
      </c>
    </row>
    <row r="12" spans="1:8" ht="22.5" customHeight="1" x14ac:dyDescent="0.15">
      <c r="A12" s="251" t="str">
        <f>A8</f>
        <v>日南市</v>
      </c>
      <c r="B12" s="251"/>
      <c r="C12" s="256">
        <f>管理者用地域特徴シート!D4</f>
        <v>21960</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0.17103694874851014</v>
      </c>
      <c r="H23" s="35" t="s">
        <v>286</v>
      </c>
    </row>
    <row r="24" spans="1:8" ht="22.5" customHeight="1" x14ac:dyDescent="0.15">
      <c r="A24" s="34" t="str">
        <f>管理者入力シート!B3</f>
        <v>日南市</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0.36455424274973147</v>
      </c>
      <c r="G37" s="279"/>
      <c r="H37" s="20" t="s">
        <v>286</v>
      </c>
    </row>
    <row r="38" spans="1:8" ht="22.5" customHeight="1" x14ac:dyDescent="0.15">
      <c r="A38" s="34" t="str">
        <f>管理者入力シート!B3</f>
        <v>日南市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日南市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1115</v>
      </c>
      <c r="F70" s="281"/>
      <c r="G70" s="20" t="s">
        <v>290</v>
      </c>
    </row>
    <row r="71" spans="1:8" ht="22.5" customHeight="1" x14ac:dyDescent="0.15">
      <c r="A71" s="20" t="s">
        <v>295</v>
      </c>
      <c r="F71" s="279">
        <f>管理者用地域特徴シート!AK5</f>
        <v>0.13901345291479822</v>
      </c>
      <c r="G71" s="279"/>
      <c r="H71" s="20" t="s">
        <v>271</v>
      </c>
    </row>
    <row r="72" spans="1:8" ht="22.5" customHeight="1" x14ac:dyDescent="0.15">
      <c r="A72" s="20" t="s">
        <v>296</v>
      </c>
      <c r="F72" s="279">
        <f>管理者用地域特徴シート!AL5</f>
        <v>0.13273542600896862</v>
      </c>
      <c r="G72" s="279"/>
      <c r="H72" s="20" t="s">
        <v>297</v>
      </c>
    </row>
    <row r="73" spans="1:8" ht="22.5" customHeight="1" x14ac:dyDescent="0.15">
      <c r="A73" s="20" t="s">
        <v>298</v>
      </c>
      <c r="E73" s="279"/>
      <c r="F73" s="279"/>
    </row>
    <row r="74" spans="1:8" ht="22.5" customHeight="1" x14ac:dyDescent="0.15">
      <c r="A74" s="20" t="s">
        <v>339</v>
      </c>
      <c r="C74" s="177">
        <f>管理者用地域特徴シート!AN5</f>
        <v>0.49865470852017935</v>
      </c>
      <c r="D74" s="156" t="s">
        <v>299</v>
      </c>
      <c r="E74" s="177">
        <f>管理者用地域特徴シート!AO5</f>
        <v>0.50134529147982065</v>
      </c>
      <c r="F74" s="20" t="s">
        <v>291</v>
      </c>
    </row>
    <row r="76" spans="1:8" ht="22.5" customHeight="1" x14ac:dyDescent="0.15">
      <c r="A76" s="34" t="str">
        <f>管理者入力シート!B3</f>
        <v>日南市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0.92220421393841168</v>
      </c>
      <c r="D139" s="279"/>
      <c r="E139" s="20" t="s">
        <v>316</v>
      </c>
      <c r="F139" s="157" t="str">
        <f>管理者入力シート!B3</f>
        <v>日南市</v>
      </c>
      <c r="G139" s="158" t="s">
        <v>317</v>
      </c>
    </row>
    <row r="140" spans="1:8" ht="22.5" customHeight="1" x14ac:dyDescent="0.15">
      <c r="A140" s="20" t="s">
        <v>318</v>
      </c>
    </row>
    <row r="141" spans="1:8" ht="22.5" customHeight="1" x14ac:dyDescent="0.15">
      <c r="C141" s="279">
        <f>管理者用地域特徴シート!CN5</f>
        <v>0.91370558375634514</v>
      </c>
      <c r="D141" s="279"/>
      <c r="E141" s="20" t="s">
        <v>316</v>
      </c>
      <c r="F141" s="157" t="str">
        <f>管理者入力シート!B3</f>
        <v>日南市</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447</v>
      </c>
    </row>
    <row r="3" spans="1:3" x14ac:dyDescent="0.15">
      <c r="A3" s="202" t="s">
        <v>292</v>
      </c>
      <c r="B3" s="32" t="str">
        <f>管理者用地域特徴シート!B5</f>
        <v>日南市</v>
      </c>
    </row>
    <row r="4" spans="1:3" x14ac:dyDescent="0.15">
      <c r="A4" s="153" t="s">
        <v>24</v>
      </c>
      <c r="B4" s="154" t="str">
        <f>管理者用地域特徴シート!C5</f>
        <v>東郷地区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45204_4</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449</v>
      </c>
      <c r="DW1" s="288"/>
      <c r="DX1" s="283">
        <f>DW17</f>
        <v>40</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85</v>
      </c>
      <c r="E3" s="9">
        <v>116</v>
      </c>
      <c r="F3" s="9">
        <v>133</v>
      </c>
      <c r="G3" s="9">
        <v>198</v>
      </c>
      <c r="H3" s="9">
        <v>100</v>
      </c>
      <c r="I3" s="9">
        <v>133</v>
      </c>
      <c r="J3" s="9">
        <v>117</v>
      </c>
      <c r="K3" s="9">
        <v>119</v>
      </c>
      <c r="L3" s="9">
        <v>140</v>
      </c>
      <c r="M3" s="9">
        <v>164</v>
      </c>
      <c r="N3" s="9">
        <v>237</v>
      </c>
      <c r="O3" s="9">
        <v>223</v>
      </c>
      <c r="P3" s="9">
        <v>187</v>
      </c>
      <c r="Q3" s="9">
        <v>189</v>
      </c>
      <c r="R3" s="9">
        <v>159</v>
      </c>
      <c r="S3" s="9">
        <v>148</v>
      </c>
      <c r="T3" s="9">
        <v>72</v>
      </c>
      <c r="U3" s="9">
        <v>35</v>
      </c>
      <c r="V3" s="9">
        <v>14</v>
      </c>
      <c r="W3" s="9">
        <v>2</v>
      </c>
      <c r="X3" s="9">
        <v>0</v>
      </c>
      <c r="Y3" s="9">
        <f>SUM(D3:X3)</f>
        <v>2571</v>
      </c>
      <c r="Z3" s="9">
        <f>E3*3/5+F3*3/5</f>
        <v>149.39999999999998</v>
      </c>
      <c r="AA3" s="9">
        <f>F3*2/5+G3*1/5</f>
        <v>92.800000000000011</v>
      </c>
      <c r="AB3" s="9">
        <f t="shared" ref="AB3:AB20" si="0">SUM(Q3:X3)</f>
        <v>619</v>
      </c>
      <c r="AC3" s="9">
        <f>SUM(S3:X3)</f>
        <v>271</v>
      </c>
      <c r="AD3" s="13">
        <f>AB3/Y3</f>
        <v>0.24076234928043563</v>
      </c>
      <c r="AE3" s="13">
        <f>AC3/Y3</f>
        <v>0.10540645663166083</v>
      </c>
      <c r="AF3" s="9">
        <f>SUM(H3:K3)</f>
        <v>469</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1.415005228478198</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1.1171512690010281</v>
      </c>
      <c r="AO3" s="6">
        <f t="shared" si="1"/>
        <v>1.7315976712045877</v>
      </c>
      <c r="AP3" s="6">
        <f t="shared" si="1"/>
        <v>0.31897710254670431</v>
      </c>
      <c r="AQ3" s="6">
        <f t="shared" si="1"/>
        <v>1.0782237711137965</v>
      </c>
      <c r="AR3" s="6">
        <f t="shared" si="1"/>
        <v>0.98934277047522734</v>
      </c>
      <c r="AS3" s="6">
        <f t="shared" si="1"/>
        <v>1.1623407623919133</v>
      </c>
      <c r="AT3" s="6">
        <f t="shared" si="1"/>
        <v>1.0836192126868713</v>
      </c>
      <c r="AU3" s="6">
        <f t="shared" si="1"/>
        <v>1.1018568512367053</v>
      </c>
      <c r="AV3" s="6">
        <f t="shared" si="1"/>
        <v>1.0316855154599758</v>
      </c>
      <c r="AW3" s="6">
        <f t="shared" si="1"/>
        <v>1.0007535559951117</v>
      </c>
      <c r="AX3" s="6">
        <f t="shared" si="1"/>
        <v>1.0007350941405633</v>
      </c>
      <c r="AY3" s="6">
        <f t="shared" si="1"/>
        <v>0.92740078490166677</v>
      </c>
      <c r="AZ3" s="6">
        <f t="shared" si="1"/>
        <v>0.88917906106275313</v>
      </c>
      <c r="BA3" s="6">
        <f t="shared" si="1"/>
        <v>0.89088245331577454</v>
      </c>
      <c r="BB3" s="6">
        <f t="shared" si="1"/>
        <v>0.84722230371044005</v>
      </c>
      <c r="BC3" s="6">
        <f t="shared" si="1"/>
        <v>0.76969168938478405</v>
      </c>
      <c r="BD3" s="6">
        <f t="shared" si="1"/>
        <v>0.48070159289012043</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0.21052631578947367</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45.807903243902395</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69.44692221333942</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92.447130180440709</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154.41507958801822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57.347073716163216</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62.114367050860615</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88.548116004375146</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89.891656303867379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112.01383636393763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139.26251615840914</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124.59538085502356</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133.533221325959</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147.07690494641699</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162.86942541022123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201.23331768474338</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176.58792095936889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138.42481764738241</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81.570117096649739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39.697971100754941</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8.9509314518170733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4.0000000000000001E-3</v>
      </c>
      <c r="CF3" s="9">
        <f t="shared" ref="CF3:CF14" si="2">SUM(BK3:CE3)</f>
        <v>2125.8386093016511</v>
      </c>
      <c r="CG3" s="9">
        <f>BL3*3/5+BM3*3/5</f>
        <v>97.136431436268083</v>
      </c>
      <c r="CH3" s="9">
        <f>BM3*2/5+BN3*1/5</f>
        <v>67.861867989779924</v>
      </c>
      <c r="CI3" s="9">
        <f t="shared" ref="CI3:CI14" si="3">SUM(BX3:CE3)</f>
        <v>809.33850135093746</v>
      </c>
      <c r="CJ3" s="9">
        <f>SUM(BZ3:CE3)</f>
        <v>445.23575825597311</v>
      </c>
      <c r="CK3" s="13">
        <f>CI3/CF3</f>
        <v>0.38071493189071831</v>
      </c>
      <c r="CL3" s="13">
        <f>CJ3/CF3</f>
        <v>0.20944005641248342</v>
      </c>
      <c r="CM3" s="9">
        <f>SUM(BO3:BR3)</f>
        <v>297.90121307526636</v>
      </c>
      <c r="CO3" s="7" t="str">
        <f>CP3&amp;"_"&amp;IF(CQ3="男性",1,IF(CQ3="女性",2,IF(CQ3="合計",3)))</f>
        <v>2025_1</v>
      </c>
      <c r="CP3" s="28">
        <f>管理者入力シート!B8</f>
        <v>2025</v>
      </c>
      <c r="CQ3" s="3" t="s">
        <v>21</v>
      </c>
      <c r="CR3" s="9">
        <f>BK3+将来予測シート②!$G17</f>
        <v>46.807903243902395</v>
      </c>
      <c r="CS3" s="9">
        <f>BL3+将来予測シート②!$G18</f>
        <v>69.44692221333942</v>
      </c>
      <c r="CT3" s="9">
        <f>BM3+将来予測シート②!$G19</f>
        <v>93.447130180440709</v>
      </c>
      <c r="CU3" s="9">
        <f>BN3+将来予測シート②!$G20</f>
        <v>154.41507958801822</v>
      </c>
      <c r="CV3" s="9">
        <f>BO3+将来予測シート②!$G21</f>
        <v>57.347073716163216</v>
      </c>
      <c r="CW3" s="9">
        <f>BP3+将来予測シート②!$G22</f>
        <v>64.114367050860608</v>
      </c>
      <c r="CX3" s="9">
        <f>BQ3+将来予測シート②!$G23</f>
        <v>88.548116004375146</v>
      </c>
      <c r="CY3" s="9">
        <f>BR3+将来予測シート②!$G24</f>
        <v>89.891656303867379</v>
      </c>
      <c r="CZ3" s="9">
        <f>BS3+将来予測シート②!$G25</f>
        <v>112.01383636393763</v>
      </c>
      <c r="DA3" s="9">
        <f>BT3+将来予測シート②!$G26</f>
        <v>139.26251615840914</v>
      </c>
      <c r="DB3" s="9">
        <f>BU3+将来予測シート②!$G27</f>
        <v>124.59538085502356</v>
      </c>
      <c r="DC3" s="9">
        <f>BV3+将来予測シート②!$G28</f>
        <v>133.533221325959</v>
      </c>
      <c r="DD3" s="9">
        <f>BW3+将来予測シート②!$G29</f>
        <v>147.07690494641699</v>
      </c>
      <c r="DE3" s="9">
        <f>BX3</f>
        <v>162.86942541022123</v>
      </c>
      <c r="DF3" s="9">
        <f t="shared" ref="DF3:DL3" si="4">BY3</f>
        <v>201.23331768474338</v>
      </c>
      <c r="DG3" s="9">
        <f t="shared" si="4"/>
        <v>176.58792095936889</v>
      </c>
      <c r="DH3" s="9">
        <f t="shared" si="4"/>
        <v>138.42481764738241</v>
      </c>
      <c r="DI3" s="9">
        <f t="shared" si="4"/>
        <v>81.570117096649739</v>
      </c>
      <c r="DJ3" s="9">
        <f t="shared" si="4"/>
        <v>39.697971100754941</v>
      </c>
      <c r="DK3" s="9">
        <f t="shared" si="4"/>
        <v>8.9509314518170733</v>
      </c>
      <c r="DL3" s="9">
        <f t="shared" si="4"/>
        <v>4.0000000000000001E-3</v>
      </c>
      <c r="DM3" s="9">
        <f t="shared" ref="DM3:DM4" si="5">SUM(CR3:DL3)</f>
        <v>2129.8386093016511</v>
      </c>
      <c r="DN3" s="9">
        <f>CS3*3/5+CT3*3/5</f>
        <v>97.736431436268077</v>
      </c>
      <c r="DO3" s="9">
        <f>CT3*2/5+CU3*1/5</f>
        <v>68.26186798977993</v>
      </c>
      <c r="DP3" s="9">
        <f t="shared" ref="DP3:DP14" si="6">SUM(DE3:DL3)</f>
        <v>809.33850135093746</v>
      </c>
      <c r="DQ3" s="9">
        <f>SUM(DG3:DL3)</f>
        <v>445.23575825597311</v>
      </c>
      <c r="DR3" s="13">
        <f>DP3/DM3</f>
        <v>0.3799999200954996</v>
      </c>
      <c r="DS3" s="13">
        <f>DQ3/DM3</f>
        <v>0.20904671194873337</v>
      </c>
      <c r="DT3" s="9">
        <f>SUM(CV3:CY3)</f>
        <v>299.90121307526636</v>
      </c>
      <c r="DV3" s="287"/>
      <c r="DW3" s="288"/>
      <c r="DX3" s="28">
        <f>管理者入力シート!B8</f>
        <v>2025</v>
      </c>
      <c r="DY3" s="3" t="s">
        <v>21</v>
      </c>
      <c r="DZ3" s="9">
        <f>BK$3</f>
        <v>45.807903243902395</v>
      </c>
      <c r="EA3" s="9">
        <f>BL$3</f>
        <v>69.44692221333942</v>
      </c>
      <c r="EB3" s="9">
        <f t="shared" ref="EB3:ED3" si="7">BM$3</f>
        <v>92.447130180440709</v>
      </c>
      <c r="EC3" s="9">
        <f t="shared" si="7"/>
        <v>154.41507958801822</v>
      </c>
      <c r="ED3" s="9">
        <f t="shared" si="7"/>
        <v>57.347073716163216</v>
      </c>
      <c r="EE3" s="9">
        <f>BP$3+DX1</f>
        <v>102.11436705086061</v>
      </c>
      <c r="EF3" s="9">
        <f>BQ$3+DX1</f>
        <v>128.54811600437515</v>
      </c>
      <c r="EG3" s="9">
        <f>BR$3+DX1</f>
        <v>129.89165630386736</v>
      </c>
      <c r="EH3" s="9">
        <f t="shared" ref="EH3:ET3" si="8">BS$3</f>
        <v>112.01383636393763</v>
      </c>
      <c r="EI3" s="9">
        <f t="shared" si="8"/>
        <v>139.26251615840914</v>
      </c>
      <c r="EJ3" s="9">
        <f t="shared" si="8"/>
        <v>124.59538085502356</v>
      </c>
      <c r="EK3" s="9">
        <f t="shared" si="8"/>
        <v>133.533221325959</v>
      </c>
      <c r="EL3" s="9">
        <f t="shared" si="8"/>
        <v>147.07690494641699</v>
      </c>
      <c r="EM3" s="9">
        <f t="shared" si="8"/>
        <v>162.86942541022123</v>
      </c>
      <c r="EN3" s="9">
        <f t="shared" si="8"/>
        <v>201.23331768474338</v>
      </c>
      <c r="EO3" s="9">
        <f t="shared" si="8"/>
        <v>176.58792095936889</v>
      </c>
      <c r="EP3" s="9">
        <f t="shared" si="8"/>
        <v>138.42481764738241</v>
      </c>
      <c r="EQ3" s="9">
        <f t="shared" si="8"/>
        <v>81.570117096649739</v>
      </c>
      <c r="ER3" s="9">
        <f t="shared" si="8"/>
        <v>39.697971100754941</v>
      </c>
      <c r="ES3" s="9">
        <f t="shared" si="8"/>
        <v>8.9509314518170733</v>
      </c>
      <c r="ET3" s="9">
        <f t="shared" si="8"/>
        <v>4.0000000000000001E-3</v>
      </c>
      <c r="EU3" s="9">
        <f t="shared" ref="EU3:EU4" si="9">SUM(DZ3:ET3)</f>
        <v>2245.8386093016511</v>
      </c>
      <c r="EV3" s="9">
        <f>EA3*3/5+EB3*3/5</f>
        <v>97.136431436268083</v>
      </c>
      <c r="EW3" s="9">
        <f>EB3*2/5+EC3*1/5</f>
        <v>67.861867989779924</v>
      </c>
      <c r="EX3" s="9">
        <f t="shared" ref="EX3:EX14" si="10">SUM(EM3:ET3)</f>
        <v>809.33850135093746</v>
      </c>
      <c r="EY3" s="9">
        <f>SUM(EO3:ET3)</f>
        <v>445.23575825597311</v>
      </c>
      <c r="EZ3" s="13">
        <f>EX3/EU3</f>
        <v>0.36037251207583576</v>
      </c>
      <c r="FA3" s="13">
        <f>EY3/EU3</f>
        <v>0.19824922254516777</v>
      </c>
      <c r="FB3" s="9">
        <f>SUM(ED3:EG3)</f>
        <v>417.9012130752663</v>
      </c>
    </row>
    <row r="4" spans="1:158" x14ac:dyDescent="0.15">
      <c r="A4" s="7" t="str">
        <f t="shared" ref="A4:A14" si="11">B4&amp;"_"&amp;IF(C4="男性",1,IF(C4="女性",2,IF(C4="合計",3)))</f>
        <v>2005_2</v>
      </c>
      <c r="B4" s="29">
        <v>2005</v>
      </c>
      <c r="C4" s="4" t="s">
        <v>22</v>
      </c>
      <c r="D4" s="10">
        <v>64</v>
      </c>
      <c r="E4" s="10">
        <v>102</v>
      </c>
      <c r="F4" s="10">
        <v>124</v>
      </c>
      <c r="G4" s="10">
        <v>114</v>
      </c>
      <c r="H4" s="10">
        <v>107</v>
      </c>
      <c r="I4" s="10">
        <v>119</v>
      </c>
      <c r="J4" s="10">
        <v>129</v>
      </c>
      <c r="K4" s="10">
        <v>115</v>
      </c>
      <c r="L4" s="10">
        <v>142</v>
      </c>
      <c r="M4" s="10">
        <v>174</v>
      </c>
      <c r="N4" s="10">
        <v>217</v>
      </c>
      <c r="O4" s="10">
        <v>232</v>
      </c>
      <c r="P4" s="10">
        <v>174</v>
      </c>
      <c r="Q4" s="10">
        <v>192</v>
      </c>
      <c r="R4" s="10">
        <v>222</v>
      </c>
      <c r="S4" s="10">
        <v>190</v>
      </c>
      <c r="T4" s="10">
        <v>141</v>
      </c>
      <c r="U4" s="10">
        <v>100</v>
      </c>
      <c r="V4" s="10">
        <v>59</v>
      </c>
      <c r="W4" s="10">
        <v>22</v>
      </c>
      <c r="X4" s="10">
        <v>2</v>
      </c>
      <c r="Y4" s="10">
        <f>SUM(D4:X4)</f>
        <v>2741</v>
      </c>
      <c r="Z4" s="10">
        <f t="shared" ref="Z4:Z11" si="12">E4*3/5+F4*3/5</f>
        <v>135.60000000000002</v>
      </c>
      <c r="AA4" s="10">
        <f t="shared" ref="AA4:AA11" si="13">F4*2/5+G4*1/5</f>
        <v>72.400000000000006</v>
      </c>
      <c r="AB4" s="10">
        <f t="shared" si="0"/>
        <v>928</v>
      </c>
      <c r="AC4" s="10">
        <f t="shared" ref="AC4:AC11" si="14">SUM(S4:X4)</f>
        <v>514</v>
      </c>
      <c r="AD4" s="14">
        <f t="shared" ref="AD4:AD11" si="15">AB4/Y4</f>
        <v>0.33856256840569138</v>
      </c>
      <c r="AE4" s="14">
        <f t="shared" ref="AE4:AE11" si="16">AC4/Y4</f>
        <v>0.18752280189711784</v>
      </c>
      <c r="AF4" s="10">
        <f t="shared" ref="AF4:AF20" si="17">SUM(H4:K4)</f>
        <v>470</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1.1567113331819214</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1.2017700222034586</v>
      </c>
      <c r="AO4" s="193">
        <f t="shared" si="18"/>
        <v>0.9392690388021252</v>
      </c>
      <c r="AP4" s="193">
        <f t="shared" si="18"/>
        <v>0.56940968326572883</v>
      </c>
      <c r="AQ4" s="193">
        <f t="shared" si="18"/>
        <v>0.84851172002009989</v>
      </c>
      <c r="AR4" s="193">
        <f t="shared" si="18"/>
        <v>1.1956393828451881</v>
      </c>
      <c r="AS4" s="193">
        <f t="shared" si="18"/>
        <v>1.1768588333297734</v>
      </c>
      <c r="AT4" s="193">
        <f t="shared" si="18"/>
        <v>1.1237864077669903</v>
      </c>
      <c r="AU4" s="193">
        <f t="shared" si="18"/>
        <v>1.0482153595811667</v>
      </c>
      <c r="AV4" s="193">
        <f t="shared" si="18"/>
        <v>1.0879549145095042</v>
      </c>
      <c r="AW4" s="193">
        <f t="shared" si="18"/>
        <v>0.99887926928357296</v>
      </c>
      <c r="AX4" s="193">
        <f t="shared" si="18"/>
        <v>0.98838415761290865</v>
      </c>
      <c r="AY4" s="193">
        <f t="shared" si="18"/>
        <v>1.0210593067938742</v>
      </c>
      <c r="AZ4" s="193">
        <f t="shared" si="18"/>
        <v>0.97631424087877594</v>
      </c>
      <c r="BA4" s="193">
        <f t="shared" si="18"/>
        <v>1.0053150392966563</v>
      </c>
      <c r="BB4" s="193">
        <f t="shared" si="18"/>
        <v>0.92257329917449471</v>
      </c>
      <c r="BC4" s="193">
        <f t="shared" si="18"/>
        <v>0.8793247850140965</v>
      </c>
      <c r="BD4" s="193">
        <f t="shared" si="18"/>
        <v>0.73430547601215912</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0.36891482033619494</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0.14704014227642276</v>
      </c>
      <c r="BH4" s="7" t="str">
        <f t="shared" ref="BH4:BH20" si="19">BI4&amp;"_"&amp;IF(BJ4="男性",1,IF(BJ4="女性",2,IF(BJ4="合計",3)))</f>
        <v>2025_2</v>
      </c>
      <c r="BI4" s="29">
        <f>BI3</f>
        <v>2025</v>
      </c>
      <c r="BJ4" s="4" t="s">
        <v>22</v>
      </c>
      <c r="BK4" s="10">
        <f>CM4*AK$14</f>
        <v>37.23193085304532</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53.628062728100787</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93.764718107394387</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75.049737797750907</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38.745703715878513</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48.637568510585005</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69.942521929591535</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88.56008251926508</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124.6848156839313</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129.03386008704913</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142.15096919854375</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125.41532701613656</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155.92822841699947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176.22151902338328</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225.50184172549888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209.93900550248094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150.17574239651339</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148.28710591975027</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110.07662099163581</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46.732224070361767</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6.098006074629776</v>
      </c>
      <c r="CF4" s="10">
        <f t="shared" si="2"/>
        <v>2255.8055922685257</v>
      </c>
      <c r="CG4" s="10">
        <f t="shared" ref="CG4:CG14" si="20">BL4*3/5+BM4*3/5</f>
        <v>88.435668501297101</v>
      </c>
      <c r="CH4" s="10">
        <f t="shared" ref="CH4:CH14" si="21">BM4*2/5+BN4*1/5</f>
        <v>52.515834802507939</v>
      </c>
      <c r="CI4" s="10">
        <f t="shared" si="3"/>
        <v>1073.0320657042539</v>
      </c>
      <c r="CJ4" s="10">
        <f t="shared" ref="CJ4:CJ14" si="22">SUM(BZ4:CE4)</f>
        <v>671.30870495537192</v>
      </c>
      <c r="CK4" s="14">
        <f t="shared" ref="CK4:CK14" si="23">CI4/CF4</f>
        <v>0.47567577160989799</v>
      </c>
      <c r="CL4" s="14">
        <f t="shared" ref="CL4:CL14" si="24">CJ4/CF4</f>
        <v>0.29759155986499608</v>
      </c>
      <c r="CM4" s="10">
        <f t="shared" ref="CM4:CM14" si="25">SUM(BO4:BR4)</f>
        <v>245.88587667532013</v>
      </c>
      <c r="CO4" s="7" t="str">
        <f t="shared" ref="CO4:CO20" si="26">CP4&amp;"_"&amp;IF(CQ4="男性",1,IF(CQ4="女性",2,IF(CQ4="合計",3)))</f>
        <v>2025_2</v>
      </c>
      <c r="CP4" s="29">
        <f>CP3</f>
        <v>2025</v>
      </c>
      <c r="CQ4" s="4" t="s">
        <v>22</v>
      </c>
      <c r="CR4" s="10">
        <f>BK4+将来予測シート②!$H17</f>
        <v>38.23193085304532</v>
      </c>
      <c r="CS4" s="10">
        <f>BL4+将来予測シート②!$H18</f>
        <v>53.628062728100787</v>
      </c>
      <c r="CT4" s="10">
        <f>BM4+将来予測シート②!$H19</f>
        <v>94.764718107394387</v>
      </c>
      <c r="CU4" s="10">
        <f>BN4+将来予測シート②!$H20</f>
        <v>75.049737797750907</v>
      </c>
      <c r="CV4" s="10">
        <f>BO4+将来予測シート②!$H21</f>
        <v>38.745703715878513</v>
      </c>
      <c r="CW4" s="10">
        <f>BP4+将来予測シート②!$H22</f>
        <v>50.637568510585005</v>
      </c>
      <c r="CX4" s="10">
        <f>BQ4+将来予測シート②!$H23</f>
        <v>69.942521929591535</v>
      </c>
      <c r="CY4" s="10">
        <f>BR4+将来予測シート②!$H24</f>
        <v>88.56008251926508</v>
      </c>
      <c r="CZ4" s="10">
        <f>BS4+将来予測シート②!$H25</f>
        <v>125.6848156839313</v>
      </c>
      <c r="DA4" s="10">
        <f>BT4+将来予測シート②!$H26</f>
        <v>129.03386008704913</v>
      </c>
      <c r="DB4" s="10">
        <f>BU4+将来予測シート②!$H27</f>
        <v>142.15096919854375</v>
      </c>
      <c r="DC4" s="10">
        <f>BV4+将来予測シート②!$H28</f>
        <v>125.41532701613656</v>
      </c>
      <c r="DD4" s="10">
        <f>BW4+将来予測シート②!$H29</f>
        <v>155.92822841699947</v>
      </c>
      <c r="DE4" s="10">
        <f>BX4</f>
        <v>176.22151902338328</v>
      </c>
      <c r="DF4" s="10">
        <f t="shared" ref="DF4" si="27">BY4</f>
        <v>225.50184172549888</v>
      </c>
      <c r="DG4" s="10">
        <f t="shared" ref="DG4" si="28">BZ4</f>
        <v>209.93900550248094</v>
      </c>
      <c r="DH4" s="10">
        <f t="shared" ref="DH4" si="29">CA4</f>
        <v>150.17574239651339</v>
      </c>
      <c r="DI4" s="10">
        <f t="shared" ref="DI4" si="30">CB4</f>
        <v>148.28710591975027</v>
      </c>
      <c r="DJ4" s="10">
        <f t="shared" ref="DJ4" si="31">CC4</f>
        <v>110.07662099163581</v>
      </c>
      <c r="DK4" s="10">
        <f t="shared" ref="DK4" si="32">CD4</f>
        <v>46.732224070361767</v>
      </c>
      <c r="DL4" s="10">
        <f t="shared" ref="DL4" si="33">CE4</f>
        <v>6.098006074629776</v>
      </c>
      <c r="DM4" s="10">
        <f t="shared" si="5"/>
        <v>2260.8055922685257</v>
      </c>
      <c r="DN4" s="10">
        <f t="shared" ref="DN4:DN14" si="34">CS4*3/5+CT4*3/5</f>
        <v>89.035668501297096</v>
      </c>
      <c r="DO4" s="10">
        <f t="shared" ref="DO4:DO14" si="35">CT4*2/5+CU4*1/5</f>
        <v>52.915834802507931</v>
      </c>
      <c r="DP4" s="10">
        <f t="shared" si="6"/>
        <v>1073.0320657042539</v>
      </c>
      <c r="DQ4" s="10">
        <f t="shared" ref="DQ4:DQ14" si="36">SUM(DG4:DL4)</f>
        <v>671.30870495537192</v>
      </c>
      <c r="DR4" s="14">
        <f t="shared" ref="DR4:DR14" si="37">DP4/DM4</f>
        <v>0.47462376657851313</v>
      </c>
      <c r="DS4" s="14">
        <f t="shared" ref="DS4:DS14" si="38">DQ4/DM4</f>
        <v>0.2969334060615848</v>
      </c>
      <c r="DT4" s="10">
        <f>SUM(CV4:CY4)</f>
        <v>247.88587667532013</v>
      </c>
      <c r="DV4" s="287"/>
      <c r="DW4" s="288"/>
      <c r="DX4" s="29">
        <f>DX3</f>
        <v>2025</v>
      </c>
      <c r="DY4" s="4" t="s">
        <v>22</v>
      </c>
      <c r="DZ4" s="10">
        <f>BK$4</f>
        <v>37.23193085304532</v>
      </c>
      <c r="EA4" s="10">
        <f>BL$4</f>
        <v>53.628062728100787</v>
      </c>
      <c r="EB4" s="10">
        <f t="shared" ref="EB4:ED4" si="39">BM$4</f>
        <v>93.764718107394387</v>
      </c>
      <c r="EC4" s="10">
        <f t="shared" si="39"/>
        <v>75.049737797750907</v>
      </c>
      <c r="ED4" s="10">
        <f t="shared" si="39"/>
        <v>38.745703715878513</v>
      </c>
      <c r="EE4" s="10">
        <f>BP$4+DX1</f>
        <v>88.637568510584998</v>
      </c>
      <c r="EF4" s="10">
        <f>BQ$4+DX1</f>
        <v>109.94252192959154</v>
      </c>
      <c r="EG4" s="10">
        <f>BR$4+DX1</f>
        <v>128.56008251926508</v>
      </c>
      <c r="EH4" s="10">
        <f t="shared" ref="EH4:ET4" si="40">BS$4</f>
        <v>124.6848156839313</v>
      </c>
      <c r="EI4" s="10">
        <f t="shared" si="40"/>
        <v>129.03386008704913</v>
      </c>
      <c r="EJ4" s="10">
        <f t="shared" si="40"/>
        <v>142.15096919854375</v>
      </c>
      <c r="EK4" s="10">
        <f t="shared" si="40"/>
        <v>125.41532701613656</v>
      </c>
      <c r="EL4" s="10">
        <f t="shared" si="40"/>
        <v>155.92822841699947</v>
      </c>
      <c r="EM4" s="10">
        <f t="shared" si="40"/>
        <v>176.22151902338328</v>
      </c>
      <c r="EN4" s="10">
        <f t="shared" si="40"/>
        <v>225.50184172549888</v>
      </c>
      <c r="EO4" s="10">
        <f t="shared" si="40"/>
        <v>209.93900550248094</v>
      </c>
      <c r="EP4" s="10">
        <f t="shared" si="40"/>
        <v>150.17574239651339</v>
      </c>
      <c r="EQ4" s="10">
        <f t="shared" si="40"/>
        <v>148.28710591975027</v>
      </c>
      <c r="ER4" s="10">
        <f t="shared" si="40"/>
        <v>110.07662099163581</v>
      </c>
      <c r="ES4" s="10">
        <f t="shared" si="40"/>
        <v>46.732224070361767</v>
      </c>
      <c r="ET4" s="10">
        <f t="shared" si="40"/>
        <v>6.098006074629776</v>
      </c>
      <c r="EU4" s="10">
        <f t="shared" si="9"/>
        <v>2375.8055922685257</v>
      </c>
      <c r="EV4" s="10">
        <f t="shared" ref="EV4:EV14" si="41">EA4*3/5+EB4*3/5</f>
        <v>88.435668501297101</v>
      </c>
      <c r="EW4" s="10">
        <f t="shared" ref="EW4:EW14" si="42">EB4*2/5+EC4*1/5</f>
        <v>52.515834802507939</v>
      </c>
      <c r="EX4" s="10">
        <f t="shared" si="10"/>
        <v>1073.0320657042539</v>
      </c>
      <c r="EY4" s="10">
        <f t="shared" ref="EY4:EY14" si="43">SUM(EO4:ET4)</f>
        <v>671.30870495537192</v>
      </c>
      <c r="EZ4" s="14">
        <f t="shared" ref="EZ4:EZ14" si="44">EX4/EU4</f>
        <v>0.45164977689932734</v>
      </c>
      <c r="FA4" s="14">
        <f t="shared" ref="FA4:FA14" si="45">EY4/EU4</f>
        <v>0.28256045323741169</v>
      </c>
      <c r="FB4" s="10">
        <f>SUM(ED4:EG4)</f>
        <v>365.88587667532011</v>
      </c>
    </row>
    <row r="5" spans="1:158" x14ac:dyDescent="0.15">
      <c r="A5" s="7" t="str">
        <f t="shared" si="11"/>
        <v>2005_3</v>
      </c>
      <c r="B5" s="30">
        <v>2005</v>
      </c>
      <c r="C5" s="5" t="s">
        <v>23</v>
      </c>
      <c r="D5" s="11">
        <v>149</v>
      </c>
      <c r="E5" s="11">
        <v>218</v>
      </c>
      <c r="F5" s="11">
        <v>257</v>
      </c>
      <c r="G5" s="11">
        <v>312</v>
      </c>
      <c r="H5" s="11">
        <v>207</v>
      </c>
      <c r="I5" s="11">
        <v>252</v>
      </c>
      <c r="J5" s="11">
        <v>246</v>
      </c>
      <c r="K5" s="11">
        <v>234</v>
      </c>
      <c r="L5" s="11">
        <v>282</v>
      </c>
      <c r="M5" s="11">
        <v>338</v>
      </c>
      <c r="N5" s="11">
        <v>454</v>
      </c>
      <c r="O5" s="11">
        <v>455</v>
      </c>
      <c r="P5" s="11">
        <v>361</v>
      </c>
      <c r="Q5" s="11">
        <v>381</v>
      </c>
      <c r="R5" s="11">
        <v>381</v>
      </c>
      <c r="S5" s="11">
        <v>338</v>
      </c>
      <c r="T5" s="11">
        <v>213</v>
      </c>
      <c r="U5" s="11">
        <v>135</v>
      </c>
      <c r="V5" s="11">
        <v>73</v>
      </c>
      <c r="W5" s="11">
        <v>24</v>
      </c>
      <c r="X5" s="11">
        <v>2</v>
      </c>
      <c r="Y5" s="11">
        <f>SUM(D5:X5)</f>
        <v>5312</v>
      </c>
      <c r="Z5" s="11">
        <f t="shared" si="12"/>
        <v>285</v>
      </c>
      <c r="AA5" s="11">
        <f t="shared" si="13"/>
        <v>165.2</v>
      </c>
      <c r="AB5" s="11">
        <f t="shared" si="0"/>
        <v>1547</v>
      </c>
      <c r="AC5" s="11">
        <f t="shared" si="14"/>
        <v>785</v>
      </c>
      <c r="AD5" s="15">
        <f t="shared" si="15"/>
        <v>0.2912274096385542</v>
      </c>
      <c r="AE5" s="15">
        <f t="shared" si="16"/>
        <v>0.14777861445783133</v>
      </c>
      <c r="AF5" s="11">
        <f t="shared" si="17"/>
        <v>939</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0.97727272727272729</v>
      </c>
      <c r="AN5" s="6">
        <f t="shared" si="1"/>
        <v>1.1358024691358024</v>
      </c>
      <c r="AO5" s="6">
        <f t="shared" si="1"/>
        <v>1.4918032786885247</v>
      </c>
      <c r="AP5" s="6">
        <f t="shared" si="1"/>
        <v>0.40625</v>
      </c>
      <c r="AQ5" s="6">
        <f t="shared" si="1"/>
        <v>1.0617283950617284</v>
      </c>
      <c r="AR5" s="6">
        <f t="shared" si="1"/>
        <v>1.1204819277108433</v>
      </c>
      <c r="AS5" s="6">
        <f t="shared" si="1"/>
        <v>0.96031746031746035</v>
      </c>
      <c r="AT5" s="6">
        <f t="shared" si="1"/>
        <v>0.99090909090909096</v>
      </c>
      <c r="AU5" s="6">
        <f t="shared" si="1"/>
        <v>1.0238095238095237</v>
      </c>
      <c r="AV5" s="6">
        <f t="shared" si="1"/>
        <v>1.0431654676258992</v>
      </c>
      <c r="AW5" s="6">
        <f t="shared" si="1"/>
        <v>1.0059523809523809</v>
      </c>
      <c r="AX5" s="6">
        <f t="shared" si="1"/>
        <v>1.0265486725663717</v>
      </c>
      <c r="AY5" s="6">
        <f t="shared" si="1"/>
        <v>1</v>
      </c>
      <c r="AZ5" s="6">
        <f t="shared" si="1"/>
        <v>0.98378378378378384</v>
      </c>
      <c r="BA5" s="6">
        <f t="shared" si="1"/>
        <v>0.81547619047619047</v>
      </c>
      <c r="BB5" s="6">
        <f t="shared" si="1"/>
        <v>0.86029411764705888</v>
      </c>
      <c r="BC5" s="6">
        <f t="shared" si="1"/>
        <v>0.64166666666666672</v>
      </c>
      <c r="BD5" s="6">
        <f t="shared" si="1"/>
        <v>0.40425531914893614</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0.27777777777777779</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83.039834096947715</v>
      </c>
      <c r="BL5" s="16">
        <f t="shared" ref="BL5:CE5" si="46">BL3+BL4</f>
        <v>123.07498494144021</v>
      </c>
      <c r="BM5" s="16">
        <f t="shared" si="46"/>
        <v>186.2118482878351</v>
      </c>
      <c r="BN5" s="16">
        <f t="shared" si="46"/>
        <v>229.46481738576912</v>
      </c>
      <c r="BO5" s="16">
        <f t="shared" si="46"/>
        <v>96.092777432041729</v>
      </c>
      <c r="BP5" s="16">
        <f t="shared" si="46"/>
        <v>110.75193556144562</v>
      </c>
      <c r="BQ5" s="16">
        <f t="shared" si="46"/>
        <v>158.4906379339667</v>
      </c>
      <c r="BR5" s="16">
        <f t="shared" si="46"/>
        <v>178.45173882313247</v>
      </c>
      <c r="BS5" s="16">
        <f t="shared" si="46"/>
        <v>236.69865204786893</v>
      </c>
      <c r="BT5" s="16">
        <f t="shared" si="46"/>
        <v>268.2963762454583</v>
      </c>
      <c r="BU5" s="16">
        <f t="shared" si="46"/>
        <v>266.74635005356731</v>
      </c>
      <c r="BV5" s="16">
        <f t="shared" si="46"/>
        <v>258.94854834209559</v>
      </c>
      <c r="BW5" s="16">
        <f t="shared" si="46"/>
        <v>303.00513336341646</v>
      </c>
      <c r="BX5" s="16">
        <f t="shared" si="46"/>
        <v>339.09094443360448</v>
      </c>
      <c r="BY5" s="16">
        <f t="shared" si="46"/>
        <v>426.73515941024226</v>
      </c>
      <c r="BZ5" s="16">
        <f t="shared" si="46"/>
        <v>386.52692646184983</v>
      </c>
      <c r="CA5" s="16">
        <f t="shared" si="46"/>
        <v>288.60056004389583</v>
      </c>
      <c r="CB5" s="16">
        <f t="shared" si="46"/>
        <v>229.85722301640001</v>
      </c>
      <c r="CC5" s="16">
        <f t="shared" si="46"/>
        <v>149.77459209239075</v>
      </c>
      <c r="CD5" s="16">
        <f t="shared" si="46"/>
        <v>55.683155522178836</v>
      </c>
      <c r="CE5" s="16">
        <f t="shared" si="46"/>
        <v>6.1020060746297755</v>
      </c>
      <c r="CF5" s="11">
        <f>SUM(BK5:CE5)</f>
        <v>4381.6442015701768</v>
      </c>
      <c r="CG5" s="11">
        <f t="shared" si="20"/>
        <v>185.57209993756518</v>
      </c>
      <c r="CH5" s="11">
        <f t="shared" si="21"/>
        <v>120.37770279228786</v>
      </c>
      <c r="CI5" s="11">
        <f t="shared" si="3"/>
        <v>1882.3705670551919</v>
      </c>
      <c r="CJ5" s="11">
        <f t="shared" si="22"/>
        <v>1116.5444632113449</v>
      </c>
      <c r="CK5" s="15">
        <f t="shared" si="23"/>
        <v>0.42960370136412218</v>
      </c>
      <c r="CL5" s="15">
        <f t="shared" si="24"/>
        <v>0.25482316953330614</v>
      </c>
      <c r="CM5" s="11">
        <f t="shared" si="25"/>
        <v>543.78708975058657</v>
      </c>
      <c r="CO5" s="7" t="str">
        <f t="shared" si="26"/>
        <v>2025_3</v>
      </c>
      <c r="CP5" s="30">
        <f>CP4</f>
        <v>2025</v>
      </c>
      <c r="CQ5" s="5" t="s">
        <v>23</v>
      </c>
      <c r="CR5" s="16">
        <f>CR3+CR4</f>
        <v>85.039834096947715</v>
      </c>
      <c r="CS5" s="16">
        <f t="shared" ref="CS5" si="47">CS3+CS4</f>
        <v>123.07498494144021</v>
      </c>
      <c r="CT5" s="16">
        <f t="shared" ref="CT5" si="48">CT3+CT4</f>
        <v>188.2118482878351</v>
      </c>
      <c r="CU5" s="16">
        <f t="shared" ref="CU5" si="49">CU3+CU4</f>
        <v>229.46481738576912</v>
      </c>
      <c r="CV5" s="16">
        <f t="shared" ref="CV5" si="50">CV3+CV4</f>
        <v>96.092777432041729</v>
      </c>
      <c r="CW5" s="16">
        <f t="shared" ref="CW5" si="51">CW3+CW4</f>
        <v>114.75193556144561</v>
      </c>
      <c r="CX5" s="16">
        <f t="shared" ref="CX5" si="52">CX3+CX4</f>
        <v>158.4906379339667</v>
      </c>
      <c r="CY5" s="16">
        <f t="shared" ref="CY5" si="53">CY3+CY4</f>
        <v>178.45173882313247</v>
      </c>
      <c r="CZ5" s="16">
        <f t="shared" ref="CZ5" si="54">CZ3+CZ4</f>
        <v>237.69865204786893</v>
      </c>
      <c r="DA5" s="16">
        <f t="shared" ref="DA5" si="55">DA3+DA4</f>
        <v>268.2963762454583</v>
      </c>
      <c r="DB5" s="16">
        <f t="shared" ref="DB5" si="56">DB3+DB4</f>
        <v>266.74635005356731</v>
      </c>
      <c r="DC5" s="16">
        <f t="shared" ref="DC5" si="57">DC3+DC4</f>
        <v>258.94854834209559</v>
      </c>
      <c r="DD5" s="16">
        <f t="shared" ref="DD5" si="58">DD3+DD4</f>
        <v>303.00513336341646</v>
      </c>
      <c r="DE5" s="16">
        <f t="shared" ref="DE5" si="59">DE3+DE4</f>
        <v>339.09094443360448</v>
      </c>
      <c r="DF5" s="16">
        <f t="shared" ref="DF5" si="60">DF3+DF4</f>
        <v>426.73515941024226</v>
      </c>
      <c r="DG5" s="16">
        <f t="shared" ref="DG5" si="61">DG3+DG4</f>
        <v>386.52692646184983</v>
      </c>
      <c r="DH5" s="16">
        <f t="shared" ref="DH5" si="62">DH3+DH4</f>
        <v>288.60056004389583</v>
      </c>
      <c r="DI5" s="16">
        <f t="shared" ref="DI5" si="63">DI3+DI4</f>
        <v>229.85722301640001</v>
      </c>
      <c r="DJ5" s="16">
        <f t="shared" ref="DJ5" si="64">DJ3+DJ4</f>
        <v>149.77459209239075</v>
      </c>
      <c r="DK5" s="16">
        <f t="shared" ref="DK5" si="65">DK3+DK4</f>
        <v>55.683155522178836</v>
      </c>
      <c r="DL5" s="16">
        <f t="shared" ref="DL5" si="66">DL3+DL4</f>
        <v>6.1020060746297755</v>
      </c>
      <c r="DM5" s="11">
        <f>SUM(CR5:DL5)</f>
        <v>4390.6442015701768</v>
      </c>
      <c r="DN5" s="11">
        <f t="shared" si="34"/>
        <v>186.7720999375652</v>
      </c>
      <c r="DO5" s="11">
        <f t="shared" si="35"/>
        <v>121.17770279228786</v>
      </c>
      <c r="DP5" s="11">
        <f t="shared" si="6"/>
        <v>1882.3705670551919</v>
      </c>
      <c r="DQ5" s="11">
        <f t="shared" si="36"/>
        <v>1116.5444632113449</v>
      </c>
      <c r="DR5" s="15">
        <f t="shared" si="37"/>
        <v>0.42872309406943537</v>
      </c>
      <c r="DS5" s="15">
        <f t="shared" si="38"/>
        <v>0.25430082966231871</v>
      </c>
      <c r="DT5" s="11">
        <f>SUM(CV5:CY5)</f>
        <v>547.78708975058657</v>
      </c>
      <c r="DV5" s="287"/>
      <c r="DW5" s="288"/>
      <c r="DX5" s="30">
        <f>DX4</f>
        <v>2025</v>
      </c>
      <c r="DY5" s="5" t="s">
        <v>23</v>
      </c>
      <c r="DZ5" s="16">
        <f>DZ3+DZ4</f>
        <v>83.039834096947715</v>
      </c>
      <c r="EA5" s="16">
        <f t="shared" ref="EA5:ET5" si="67">EA3+EA4</f>
        <v>123.07498494144021</v>
      </c>
      <c r="EB5" s="16">
        <f t="shared" si="67"/>
        <v>186.2118482878351</v>
      </c>
      <c r="EC5" s="16">
        <f t="shared" si="67"/>
        <v>229.46481738576912</v>
      </c>
      <c r="ED5" s="16">
        <f t="shared" si="67"/>
        <v>96.092777432041729</v>
      </c>
      <c r="EE5" s="16">
        <f t="shared" si="67"/>
        <v>190.75193556144561</v>
      </c>
      <c r="EF5" s="16">
        <f t="shared" si="67"/>
        <v>238.4906379339667</v>
      </c>
      <c r="EG5" s="16">
        <f t="shared" si="67"/>
        <v>258.45173882313247</v>
      </c>
      <c r="EH5" s="16">
        <f t="shared" si="67"/>
        <v>236.69865204786893</v>
      </c>
      <c r="EI5" s="16">
        <f t="shared" si="67"/>
        <v>268.2963762454583</v>
      </c>
      <c r="EJ5" s="16">
        <f t="shared" si="67"/>
        <v>266.74635005356731</v>
      </c>
      <c r="EK5" s="16">
        <f t="shared" si="67"/>
        <v>258.94854834209559</v>
      </c>
      <c r="EL5" s="16">
        <f t="shared" si="67"/>
        <v>303.00513336341646</v>
      </c>
      <c r="EM5" s="16">
        <f t="shared" si="67"/>
        <v>339.09094443360448</v>
      </c>
      <c r="EN5" s="16">
        <f t="shared" si="67"/>
        <v>426.73515941024226</v>
      </c>
      <c r="EO5" s="16">
        <f t="shared" si="67"/>
        <v>386.52692646184983</v>
      </c>
      <c r="EP5" s="16">
        <f t="shared" si="67"/>
        <v>288.60056004389583</v>
      </c>
      <c r="EQ5" s="16">
        <f t="shared" si="67"/>
        <v>229.85722301640001</v>
      </c>
      <c r="ER5" s="16">
        <f t="shared" si="67"/>
        <v>149.77459209239075</v>
      </c>
      <c r="ES5" s="16">
        <f t="shared" si="67"/>
        <v>55.683155522178836</v>
      </c>
      <c r="ET5" s="16">
        <f t="shared" si="67"/>
        <v>6.1020060746297755</v>
      </c>
      <c r="EU5" s="11">
        <f>SUM(DZ5:ET5)</f>
        <v>4621.6442015701768</v>
      </c>
      <c r="EV5" s="11">
        <f t="shared" si="41"/>
        <v>185.57209993756518</v>
      </c>
      <c r="EW5" s="11">
        <f t="shared" si="42"/>
        <v>120.37770279228786</v>
      </c>
      <c r="EX5" s="11">
        <f t="shared" si="10"/>
        <v>1882.3705670551919</v>
      </c>
      <c r="EY5" s="11">
        <f t="shared" si="43"/>
        <v>1116.5444632113449</v>
      </c>
      <c r="EZ5" s="15">
        <f t="shared" si="44"/>
        <v>0.4072945655175419</v>
      </c>
      <c r="FA5" s="15">
        <f t="shared" si="45"/>
        <v>0.24159031169729711</v>
      </c>
      <c r="FB5" s="11">
        <f>SUM(ED5:EG5)</f>
        <v>783.78708975058657</v>
      </c>
    </row>
    <row r="6" spans="1:158" x14ac:dyDescent="0.15">
      <c r="A6" s="7" t="str">
        <f t="shared" si="11"/>
        <v>2010_1</v>
      </c>
      <c r="B6" s="28">
        <v>2010</v>
      </c>
      <c r="C6" s="3" t="s">
        <v>21</v>
      </c>
      <c r="D6" s="9">
        <v>88</v>
      </c>
      <c r="E6" s="9">
        <v>81</v>
      </c>
      <c r="F6" s="9">
        <v>122</v>
      </c>
      <c r="G6" s="9">
        <v>192</v>
      </c>
      <c r="H6" s="9">
        <v>81</v>
      </c>
      <c r="I6" s="9">
        <v>83</v>
      </c>
      <c r="J6" s="9">
        <v>126</v>
      </c>
      <c r="K6" s="9">
        <v>110</v>
      </c>
      <c r="L6" s="9">
        <v>126</v>
      </c>
      <c r="M6" s="9">
        <v>139</v>
      </c>
      <c r="N6" s="9">
        <v>168</v>
      </c>
      <c r="O6" s="9">
        <v>226</v>
      </c>
      <c r="P6" s="9">
        <v>233</v>
      </c>
      <c r="Q6" s="9">
        <v>185</v>
      </c>
      <c r="R6" s="9">
        <v>168</v>
      </c>
      <c r="S6" s="9">
        <v>136</v>
      </c>
      <c r="T6" s="9">
        <v>120</v>
      </c>
      <c r="U6" s="9">
        <v>47</v>
      </c>
      <c r="V6" s="9">
        <v>18</v>
      </c>
      <c r="W6" s="9">
        <v>6</v>
      </c>
      <c r="X6" s="9">
        <v>1</v>
      </c>
      <c r="Y6" s="9">
        <f t="shared" ref="Y6:Y11" si="68">SUM(D6:X6)</f>
        <v>2456</v>
      </c>
      <c r="Z6" s="9">
        <f t="shared" si="12"/>
        <v>121.80000000000001</v>
      </c>
      <c r="AA6" s="9">
        <f t="shared" si="13"/>
        <v>87.199999999999989</v>
      </c>
      <c r="AB6" s="9">
        <f t="shared" si="0"/>
        <v>681</v>
      </c>
      <c r="AC6" s="9">
        <f t="shared" si="14"/>
        <v>328</v>
      </c>
      <c r="AD6" s="13">
        <f t="shared" si="15"/>
        <v>0.27728013029315962</v>
      </c>
      <c r="AE6" s="13">
        <f t="shared" si="16"/>
        <v>0.13355048859934854</v>
      </c>
      <c r="AF6" s="9">
        <f t="shared" si="17"/>
        <v>400</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1.0791374190064795</v>
      </c>
      <c r="AN6" s="193">
        <f t="shared" si="18"/>
        <v>0.94469625528549273</v>
      </c>
      <c r="AO6" s="193">
        <f t="shared" si="18"/>
        <v>0.87046671048924784</v>
      </c>
      <c r="AP6" s="193">
        <f t="shared" si="18"/>
        <v>0.66426467700765757</v>
      </c>
      <c r="AQ6" s="193">
        <f t="shared" si="18"/>
        <v>0.85809654708142835</v>
      </c>
      <c r="AR6" s="193">
        <f t="shared" si="18"/>
        <v>1.0643855859952256</v>
      </c>
      <c r="AS6" s="193">
        <f t="shared" si="18"/>
        <v>1.0678185745140389</v>
      </c>
      <c r="AT6" s="193">
        <f t="shared" si="18"/>
        <v>0.97689848812095037</v>
      </c>
      <c r="AU6" s="193">
        <f t="shared" si="18"/>
        <v>1.0004969513943309</v>
      </c>
      <c r="AV6" s="193">
        <f t="shared" si="18"/>
        <v>1.133623427772837</v>
      </c>
      <c r="AW6" s="193">
        <f t="shared" si="18"/>
        <v>1.0408256994612846</v>
      </c>
      <c r="AX6" s="193">
        <f t="shared" si="18"/>
        <v>1.0372472020420185</v>
      </c>
      <c r="AY6" s="193">
        <f t="shared" si="18"/>
        <v>0.94920682207492368</v>
      </c>
      <c r="AZ6" s="193">
        <f t="shared" si="18"/>
        <v>0.95939780438866673</v>
      </c>
      <c r="BA6" s="193">
        <f t="shared" si="18"/>
        <v>0.9484341252699785</v>
      </c>
      <c r="BB6" s="193">
        <f t="shared" si="18"/>
        <v>0.9200755396854684</v>
      </c>
      <c r="BC6" s="193">
        <f t="shared" si="18"/>
        <v>0.88601056493793739</v>
      </c>
      <c r="BD6" s="193">
        <f t="shared" si="18"/>
        <v>0.63659270894692055</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0.50752715902130818</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0.26315789473684209</v>
      </c>
      <c r="BH6" s="7" t="str">
        <f t="shared" si="19"/>
        <v>2030_1</v>
      </c>
      <c r="BI6" s="28">
        <f>管理者入力シート!B9</f>
        <v>2030</v>
      </c>
      <c r="BJ6" s="3" t="s">
        <v>21</v>
      </c>
      <c r="BK6" s="9">
        <f>CM7*$AK$13</f>
        <v>39.586820967232462</v>
      </c>
      <c r="BL6" s="9">
        <f>IF(管理者入力シート!$B$14=1,BK3*管理者用人口入力シート!AM$3,IF(管理者入力シート!$B$14=2,BK3*管理者用人口入力シート!AM$7))</f>
        <v>53.867562620913972</v>
      </c>
      <c r="BM6" s="9">
        <f>IF(管理者入力シート!$B$14=1,BL3*管理者用人口入力シート!AN$3,IF(管理者入力シート!$B$14=2,BL3*管理者用人口入力シート!AN$7))</f>
        <v>78.227670717809445</v>
      </c>
      <c r="BN6" s="9">
        <f>IF(管理者入力シート!$B$14=1,BM3*管理者用人口入力シート!AO$3,IF(管理者入力シート!$B$14=2,BM3*管理者用人口入力シート!AO$7))</f>
        <v>148.58422698220312</v>
      </c>
      <c r="BO6" s="9">
        <f>IF(管理者入力シート!$B$14=1,BN3*管理者用人口入力シート!AP$3,IF(管理者入力シート!$B$14=2,BN3*管理者用人口入力シート!AP$7))</f>
        <v>55.586093166511347</v>
      </c>
      <c r="BP6" s="9">
        <f>IF(管理者入力シート!$B$14=1,BO3*管理者用人口入力シート!AQ$3,IF(管理者入力シート!$B$14=2,BO3*管理者用人口入力シート!AQ$7))</f>
        <v>61.358174347343052</v>
      </c>
      <c r="BQ6" s="9">
        <f>IF(管理者入力シート!$B$14=1,BP3*管理者用人口入力シート!AR$3,IF(管理者入力シート!$B$14=2,BP3*管理者用人口入力シート!AR$7))</f>
        <v>65.398514626779956</v>
      </c>
      <c r="BR6" s="9">
        <f>IF(管理者入力シート!$B$14=1,BQ3*管理者用人口入力シート!AS$3,IF(管理者入力シート!$B$14=2,BQ3*管理者用人口入力シート!AS$7))</f>
        <v>93.552085233461867</v>
      </c>
      <c r="BS6" s="9">
        <f>IF(管理者入力シート!$B$14=1,BR3*管理者用人口入力シート!AT$3,IF(管理者入力シート!$B$14=2,BR3*管理者用人口入力シート!AT$7))</f>
        <v>93.148236522383499</v>
      </c>
      <c r="BT6" s="9">
        <f>IF(管理者入力シート!$B$14=1,BS3*管理者用人口入力シート!AU$3,IF(管理者入力シート!$B$14=2,BS3*管理者用人口入力シート!AU$7))</f>
        <v>118.97174797505768</v>
      </c>
      <c r="BU6" s="9">
        <f>IF(管理者入力シート!$B$14=1,BT3*管理者用人口入力シート!AV$3,IF(管理者入力シート!$B$14=2,BT3*管理者用人口入力シート!AV$7))</f>
        <v>144.47227286126659</v>
      </c>
      <c r="BV6" s="9">
        <f>IF(管理者入力シート!$B$14=1,BU3*管理者用人口入力シート!AW$3,IF(管理者入力シート!$B$14=2,BU3*管理者用人口入力シート!AW$7))</f>
        <v>125.0127257029074</v>
      </c>
      <c r="BW6" s="9">
        <f>IF(管理者入力シート!$B$14=1,BV3*管理者用人口入力シート!AX$3,IF(管理者入力シート!$B$14=2,BV3*管理者用人口入力シート!AX$7))</f>
        <v>135.34389286810634</v>
      </c>
      <c r="BX6" s="9">
        <f>IF(管理者入力シート!$B$14=1,BW3*管理者用人口入力シート!AY$3,IF(管理者入力シート!$B$14=2,BW3*管理者用人口入力シート!AY$7))</f>
        <v>141.63748666220815</v>
      </c>
      <c r="BY6" s="9">
        <f>IF(管理者入力シート!$B$14=1,BX3*管理者用人口入力シート!AZ$3,IF(管理者入力シート!$B$14=2,BX3*管理者用人口入力シート!AZ$7))</f>
        <v>152.32949684106586</v>
      </c>
      <c r="BZ6" s="9">
        <f>IF(管理者入力シート!$B$14=1,BY3*管理者用人口入力シート!BA$3,IF(管理者入力シート!$B$14=2,BY3*管理者用人口入力シート!BA$7))</f>
        <v>171.52038098866007</v>
      </c>
      <c r="CA6" s="9">
        <f>IF(管理者入力シート!$B$14=1,BZ3*管理者用人口入力シート!BB$3,IF(管理者入力シート!$B$14=2,BZ3*管理者用人口入力シート!BB$7))</f>
        <v>150.75896954294259</v>
      </c>
      <c r="CB6" s="9">
        <f>IF(管理者入力シート!$B$14=1,CA3*管理者用人口入力シート!BC$3,IF(管理者入力シート!$B$14=2,CA3*管理者用人口入力シート!BC$7))</f>
        <v>97.280792137780935</v>
      </c>
      <c r="CC6" s="9">
        <f>IF(管理者入力シート!$B$14=1,CB3*管理者用人口入力シート!BD$3,IF(管理者入力シート!$B$14=2,CB3*管理者用人口入力シート!BD$7))</f>
        <v>35.958100167323728</v>
      </c>
      <c r="CD6" s="9">
        <f>IF(管理者入力シート!$B$14=1,CC3*管理者用人口入力シート!BE$3,IF(管理者入力シート!$B$14=2,CC3*管理者用人口入力シート!BE$7))</f>
        <v>9.5999784037171025</v>
      </c>
      <c r="CE6" s="9">
        <f>IF(管理者入力シート!$B$14=1,CD3*管理者用人口入力シート!BF$3,IF(管理者入力シート!$B$14=2,CD3*管理者用人口入力シート!BF$7))</f>
        <v>8.9509314518170739E-3</v>
      </c>
      <c r="CF6" s="9">
        <f t="shared" si="2"/>
        <v>1972.204180267127</v>
      </c>
      <c r="CG6" s="9">
        <f t="shared" si="20"/>
        <v>79.257140003234042</v>
      </c>
      <c r="CH6" s="9">
        <f t="shared" si="21"/>
        <v>61.007913683564404</v>
      </c>
      <c r="CI6" s="9">
        <f t="shared" si="3"/>
        <v>759.09415567515043</v>
      </c>
      <c r="CJ6" s="9">
        <f t="shared" si="22"/>
        <v>465.12717217187623</v>
      </c>
      <c r="CK6" s="13">
        <f t="shared" si="23"/>
        <v>0.38489633237281456</v>
      </c>
      <c r="CL6" s="13">
        <f t="shared" si="24"/>
        <v>0.23584128703594812</v>
      </c>
      <c r="CM6" s="9">
        <f t="shared" si="25"/>
        <v>275.89486737409624</v>
      </c>
      <c r="CO6" s="7" t="str">
        <f t="shared" si="26"/>
        <v>2030_1</v>
      </c>
      <c r="CP6" s="28">
        <f>管理者入力シート!B9</f>
        <v>2030</v>
      </c>
      <c r="CQ6" s="3" t="s">
        <v>21</v>
      </c>
      <c r="CR6" s="9">
        <f>DT7*$AK$13+将来予測シート②!$G17</f>
        <v>41.379741960215014</v>
      </c>
      <c r="CS6" s="9">
        <f>IF(管理者入力シート!$B$14=1,CR3*管理者用人口入力シート!AM$3,IF(管理者入力シート!$B$14=2,CR3*管理者用人口入力シート!AM$7))+将来予測シート②!$G18</f>
        <v>55.043507355474262</v>
      </c>
      <c r="CT6" s="9">
        <f>IF(管理者入力シート!$B$14=1,CS3*管理者用人口入力シート!AN$3,IF(管理者入力シート!$B$14=2,CS3*管理者用人口入力シート!AN$7))+将来予測シート②!$G19</f>
        <v>79.227670717809445</v>
      </c>
      <c r="CU6" s="9">
        <f>IF(管理者入力シート!$B$14=1,CT3*管理者用人口入力シート!AO$3,IF(管理者入力シート!$B$14=2,CT3*管理者用人口入力シート!AO$7))+将来予測シート②!$G20</f>
        <v>150.19146158961811</v>
      </c>
      <c r="CV6" s="9">
        <f>IF(管理者入力シート!$B$14=1,CU3*管理者用人口入力シート!AP$3,IF(管理者入力シート!$B$14=2,CU3*管理者用人口入力シート!AP$7))+将来予測シート②!$G21</f>
        <v>55.586093166511347</v>
      </c>
      <c r="CW6" s="9">
        <f>IF(管理者入力シート!$B$14=1,CV3*管理者用人口入力シート!AQ$3,IF(管理者入力シート!$B$14=2,CV3*管理者用人口入力シート!AQ$7))+将来予測シート②!$G22</f>
        <v>63.358174347343052</v>
      </c>
      <c r="CX6" s="9">
        <f>IF(管理者入力シート!$B$14=1,CW3*管理者用人口入力シート!AR$3,IF(管理者入力シート!$B$14=2,CW3*管理者用人口入力シート!AR$7))+将来予測シート②!$G23</f>
        <v>67.504259810441894</v>
      </c>
      <c r="CY6" s="9">
        <f>IF(管理者入力シート!$B$14=1,CX3*管理者用人口入力シート!AS$3,IF(管理者入力シート!$B$14=2,CX3*管理者用人口入力シート!AS$7))+将来予測シート②!$G24</f>
        <v>93.552085233461867</v>
      </c>
      <c r="CZ6" s="9">
        <f>IF(管理者入力シート!$B$14=1,CY3*管理者用人口入力シート!AT$3,IF(管理者入力シート!$B$14=2,CY3*管理者用人口入力シート!AT$7))+将来予測シート②!$G25</f>
        <v>93.148236522383499</v>
      </c>
      <c r="DA6" s="9">
        <f>IF(管理者入力シート!$B$14=1,CZ3*管理者用人口入力シート!AU$3,IF(管理者入力シート!$B$14=2,CZ3*管理者用人口入力シート!AU$7))+将来予測シート②!$G26</f>
        <v>118.97174797505768</v>
      </c>
      <c r="DB6" s="9">
        <f>IF(管理者入力シート!$B$14=1,DA3*管理者用人口入力シート!AV$3,IF(管理者入力シート!$B$14=2,DA3*管理者用人口入力シート!AV$7))+将来予測シート②!$G27</f>
        <v>144.47227286126659</v>
      </c>
      <c r="DC6" s="9">
        <f>IF(管理者入力シート!$B$14=1,DB3*管理者用人口入力シート!AW$3,IF(管理者入力シート!$B$14=2,DB3*管理者用人口入力シート!AW$7))+将来予測シート②!$G28</f>
        <v>125.0127257029074</v>
      </c>
      <c r="DD6" s="9">
        <f>IF(管理者入力シート!$B$14=1,DC3*管理者用人口入力シート!AX$3,IF(管理者入力シート!$B$14=2,DC3*管理者用人口入力シート!AX$7))+将来予測シート②!$G29</f>
        <v>135.34389286810634</v>
      </c>
      <c r="DE6" s="9">
        <f>IF(管理者入力シート!$B$14=1,DD3*管理者用人口入力シート!AY$3,IF(管理者入力シート!$B$14=2,DD3*管理者用人口入力シート!AY$7))</f>
        <v>141.63748666220815</v>
      </c>
      <c r="DF6" s="9">
        <f>IF(管理者入力シート!$B$14=1,DE3*管理者用人口入力シート!AZ$3,IF(管理者入力シート!$B$14=2,DE3*管理者用人口入力シート!AZ$7))</f>
        <v>152.32949684106586</v>
      </c>
      <c r="DG6" s="9">
        <f>IF(管理者入力シート!$B$14=1,DF3*管理者用人口入力シート!BA$3,IF(管理者入力シート!$B$14=2,DF3*管理者用人口入力シート!BA$7))</f>
        <v>171.52038098866007</v>
      </c>
      <c r="DH6" s="9">
        <f>IF(管理者入力シート!$B$14=1,DG3*管理者用人口入力シート!BB$3,IF(管理者入力シート!$B$14=2,DG3*管理者用人口入力シート!BB$7))</f>
        <v>150.75896954294259</v>
      </c>
      <c r="DI6" s="9">
        <f>IF(管理者入力シート!$B$14=1,DH3*管理者用人口入力シート!BC$3,IF(管理者入力シート!$B$14=2,DH3*管理者用人口入力シート!BC$7))</f>
        <v>97.280792137780935</v>
      </c>
      <c r="DJ6" s="9">
        <f>IF(管理者入力シート!$B$14=1,DI3*管理者用人口入力シート!BD$3,IF(管理者入力シート!$B$14=2,DI3*管理者用人口入力シート!BD$7))</f>
        <v>35.958100167323728</v>
      </c>
      <c r="DK6" s="9">
        <f>IF(管理者入力シート!$B$14=1,DJ3*管理者用人口入力シート!BE$3,IF(管理者入力シート!$B$14=2,DJ3*管理者用人口入力シート!BE$7))</f>
        <v>9.5999784037171025</v>
      </c>
      <c r="DL6" s="9">
        <f>IF(管理者入力シート!$B$14=1,DK3*管理者用人口入力シート!BF$3,IF(管理者入力シート!$B$14=2,DK3*管理者用人口入力シート!BF$7))</f>
        <v>8.9509314518170739E-3</v>
      </c>
      <c r="DM6" s="9">
        <f t="shared" ref="DM6:DM14" si="69">SUM(CR6:DL6)</f>
        <v>1981.8860257857468</v>
      </c>
      <c r="DN6" s="9">
        <f t="shared" si="34"/>
        <v>80.562706843970233</v>
      </c>
      <c r="DO6" s="9">
        <f t="shared" si="35"/>
        <v>61.729360605047404</v>
      </c>
      <c r="DP6" s="9">
        <f t="shared" si="6"/>
        <v>759.09415567515043</v>
      </c>
      <c r="DQ6" s="9">
        <f t="shared" si="36"/>
        <v>465.12717217187623</v>
      </c>
      <c r="DR6" s="13">
        <f t="shared" si="37"/>
        <v>0.38301604925752314</v>
      </c>
      <c r="DS6" s="13">
        <f t="shared" si="38"/>
        <v>0.23468916280766952</v>
      </c>
      <c r="DT6" s="9">
        <f t="shared" ref="DT6:DT14" si="70">SUM(CV6:CY6)</f>
        <v>280.00061255775813</v>
      </c>
      <c r="DV6" s="7" t="s">
        <v>400</v>
      </c>
      <c r="DX6" s="28">
        <f>管理者入力シート!B9</f>
        <v>2030</v>
      </c>
      <c r="DY6" s="3" t="s">
        <v>21</v>
      </c>
      <c r="DZ6" s="9">
        <f>FB7*$AK$13</f>
        <v>78.702712244555045</v>
      </c>
      <c r="EA6" s="129">
        <f>IF(管理者入力シート!$B$14=1,DZ3*管理者用人口入力シート!AM$3,IF(管理者入力シート!$B$14=2,DZ3*管理者用人口入力シート!AM$7))</f>
        <v>53.867562620913972</v>
      </c>
      <c r="EB6" s="9">
        <f>IF(管理者入力シート!$B$14=1,EA3*管理者用人口入力シート!AN$3,IF(管理者入力シート!$B$14=2,EA3*管理者用人口入力シート!AN$7))</f>
        <v>78.227670717809445</v>
      </c>
      <c r="EC6" s="9">
        <f>IF(管理者入力シート!$B$14=1,EB3*管理者用人口入力シート!AO$3,IF(管理者入力シート!$B$14=2,EB3*管理者用人口入力シート!AO$7))</f>
        <v>148.58422698220312</v>
      </c>
      <c r="ED6" s="9">
        <f>IF(管理者入力シート!$B$14=1,EC3*管理者用人口入力シート!AP$3,IF(管理者入力シート!$B$14=2,EC3*管理者用人口入力シート!AP$7))</f>
        <v>55.586093166511347</v>
      </c>
      <c r="EE6" s="9">
        <f>IF(管理者入力シート!$B$14=1,ED3*管理者用人口入力シート!AQ$3,IF(管理者入力シート!$B$14=2,ED3*管理者用人口入力シート!AQ$7))+DX1</f>
        <v>101.35817434734305</v>
      </c>
      <c r="EF6" s="9">
        <f>IF(管理者入力シート!$B$14=1,EE3*管理者用人口入力シート!AR$3,IF(管理者入力シート!$B$14=2,EE3*管理者用人口入力シート!AR$7))+DX1</f>
        <v>147.51341830001883</v>
      </c>
      <c r="EG6" s="9">
        <f>IF(管理者入力シート!$B$14=1,EF3*管理者用人口入力シート!AS$3,IF(管理者入力シート!$B$14=2,EF3*管理者用人口入力シート!AS$7))+DX1</f>
        <v>175.81253727011028</v>
      </c>
      <c r="EH6" s="9">
        <f>IF(管理者入力シート!$B$14=1,EG3*管理者用人口入力シート!AT$3,IF(管理者入力シート!$B$14=2,EG3*管理者用人口入力シート!AT$7))</f>
        <v>134.59734997847897</v>
      </c>
      <c r="EI6" s="9">
        <f>IF(管理者入力シート!$B$14=1,EH3*管理者用人口入力シート!AU$3,IF(管理者入力シート!$B$14=2,EH3*管理者用人口入力シート!AU$7))</f>
        <v>118.97174797505768</v>
      </c>
      <c r="EJ6" s="9">
        <f>IF(管理者入力シート!$B$14=1,EI3*管理者用人口入力シート!AV$3,IF(管理者入力シート!$B$14=2,EI3*管理者用人口入力シート!AV$7))</f>
        <v>144.47227286126659</v>
      </c>
      <c r="EK6" s="9">
        <f>IF(管理者入力シート!$B$14=1,EJ3*管理者用人口入力シート!AW$3,IF(管理者入力シート!$B$14=2,EJ3*管理者用人口入力シート!AW$7))</f>
        <v>125.0127257029074</v>
      </c>
      <c r="EL6" s="9">
        <f>IF(管理者入力シート!$B$14=1,EK3*管理者用人口入力シート!AX$3,IF(管理者入力シート!$B$14=2,EK3*管理者用人口入力シート!AX$7))</f>
        <v>135.34389286810634</v>
      </c>
      <c r="EM6" s="9">
        <f>IF(管理者入力シート!$B$14=1,EL3*管理者用人口入力シート!AY$3,IF(管理者入力シート!$B$14=2,EL3*管理者用人口入力シート!AY$7))</f>
        <v>141.63748666220815</v>
      </c>
      <c r="EN6" s="9">
        <f>IF(管理者入力シート!$B$14=1,EM3*管理者用人口入力シート!AZ$3,IF(管理者入力シート!$B$14=2,EM3*管理者用人口入力シート!AZ$7))</f>
        <v>152.32949684106586</v>
      </c>
      <c r="EO6" s="9">
        <f>IF(管理者入力シート!$B$14=1,EN3*管理者用人口入力シート!BA$3,IF(管理者入力シート!$B$14=2,EN3*管理者用人口入力シート!BA$7))</f>
        <v>171.52038098866007</v>
      </c>
      <c r="EP6" s="9">
        <f>IF(管理者入力シート!$B$14=1,EO3*管理者用人口入力シート!BB$3,IF(管理者入力シート!$B$14=2,EO3*管理者用人口入力シート!BB$7))</f>
        <v>150.75896954294259</v>
      </c>
      <c r="EQ6" s="9">
        <f>IF(管理者入力シート!$B$14=1,EP3*管理者用人口入力シート!BC$3,IF(管理者入力シート!$B$14=2,EP3*管理者用人口入力シート!BC$7))</f>
        <v>97.280792137780935</v>
      </c>
      <c r="ER6" s="9">
        <f>IF(管理者入力シート!$B$14=1,EQ3*管理者用人口入力シート!BD$3,IF(管理者入力シート!$B$14=2,EQ3*管理者用人口入力シート!BD$7))</f>
        <v>35.958100167323728</v>
      </c>
      <c r="ES6" s="9">
        <f>IF(管理者入力シート!$B$14=1,ER3*管理者用人口入力シート!BE$3,IF(管理者入力シート!$B$14=2,ER3*管理者用人口入力シート!BE$7))</f>
        <v>9.5999784037171025</v>
      </c>
      <c r="ET6" s="9">
        <f>IF(管理者入力シート!$B$14=1,ES3*管理者用人口入力シート!BF$3,IF(管理者入力シート!$B$14=2,ES3*管理者用人口入力シート!BF$7))</f>
        <v>8.9509314518170739E-3</v>
      </c>
      <c r="EU6" s="9">
        <f t="shared" ref="EU6:EU14" si="71">SUM(DZ6:ET6)</f>
        <v>2257.144540710432</v>
      </c>
      <c r="EV6" s="9">
        <f t="shared" si="41"/>
        <v>79.257140003234042</v>
      </c>
      <c r="EW6" s="9">
        <f t="shared" si="42"/>
        <v>61.007913683564404</v>
      </c>
      <c r="EX6" s="9">
        <f t="shared" si="10"/>
        <v>759.09415567515043</v>
      </c>
      <c r="EY6" s="9">
        <f t="shared" si="43"/>
        <v>465.12717217187623</v>
      </c>
      <c r="EZ6" s="13">
        <f t="shared" si="44"/>
        <v>0.33630728647808572</v>
      </c>
      <c r="FA6" s="13">
        <f t="shared" si="45"/>
        <v>0.2060688466257807</v>
      </c>
      <c r="FB6" s="9">
        <f t="shared" ref="FB6:FB14" si="72">SUM(ED6:EG6)</f>
        <v>480.27022308398352</v>
      </c>
    </row>
    <row r="7" spans="1:158" x14ac:dyDescent="0.15">
      <c r="A7" s="7" t="str">
        <f t="shared" si="11"/>
        <v>2010_2</v>
      </c>
      <c r="B7" s="29">
        <v>2010</v>
      </c>
      <c r="C7" s="4" t="s">
        <v>22</v>
      </c>
      <c r="D7" s="10">
        <v>64</v>
      </c>
      <c r="E7" s="10">
        <v>71</v>
      </c>
      <c r="F7" s="10">
        <v>115</v>
      </c>
      <c r="G7" s="10">
        <v>110</v>
      </c>
      <c r="H7" s="10">
        <v>77</v>
      </c>
      <c r="I7" s="10">
        <v>95</v>
      </c>
      <c r="J7" s="10">
        <v>105</v>
      </c>
      <c r="K7" s="10">
        <v>125</v>
      </c>
      <c r="L7" s="10">
        <v>113</v>
      </c>
      <c r="M7" s="10">
        <v>136</v>
      </c>
      <c r="N7" s="10">
        <v>174</v>
      </c>
      <c r="O7" s="10">
        <v>220</v>
      </c>
      <c r="P7" s="10">
        <v>232</v>
      </c>
      <c r="Q7" s="10">
        <v>169</v>
      </c>
      <c r="R7" s="10">
        <v>192</v>
      </c>
      <c r="S7" s="10">
        <v>199</v>
      </c>
      <c r="T7" s="10">
        <v>166</v>
      </c>
      <c r="U7" s="10">
        <v>132</v>
      </c>
      <c r="V7" s="10">
        <v>67</v>
      </c>
      <c r="W7" s="10">
        <v>19</v>
      </c>
      <c r="X7" s="10">
        <v>4</v>
      </c>
      <c r="Y7" s="10">
        <f t="shared" si="68"/>
        <v>2585</v>
      </c>
      <c r="Z7" s="10">
        <f t="shared" si="12"/>
        <v>111.6</v>
      </c>
      <c r="AA7" s="10">
        <f t="shared" si="13"/>
        <v>68</v>
      </c>
      <c r="AB7" s="10">
        <f t="shared" si="0"/>
        <v>948</v>
      </c>
      <c r="AC7" s="10">
        <f t="shared" si="14"/>
        <v>587</v>
      </c>
      <c r="AD7" s="14">
        <f t="shared" si="15"/>
        <v>0.36673114119922628</v>
      </c>
      <c r="AE7" s="14">
        <f t="shared" si="16"/>
        <v>0.22707930367504836</v>
      </c>
      <c r="AF7" s="10">
        <f t="shared" si="17"/>
        <v>402</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1.175944734560284</v>
      </c>
      <c r="AN7" s="48">
        <f t="shared" si="73"/>
        <v>1.126438267163169</v>
      </c>
      <c r="AO7" s="48">
        <f t="shared" si="73"/>
        <v>1.6072346074149904</v>
      </c>
      <c r="AP7" s="48">
        <f t="shared" si="73"/>
        <v>0.35997839922639607</v>
      </c>
      <c r="AQ7" s="48">
        <f t="shared" si="73"/>
        <v>1.0699442948219573</v>
      </c>
      <c r="AR7" s="48">
        <f t="shared" si="73"/>
        <v>1.0528725918309723</v>
      </c>
      <c r="AS7" s="48">
        <f t="shared" si="73"/>
        <v>1.0565113009162101</v>
      </c>
      <c r="AT7" s="48">
        <f t="shared" si="73"/>
        <v>1.0362278364023871</v>
      </c>
      <c r="AU7" s="48">
        <f t="shared" si="73"/>
        <v>1.0621165370009604</v>
      </c>
      <c r="AV7" s="48">
        <f t="shared" si="73"/>
        <v>1.0374096120518994</v>
      </c>
      <c r="AW7" s="48">
        <f t="shared" si="73"/>
        <v>1.0033496012855361</v>
      </c>
      <c r="AX7" s="48">
        <f t="shared" si="73"/>
        <v>1.0135597083944183</v>
      </c>
      <c r="AY7" s="48">
        <f t="shared" si="73"/>
        <v>0.96301650292280394</v>
      </c>
      <c r="AZ7" s="48">
        <f t="shared" si="73"/>
        <v>0.93528602104042347</v>
      </c>
      <c r="BA7" s="48">
        <f t="shared" si="73"/>
        <v>0.85234583895976779</v>
      </c>
      <c r="BB7" s="48">
        <f t="shared" si="73"/>
        <v>0.85373319264362779</v>
      </c>
      <c r="BC7" s="48">
        <f t="shared" si="73"/>
        <v>0.70276987747666719</v>
      </c>
      <c r="BD7" s="48">
        <f t="shared" si="73"/>
        <v>0.44082442746426564</v>
      </c>
      <c r="BE7" s="48">
        <f t="shared" si="73"/>
        <v>0.24182541670333721</v>
      </c>
      <c r="BF7" s="48">
        <f t="shared" si="73"/>
        <v>1E-3</v>
      </c>
      <c r="BH7" s="7" t="str">
        <f t="shared" si="19"/>
        <v>2030_2</v>
      </c>
      <c r="BI7" s="29">
        <f>BI6</f>
        <v>2030</v>
      </c>
      <c r="BJ7" s="4" t="s">
        <v>22</v>
      </c>
      <c r="BK7" s="10">
        <f>CM7*$AK$14</f>
        <v>32.17553471278076</v>
      </c>
      <c r="BL7" s="10">
        <f>IF(管理者入力シート!$B$14=1,BK4*管理者用人口入力シート!AM$4,IF(管理者入力シート!$B$14=2,BK4*管理者用人口入力シート!AM$8))</f>
        <v>41.597423401571362</v>
      </c>
      <c r="BM7" s="10">
        <f>IF(管理者入力シート!$B$14=1,BL4*管理者用人口入力シート!AN$4,IF(管理者入力シート!$B$14=2,BL4*管理者用人口入力シート!AN$8))</f>
        <v>57.141138458477663</v>
      </c>
      <c r="BN7" s="10">
        <f>IF(管理者入力シート!$B$14=1,BM4*管理者用人口入力シート!AO$4,IF(管理者入力シート!$B$14=2,BM4*管理者用人口入力シート!AO$8))</f>
        <v>84.783343477590066</v>
      </c>
      <c r="BO7" s="10">
        <f>IF(管理者入力シート!$B$14=1,BN4*管理者用人口入力シート!AP$4,IF(管理者入力シート!$B$14=2,BN4*管理者用人口入力シート!AP$8))</f>
        <v>46.156427058190879</v>
      </c>
      <c r="BP7" s="10">
        <f>IF(管理者入力シート!$B$14=1,BO4*管理者用人口入力シート!AQ$4,IF(管理者入力シート!$B$14=2,BO4*管理者用人口入力シート!AQ$8))</f>
        <v>33.061347701260857</v>
      </c>
      <c r="BQ7" s="10">
        <f>IF(管理者入力シート!$B$14=1,BP4*管理者用人口入力シート!AR$4,IF(管理者入力シート!$B$14=2,BP4*管理者用人口入力シート!AR$8))</f>
        <v>54.868293583122622</v>
      </c>
      <c r="BR7" s="10">
        <f>IF(管理者入力シート!$B$14=1,BQ4*管理者用人口入力シート!AS$4,IF(管理者入力シート!$B$14=2,BQ4*管理者用人口入力シート!AS$8))</f>
        <v>78.406525489748532</v>
      </c>
      <c r="BS7" s="10">
        <f>IF(管理者入力シート!$B$14=1,BR4*管理者用人口入力シート!AT$4,IF(管理者入力シート!$B$14=2,BR4*管理者用人口入力シート!AT$8))</f>
        <v>92.790735847632888</v>
      </c>
      <c r="BT7" s="10">
        <f>IF(管理者入力シート!$B$14=1,BS4*管理者用人口入力シート!AU$4,IF(管理者入力シート!$B$14=2,BS4*管理者用人口入力シート!AU$8))</f>
        <v>127.68700842809444</v>
      </c>
      <c r="BU7" s="10">
        <f>IF(管理者入力シート!$B$14=1,BT4*管理者用人口入力シート!AV$4,IF(管理者入力シート!$B$14=2,BT4*管理者用人口入力シート!AV$8))</f>
        <v>143.29912711565098</v>
      </c>
      <c r="BV7" s="10">
        <f>IF(管理者入力シート!$B$14=1,BU4*管理者用人口入力シート!AW$4,IF(管理者入力シート!$B$14=2,BU4*管理者用人口入力シート!AW$8))</f>
        <v>144.94236006257009</v>
      </c>
      <c r="BW7" s="10">
        <f>IF(管理者入力シート!$B$14=1,BV4*管理者用人口入力シート!AX$4,IF(管理者入力シート!$B$14=2,BV4*管理者用人口入力シート!AX$8))</f>
        <v>126.98564777899237</v>
      </c>
      <c r="BX7" s="10">
        <f>IF(管理者入力シート!$B$14=1,BW4*管理者用人口入力シート!AY$4,IF(管理者入力シート!$B$14=2,BW4*管理者用人口入力シート!AY$8))</f>
        <v>153.50787301826105</v>
      </c>
      <c r="BY7" s="10">
        <f>IF(管理者入力シート!$B$14=1,BX4*管理者用人口入力シート!AZ$4,IF(管理者入力シート!$B$14=2,BX4*管理者用人口入力シート!AZ$8))</f>
        <v>170.55054545681531</v>
      </c>
      <c r="BZ7" s="10">
        <f>IF(管理者入力シート!$B$14=1,BY4*管理者用人口入力シート!BA$4,IF(管理者入力シート!$B$14=2,BY4*管理者用人口入力シート!BA$8))</f>
        <v>220.19363902711208</v>
      </c>
      <c r="CA7" s="10">
        <f>IF(管理者入力シート!$B$14=1,BZ4*管理者用人口入力シート!BB$4,IF(管理者入力シート!$B$14=2,BZ4*管理者用人口入力シート!BB$8))</f>
        <v>193.42175465840972</v>
      </c>
      <c r="CB7" s="10">
        <f>IF(管理者入力シート!$B$14=1,CA4*管理者用人口入力シート!BC$4,IF(管理者入力シート!$B$14=2,CA4*管理者用人口入力シート!BC$8))</f>
        <v>132.55432273410065</v>
      </c>
      <c r="CC7" s="10">
        <f>IF(管理者入力シート!$B$14=1,CB4*管理者用人口入力シート!BD$4,IF(管理者入力シート!$B$14=2,CB4*管理者用人口入力シート!BD$8))</f>
        <v>101.38474258555843</v>
      </c>
      <c r="CD7" s="10">
        <f>IF(管理者入力シート!$B$14=1,CC4*管理者用人口入力シート!BE$4,IF(管理者入力シート!$B$14=2,CC4*管理者用人口入力シート!BE$8))</f>
        <v>47.630789973050113</v>
      </c>
      <c r="CE7" s="10">
        <f>IF(管理者入力シート!$B$14=1,CD4*管理者用人口入力シート!BF$4,IF(管理者入力シート!$B$14=2,CD4*管理者用人口入力シート!BF$8))</f>
        <v>9.1926898794201897</v>
      </c>
      <c r="CF7" s="10">
        <f t="shared" si="2"/>
        <v>2092.3312704484115</v>
      </c>
      <c r="CG7" s="10">
        <f t="shared" si="20"/>
        <v>59.243137116029416</v>
      </c>
      <c r="CH7" s="10">
        <f t="shared" si="21"/>
        <v>39.813124078909077</v>
      </c>
      <c r="CI7" s="10">
        <f t="shared" si="3"/>
        <v>1028.4363573327275</v>
      </c>
      <c r="CJ7" s="10">
        <f t="shared" si="22"/>
        <v>704.3779388576512</v>
      </c>
      <c r="CK7" s="14">
        <f t="shared" si="23"/>
        <v>0.49152654355365122</v>
      </c>
      <c r="CL7" s="14">
        <f t="shared" si="24"/>
        <v>0.33664742710971129</v>
      </c>
      <c r="CM7" s="10">
        <f t="shared" si="25"/>
        <v>212.49259383232291</v>
      </c>
      <c r="CO7" s="7" t="str">
        <f t="shared" si="26"/>
        <v>2030_2</v>
      </c>
      <c r="CP7" s="29">
        <f>CP6</f>
        <v>2030</v>
      </c>
      <c r="CQ7" s="4" t="s">
        <v>22</v>
      </c>
      <c r="CR7" s="10">
        <f>DT7*$AK$14+将来予測シート②!$H17</f>
        <v>33.820008209536674</v>
      </c>
      <c r="CS7" s="10">
        <f>IF(管理者入力シート!$B$14=1,CR4*管理者用人口入力シート!AM$4,IF(管理者入力シート!$B$14=2,CR4*管理者用人口入力シート!AM$8))+将来予測シート②!$H18</f>
        <v>42.714674708406797</v>
      </c>
      <c r="CT7" s="10">
        <f>IF(管理者入力シート!$B$14=1,CS4*管理者用人口入力シート!AN$4,IF(管理者入力シート!$B$14=2,CS4*管理者用人口入力シート!AN$8))+将来予測シート②!$H19</f>
        <v>58.141138458477663</v>
      </c>
      <c r="CU7" s="10">
        <f>IF(管理者入力シート!$B$14=1,CT4*管理者用人口入力シート!AO$4,IF(管理者入力シート!$B$14=2,CT4*管理者用人口入力シート!AO$8))+将来予測シート②!$H20</f>
        <v>85.68755718599671</v>
      </c>
      <c r="CV7" s="10">
        <f>IF(管理者入力シート!$B$14=1,CU4*管理者用人口入力シート!AP$4,IF(管理者入力シート!$B$14=2,CU4*管理者用人口入力シート!AP$8))+将来予測シート②!$H21</f>
        <v>46.156427058190879</v>
      </c>
      <c r="CW7" s="10">
        <f>IF(管理者入力シート!$B$14=1,CV4*管理者用人口入力シート!AQ$4,IF(管理者入力シート!$B$14=2,CV4*管理者用人口入力シート!AQ$8))+将来予測シート②!$H22</f>
        <v>35.061347701260857</v>
      </c>
      <c r="CX7" s="10">
        <f>IF(管理者入力シート!$B$14=1,CW4*管理者用人口入力シート!AR$4,IF(管理者入力シート!$B$14=2,CW4*管理者用人口入力シート!AR$8))+将来予測シート②!$H23</f>
        <v>57.124503967948158</v>
      </c>
      <c r="CY7" s="10">
        <f>IF(管理者入力シート!$B$14=1,CX4*管理者用人口入力シート!AS$4,IF(管理者入力シート!$B$14=2,CX4*管理者用人口入力シート!AS$8))+将来予測シート②!$H24</f>
        <v>78.406525489748532</v>
      </c>
      <c r="CZ7" s="10">
        <f>IF(管理者入力シート!$B$14=1,CY4*管理者用人口入力シート!AT$4,IF(管理者入力シート!$B$14=2,CY4*管理者用人口入力シート!AT$8))+将来予測シート②!$H25</f>
        <v>93.790735847632888</v>
      </c>
      <c r="DA7" s="10">
        <f>IF(管理者入力シート!$B$14=1,CZ4*管理者用人口入力シート!AU$4,IF(管理者入力シート!$B$14=2,CZ4*管理者用人口入力シート!AU$8))+将来予測シート②!$H26</f>
        <v>128.71108668275357</v>
      </c>
      <c r="DB7" s="10">
        <f>IF(管理者入力シート!$B$14=1,DA4*管理者用人口入力シート!AV$4,IF(管理者入力シート!$B$14=2,DA4*管理者用人口入力シート!AV$8))+将来予測シート②!$H27</f>
        <v>143.29912711565098</v>
      </c>
      <c r="DC7" s="10">
        <f>IF(管理者入力シート!$B$14=1,DB4*管理者用人口入力シート!AW$4,IF(管理者入力シート!$B$14=2,DB4*管理者用人口入力シート!AW$8))+将来予測シート②!$H28</f>
        <v>144.94236006257009</v>
      </c>
      <c r="DD7" s="10">
        <f>IF(管理者入力シート!$B$14=1,DC4*管理者用人口入力シート!AX$4,IF(管理者入力シート!$B$14=2,DC4*管理者用人口入力シート!AX$8))+将来予測シート②!$H29</f>
        <v>126.98564777899237</v>
      </c>
      <c r="DE7" s="10">
        <f>IF(管理者入力シート!$B$14=1,DD4*管理者用人口入力シート!AY$4,IF(管理者入力シート!$B$14=2,DD4*管理者用人口入力シート!AY$8))</f>
        <v>153.50787301826105</v>
      </c>
      <c r="DF7" s="10">
        <f>IF(管理者入力シート!$B$14=1,DE4*管理者用人口入力シート!AZ$4,IF(管理者入力シート!$B$14=2,DE4*管理者用人口入力シート!AZ$8))</f>
        <v>170.55054545681531</v>
      </c>
      <c r="DG7" s="10">
        <f>IF(管理者入力シート!$B$14=1,DF4*管理者用人口入力シート!BA$4,IF(管理者入力シート!$B$14=2,DF4*管理者用人口入力シート!BA$8))</f>
        <v>220.19363902711208</v>
      </c>
      <c r="DH7" s="10">
        <f>IF(管理者入力シート!$B$14=1,DG4*管理者用人口入力シート!BB$4,IF(管理者入力シート!$B$14=2,DG4*管理者用人口入力シート!BB$8))</f>
        <v>193.42175465840972</v>
      </c>
      <c r="DI7" s="10">
        <f>IF(管理者入力シート!$B$14=1,DH4*管理者用人口入力シート!BC$4,IF(管理者入力シート!$B$14=2,DH4*管理者用人口入力シート!BC$8))</f>
        <v>132.55432273410065</v>
      </c>
      <c r="DJ7" s="10">
        <f>IF(管理者入力シート!$B$14=1,DI4*管理者用人口入力シート!BD$4,IF(管理者入力シート!$B$14=2,DI4*管理者用人口入力シート!BD$8))</f>
        <v>101.38474258555843</v>
      </c>
      <c r="DK7" s="10">
        <f>IF(管理者入力シート!$B$14=1,DJ4*管理者用人口入力シート!BE$4,IF(管理者入力シート!$B$14=2,DJ4*管理者用人口入力シート!BE$8))</f>
        <v>47.630789973050113</v>
      </c>
      <c r="DL7" s="10">
        <f>IF(管理者入力シート!$B$14=1,DK4*管理者用人口入力シート!BF$4,IF(管理者入力シート!$B$14=2,DK4*管理者用人口入力シート!BF$8))</f>
        <v>9.1926898794201897</v>
      </c>
      <c r="DM7" s="10">
        <f t="shared" si="69"/>
        <v>2103.2774975998941</v>
      </c>
      <c r="DN7" s="10">
        <f t="shared" si="34"/>
        <v>60.513487900130677</v>
      </c>
      <c r="DO7" s="10">
        <f t="shared" si="35"/>
        <v>40.393966820590407</v>
      </c>
      <c r="DP7" s="10">
        <f t="shared" si="6"/>
        <v>1028.4363573327275</v>
      </c>
      <c r="DQ7" s="10">
        <f t="shared" si="36"/>
        <v>704.3779388576512</v>
      </c>
      <c r="DR7" s="14">
        <f t="shared" si="37"/>
        <v>0.4889684592291334</v>
      </c>
      <c r="DS7" s="14">
        <f t="shared" si="38"/>
        <v>0.33489539048529526</v>
      </c>
      <c r="DT7" s="10">
        <f t="shared" si="70"/>
        <v>216.74880421714843</v>
      </c>
      <c r="DV7" s="7" t="s">
        <v>401</v>
      </c>
      <c r="DW7" s="209">
        <f>(SUM(BK12:BW12)-SUM(D12:P12))/4</f>
        <v>-106.78455847167618</v>
      </c>
      <c r="DX7" s="29">
        <f>DX6</f>
        <v>2030</v>
      </c>
      <c r="DY7" s="4" t="s">
        <v>22</v>
      </c>
      <c r="DZ7" s="10">
        <f>FB7*$AK$14</f>
        <v>63.968305308242861</v>
      </c>
      <c r="EA7" s="10">
        <f>IF(管理者入力シート!$B$14=1,DZ4*管理者用人口入力シート!AM$4,IF(管理者入力シート!$B$14=2,DZ4*管理者用人口入力シート!AM$8))</f>
        <v>41.597423401571362</v>
      </c>
      <c r="EB7" s="10">
        <f>IF(管理者入力シート!$B$14=1,EA4*管理者用人口入力シート!AN$4,IF(管理者入力シート!$B$14=2,EA4*管理者用人口入力シート!AN$8))</f>
        <v>57.141138458477663</v>
      </c>
      <c r="EC7" s="10">
        <f>IF(管理者入力シート!$B$14=1,EB4*管理者用人口入力シート!AO$4,IF(管理者入力シート!$B$14=2,EB4*管理者用人口入力シート!AO$8))</f>
        <v>84.783343477590066</v>
      </c>
      <c r="ED7" s="10">
        <f>IF(管理者入力シート!$B$14=1,EC4*管理者用人口入力シート!AP$4,IF(管理者入力シート!$B$14=2,EC4*管理者用人口入力シート!AP$8))</f>
        <v>46.156427058190879</v>
      </c>
      <c r="EE7" s="10">
        <f>IF(管理者入力シート!$B$14=1,ED4*管理者用人口入力シート!AQ$4,IF(管理者入力シート!$B$14=2,ED4*管理者用人口入力シート!AQ$8))+DX1</f>
        <v>73.061347701260857</v>
      </c>
      <c r="EF7" s="10">
        <f>IF(管理者入力シート!$B$14=1,EE4*管理者用人口入力シート!AR$4,IF(管理者入力シート!$B$14=2,EE4*管理者用人口入力シート!AR$8))+DX1</f>
        <v>139.9925012796333</v>
      </c>
      <c r="EG7" s="10">
        <f>IF(管理者入力シート!$B$14=1,EF4*管理者用人口入力シート!AS$4,IF(管理者入力シート!$B$14=2,EF4*管理者用人口入力シート!AS$8))+DX1</f>
        <v>163.24707360076883</v>
      </c>
      <c r="EH7" s="10">
        <f>IF(管理者入力シート!$B$14=1,EG4*管理者用人口入力シート!AT$4,IF(管理者入力シート!$B$14=2,EG4*管理者用人口入力シート!AT$8))</f>
        <v>134.7015982623997</v>
      </c>
      <c r="EI7" s="10">
        <f>IF(管理者入力シート!$B$14=1,EH4*管理者用人口入力シート!AU$4,IF(管理者入力シート!$B$14=2,EH4*管理者用人口入力シート!AU$8))</f>
        <v>127.68700842809444</v>
      </c>
      <c r="EJ7" s="10">
        <f>IF(管理者入力シート!$B$14=1,EI4*管理者用人口入力シート!AV$4,IF(管理者入力シート!$B$14=2,EI4*管理者用人口入力シート!AV$8))</f>
        <v>143.29912711565098</v>
      </c>
      <c r="EK7" s="10">
        <f>IF(管理者入力シート!$B$14=1,EJ4*管理者用人口入力シート!AW$4,IF(管理者入力シート!$B$14=2,EJ4*管理者用人口入力シート!AW$8))</f>
        <v>144.94236006257009</v>
      </c>
      <c r="EL7" s="10">
        <f>IF(管理者入力シート!$B$14=1,EK4*管理者用人口入力シート!AX$4,IF(管理者入力シート!$B$14=2,EK4*管理者用人口入力シート!AX$8))</f>
        <v>126.98564777899237</v>
      </c>
      <c r="EM7" s="10">
        <f>IF(管理者入力シート!$B$14=1,EL4*管理者用人口入力シート!AY$4,IF(管理者入力シート!$B$14=2,EL4*管理者用人口入力シート!AY$8))</f>
        <v>153.50787301826105</v>
      </c>
      <c r="EN7" s="10">
        <f>IF(管理者入力シート!$B$14=1,EM4*管理者用人口入力シート!AZ$4,IF(管理者入力シート!$B$14=2,EM4*管理者用人口入力シート!AZ$8))</f>
        <v>170.55054545681531</v>
      </c>
      <c r="EO7" s="10">
        <f>IF(管理者入力シート!$B$14=1,EN4*管理者用人口入力シート!BA$4,IF(管理者入力シート!$B$14=2,EN4*管理者用人口入力シート!BA$8))</f>
        <v>220.19363902711208</v>
      </c>
      <c r="EP7" s="10">
        <f>IF(管理者入力シート!$B$14=1,EO4*管理者用人口入力シート!BB$4,IF(管理者入力シート!$B$14=2,EO4*管理者用人口入力シート!BB$8))</f>
        <v>193.42175465840972</v>
      </c>
      <c r="EQ7" s="10">
        <f>IF(管理者入力シート!$B$14=1,EP4*管理者用人口入力シート!BC$4,IF(管理者入力シート!$B$14=2,EP4*管理者用人口入力シート!BC$8))</f>
        <v>132.55432273410065</v>
      </c>
      <c r="ER7" s="10">
        <f>IF(管理者入力シート!$B$14=1,EQ4*管理者用人口入力シート!BD$4,IF(管理者入力シート!$B$14=2,EQ4*管理者用人口入力シート!BD$8))</f>
        <v>101.38474258555843</v>
      </c>
      <c r="ES7" s="10">
        <f>IF(管理者入力シート!$B$14=1,ER4*管理者用人口入力シート!BE$4,IF(管理者入力シート!$B$14=2,ER4*管理者用人口入力シート!BE$8))</f>
        <v>47.630789973050113</v>
      </c>
      <c r="ET7" s="10">
        <f>IF(管理者入力シート!$B$14=1,ES4*管理者用人口入力シート!BF$4,IF(管理者入力シート!$B$14=2,ES4*管理者用人口入力シート!BF$8))</f>
        <v>9.1926898794201897</v>
      </c>
      <c r="EU7" s="10">
        <f t="shared" si="71"/>
        <v>2375.9996592661714</v>
      </c>
      <c r="EV7" s="10">
        <f t="shared" si="41"/>
        <v>59.243137116029416</v>
      </c>
      <c r="EW7" s="10">
        <f t="shared" si="42"/>
        <v>39.813124078909077</v>
      </c>
      <c r="EX7" s="10">
        <f t="shared" si="10"/>
        <v>1028.4363573327275</v>
      </c>
      <c r="EY7" s="10">
        <f t="shared" si="43"/>
        <v>704.3779388576512</v>
      </c>
      <c r="EZ7" s="14">
        <f t="shared" si="44"/>
        <v>0.43284364680858606</v>
      </c>
      <c r="FA7" s="14">
        <f t="shared" si="45"/>
        <v>0.29645540398570541</v>
      </c>
      <c r="FB7" s="10">
        <f t="shared" si="72"/>
        <v>422.45734963985387</v>
      </c>
    </row>
    <row r="8" spans="1:158" x14ac:dyDescent="0.15">
      <c r="A8" s="7" t="str">
        <f t="shared" si="11"/>
        <v>2010_3</v>
      </c>
      <c r="B8" s="30">
        <v>2010</v>
      </c>
      <c r="C8" s="5" t="s">
        <v>23</v>
      </c>
      <c r="D8" s="11">
        <v>152</v>
      </c>
      <c r="E8" s="11">
        <v>152</v>
      </c>
      <c r="F8" s="11">
        <v>237</v>
      </c>
      <c r="G8" s="11">
        <v>302</v>
      </c>
      <c r="H8" s="11">
        <v>158</v>
      </c>
      <c r="I8" s="11">
        <v>178</v>
      </c>
      <c r="J8" s="11">
        <v>231</v>
      </c>
      <c r="K8" s="11">
        <v>235</v>
      </c>
      <c r="L8" s="11">
        <v>239</v>
      </c>
      <c r="M8" s="11">
        <v>275</v>
      </c>
      <c r="N8" s="11">
        <v>342</v>
      </c>
      <c r="O8" s="11">
        <v>446</v>
      </c>
      <c r="P8" s="11">
        <v>465</v>
      </c>
      <c r="Q8" s="11">
        <v>354</v>
      </c>
      <c r="R8" s="11">
        <v>360</v>
      </c>
      <c r="S8" s="11">
        <v>335</v>
      </c>
      <c r="T8" s="11">
        <v>286</v>
      </c>
      <c r="U8" s="11">
        <v>179</v>
      </c>
      <c r="V8" s="11">
        <v>85</v>
      </c>
      <c r="W8" s="11">
        <v>25</v>
      </c>
      <c r="X8" s="11">
        <v>5</v>
      </c>
      <c r="Y8" s="11">
        <f t="shared" si="68"/>
        <v>5041</v>
      </c>
      <c r="Z8" s="11">
        <f t="shared" si="12"/>
        <v>233.39999999999998</v>
      </c>
      <c r="AA8" s="11">
        <f t="shared" si="13"/>
        <v>155.19999999999999</v>
      </c>
      <c r="AB8" s="11">
        <f t="shared" si="0"/>
        <v>1629</v>
      </c>
      <c r="AC8" s="11">
        <f t="shared" si="14"/>
        <v>915</v>
      </c>
      <c r="AD8" s="15">
        <f t="shared" si="15"/>
        <v>0.32315016861733781</v>
      </c>
      <c r="AE8" s="15">
        <f t="shared" si="16"/>
        <v>0.18151160484030945</v>
      </c>
      <c r="AF8" s="11">
        <f t="shared" si="17"/>
        <v>802</v>
      </c>
      <c r="AH8" s="7"/>
      <c r="AI8" s="30" t="s">
        <v>88</v>
      </c>
      <c r="AJ8" s="5">
        <f>AJ7</f>
        <v>2010</v>
      </c>
      <c r="AK8" s="5">
        <f>AK7</f>
        <v>2020</v>
      </c>
      <c r="AL8" s="33" t="s">
        <v>22</v>
      </c>
      <c r="AM8" s="47">
        <f t="shared" si="73"/>
        <v>1.1172513068354331</v>
      </c>
      <c r="AN8" s="47">
        <f t="shared" si="73"/>
        <v>1.0655081603112999</v>
      </c>
      <c r="AO8" s="47">
        <f t="shared" si="73"/>
        <v>0.90421370840663751</v>
      </c>
      <c r="AP8" s="47">
        <f t="shared" si="73"/>
        <v>0.61501117009330974</v>
      </c>
      <c r="AQ8" s="47">
        <f t="shared" si="73"/>
        <v>0.85329067562429828</v>
      </c>
      <c r="AR8" s="47">
        <f t="shared" si="73"/>
        <v>1.1281051924127667</v>
      </c>
      <c r="AS8" s="47">
        <f t="shared" si="73"/>
        <v>1.1210137027755074</v>
      </c>
      <c r="AT8" s="47">
        <f t="shared" si="73"/>
        <v>1.0477715603691706</v>
      </c>
      <c r="AU8" s="47">
        <f t="shared" si="73"/>
        <v>1.0240782546591201</v>
      </c>
      <c r="AV8" s="47">
        <f t="shared" si="73"/>
        <v>1.110554446863623</v>
      </c>
      <c r="AW8" s="47">
        <f t="shared" si="73"/>
        <v>1.0196368050092404</v>
      </c>
      <c r="AX8" s="47">
        <f t="shared" si="73"/>
        <v>1.0125209637467498</v>
      </c>
      <c r="AY8" s="47">
        <f t="shared" si="73"/>
        <v>0.98447775990716924</v>
      </c>
      <c r="AZ8" s="47">
        <f t="shared" si="73"/>
        <v>0.96781906319956601</v>
      </c>
      <c r="BA8" s="47">
        <f t="shared" si="73"/>
        <v>0.9764604907092137</v>
      </c>
      <c r="BB8" s="47">
        <f t="shared" si="73"/>
        <v>0.92132357298474477</v>
      </c>
      <c r="BC8" s="47">
        <f t="shared" si="73"/>
        <v>0.88266134476041824</v>
      </c>
      <c r="BD8" s="47">
        <f t="shared" si="73"/>
        <v>0.68370572044494293</v>
      </c>
      <c r="BE8" s="47">
        <f t="shared" si="73"/>
        <v>0.4327057784292756</v>
      </c>
      <c r="BF8" s="47">
        <f t="shared" si="73"/>
        <v>0.19670987337515405</v>
      </c>
      <c r="BH8" s="7" t="str">
        <f t="shared" si="19"/>
        <v>2030_3</v>
      </c>
      <c r="BI8" s="30">
        <f>BI7</f>
        <v>2030</v>
      </c>
      <c r="BJ8" s="5" t="s">
        <v>23</v>
      </c>
      <c r="BK8" s="16">
        <f>BK6+BK7</f>
        <v>71.762355680013229</v>
      </c>
      <c r="BL8" s="16">
        <f t="shared" ref="BL8" si="74">BL6+BL7</f>
        <v>95.464986022485334</v>
      </c>
      <c r="BM8" s="16">
        <f t="shared" ref="BM8" si="75">BM6+BM7</f>
        <v>135.3688091762871</v>
      </c>
      <c r="BN8" s="16">
        <f t="shared" ref="BN8" si="76">BN6+BN7</f>
        <v>233.36757045979317</v>
      </c>
      <c r="BO8" s="16">
        <f t="shared" ref="BO8" si="77">BO6+BO7</f>
        <v>101.74252022470222</v>
      </c>
      <c r="BP8" s="16">
        <f t="shared" ref="BP8" si="78">BP6+BP7</f>
        <v>94.419522048603909</v>
      </c>
      <c r="BQ8" s="16">
        <f t="shared" ref="BQ8" si="79">BQ6+BQ7</f>
        <v>120.26680820990258</v>
      </c>
      <c r="BR8" s="16">
        <f t="shared" ref="BR8" si="80">BR6+BR7</f>
        <v>171.9586107232104</v>
      </c>
      <c r="BS8" s="16">
        <f t="shared" ref="BS8" si="81">BS6+BS7</f>
        <v>185.93897237001639</v>
      </c>
      <c r="BT8" s="16">
        <f t="shared" ref="BT8" si="82">BT6+BT7</f>
        <v>246.65875640315213</v>
      </c>
      <c r="BU8" s="16">
        <f t="shared" ref="BU8" si="83">BU6+BU7</f>
        <v>287.77139997691756</v>
      </c>
      <c r="BV8" s="16">
        <f t="shared" ref="BV8" si="84">BV6+BV7</f>
        <v>269.95508576547752</v>
      </c>
      <c r="BW8" s="16">
        <f t="shared" ref="BW8" si="85">BW6+BW7</f>
        <v>262.32954064709872</v>
      </c>
      <c r="BX8" s="16">
        <f t="shared" ref="BX8" si="86">BX6+BX7</f>
        <v>295.1453596804692</v>
      </c>
      <c r="BY8" s="16">
        <f t="shared" ref="BY8" si="87">BY6+BY7</f>
        <v>322.88004229788118</v>
      </c>
      <c r="BZ8" s="16">
        <f t="shared" ref="BZ8" si="88">BZ6+BZ7</f>
        <v>391.71402001577212</v>
      </c>
      <c r="CA8" s="16">
        <f t="shared" ref="CA8" si="89">CA6+CA7</f>
        <v>344.18072420135229</v>
      </c>
      <c r="CB8" s="16">
        <f t="shared" ref="CB8" si="90">CB6+CB7</f>
        <v>229.83511487188159</v>
      </c>
      <c r="CC8" s="16">
        <f t="shared" ref="CC8" si="91">CC6+CC7</f>
        <v>137.34284275288215</v>
      </c>
      <c r="CD8" s="16">
        <f t="shared" ref="CD8" si="92">CD6+CD7</f>
        <v>57.230768376767216</v>
      </c>
      <c r="CE8" s="16">
        <f t="shared" ref="CE8" si="93">CE6+CE7</f>
        <v>9.2016408108720071</v>
      </c>
      <c r="CF8" s="11">
        <f t="shared" si="2"/>
        <v>4064.535450715538</v>
      </c>
      <c r="CG8" s="11">
        <f t="shared" si="20"/>
        <v>138.50027711926347</v>
      </c>
      <c r="CH8" s="11">
        <f t="shared" si="21"/>
        <v>100.82103776247348</v>
      </c>
      <c r="CI8" s="11">
        <f t="shared" si="3"/>
        <v>1787.530513007878</v>
      </c>
      <c r="CJ8" s="11">
        <f t="shared" si="22"/>
        <v>1169.5051110295274</v>
      </c>
      <c r="CK8" s="15">
        <f t="shared" si="23"/>
        <v>0.43978716256323797</v>
      </c>
      <c r="CL8" s="15">
        <f t="shared" si="24"/>
        <v>0.28773401664479092</v>
      </c>
      <c r="CM8" s="11">
        <f t="shared" si="25"/>
        <v>488.38746120641906</v>
      </c>
      <c r="CO8" s="7" t="str">
        <f t="shared" si="26"/>
        <v>2030_3</v>
      </c>
      <c r="CP8" s="30">
        <f>CP7</f>
        <v>2030</v>
      </c>
      <c r="CQ8" s="5" t="s">
        <v>23</v>
      </c>
      <c r="CR8" s="16">
        <f>CR6+CR7</f>
        <v>75.199750169751695</v>
      </c>
      <c r="CS8" s="16">
        <f t="shared" ref="CS8" si="94">CS6+CS7</f>
        <v>97.758182063881065</v>
      </c>
      <c r="CT8" s="16">
        <f t="shared" ref="CT8" si="95">CT6+CT7</f>
        <v>137.3688091762871</v>
      </c>
      <c r="CU8" s="16">
        <f t="shared" ref="CU8" si="96">CU6+CU7</f>
        <v>235.87901877561484</v>
      </c>
      <c r="CV8" s="16">
        <f t="shared" ref="CV8" si="97">CV6+CV7</f>
        <v>101.74252022470222</v>
      </c>
      <c r="CW8" s="16">
        <f t="shared" ref="CW8" si="98">CW6+CW7</f>
        <v>98.419522048603909</v>
      </c>
      <c r="CX8" s="16">
        <f t="shared" ref="CX8" si="99">CX6+CX7</f>
        <v>124.62876377839005</v>
      </c>
      <c r="CY8" s="16">
        <f t="shared" ref="CY8" si="100">CY6+CY7</f>
        <v>171.9586107232104</v>
      </c>
      <c r="CZ8" s="16">
        <f t="shared" ref="CZ8" si="101">CZ6+CZ7</f>
        <v>186.93897237001639</v>
      </c>
      <c r="DA8" s="16">
        <f t="shared" ref="DA8" si="102">DA6+DA7</f>
        <v>247.68283465781127</v>
      </c>
      <c r="DB8" s="16">
        <f t="shared" ref="DB8" si="103">DB6+DB7</f>
        <v>287.77139997691756</v>
      </c>
      <c r="DC8" s="16">
        <f t="shared" ref="DC8" si="104">DC6+DC7</f>
        <v>269.95508576547752</v>
      </c>
      <c r="DD8" s="16">
        <f t="shared" ref="DD8" si="105">DD6+DD7</f>
        <v>262.32954064709872</v>
      </c>
      <c r="DE8" s="16">
        <f t="shared" ref="DE8" si="106">DE6+DE7</f>
        <v>295.1453596804692</v>
      </c>
      <c r="DF8" s="16">
        <f t="shared" ref="DF8" si="107">DF6+DF7</f>
        <v>322.88004229788118</v>
      </c>
      <c r="DG8" s="16">
        <f t="shared" ref="DG8" si="108">DG6+DG7</f>
        <v>391.71402001577212</v>
      </c>
      <c r="DH8" s="16">
        <f t="shared" ref="DH8" si="109">DH6+DH7</f>
        <v>344.18072420135229</v>
      </c>
      <c r="DI8" s="16">
        <f t="shared" ref="DI8" si="110">DI6+DI7</f>
        <v>229.83511487188159</v>
      </c>
      <c r="DJ8" s="16">
        <f t="shared" ref="DJ8" si="111">DJ6+DJ7</f>
        <v>137.34284275288215</v>
      </c>
      <c r="DK8" s="16">
        <f t="shared" ref="DK8" si="112">DK6+DK7</f>
        <v>57.230768376767216</v>
      </c>
      <c r="DL8" s="16">
        <f t="shared" ref="DL8" si="113">DL6+DL7</f>
        <v>9.2016408108720071</v>
      </c>
      <c r="DM8" s="11">
        <f t="shared" si="69"/>
        <v>4085.1635233856405</v>
      </c>
      <c r="DN8" s="11">
        <f t="shared" si="34"/>
        <v>141.07619474410092</v>
      </c>
      <c r="DO8" s="11">
        <f t="shared" si="35"/>
        <v>102.12332742563781</v>
      </c>
      <c r="DP8" s="11">
        <f t="shared" si="6"/>
        <v>1787.530513007878</v>
      </c>
      <c r="DQ8" s="11">
        <f t="shared" si="36"/>
        <v>1169.5051110295274</v>
      </c>
      <c r="DR8" s="15">
        <f t="shared" si="37"/>
        <v>0.43756645303795216</v>
      </c>
      <c r="DS8" s="15">
        <f t="shared" si="38"/>
        <v>0.28628110094850806</v>
      </c>
      <c r="DT8" s="11">
        <f t="shared" si="70"/>
        <v>496.74941677490654</v>
      </c>
      <c r="DV8" s="7" t="s">
        <v>402</v>
      </c>
      <c r="DW8" s="209">
        <f>(SUM(BK13:BW13)-SUM(D13:P13))/4</f>
        <v>-116.16666129190773</v>
      </c>
      <c r="DX8" s="30">
        <f>DX7</f>
        <v>2030</v>
      </c>
      <c r="DY8" s="5" t="s">
        <v>23</v>
      </c>
      <c r="DZ8" s="16">
        <f>DZ6+DZ7</f>
        <v>142.67101755279791</v>
      </c>
      <c r="EA8" s="16">
        <f t="shared" ref="EA8:ET8" si="114">EA6+EA7</f>
        <v>95.464986022485334</v>
      </c>
      <c r="EB8" s="16">
        <f t="shared" si="114"/>
        <v>135.3688091762871</v>
      </c>
      <c r="EC8" s="16">
        <f t="shared" si="114"/>
        <v>233.36757045979317</v>
      </c>
      <c r="ED8" s="16">
        <f t="shared" si="114"/>
        <v>101.74252022470222</v>
      </c>
      <c r="EE8" s="16">
        <f t="shared" si="114"/>
        <v>174.41952204860391</v>
      </c>
      <c r="EF8" s="16">
        <f t="shared" si="114"/>
        <v>287.50591957965213</v>
      </c>
      <c r="EG8" s="16">
        <f t="shared" si="114"/>
        <v>339.05961087087911</v>
      </c>
      <c r="EH8" s="16">
        <f t="shared" si="114"/>
        <v>269.29894824087864</v>
      </c>
      <c r="EI8" s="16">
        <f t="shared" si="114"/>
        <v>246.65875640315213</v>
      </c>
      <c r="EJ8" s="16">
        <f t="shared" si="114"/>
        <v>287.77139997691756</v>
      </c>
      <c r="EK8" s="16">
        <f t="shared" si="114"/>
        <v>269.95508576547752</v>
      </c>
      <c r="EL8" s="16">
        <f t="shared" si="114"/>
        <v>262.32954064709872</v>
      </c>
      <c r="EM8" s="16">
        <f t="shared" si="114"/>
        <v>295.1453596804692</v>
      </c>
      <c r="EN8" s="16">
        <f t="shared" si="114"/>
        <v>322.88004229788118</v>
      </c>
      <c r="EO8" s="16">
        <f t="shared" si="114"/>
        <v>391.71402001577212</v>
      </c>
      <c r="EP8" s="16">
        <f t="shared" si="114"/>
        <v>344.18072420135229</v>
      </c>
      <c r="EQ8" s="16">
        <f t="shared" si="114"/>
        <v>229.83511487188159</v>
      </c>
      <c r="ER8" s="16">
        <f t="shared" si="114"/>
        <v>137.34284275288215</v>
      </c>
      <c r="ES8" s="16">
        <f t="shared" si="114"/>
        <v>57.230768376767216</v>
      </c>
      <c r="ET8" s="16">
        <f t="shared" si="114"/>
        <v>9.2016408108720071</v>
      </c>
      <c r="EU8" s="11">
        <f t="shared" si="71"/>
        <v>4633.1441999766039</v>
      </c>
      <c r="EV8" s="11">
        <f t="shared" si="41"/>
        <v>138.50027711926347</v>
      </c>
      <c r="EW8" s="11">
        <f t="shared" si="42"/>
        <v>100.82103776247348</v>
      </c>
      <c r="EX8" s="11">
        <f t="shared" si="10"/>
        <v>1787.530513007878</v>
      </c>
      <c r="EY8" s="11">
        <f t="shared" si="43"/>
        <v>1169.5051110295274</v>
      </c>
      <c r="EZ8" s="15">
        <f t="shared" si="44"/>
        <v>0.38581370142049637</v>
      </c>
      <c r="FA8" s="15">
        <f t="shared" si="45"/>
        <v>0.25242147892470801</v>
      </c>
      <c r="FB8" s="11">
        <f t="shared" si="72"/>
        <v>902.72757272383751</v>
      </c>
    </row>
    <row r="9" spans="1:158" x14ac:dyDescent="0.15">
      <c r="A9" s="7" t="str">
        <f t="shared" si="11"/>
        <v>2015_1</v>
      </c>
      <c r="B9" s="28">
        <v>2015</v>
      </c>
      <c r="C9" s="3" t="s">
        <v>21</v>
      </c>
      <c r="D9" s="9">
        <v>58</v>
      </c>
      <c r="E9" s="9">
        <v>86</v>
      </c>
      <c r="F9" s="9">
        <v>92</v>
      </c>
      <c r="G9" s="9">
        <v>182</v>
      </c>
      <c r="H9" s="9">
        <v>78</v>
      </c>
      <c r="I9" s="9">
        <v>86</v>
      </c>
      <c r="J9" s="9">
        <v>93</v>
      </c>
      <c r="K9" s="9">
        <v>121</v>
      </c>
      <c r="L9" s="9">
        <v>109</v>
      </c>
      <c r="M9" s="9">
        <v>129</v>
      </c>
      <c r="N9" s="9">
        <v>145</v>
      </c>
      <c r="O9" s="9">
        <v>169</v>
      </c>
      <c r="P9" s="9">
        <v>232</v>
      </c>
      <c r="Q9" s="9">
        <v>233</v>
      </c>
      <c r="R9" s="9">
        <v>182</v>
      </c>
      <c r="S9" s="9">
        <v>137</v>
      </c>
      <c r="T9" s="9">
        <v>117</v>
      </c>
      <c r="U9" s="9">
        <v>77</v>
      </c>
      <c r="V9" s="9">
        <v>19</v>
      </c>
      <c r="W9" s="9">
        <v>5</v>
      </c>
      <c r="X9" s="9">
        <v>0</v>
      </c>
      <c r="Y9" s="9">
        <f t="shared" si="68"/>
        <v>2350</v>
      </c>
      <c r="Z9" s="9">
        <f t="shared" si="12"/>
        <v>106.80000000000001</v>
      </c>
      <c r="AA9" s="9">
        <f t="shared" si="13"/>
        <v>73.199999999999989</v>
      </c>
      <c r="AB9" s="9">
        <f t="shared" si="0"/>
        <v>770</v>
      </c>
      <c r="AC9" s="9">
        <f t="shared" si="14"/>
        <v>355</v>
      </c>
      <c r="AD9" s="13">
        <f t="shared" si="15"/>
        <v>0.32765957446808508</v>
      </c>
      <c r="AE9" s="13">
        <f t="shared" si="16"/>
        <v>0.15106382978723404</v>
      </c>
      <c r="AF9" s="9">
        <f t="shared" si="17"/>
        <v>378</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35.458422786182375</v>
      </c>
      <c r="BL9" s="9">
        <f>IF(管理者入力シート!$B$14=1,BK6*管理者用人口入力シート!AM$3,IF(管理者入力シート!$B$14=2,BK6*管理者用人口入力シート!AM$7))</f>
        <v>46.551913674397667</v>
      </c>
      <c r="BM9" s="9">
        <f>IF(管理者入力シート!$B$14=1,BL6*管理者用人口入力シート!AN$3,IF(管理者入力シート!$B$14=2,BL6*管理者用人口入力シート!AN$7))</f>
        <v>60.678483895005826</v>
      </c>
      <c r="BN9" s="9">
        <f>IF(管理者入力シート!$B$14=1,BM6*管理者用人口入力シート!AO$3,IF(管理者入力シート!$B$14=2,BM6*管理者用人口入力シート!AO$7))</f>
        <v>125.7302196351276</v>
      </c>
      <c r="BO9" s="9">
        <f>IF(管理者入力シート!$B$14=1,BN6*管理者用人口入力シート!AP$3,IF(管理者入力シート!$B$14=2,BN6*管理者用人口入力シート!AP$7))</f>
        <v>53.487112179344969</v>
      </c>
      <c r="BP9" s="9">
        <f>IF(管理者入力シート!$B$14=1,BO6*管理者用人口入力シート!AQ$3,IF(管理者入力シート!$B$14=2,BO6*管理者用人口入力シート!AQ$7))</f>
        <v>59.474023254950602</v>
      </c>
      <c r="BQ9" s="9">
        <f>IF(管理者入力シート!$B$14=1,BP6*管理者用人口入力シート!AR$3,IF(管理者入力シート!$B$14=2,BP6*管理者用人口入力シート!AR$7))</f>
        <v>64.602340055103753</v>
      </c>
      <c r="BR9" s="9">
        <f>IF(管理者入力シート!$B$14=1,BQ6*管理者用人口入力シート!AS$3,IF(管理者入力シート!$B$14=2,BQ6*管理者用人口入力シート!AS$7))</f>
        <v>69.094269766327088</v>
      </c>
      <c r="BS9" s="9">
        <f>IF(管理者入力シート!$B$14=1,BR6*管理者用人口入力シート!AT$3,IF(管理者入力シート!$B$14=2,BR6*管理者用人口入力シート!AT$7))</f>
        <v>96.941274872401905</v>
      </c>
      <c r="BT9" s="9">
        <f>IF(管理者入力シート!$B$14=1,BS6*管理者用人口入力シート!AU$3,IF(管理者入力シート!$B$14=2,BS6*管理者用人口入力シート!AU$7))</f>
        <v>98.934282402900351</v>
      </c>
      <c r="BU9" s="9">
        <f>IF(管理者入力シート!$B$14=1,BT6*管理者用人口入力シート!AV$3,IF(管理者入力シート!$B$14=2,BT6*管理者用人口入力シート!AV$7))</f>
        <v>123.42243491194094</v>
      </c>
      <c r="BV9" s="9">
        <f>IF(管理者入力シート!$B$14=1,BU6*管理者用人口入力シート!AW$3,IF(管理者入力シート!$B$14=2,BU6*管理者用人口入力シート!AW$7))</f>
        <v>144.956197372167</v>
      </c>
      <c r="BW9" s="9">
        <f>IF(管理者入力シート!$B$14=1,BV6*管理者用人口入力シート!AX$3,IF(管理者入力シート!$B$14=2,BV6*管理者用人口入力シート!AX$7))</f>
        <v>126.70786180903023</v>
      </c>
      <c r="BX9" s="9">
        <f>IF(管理者入力シート!$B$14=1,BW6*管理者用人口入力シート!AY$3,IF(管理者入力シート!$B$14=2,BW6*管理者用人口入力シート!AY$7))</f>
        <v>130.3384024018024</v>
      </c>
      <c r="BY9" s="9">
        <f>IF(管理者入力シート!$B$14=1,BX6*管理者用人口入力シート!AZ$3,IF(管理者入力シート!$B$14=2,BX6*管理者用人口入力シート!AZ$7))</f>
        <v>132.47156133046272</v>
      </c>
      <c r="BZ9" s="9">
        <f>IF(管理者入力シート!$B$14=1,BY6*管理者用人口入力シート!BA$3,IF(管理者入力シート!$B$14=2,BY6*管理者用人口入力シート!BA$7))</f>
        <v>129.83741278331757</v>
      </c>
      <c r="CA9" s="9">
        <f>IF(管理者入力シート!$B$14=1,BZ6*管理者用人口入力シート!BB$3,IF(管理者入力シート!$B$14=2,BZ6*管理者用人口入力シート!BB$7))</f>
        <v>146.43264246490017</v>
      </c>
      <c r="CB9" s="9">
        <f>IF(管理者入力シート!$B$14=1,CA6*管理者用人口入力シート!BC$3,IF(管理者入力シート!$B$14=2,CA6*管理者用人口入力シート!BC$7))</f>
        <v>105.94886255420236</v>
      </c>
      <c r="CC9" s="9">
        <f>IF(管理者入力シート!$B$14=1,CB6*管理者用人口入力シート!BD$3,IF(管理者入力シート!$B$14=2,CB6*管理者用人口入力シート!BD$7))</f>
        <v>42.883749497407514</v>
      </c>
      <c r="CD9" s="9">
        <f>IF(管理者入力シート!$B$14=1,CC6*管理者用人口入力シート!BE$3,IF(管理者入力シート!$B$14=2,CC6*管理者用人口入力シート!BE$7))</f>
        <v>8.6955825568233998</v>
      </c>
      <c r="CE9" s="9">
        <f>IF(管理者入力シート!$B$14=1,CD6*管理者用人口入力シート!BF$3,IF(管理者入力シート!$B$14=2,CD6*管理者用人口入力シート!BF$7))</f>
        <v>9.5999784037171035E-3</v>
      </c>
      <c r="CF9" s="9">
        <f t="shared" si="2"/>
        <v>1802.6566501822003</v>
      </c>
      <c r="CG9" s="9">
        <f t="shared" si="20"/>
        <v>64.338238541642099</v>
      </c>
      <c r="CH9" s="9">
        <f t="shared" si="21"/>
        <v>49.417437485027847</v>
      </c>
      <c r="CI9" s="9">
        <f t="shared" si="3"/>
        <v>696.6178135673199</v>
      </c>
      <c r="CJ9" s="9">
        <f t="shared" si="22"/>
        <v>433.80784983505481</v>
      </c>
      <c r="CK9" s="13">
        <f t="shared" si="23"/>
        <v>0.38643954382378393</v>
      </c>
      <c r="CL9" s="13">
        <f t="shared" si="24"/>
        <v>0.24064918285531992</v>
      </c>
      <c r="CM9" s="9">
        <f t="shared" si="25"/>
        <v>246.65774525572641</v>
      </c>
      <c r="CO9" s="7" t="str">
        <f t="shared" si="26"/>
        <v>2035_1</v>
      </c>
      <c r="CP9" s="28">
        <f>管理者入力シート!B10</f>
        <v>2035</v>
      </c>
      <c r="CQ9" s="3" t="s">
        <v>21</v>
      </c>
      <c r="CR9" s="9">
        <f>DT10*$AK$13+将来予測シート②!$G17</f>
        <v>37.826135444937982</v>
      </c>
      <c r="CS9" s="9">
        <f>IF(管理者入力シート!$B$14=1,CR6*管理者用人口入力シート!AM$3,IF(管理者入力シート!$B$14=2,CR6*管理者用人口入力シート!AM$7))+将来予測シート②!$G18</f>
        <v>48.660289675578092</v>
      </c>
      <c r="CT9" s="9">
        <f>IF(管理者入力シート!$B$14=1,CS6*管理者用人口入力シート!AN$3,IF(管理者入力シート!$B$14=2,CS6*管理者用人口入力シート!AN$7))+将来予測シート②!$G19</f>
        <v>63.00311304408357</v>
      </c>
      <c r="CU9" s="9">
        <f>IF(管理者入力シート!$B$14=1,CT6*管理者用人口入力シート!AO$3,IF(管理者入力シート!$B$14=2,CT6*管理者用人口入力シート!AO$7))+将来予測シート②!$G20</f>
        <v>127.33745424254259</v>
      </c>
      <c r="CV9" s="9">
        <f>IF(管理者入力シート!$B$14=1,CU6*管理者用人口入力シート!AP$3,IF(管理者入力シート!$B$14=2,CU6*管理者用人口入力シート!AP$7))+将来予測シート②!$G21</f>
        <v>54.065681920503479</v>
      </c>
      <c r="CW9" s="9">
        <f>IF(管理者入力シート!$B$14=1,CV6*管理者用人口入力シート!AQ$3,IF(管理者入力シート!$B$14=2,CV6*管理者用人口入力シート!AQ$7))+将来予測シート②!$G22</f>
        <v>61.474023254950602</v>
      </c>
      <c r="CX9" s="9">
        <f>IF(管理者入力シート!$B$14=1,CW6*管理者用人口入力シート!AR$3,IF(管理者入力シート!$B$14=2,CW6*管理者用人口入力シート!AR$7))+将来予測シート②!$G23</f>
        <v>66.708085238765705</v>
      </c>
      <c r="CY9" s="9">
        <f>IF(管理者入力シート!$B$14=1,CX6*管理者用人口入力シート!AS$3,IF(管理者入力シート!$B$14=2,CX6*管理者用人口入力シート!AS$7))+将来予測シート②!$G24</f>
        <v>71.319013349715803</v>
      </c>
      <c r="CZ9" s="9">
        <f>IF(管理者入力シート!$B$14=1,CY6*管理者用人口入力シート!AT$3,IF(管理者入力シート!$B$14=2,CY6*管理者用人口入力シート!AT$7))+将来予測シート②!$G25</f>
        <v>96.941274872401905</v>
      </c>
      <c r="DA9" s="9">
        <f>IF(管理者入力シート!$B$14=1,CZ6*管理者用人口入力シート!AU$3,IF(管理者入力シート!$B$14=2,CZ6*管理者用人口入力シート!AU$7))+将来予測シート②!$G26</f>
        <v>98.934282402900351</v>
      </c>
      <c r="DB9" s="9">
        <f>IF(管理者入力シート!$B$14=1,DA6*管理者用人口入力シート!AV$3,IF(管理者入力シート!$B$14=2,DA6*管理者用人口入力シート!AV$7))+将来予測シート②!$G27</f>
        <v>123.42243491194094</v>
      </c>
      <c r="DC9" s="9">
        <f>IF(管理者入力シート!$B$14=1,DB6*管理者用人口入力シート!AW$3,IF(管理者入力シート!$B$14=2,DB6*管理者用人口入力シート!AW$7))+将来予測シート②!$G28</f>
        <v>144.956197372167</v>
      </c>
      <c r="DD9" s="9">
        <f>IF(管理者入力シート!$B$14=1,DC6*管理者用人口入力シート!AX$3,IF(管理者入力シート!$B$14=2,DC6*管理者用人口入力シート!AX$7))+将来予測シート②!$G29</f>
        <v>126.70786180903023</v>
      </c>
      <c r="DE9" s="9">
        <f>IF(管理者入力シート!$B$14=1,DD6*管理者用人口入力シート!AY$3,IF(管理者入力シート!$B$14=2,DD6*管理者用人口入力シート!AY$7))</f>
        <v>130.3384024018024</v>
      </c>
      <c r="DF9" s="9">
        <f>IF(管理者入力シート!$B$14=1,DE6*管理者用人口入力シート!AZ$3,IF(管理者入力シート!$B$14=2,DE6*管理者用人口入力シート!AZ$7))</f>
        <v>132.47156133046272</v>
      </c>
      <c r="DG9" s="9">
        <f>IF(管理者入力シート!$B$14=1,DF6*管理者用人口入力シート!BA$3,IF(管理者入力シート!$B$14=2,DF6*管理者用人口入力シート!BA$7))</f>
        <v>129.83741278331757</v>
      </c>
      <c r="DH9" s="9">
        <f>IF(管理者入力シート!$B$14=1,DG6*管理者用人口入力シート!BB$3,IF(管理者入力シート!$B$14=2,DG6*管理者用人口入力シート!BB$7))</f>
        <v>146.43264246490017</v>
      </c>
      <c r="DI9" s="9">
        <f>IF(管理者入力シート!$B$14=1,DH6*管理者用人口入力シート!BC$3,IF(管理者入力シート!$B$14=2,DH6*管理者用人口入力シート!BC$7))</f>
        <v>105.94886255420236</v>
      </c>
      <c r="DJ9" s="9">
        <f>IF(管理者入力シート!$B$14=1,DI6*管理者用人口入力シート!BD$3,IF(管理者入力シート!$B$14=2,DI6*管理者用人口入力シート!BD$7))</f>
        <v>42.883749497407514</v>
      </c>
      <c r="DK9" s="9">
        <f>IF(管理者入力シート!$B$14=1,DJ6*管理者用人口入力シート!BE$3,IF(管理者入力シート!$B$14=2,DJ6*管理者用人口入力シート!BE$7))</f>
        <v>8.6955825568233998</v>
      </c>
      <c r="DL9" s="9">
        <f>IF(管理者入力シート!$B$14=1,DK6*管理者用人口入力シート!BF$3,IF(管理者入力シート!$B$14=2,DK6*管理者用人口入力シート!BF$7))</f>
        <v>9.5999784037171035E-3</v>
      </c>
      <c r="DM9" s="9">
        <f t="shared" si="69"/>
        <v>1817.9736611068383</v>
      </c>
      <c r="DN9" s="9">
        <f t="shared" si="34"/>
        <v>66.998041631796994</v>
      </c>
      <c r="DO9" s="9">
        <f t="shared" si="35"/>
        <v>50.668736066141946</v>
      </c>
      <c r="DP9" s="9">
        <f t="shared" si="6"/>
        <v>696.6178135673199</v>
      </c>
      <c r="DQ9" s="9">
        <f t="shared" si="36"/>
        <v>433.80784983505481</v>
      </c>
      <c r="DR9" s="13">
        <f t="shared" si="37"/>
        <v>0.38318366677721694</v>
      </c>
      <c r="DS9" s="13">
        <f t="shared" si="38"/>
        <v>0.23862163633929614</v>
      </c>
      <c r="DT9" s="9">
        <f t="shared" si="70"/>
        <v>253.56680376393558</v>
      </c>
      <c r="DV9" s="7" t="s">
        <v>403</v>
      </c>
      <c r="DW9" s="209">
        <f>DW7+DW8</f>
        <v>-222.95121976358391</v>
      </c>
      <c r="DX9" s="28">
        <f>管理者入力シート!B10</f>
        <v>2035</v>
      </c>
      <c r="DY9" s="3" t="s">
        <v>21</v>
      </c>
      <c r="DZ9" s="9">
        <f>FB10*$AK$13</f>
        <v>83.998141824023165</v>
      </c>
      <c r="EA9" s="129">
        <f>IF(管理者入力シート!$B$14=1,DZ6*管理者用人口入力シート!AM$3,IF(管理者入力シート!$B$14=2,DZ6*管理者用人口入力シート!AM$7))</f>
        <v>92.550040059597691</v>
      </c>
      <c r="EB9" s="9">
        <f>IF(管理者入力シート!$B$14=1,EA6*管理者用人口入力シート!AN$3,IF(管理者入力シート!$B$14=2,EA6*管理者用人口入力シート!AN$7))</f>
        <v>60.678483895005826</v>
      </c>
      <c r="EC9" s="9">
        <f>IF(管理者入力シート!$B$14=1,EB6*管理者用人口入力シート!AO$3,IF(管理者入力シート!$B$14=2,EB6*管理者用人口入力シート!AO$7))</f>
        <v>125.7302196351276</v>
      </c>
      <c r="ED9" s="9">
        <f>IF(管理者入力シート!$B$14=1,EC6*管理者用人口入力シート!AP$3,IF(管理者入力シート!$B$14=2,EC6*管理者用人口入力シート!AP$7))</f>
        <v>53.487112179344969</v>
      </c>
      <c r="EE9" s="9">
        <f>IF(管理者入力シート!$B$14=1,ED6*管理者用人口入力シート!AQ$3,IF(管理者入力シート!$B$14=2,ED6*管理者用人口入力シート!AQ$7))+DX1</f>
        <v>99.474023254950595</v>
      </c>
      <c r="EF9" s="9">
        <f>IF(管理者入力シート!$B$14=1,EE6*管理者用人口入力シート!AR$3,IF(管理者入力シート!$B$14=2,EE6*管理者用人口入力シート!AR$7))+DX1</f>
        <v>146.71724372834262</v>
      </c>
      <c r="EG9" s="9">
        <f>IF(管理者入力シート!$B$14=1,EF6*管理者用人口入力シート!AS$3,IF(管理者入力シート!$B$14=2,EF6*管理者用人口入力シート!AS$7))+DX1</f>
        <v>195.84959347074997</v>
      </c>
      <c r="EH9" s="9">
        <f>IF(管理者入力シート!$B$14=1,EG6*管理者用人口入力シート!AT$3,IF(管理者入力シート!$B$14=2,EG6*管理者用人口入力シート!AT$7))</f>
        <v>182.18184510782044</v>
      </c>
      <c r="EI9" s="9">
        <f>IF(管理者入力シート!$B$14=1,EH6*管理者用人口入力シート!AU$3,IF(管理者入力シート!$B$14=2,EH6*管理者用人口入力シート!AU$7))</f>
        <v>142.95807124864839</v>
      </c>
      <c r="EJ9" s="9">
        <f>IF(管理者入力シート!$B$14=1,EI6*管理者用人口入力シート!AV$3,IF(管理者入力シート!$B$14=2,EI6*管理者用人口入力シート!AV$7))</f>
        <v>123.42243491194094</v>
      </c>
      <c r="EK9" s="9">
        <f>IF(管理者入力シート!$B$14=1,EJ6*管理者用人口入力シート!AW$3,IF(管理者入力シート!$B$14=2,EJ6*管理者用人口入力シート!AW$7))</f>
        <v>144.956197372167</v>
      </c>
      <c r="EL9" s="9">
        <f>IF(管理者入力シート!$B$14=1,EK6*管理者用人口入力シート!AX$3,IF(管理者入力シート!$B$14=2,EK6*管理者用人口入力シート!AX$7))</f>
        <v>126.70786180903023</v>
      </c>
      <c r="EM9" s="9">
        <f>IF(管理者入力シート!$B$14=1,EL6*管理者用人口入力シート!AY$3,IF(管理者入力シート!$B$14=2,EL6*管理者用人口入力シート!AY$7))</f>
        <v>130.3384024018024</v>
      </c>
      <c r="EN9" s="9">
        <f>IF(管理者入力シート!$B$14=1,EM6*管理者用人口入力シート!AZ$3,IF(管理者入力シート!$B$14=2,EM6*管理者用人口入力シート!AZ$7))</f>
        <v>132.47156133046272</v>
      </c>
      <c r="EO9" s="9">
        <f>IF(管理者入力シート!$B$14=1,EN6*管理者用人口入力シート!BA$3,IF(管理者入力シート!$B$14=2,EN6*管理者用人口入力シート!BA$7))</f>
        <v>129.83741278331757</v>
      </c>
      <c r="EP9" s="9">
        <f>IF(管理者入力シート!$B$14=1,EO6*管理者用人口入力シート!BB$3,IF(管理者入力シート!$B$14=2,EO6*管理者用人口入力シート!BB$7))</f>
        <v>146.43264246490017</v>
      </c>
      <c r="EQ9" s="9">
        <f>IF(管理者入力シート!$B$14=1,EP6*管理者用人口入力シート!BC$3,IF(管理者入力シート!$B$14=2,EP6*管理者用人口入力シート!BC$7))</f>
        <v>105.94886255420236</v>
      </c>
      <c r="ER9" s="9">
        <f>IF(管理者入力シート!$B$14=1,EQ6*管理者用人口入力シート!BD$3,IF(管理者入力シート!$B$14=2,EQ6*管理者用人口入力シート!BD$7))</f>
        <v>42.883749497407514</v>
      </c>
      <c r="ES9" s="9">
        <f>IF(管理者入力シート!$B$14=1,ER6*管理者用人口入力シート!BE$3,IF(管理者入力シート!$B$14=2,ER6*管理者用人口入力シート!BE$7))</f>
        <v>8.6955825568233998</v>
      </c>
      <c r="ET9" s="9">
        <f>IF(管理者入力シート!$B$14=1,ES6*管理者用人口入力シート!BF$3,IF(管理者入力シート!$B$14=2,ES6*管理者用人口入力シート!BF$7))</f>
        <v>9.5999784037171035E-3</v>
      </c>
      <c r="EU9" s="9">
        <f t="shared" si="71"/>
        <v>2275.3290820640691</v>
      </c>
      <c r="EV9" s="9">
        <f t="shared" si="41"/>
        <v>91.93711437276211</v>
      </c>
      <c r="EW9" s="9">
        <f t="shared" si="42"/>
        <v>49.417437485027847</v>
      </c>
      <c r="EX9" s="9">
        <f t="shared" si="10"/>
        <v>696.6178135673199</v>
      </c>
      <c r="EY9" s="9">
        <f t="shared" si="43"/>
        <v>433.80784983505481</v>
      </c>
      <c r="EZ9" s="13">
        <f t="shared" si="44"/>
        <v>0.30616134565263931</v>
      </c>
      <c r="FA9" s="13">
        <f t="shared" si="45"/>
        <v>0.19065719031794962</v>
      </c>
      <c r="FB9" s="9">
        <f t="shared" si="72"/>
        <v>495.52797263338812</v>
      </c>
    </row>
    <row r="10" spans="1:158" x14ac:dyDescent="0.15">
      <c r="A10" s="7" t="str">
        <f t="shared" si="11"/>
        <v>2015_2</v>
      </c>
      <c r="B10" s="29">
        <v>2015</v>
      </c>
      <c r="C10" s="4" t="s">
        <v>22</v>
      </c>
      <c r="D10" s="10">
        <v>76.077753779697616</v>
      </c>
      <c r="E10" s="10">
        <v>69.06479481641469</v>
      </c>
      <c r="F10" s="10">
        <v>67.073434125269983</v>
      </c>
      <c r="G10" s="10">
        <v>100.1036717062635</v>
      </c>
      <c r="H10" s="10">
        <v>73.069114470842337</v>
      </c>
      <c r="I10" s="10">
        <v>66.073434125269983</v>
      </c>
      <c r="J10" s="10">
        <v>101.11663066954644</v>
      </c>
      <c r="K10" s="10">
        <v>112.12095032397409</v>
      </c>
      <c r="L10" s="10">
        <v>122.11231101511879</v>
      </c>
      <c r="M10" s="10">
        <v>113.0561555075594</v>
      </c>
      <c r="N10" s="10">
        <v>154.17278617710582</v>
      </c>
      <c r="O10" s="10">
        <v>181.1036717062635</v>
      </c>
      <c r="P10" s="10">
        <v>228.19438444924407</v>
      </c>
      <c r="Q10" s="10">
        <v>220.21598272138229</v>
      </c>
      <c r="R10" s="10">
        <v>162.13822894168467</v>
      </c>
      <c r="S10" s="10">
        <v>182.09935205183587</v>
      </c>
      <c r="T10" s="10">
        <v>183.0950323974082</v>
      </c>
      <c r="U10" s="10">
        <v>147.07775377969762</v>
      </c>
      <c r="V10" s="10">
        <v>84.030237580993514</v>
      </c>
      <c r="W10" s="10">
        <v>34.004319654427647</v>
      </c>
      <c r="X10" s="10">
        <v>5</v>
      </c>
      <c r="Y10" s="10">
        <f t="shared" si="68"/>
        <v>2480.9999999999995</v>
      </c>
      <c r="Z10" s="10">
        <f t="shared" si="12"/>
        <v>81.682937365010801</v>
      </c>
      <c r="AA10" s="10">
        <f t="shared" si="13"/>
        <v>46.850107991360687</v>
      </c>
      <c r="AB10" s="10">
        <f t="shared" si="0"/>
        <v>1017.6609071274298</v>
      </c>
      <c r="AC10" s="10">
        <f t="shared" si="14"/>
        <v>635.30669546436286</v>
      </c>
      <c r="AD10" s="14">
        <f t="shared" si="15"/>
        <v>0.41018174410617897</v>
      </c>
      <c r="AE10" s="14">
        <f t="shared" si="16"/>
        <v>0.25606880107390689</v>
      </c>
      <c r="AF10" s="10">
        <f t="shared" si="17"/>
        <v>352.38012958963282</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28.820038723534509</v>
      </c>
      <c r="BL10" s="10">
        <f>IF(管理者入力シート!$B$14=1,BK7*管理者用人口入力シート!AM$4,IF(管理者入力シート!$B$14=2,BK7*管理者用人口入力シート!AM$8))</f>
        <v>35.948158205983141</v>
      </c>
      <c r="BM10" s="10">
        <f>IF(管理者入力シート!$B$14=1,BL7*管理者用人口入力シート!AN$4,IF(管理者入力シート!$B$14=2,BL7*管理者用人口入力シート!AN$8))</f>
        <v>44.322394082298516</v>
      </c>
      <c r="BN10" s="10">
        <f>IF(管理者入力シート!$B$14=1,BM7*管理者用人口入力シート!AO$4,IF(管理者入力シート!$B$14=2,BM7*管理者用人口入力シート!AO$8))</f>
        <v>51.66780070811722</v>
      </c>
      <c r="BO10" s="10">
        <f>IF(管理者入力シート!$B$14=1,BN7*管理者用人口入力シート!AP$4,IF(管理者入力シート!$B$14=2,BN7*管理者用人口入力シート!AP$8))</f>
        <v>52.142703276575645</v>
      </c>
      <c r="BP10" s="10">
        <f>IF(管理者入力シート!$B$14=1,BO7*管理者用人口入力シート!AQ$4,IF(管理者入力シート!$B$14=2,BO7*管理者用人口入力シート!AQ$8))</f>
        <v>39.384848828887336</v>
      </c>
      <c r="BQ10" s="10">
        <f>IF(管理者入力シート!$B$14=1,BP7*管理者用人口入力シート!AR$4,IF(管理者入力シート!$B$14=2,BP7*管理者用人口入力シート!AR$8))</f>
        <v>37.29667800995626</v>
      </c>
      <c r="BR10" s="10">
        <f>IF(管理者入力シート!$B$14=1,BQ7*管理者用人口入力シート!AS$4,IF(管理者入力シート!$B$14=2,BQ7*管理者用人口入力シート!AS$8))</f>
        <v>61.5081089545899</v>
      </c>
      <c r="BS10" s="10">
        <f>IF(管理者入力シート!$B$14=1,BR7*管理者用人口入力シート!AT$4,IF(管理者入力シート!$B$14=2,BR7*管理者用人口入力シート!AT$8))</f>
        <v>82.152127555518973</v>
      </c>
      <c r="BT10" s="10">
        <f>IF(管理者入力シート!$B$14=1,BS7*管理者用人口入力シート!AU$4,IF(管理者入力シート!$B$14=2,BS7*管理者用人口入力シート!AU$8))</f>
        <v>95.024974815379338</v>
      </c>
      <c r="BU10" s="10">
        <f>IF(管理者入力シート!$B$14=1,BT7*管理者用人口入力シート!AV$4,IF(管理者入力シート!$B$14=2,BT7*管理者用人口入力シート!AV$8))</f>
        <v>141.80337501653321</v>
      </c>
      <c r="BV10" s="10">
        <f>IF(管理者入力シート!$B$14=1,BU7*管理者用人口入力シート!AW$4,IF(管理者入力シート!$B$14=2,BU7*管理者用人口入力シート!AW$8))</f>
        <v>146.11306413281537</v>
      </c>
      <c r="BW10" s="10">
        <f>IF(管理者入力シート!$B$14=1,BV7*管理者用人口入力シート!AX$4,IF(管理者入力シート!$B$14=2,BV7*管理者用人口入力シート!AX$8))</f>
        <v>146.75717809828188</v>
      </c>
      <c r="BX10" s="10">
        <f>IF(管理者入力シート!$B$14=1,BW7*管理者用人口入力シート!AY$4,IF(管理者入力シート!$B$14=2,BW7*管理者用人口入力シート!AY$8))</f>
        <v>125.01454606582321</v>
      </c>
      <c r="BY10" s="10">
        <f>IF(管理者入力シート!$B$14=1,BX7*管理者用人口入力シート!AZ$4,IF(管理者入力シート!$B$14=2,BX7*管理者用人口入力シート!AZ$8))</f>
        <v>148.56784585829135</v>
      </c>
      <c r="BZ10" s="10">
        <f>IF(管理者入力シート!$B$14=1,BY7*管理者用人口入力シート!BA$4,IF(管理者入力シート!$B$14=2,BY7*管理者用人口入力シート!BA$8))</f>
        <v>166.53586930748594</v>
      </c>
      <c r="CA10" s="10">
        <f>IF(管理者入力シート!$B$14=1,BZ7*管理者用人口入力シート!BB$4,IF(管理者入力シート!$B$14=2,BZ7*管理者用人口入力シート!BB$8))</f>
        <v>202.86959025697203</v>
      </c>
      <c r="CB10" s="10">
        <f>IF(管理者入力シート!$B$14=1,CA7*管理者用人口入力シート!BC$4,IF(管理者入力シート!$B$14=2,CA7*管理者用人口入力シート!BC$8))</f>
        <v>170.72590607271161</v>
      </c>
      <c r="CC10" s="10">
        <f>IF(管理者入力シート!$B$14=1,CB7*管理者用人口入力シート!BD$4,IF(管理者入力シート!$B$14=2,CB7*管理者用人口入力シート!BD$8))</f>
        <v>90.628148723009758</v>
      </c>
      <c r="CD10" s="10">
        <f>IF(管理者入力シート!$B$14=1,CC7*管理者用人口入力シート!BE$4,IF(管理者入力シート!$B$14=2,CC7*管理者用人口入力シート!BE$8))</f>
        <v>43.869763961335785</v>
      </c>
      <c r="CE10" s="10">
        <f>IF(管理者入力シート!$B$14=1,CD7*管理者用人口入力シート!BF$4,IF(管理者入力シート!$B$14=2,CD7*管理者用人口入力シート!BF$8))</f>
        <v>9.3694466643572447</v>
      </c>
      <c r="CF10" s="10">
        <f t="shared" si="2"/>
        <v>1920.5225673184582</v>
      </c>
      <c r="CG10" s="10">
        <f t="shared" si="20"/>
        <v>48.162331372969</v>
      </c>
      <c r="CH10" s="10">
        <f t="shared" si="21"/>
        <v>28.062517774542851</v>
      </c>
      <c r="CI10" s="10">
        <f t="shared" si="3"/>
        <v>957.58111690998703</v>
      </c>
      <c r="CJ10" s="10">
        <f t="shared" si="22"/>
        <v>683.9987249858724</v>
      </c>
      <c r="CK10" s="14">
        <f t="shared" si="23"/>
        <v>0.49860445964298966</v>
      </c>
      <c r="CL10" s="14">
        <f t="shared" si="24"/>
        <v>0.35615240176058433</v>
      </c>
      <c r="CM10" s="10">
        <f t="shared" si="25"/>
        <v>190.33233907000914</v>
      </c>
      <c r="CO10" s="7" t="str">
        <f t="shared" si="26"/>
        <v>2035_2</v>
      </c>
      <c r="CP10" s="29">
        <f>CP9</f>
        <v>2035</v>
      </c>
      <c r="CQ10" s="4" t="s">
        <v>22</v>
      </c>
      <c r="CR10" s="10">
        <f>DT10*$AK$14+将来予測シート②!$H17</f>
        <v>30.931693689850867</v>
      </c>
      <c r="CS10" s="10">
        <f>IF(管理者入力シート!$B$14=1,CR7*管理者用人口入力シート!AM$4,IF(管理者入力シート!$B$14=2,CR7*管理者用人口入力シート!AM$8))+将来予測シート②!$H18</f>
        <v>37.785448369289924</v>
      </c>
      <c r="CT10" s="10">
        <f>IF(管理者入力シート!$B$14=1,CS7*管理者用人口入力シート!AN$4,IF(管理者入力シート!$B$14=2,CS7*管理者用人口入力シート!AN$8))+将来予測シート②!$H19</f>
        <v>46.512834466850137</v>
      </c>
      <c r="CU10" s="10">
        <f>IF(管理者入力シート!$B$14=1,CT7*管理者用人口入力シート!AO$4,IF(管理者入力シート!$B$14=2,CT7*管理者用人口入力シート!AO$8))+将来予測シート②!$H20</f>
        <v>52.572014416523857</v>
      </c>
      <c r="CV10" s="10">
        <f>IF(管理者入力シート!$B$14=1,CU7*管理者用人口入力シート!AP$4,IF(管理者入力シート!$B$14=2,CU7*管理者用人口入力シート!AP$8))+将来予測シート②!$H21</f>
        <v>52.698804807397231</v>
      </c>
      <c r="CW10" s="10">
        <f>IF(管理者入力シート!$B$14=1,CV7*管理者用人口入力シート!AQ$4,IF(管理者入力シート!$B$14=2,CV7*管理者用人口入力シート!AQ$8))+将来予測シート②!$H22</f>
        <v>41.384848828887336</v>
      </c>
      <c r="CX10" s="10">
        <f>IF(管理者入力シート!$B$14=1,CW7*管理者用人口入力シート!AR$4,IF(管理者入力シート!$B$14=2,CW7*管理者用人口入力シート!AR$8))+将来予測シート②!$H23</f>
        <v>39.552888394781796</v>
      </c>
      <c r="CY10" s="10">
        <f>IF(管理者入力シート!$B$14=1,CX7*管理者用人口入力シート!AS$4,IF(管理者入力シート!$B$14=2,CX7*管理者用人口入力シート!AS$8))+将来予測シート②!$H24</f>
        <v>64.037351712323726</v>
      </c>
      <c r="CZ10" s="10">
        <f>IF(管理者入力シート!$B$14=1,CY7*管理者用人口入力シート!AT$4,IF(管理者入力シート!$B$14=2,CY7*管理者用人口入力シート!AT$8))+将来予測シート②!$H25</f>
        <v>83.152127555518973</v>
      </c>
      <c r="DA10" s="10">
        <f>IF(管理者入力シート!$B$14=1,CZ7*管理者用人口入力シート!AU$4,IF(管理者入力シート!$B$14=2,CZ7*管理者用人口入力シート!AU$8))+将来予測シート②!$H26</f>
        <v>96.049053070038454</v>
      </c>
      <c r="DB10" s="10">
        <f>IF(管理者入力シート!$B$14=1,DA7*管理者用人口入力シート!AV$4,IF(管理者入力シート!$B$14=2,DA7*管理者用人口入力シート!AV$8))+将来予測シート②!$H27</f>
        <v>142.94066967618124</v>
      </c>
      <c r="DC10" s="10">
        <f>IF(管理者入力シート!$B$14=1,DB7*管理者用人口入力シート!AW$4,IF(管理者入力シート!$B$14=2,DB7*管理者用人口入力シート!AW$8))+将来予測シート②!$H28</f>
        <v>146.11306413281537</v>
      </c>
      <c r="DD10" s="10">
        <f>IF(管理者入力シート!$B$14=1,DC7*管理者用人口入力シート!AX$4,IF(管理者入力シート!$B$14=2,DC7*管理者用人口入力シート!AX$8))+将来予測シート②!$H29</f>
        <v>146.75717809828188</v>
      </c>
      <c r="DE10" s="10">
        <f>IF(管理者入力シート!$B$14=1,DD7*管理者用人口入力シート!AY$4,IF(管理者入力シート!$B$14=2,DD7*管理者用人口入力シート!AY$8))</f>
        <v>125.01454606582321</v>
      </c>
      <c r="DF10" s="10">
        <f>IF(管理者入力シート!$B$14=1,DE7*管理者用人口入力シート!AZ$4,IF(管理者入力シート!$B$14=2,DE7*管理者用人口入力シート!AZ$8))</f>
        <v>148.56784585829135</v>
      </c>
      <c r="DG10" s="10">
        <f>IF(管理者入力シート!$B$14=1,DF7*管理者用人口入力シート!BA$4,IF(管理者入力シート!$B$14=2,DF7*管理者用人口入力シート!BA$8))</f>
        <v>166.53586930748594</v>
      </c>
      <c r="DH10" s="10">
        <f>IF(管理者入力シート!$B$14=1,DG7*管理者用人口入力シート!BB$4,IF(管理者入力シート!$B$14=2,DG7*管理者用人口入力シート!BB$8))</f>
        <v>202.86959025697203</v>
      </c>
      <c r="DI10" s="10">
        <f>IF(管理者入力シート!$B$14=1,DH7*管理者用人口入力シート!BC$4,IF(管理者入力シート!$B$14=2,DH7*管理者用人口入力シート!BC$8))</f>
        <v>170.72590607271161</v>
      </c>
      <c r="DJ10" s="10">
        <f>IF(管理者入力シート!$B$14=1,DI7*管理者用人口入力シート!BD$4,IF(管理者入力シート!$B$14=2,DI7*管理者用人口入力シート!BD$8))</f>
        <v>90.628148723009758</v>
      </c>
      <c r="DK10" s="10">
        <f>IF(管理者入力シート!$B$14=1,DJ7*管理者用人口入力シート!BE$4,IF(管理者入力シート!$B$14=2,DJ7*管理者用人口入力シート!BE$8))</f>
        <v>43.869763961335785</v>
      </c>
      <c r="DL10" s="10">
        <f>IF(管理者入力シート!$B$14=1,DK7*管理者用人口入力シート!BF$4,IF(管理者入力シート!$B$14=2,DK7*管理者用人口入力シート!BF$8))</f>
        <v>9.3694466643572447</v>
      </c>
      <c r="DM10" s="10">
        <f t="shared" si="69"/>
        <v>1938.069094128728</v>
      </c>
      <c r="DN10" s="10">
        <f t="shared" si="34"/>
        <v>50.578969701684038</v>
      </c>
      <c r="DO10" s="10">
        <f t="shared" si="35"/>
        <v>29.119536670044827</v>
      </c>
      <c r="DP10" s="10">
        <f t="shared" si="6"/>
        <v>957.58111690998703</v>
      </c>
      <c r="DQ10" s="10">
        <f t="shared" si="36"/>
        <v>683.9987249858724</v>
      </c>
      <c r="DR10" s="14">
        <f t="shared" si="37"/>
        <v>0.49409028801446009</v>
      </c>
      <c r="DS10" s="14">
        <f t="shared" si="38"/>
        <v>0.35292793588113464</v>
      </c>
      <c r="DT10" s="10">
        <f t="shared" si="70"/>
        <v>197.6738937433901</v>
      </c>
      <c r="DV10" s="62" t="s">
        <v>405</v>
      </c>
      <c r="DW10" s="209">
        <f>((SUM(BL12:BL13)*3/5+SUM(BM12:BM13)+SUM(BN12:BN13)*1/5)-(SUM(E12:E13)*3/5+SUM(F12:F13)+SUM(G12:G13)*1/5))/4</f>
        <v>-40.744889333806746</v>
      </c>
      <c r="DX10" s="29">
        <f>DX9</f>
        <v>2035</v>
      </c>
      <c r="DY10" s="4" t="s">
        <v>22</v>
      </c>
      <c r="DZ10" s="10">
        <f>FB10*$AK$14</f>
        <v>68.272345746203143</v>
      </c>
      <c r="EA10" s="10">
        <f>IF(管理者入力シート!$B$14=1,DZ7*管理者用人口入力シート!AM$4,IF(管理者入力シート!$B$14=2,DZ7*管理者用人口入力シート!AM$8))</f>
        <v>71.468672701682308</v>
      </c>
      <c r="EB10" s="10">
        <f>IF(管理者入力シート!$B$14=1,EA7*管理者用人口入力シート!AN$4,IF(管理者入力シート!$B$14=2,EA7*管理者用人口入力シート!AN$8))</f>
        <v>44.322394082298516</v>
      </c>
      <c r="EC10" s="10">
        <f>IF(管理者入力シート!$B$14=1,EB7*管理者用人口入力シート!AO$4,IF(管理者入力シート!$B$14=2,EB7*管理者用人口入力シート!AO$8))</f>
        <v>51.66780070811722</v>
      </c>
      <c r="ED10" s="10">
        <f>IF(管理者入力シート!$B$14=1,EC7*管理者用人口入力シート!AP$4,IF(管理者入力シート!$B$14=2,EC7*管理者用人口入力シート!AP$8))</f>
        <v>52.142703276575645</v>
      </c>
      <c r="EE10" s="10">
        <f>IF(管理者入力シート!$B$14=1,ED7*管理者用人口入力シート!AQ$4,IF(管理者入力シート!$B$14=2,ED7*管理者用人口入力シート!AQ$8))+DX1</f>
        <v>79.384848828887328</v>
      </c>
      <c r="EF10" s="10">
        <f>IF(管理者入力シート!$B$14=1,EE7*管理者用人口入力シート!AR$4,IF(管理者入力シート!$B$14=2,EE7*管理者用人口入力シート!AR$8))+DX1</f>
        <v>122.42088570646693</v>
      </c>
      <c r="EG10" s="10">
        <f>IF(管理者入力シート!$B$14=1,EF7*管理者用人口入力シート!AS$4,IF(管理者入力シート!$B$14=2,EF7*管理者用人口入力シート!AS$8))+DX1</f>
        <v>196.93351222028667</v>
      </c>
      <c r="EH10" s="10">
        <f>IF(管理者入力シート!$B$14=1,EG7*管理者用人口入力シート!AT$4,IF(管理者入力シート!$B$14=2,EG7*管理者用人口入力シート!AT$8))</f>
        <v>171.0456410323784</v>
      </c>
      <c r="EI10" s="10">
        <f>IF(管理者入力シート!$B$14=1,EH7*管理者用人口入力シート!AU$4,IF(管理者入力シート!$B$14=2,EH7*管理者用人口入力シート!AU$8))</f>
        <v>137.94497764835225</v>
      </c>
      <c r="EJ10" s="10">
        <f>IF(管理者入力シート!$B$14=1,EI7*管理者用人口入力シート!AV$4,IF(管理者入力シート!$B$14=2,EI7*管理者用人口入力シート!AV$8))</f>
        <v>141.80337501653321</v>
      </c>
      <c r="EK10" s="10">
        <f>IF(管理者入力シート!$B$14=1,EJ7*管理者用人口入力シート!AW$4,IF(管理者入力シート!$B$14=2,EJ7*管理者用人口入力シート!AW$8))</f>
        <v>146.11306413281537</v>
      </c>
      <c r="EL10" s="10">
        <f>IF(管理者入力シート!$B$14=1,EK7*管理者用人口入力シート!AX$4,IF(管理者入力シート!$B$14=2,EK7*管理者用人口入力シート!AX$8))</f>
        <v>146.75717809828188</v>
      </c>
      <c r="EM10" s="10">
        <f>IF(管理者入力シート!$B$14=1,EL7*管理者用人口入力シート!AY$4,IF(管理者入力シート!$B$14=2,EL7*管理者用人口入力シート!AY$8))</f>
        <v>125.01454606582321</v>
      </c>
      <c r="EN10" s="10">
        <f>IF(管理者入力シート!$B$14=1,EM7*管理者用人口入力シート!AZ$4,IF(管理者入力シート!$B$14=2,EM7*管理者用人口入力シート!AZ$8))</f>
        <v>148.56784585829135</v>
      </c>
      <c r="EO10" s="10">
        <f>IF(管理者入力シート!$B$14=1,EN7*管理者用人口入力シート!BA$4,IF(管理者入力シート!$B$14=2,EN7*管理者用人口入力シート!BA$8))</f>
        <v>166.53586930748594</v>
      </c>
      <c r="EP10" s="10">
        <f>IF(管理者入力シート!$B$14=1,EO7*管理者用人口入力シート!BB$4,IF(管理者入力シート!$B$14=2,EO7*管理者用人口入力シート!BB$8))</f>
        <v>202.86959025697203</v>
      </c>
      <c r="EQ10" s="10">
        <f>IF(管理者入力シート!$B$14=1,EP7*管理者用人口入力シート!BC$4,IF(管理者入力シート!$B$14=2,EP7*管理者用人口入力シート!BC$8))</f>
        <v>170.72590607271161</v>
      </c>
      <c r="ER10" s="10">
        <f>IF(管理者入力シート!$B$14=1,EQ7*管理者用人口入力シート!BD$4,IF(管理者入力シート!$B$14=2,EQ7*管理者用人口入力シート!BD$8))</f>
        <v>90.628148723009758</v>
      </c>
      <c r="ES10" s="10">
        <f>IF(管理者入力シート!$B$14=1,ER7*管理者用人口入力シート!BE$4,IF(管理者入力シート!$B$14=2,ER7*管理者用人口入力シート!BE$8))</f>
        <v>43.869763961335785</v>
      </c>
      <c r="ET10" s="10">
        <f>IF(管理者入力シート!$B$14=1,ES7*管理者用人口入力シート!BF$4,IF(管理者入力シート!$B$14=2,ES7*管理者用人口入力シート!BF$8))</f>
        <v>9.3694466643572447</v>
      </c>
      <c r="EU10" s="10">
        <f t="shared" si="71"/>
        <v>2387.8585161088658</v>
      </c>
      <c r="EV10" s="10">
        <f t="shared" si="41"/>
        <v>69.474640070388503</v>
      </c>
      <c r="EW10" s="10">
        <f t="shared" si="42"/>
        <v>28.062517774542851</v>
      </c>
      <c r="EX10" s="10">
        <f t="shared" si="10"/>
        <v>957.58111690998703</v>
      </c>
      <c r="EY10" s="10">
        <f t="shared" si="43"/>
        <v>683.9987249858724</v>
      </c>
      <c r="EZ10" s="14">
        <f t="shared" si="44"/>
        <v>0.40102087726303526</v>
      </c>
      <c r="FA10" s="14">
        <f t="shared" si="45"/>
        <v>0.28644859834513242</v>
      </c>
      <c r="FB10" s="10">
        <f t="shared" si="72"/>
        <v>450.88195003221659</v>
      </c>
    </row>
    <row r="11" spans="1:158" x14ac:dyDescent="0.15">
      <c r="A11" s="7" t="str">
        <f t="shared" si="11"/>
        <v>2015_3</v>
      </c>
      <c r="B11" s="30">
        <v>2015</v>
      </c>
      <c r="C11" s="5" t="s">
        <v>23</v>
      </c>
      <c r="D11" s="11">
        <v>134.07775377969762</v>
      </c>
      <c r="E11" s="11">
        <v>155.06479481641469</v>
      </c>
      <c r="F11" s="11">
        <v>159.07343412526998</v>
      </c>
      <c r="G11" s="11">
        <v>282.10367170626353</v>
      </c>
      <c r="H11" s="11">
        <v>151.06911447084235</v>
      </c>
      <c r="I11" s="11">
        <v>152.07343412526998</v>
      </c>
      <c r="J11" s="11">
        <v>194.11663066954645</v>
      </c>
      <c r="K11" s="11">
        <v>233.12095032397409</v>
      </c>
      <c r="L11" s="11">
        <v>231.11231101511879</v>
      </c>
      <c r="M11" s="11">
        <v>242.0561555075594</v>
      </c>
      <c r="N11" s="11">
        <v>299.17278617710582</v>
      </c>
      <c r="O11" s="11">
        <v>350.10367170626353</v>
      </c>
      <c r="P11" s="11">
        <v>460.19438444924407</v>
      </c>
      <c r="Q11" s="11">
        <v>453.21598272138226</v>
      </c>
      <c r="R11" s="11">
        <v>344.1382289416847</v>
      </c>
      <c r="S11" s="11">
        <v>319.09935205183587</v>
      </c>
      <c r="T11" s="11">
        <v>300.0950323974082</v>
      </c>
      <c r="U11" s="11">
        <v>224.07775377969762</v>
      </c>
      <c r="V11" s="11">
        <v>103.03023758099351</v>
      </c>
      <c r="W11" s="11">
        <v>39.004319654427647</v>
      </c>
      <c r="X11" s="11">
        <v>5</v>
      </c>
      <c r="Y11" s="11">
        <f t="shared" si="68"/>
        <v>4831</v>
      </c>
      <c r="Z11" s="11">
        <f t="shared" si="12"/>
        <v>188.4829373650108</v>
      </c>
      <c r="AA11" s="11">
        <f t="shared" si="13"/>
        <v>120.0501079913607</v>
      </c>
      <c r="AB11" s="11">
        <f t="shared" si="0"/>
        <v>1787.6609071274299</v>
      </c>
      <c r="AC11" s="11">
        <f t="shared" si="14"/>
        <v>990.30669546436286</v>
      </c>
      <c r="AD11" s="15">
        <f t="shared" si="15"/>
        <v>0.37003951710358723</v>
      </c>
      <c r="AE11" s="15">
        <f t="shared" si="16"/>
        <v>0.20499000113110388</v>
      </c>
      <c r="AF11" s="11">
        <f t="shared" si="17"/>
        <v>730.38012958963282</v>
      </c>
      <c r="BH11" s="7" t="str">
        <f t="shared" si="19"/>
        <v>2035_3</v>
      </c>
      <c r="BI11" s="30">
        <f>BI10</f>
        <v>2035</v>
      </c>
      <c r="BJ11" s="5" t="s">
        <v>23</v>
      </c>
      <c r="BK11" s="16">
        <f>BK9+BK10</f>
        <v>64.278461509716891</v>
      </c>
      <c r="BL11" s="16">
        <f t="shared" ref="BL11" si="117">BL9+BL10</f>
        <v>82.500071880380801</v>
      </c>
      <c r="BM11" s="16">
        <f t="shared" ref="BM11" si="118">BM9+BM10</f>
        <v>105.00087797730434</v>
      </c>
      <c r="BN11" s="16">
        <f t="shared" ref="BN11" si="119">BN9+BN10</f>
        <v>177.39802034324481</v>
      </c>
      <c r="BO11" s="16">
        <f t="shared" ref="BO11" si="120">BO9+BO10</f>
        <v>105.62981545592061</v>
      </c>
      <c r="BP11" s="16">
        <f t="shared" ref="BP11" si="121">BP9+BP10</f>
        <v>98.858872083837937</v>
      </c>
      <c r="BQ11" s="16">
        <f t="shared" ref="BQ11" si="122">BQ9+BQ10</f>
        <v>101.89901806506001</v>
      </c>
      <c r="BR11" s="16">
        <f t="shared" ref="BR11" si="123">BR9+BR10</f>
        <v>130.60237872091699</v>
      </c>
      <c r="BS11" s="16">
        <f t="shared" ref="BS11" si="124">BS9+BS10</f>
        <v>179.09340242792086</v>
      </c>
      <c r="BT11" s="16">
        <f t="shared" ref="BT11" si="125">BT9+BT10</f>
        <v>193.95925721827967</v>
      </c>
      <c r="BU11" s="16">
        <f t="shared" ref="BU11" si="126">BU9+BU10</f>
        <v>265.22580992847418</v>
      </c>
      <c r="BV11" s="16">
        <f t="shared" ref="BV11" si="127">BV9+BV10</f>
        <v>291.06926150498236</v>
      </c>
      <c r="BW11" s="16">
        <f t="shared" ref="BW11" si="128">BW9+BW10</f>
        <v>273.46503990731213</v>
      </c>
      <c r="BX11" s="16">
        <f t="shared" ref="BX11" si="129">BX9+BX10</f>
        <v>255.35294846762559</v>
      </c>
      <c r="BY11" s="16">
        <f t="shared" ref="BY11" si="130">BY9+BY10</f>
        <v>281.03940718875407</v>
      </c>
      <c r="BZ11" s="16">
        <f t="shared" ref="BZ11" si="131">BZ9+BZ10</f>
        <v>296.37328209080351</v>
      </c>
      <c r="CA11" s="16">
        <f t="shared" ref="CA11" si="132">CA9+CA10</f>
        <v>349.3022327218722</v>
      </c>
      <c r="CB11" s="16">
        <f t="shared" ref="CB11" si="133">CB9+CB10</f>
        <v>276.67476862691399</v>
      </c>
      <c r="CC11" s="16">
        <f t="shared" ref="CC11" si="134">CC9+CC10</f>
        <v>133.51189822041727</v>
      </c>
      <c r="CD11" s="16">
        <f t="shared" ref="CD11" si="135">CD9+CD10</f>
        <v>52.565346518159188</v>
      </c>
      <c r="CE11" s="16">
        <f t="shared" ref="CE11" si="136">CE9+CE10</f>
        <v>9.3790466427609616</v>
      </c>
      <c r="CF11" s="11">
        <f t="shared" si="2"/>
        <v>3723.1792175006581</v>
      </c>
      <c r="CG11" s="11">
        <f t="shared" si="20"/>
        <v>112.50056991461108</v>
      </c>
      <c r="CH11" s="11">
        <f t="shared" si="21"/>
        <v>77.479955259570687</v>
      </c>
      <c r="CI11" s="11">
        <f t="shared" si="3"/>
        <v>1654.1989304773069</v>
      </c>
      <c r="CJ11" s="11">
        <f t="shared" si="22"/>
        <v>1117.8065748209274</v>
      </c>
      <c r="CK11" s="15">
        <f t="shared" si="23"/>
        <v>0.44429742267087485</v>
      </c>
      <c r="CL11" s="15">
        <f t="shared" si="24"/>
        <v>0.30022905412845058</v>
      </c>
      <c r="CM11" s="11">
        <f t="shared" si="25"/>
        <v>436.99008432573549</v>
      </c>
      <c r="CO11" s="7" t="str">
        <f t="shared" si="26"/>
        <v>2035_3</v>
      </c>
      <c r="CP11" s="30">
        <f>CP10</f>
        <v>2035</v>
      </c>
      <c r="CQ11" s="5" t="s">
        <v>23</v>
      </c>
      <c r="CR11" s="16">
        <f>CR9+CR10</f>
        <v>68.75782913478885</v>
      </c>
      <c r="CS11" s="16">
        <f t="shared" ref="CS11" si="137">CS9+CS10</f>
        <v>86.445738044868023</v>
      </c>
      <c r="CT11" s="16">
        <f t="shared" ref="CT11" si="138">CT9+CT10</f>
        <v>109.5159475109337</v>
      </c>
      <c r="CU11" s="16">
        <f t="shared" ref="CU11" si="139">CU9+CU10</f>
        <v>179.90946865906645</v>
      </c>
      <c r="CV11" s="16">
        <f t="shared" ref="CV11" si="140">CV9+CV10</f>
        <v>106.7644867279007</v>
      </c>
      <c r="CW11" s="16">
        <f t="shared" ref="CW11" si="141">CW9+CW10</f>
        <v>102.85887208383794</v>
      </c>
      <c r="CX11" s="16">
        <f t="shared" ref="CX11" si="142">CX9+CX10</f>
        <v>106.26097363354751</v>
      </c>
      <c r="CY11" s="16">
        <f t="shared" ref="CY11" si="143">CY9+CY10</f>
        <v>135.35636506203952</v>
      </c>
      <c r="CZ11" s="16">
        <f t="shared" ref="CZ11" si="144">CZ9+CZ10</f>
        <v>180.09340242792086</v>
      </c>
      <c r="DA11" s="16">
        <f t="shared" ref="DA11" si="145">DA9+DA10</f>
        <v>194.98333547293879</v>
      </c>
      <c r="DB11" s="16">
        <f t="shared" ref="DB11" si="146">DB9+DB10</f>
        <v>266.36310458812216</v>
      </c>
      <c r="DC11" s="16">
        <f t="shared" ref="DC11" si="147">DC9+DC10</f>
        <v>291.06926150498236</v>
      </c>
      <c r="DD11" s="16">
        <f t="shared" ref="DD11" si="148">DD9+DD10</f>
        <v>273.46503990731213</v>
      </c>
      <c r="DE11" s="16">
        <f t="shared" ref="DE11" si="149">DE9+DE10</f>
        <v>255.35294846762559</v>
      </c>
      <c r="DF11" s="16">
        <f t="shared" ref="DF11" si="150">DF9+DF10</f>
        <v>281.03940718875407</v>
      </c>
      <c r="DG11" s="16">
        <f t="shared" ref="DG11" si="151">DG9+DG10</f>
        <v>296.37328209080351</v>
      </c>
      <c r="DH11" s="16">
        <f t="shared" ref="DH11" si="152">DH9+DH10</f>
        <v>349.3022327218722</v>
      </c>
      <c r="DI11" s="16">
        <f t="shared" ref="DI11" si="153">DI9+DI10</f>
        <v>276.67476862691399</v>
      </c>
      <c r="DJ11" s="16">
        <f t="shared" ref="DJ11" si="154">DJ9+DJ10</f>
        <v>133.51189822041727</v>
      </c>
      <c r="DK11" s="16">
        <f t="shared" ref="DK11" si="155">DK9+DK10</f>
        <v>52.565346518159188</v>
      </c>
      <c r="DL11" s="16">
        <f t="shared" ref="DL11" si="156">DL9+DL10</f>
        <v>9.3790466427609616</v>
      </c>
      <c r="DM11" s="11">
        <f t="shared" si="69"/>
        <v>3756.0427552355654</v>
      </c>
      <c r="DN11" s="11">
        <f t="shared" si="34"/>
        <v>117.57701133348104</v>
      </c>
      <c r="DO11" s="11">
        <f t="shared" si="35"/>
        <v>79.788272736186769</v>
      </c>
      <c r="DP11" s="11">
        <f t="shared" si="6"/>
        <v>1654.1989304773069</v>
      </c>
      <c r="DQ11" s="11">
        <f t="shared" si="36"/>
        <v>1117.8065748209274</v>
      </c>
      <c r="DR11" s="15">
        <f t="shared" si="37"/>
        <v>0.44041003744473128</v>
      </c>
      <c r="DS11" s="15">
        <f t="shared" si="38"/>
        <v>0.29760219669033627</v>
      </c>
      <c r="DT11" s="11">
        <f t="shared" si="70"/>
        <v>451.24069750732565</v>
      </c>
      <c r="DW11" s="210"/>
      <c r="DX11" s="30">
        <f>DX10</f>
        <v>2035</v>
      </c>
      <c r="DY11" s="5" t="s">
        <v>23</v>
      </c>
      <c r="DZ11" s="16">
        <f>DZ9+DZ10</f>
        <v>152.27048757022629</v>
      </c>
      <c r="EA11" s="16">
        <f t="shared" ref="EA11" si="157">EA9+EA10</f>
        <v>164.01871276128</v>
      </c>
      <c r="EB11" s="16">
        <f t="shared" ref="EB11" si="158">EB9+EB10</f>
        <v>105.00087797730434</v>
      </c>
      <c r="EC11" s="16">
        <f t="shared" ref="EC11" si="159">EC9+EC10</f>
        <v>177.39802034324481</v>
      </c>
      <c r="ED11" s="16">
        <f t="shared" ref="ED11" si="160">ED9+ED10</f>
        <v>105.62981545592061</v>
      </c>
      <c r="EE11" s="16">
        <f t="shared" ref="EE11" si="161">EE9+EE10</f>
        <v>178.85887208383792</v>
      </c>
      <c r="EF11" s="16">
        <f t="shared" ref="EF11" si="162">EF9+EF10</f>
        <v>269.13812943480957</v>
      </c>
      <c r="EG11" s="16">
        <f t="shared" ref="EG11" si="163">EG9+EG10</f>
        <v>392.78310569103667</v>
      </c>
      <c r="EH11" s="16">
        <f t="shared" ref="EH11" si="164">EH9+EH10</f>
        <v>353.22748614019883</v>
      </c>
      <c r="EI11" s="16">
        <f t="shared" ref="EI11" si="165">EI9+EI10</f>
        <v>280.90304889700064</v>
      </c>
      <c r="EJ11" s="16">
        <f t="shared" ref="EJ11" si="166">EJ9+EJ10</f>
        <v>265.22580992847418</v>
      </c>
      <c r="EK11" s="16">
        <f t="shared" ref="EK11" si="167">EK9+EK10</f>
        <v>291.06926150498236</v>
      </c>
      <c r="EL11" s="16">
        <f t="shared" ref="EL11" si="168">EL9+EL10</f>
        <v>273.46503990731213</v>
      </c>
      <c r="EM11" s="16">
        <f t="shared" ref="EM11" si="169">EM9+EM10</f>
        <v>255.35294846762559</v>
      </c>
      <c r="EN11" s="16">
        <f t="shared" ref="EN11" si="170">EN9+EN10</f>
        <v>281.03940718875407</v>
      </c>
      <c r="EO11" s="16">
        <f t="shared" ref="EO11" si="171">EO9+EO10</f>
        <v>296.37328209080351</v>
      </c>
      <c r="EP11" s="16">
        <f t="shared" ref="EP11" si="172">EP9+EP10</f>
        <v>349.3022327218722</v>
      </c>
      <c r="EQ11" s="16">
        <f t="shared" ref="EQ11" si="173">EQ9+EQ10</f>
        <v>276.67476862691399</v>
      </c>
      <c r="ER11" s="16">
        <f t="shared" ref="ER11" si="174">ER9+ER10</f>
        <v>133.51189822041727</v>
      </c>
      <c r="ES11" s="16">
        <f t="shared" ref="ES11" si="175">ES9+ES10</f>
        <v>52.565346518159188</v>
      </c>
      <c r="ET11" s="16">
        <f t="shared" ref="ET11" si="176">ET9+ET10</f>
        <v>9.3790466427609616</v>
      </c>
      <c r="EU11" s="11">
        <f t="shared" si="71"/>
        <v>4663.1875981729354</v>
      </c>
      <c r="EV11" s="11">
        <f t="shared" si="41"/>
        <v>161.41175444315061</v>
      </c>
      <c r="EW11" s="11">
        <f t="shared" si="42"/>
        <v>77.479955259570687</v>
      </c>
      <c r="EX11" s="11">
        <f t="shared" si="10"/>
        <v>1654.1989304773069</v>
      </c>
      <c r="EY11" s="11">
        <f t="shared" si="43"/>
        <v>1117.8065748209274</v>
      </c>
      <c r="EZ11" s="15">
        <f t="shared" si="44"/>
        <v>0.35473566002908224</v>
      </c>
      <c r="FA11" s="15">
        <f t="shared" si="45"/>
        <v>0.23970868666293646</v>
      </c>
      <c r="FB11" s="11">
        <f t="shared" si="72"/>
        <v>946.40992266560477</v>
      </c>
    </row>
    <row r="12" spans="1:158" x14ac:dyDescent="0.15">
      <c r="A12" s="7" t="str">
        <f t="shared" si="11"/>
        <v>2020_1</v>
      </c>
      <c r="B12" s="28">
        <v>2020</v>
      </c>
      <c r="C12" s="3" t="s">
        <v>21</v>
      </c>
      <c r="D12" s="9">
        <v>59.056280599196199</v>
      </c>
      <c r="E12" s="9">
        <v>82.070303251735481</v>
      </c>
      <c r="F12" s="9">
        <v>96.075009134088418</v>
      </c>
      <c r="G12" s="9">
        <v>159.30698575082207</v>
      </c>
      <c r="H12" s="9">
        <v>58.053832663500181</v>
      </c>
      <c r="I12" s="9">
        <v>84.101454146876137</v>
      </c>
      <c r="J12" s="9">
        <v>85.083478260869555</v>
      </c>
      <c r="K12" s="9">
        <v>108.09769090244794</v>
      </c>
      <c r="L12" s="9">
        <v>131.11792473511144</v>
      </c>
      <c r="M12" s="9">
        <v>120.10239678480087</v>
      </c>
      <c r="N12" s="9">
        <v>133.08743149433687</v>
      </c>
      <c r="O12" s="9">
        <v>145.10926561929119</v>
      </c>
      <c r="P12" s="9">
        <v>169.1242309097552</v>
      </c>
      <c r="Q12" s="9">
        <v>215.1569820971867</v>
      </c>
      <c r="R12" s="9">
        <v>207.17872122762148</v>
      </c>
      <c r="S12" s="9">
        <v>162.14060650347096</v>
      </c>
      <c r="T12" s="9">
        <v>116.06945560833029</v>
      </c>
      <c r="U12" s="9">
        <v>90.053927658019731</v>
      </c>
      <c r="V12" s="9">
        <v>37.014022652539275</v>
      </c>
      <c r="W12" s="9">
        <v>4</v>
      </c>
      <c r="X12" s="9">
        <v>0</v>
      </c>
      <c r="Y12" s="9">
        <f t="shared" ref="Y12:Y14" si="177">SUM(D12:X12)</f>
        <v>2262</v>
      </c>
      <c r="Z12" s="9">
        <f>E12*3/5+F12*3/5</f>
        <v>106.88718743149434</v>
      </c>
      <c r="AA12" s="9">
        <f>F12*2/5+G12*1/5</f>
        <v>70.291400803799775</v>
      </c>
      <c r="AB12" s="9">
        <f t="shared" ref="AB12:AB14" si="178">SUM(Q12:X12)</f>
        <v>831.61371574716838</v>
      </c>
      <c r="AC12" s="9">
        <f>SUM(S12:X12)</f>
        <v>409.27801242236023</v>
      </c>
      <c r="AD12" s="13">
        <f>AB12/Y12</f>
        <v>0.36764532084313367</v>
      </c>
      <c r="AE12" s="13">
        <f>AC12/Y12</f>
        <v>0.18093634501430603</v>
      </c>
      <c r="AF12" s="9">
        <f>SUM(H12:K12)</f>
        <v>335.33645597369377</v>
      </c>
      <c r="AK12" s="61">
        <f>管理者入力シート!B5</f>
        <v>2020</v>
      </c>
      <c r="AL12" s="62"/>
      <c r="BH12" s="7" t="str">
        <f t="shared" si="19"/>
        <v>2040_1</v>
      </c>
      <c r="BI12" s="28">
        <f>管理者入力シート!B11</f>
        <v>2040</v>
      </c>
      <c r="BJ12" s="3" t="s">
        <v>21</v>
      </c>
      <c r="BK12" s="9">
        <f>CM13*$AK$13</f>
        <v>30.275099163519048</v>
      </c>
      <c r="BL12" s="9">
        <f>IF(管理者入力シート!$B$14=1,BK9*管理者用人口入力シート!AM$3,IF(管理者入力シート!$B$14=2,BK9*管理者用人口入力シート!AM$7))</f>
        <v>41.697145571223558</v>
      </c>
      <c r="BM12" s="9">
        <f>IF(管理者入力シート!$B$14=1,BL9*管理者用人口入力シート!AN$3,IF(管理者入力シート!$B$14=2,BL9*管理者用人口入力シート!AN$7))</f>
        <v>52.437856972517942</v>
      </c>
      <c r="BN12" s="9">
        <f>IF(管理者入力シート!$B$14=1,BM9*管理者用人口入力シート!AO$3,IF(管理者入力シート!$B$14=2,BM9*管理者用人口入力シート!AO$7))</f>
        <v>97.524559241526504</v>
      </c>
      <c r="BO12" s="9">
        <f>IF(管理者入力シート!$B$14=1,BN9*管理者用人口入力シート!AP$3,IF(管理者入力シート!$B$14=2,BN9*管理者用人口入力シート!AP$7))</f>
        <v>45.260163198636427</v>
      </c>
      <c r="BP12" s="9">
        <f>IF(管理者入力シート!$B$14=1,BO9*管理者用人口入力シート!AQ$3,IF(管理者入力シート!$B$14=2,BO9*管理者用人口入力シート!AQ$7))</f>
        <v>57.228230522792174</v>
      </c>
      <c r="BQ12" s="9">
        <f>IF(管理者入力シート!$B$14=1,BP9*管理者用人口入力シート!AR$3,IF(管理者入力シート!$B$14=2,BP9*管理者用人口入力シート!AR$7))</f>
        <v>62.618569011055357</v>
      </c>
      <c r="BR12" s="9">
        <f>IF(管理者入力シート!$B$14=1,BQ9*管理者用人口入力シート!AS$3,IF(管理者入力シート!$B$14=2,BQ9*管理者用人口入力シート!AS$7))</f>
        <v>68.253102333849057</v>
      </c>
      <c r="BS12" s="9">
        <f>IF(管理者入力シート!$B$14=1,BR9*管理者用人口入力シート!AT$3,IF(管理者入力シート!$B$14=2,BR9*管理者用人口入力シート!AT$7))</f>
        <v>71.597405667763994</v>
      </c>
      <c r="BT12" s="9">
        <f>IF(管理者入力シート!$B$14=1,BS9*管理者用人口入力シート!AU$3,IF(管理者入力シート!$B$14=2,BS9*管理者用人口入力シート!AU$7))</f>
        <v>102.96293115993373</v>
      </c>
      <c r="BU12" s="9">
        <f>IF(管理者入力シート!$B$14=1,BT9*管理者用人口入力シート!AV$3,IF(管理者入力シート!$B$14=2,BT9*管理者用人口入力シート!AV$7))</f>
        <v>102.63537552622591</v>
      </c>
      <c r="BV12" s="9">
        <f>IF(管理者入力シート!$B$14=1,BU9*管理者用人口入力シート!AW$3,IF(管理者入力シート!$B$14=2,BU9*管理者用人口入力シート!AW$7))</f>
        <v>123.83585085858597</v>
      </c>
      <c r="BW12" s="9">
        <f>IF(管理者入力シート!$B$14=1,BV9*管理者用人口入力シート!AX$3,IF(管理者入力シート!$B$14=2,BV9*管理者用人口入力シート!AX$7))</f>
        <v>146.92176113849735</v>
      </c>
      <c r="BX12" s="9">
        <f>IF(管理者入力シート!$B$14=1,BW9*管理者用人口入力シート!AY$3,IF(管理者入力シート!$B$14=2,BW9*管理者用人口入力シート!AY$7))</f>
        <v>122.0217619721582</v>
      </c>
      <c r="BY12" s="9">
        <f>IF(管理者入力シート!$B$14=1,BX9*管理者用人口入力シート!AZ$3,IF(管理者入力シート!$B$14=2,BX9*管理者用人口入力シート!AZ$7))</f>
        <v>121.90368577114734</v>
      </c>
      <c r="BZ12" s="9">
        <f>IF(管理者入力シート!$B$14=1,BY9*管理者用人口入力シート!BA$3,IF(管理者入力シート!$B$14=2,BY9*管理者用人口入力シート!BA$7))</f>
        <v>112.91158408052358</v>
      </c>
      <c r="CA12" s="9">
        <f>IF(管理者入力シート!$B$14=1,BZ9*管理者用人口入力シート!BB$3,IF(管理者入力シート!$B$14=2,BZ9*管理者用人口入力シート!BB$7))</f>
        <v>110.84650894009029</v>
      </c>
      <c r="CB12" s="9">
        <f>IF(管理者入力シート!$B$14=1,CA9*管理者用人口入力シート!BC$3,IF(管理者入力シート!$B$14=2,CA9*管理者用人口入力シート!BC$7))</f>
        <v>102.9084502036425</v>
      </c>
      <c r="CC12" s="9">
        <f>IF(管理者入力シート!$B$14=1,CB9*管理者用人口入力シート!BD$3,IF(管理者入力シート!$B$14=2,CB9*管理者用人口入力シート!BD$7))</f>
        <v>46.704846675946428</v>
      </c>
      <c r="CD12" s="9">
        <f>IF(管理者入力シート!$B$14=1,CC9*管理者用人口入力シート!BE$3,IF(管理者入力シート!$B$14=2,CC9*管理者用人口入力シート!BE$7))</f>
        <v>10.370380592012101</v>
      </c>
      <c r="CE12" s="9">
        <f>IF(管理者入力シート!$B$14=1,CD9*管理者用人口入力シート!BF$3,IF(管理者入力シート!$B$14=2,CD9*管理者用人口入力シート!BF$7))</f>
        <v>8.6955825568234002E-3</v>
      </c>
      <c r="CF12" s="9">
        <f t="shared" si="2"/>
        <v>1630.9239641842041</v>
      </c>
      <c r="CG12" s="9">
        <f t="shared" si="20"/>
        <v>56.481001526244896</v>
      </c>
      <c r="CH12" s="9">
        <f t="shared" si="21"/>
        <v>40.480054637312477</v>
      </c>
      <c r="CI12" s="9">
        <f t="shared" si="3"/>
        <v>627.67591381807733</v>
      </c>
      <c r="CJ12" s="9">
        <f t="shared" si="22"/>
        <v>383.75046607477174</v>
      </c>
      <c r="CK12" s="13">
        <f t="shared" si="23"/>
        <v>0.38485909067627427</v>
      </c>
      <c r="CL12" s="13">
        <f t="shared" si="24"/>
        <v>0.23529635623860953</v>
      </c>
      <c r="CM12" s="9">
        <f t="shared" si="25"/>
        <v>233.36006506633302</v>
      </c>
      <c r="CO12" s="7" t="str">
        <f t="shared" si="26"/>
        <v>2040_1</v>
      </c>
      <c r="CP12" s="28">
        <f>管理者入力シート!B11</f>
        <v>2040</v>
      </c>
      <c r="CQ12" s="3" t="s">
        <v>21</v>
      </c>
      <c r="CR12" s="9">
        <f>DT13*$AK$13+将来予測シート②!$G17</f>
        <v>32.73121297326837</v>
      </c>
      <c r="CS12" s="9">
        <f>IF(管理者入力シート!$B$14=1,CR9*管理者用人口入力シート!AM$3,IF(管理者入力シート!$B$14=2,CR9*管理者用人口入力シート!AM$7))+将来予測シート②!$G18</f>
        <v>44.481444805238944</v>
      </c>
      <c r="CT12" s="9">
        <f>IF(管理者入力シート!$B$14=1,CS9*管理者用人口入力シート!AN$3,IF(管理者入力シート!$B$14=2,CS9*管理者用人口入力シート!AN$7))+将来予測シート②!$G19</f>
        <v>55.81281238181603</v>
      </c>
      <c r="CU12" s="9">
        <f>IF(管理者入力シート!$B$14=1,CT9*管理者用人口入力シート!AO$3,IF(管理者入力シート!$B$14=2,CT9*管理者用人口入力シート!AO$7))+将来予測シート②!$G20</f>
        <v>101.26078365932992</v>
      </c>
      <c r="CV12" s="9">
        <f>IF(管理者入力シート!$B$14=1,CU9*管理者用人口入力シート!AP$3,IF(管理者入力シート!$B$14=2,CU9*管理者用人口入力シート!AP$7))+将来予測シート②!$G21</f>
        <v>45.838732939794937</v>
      </c>
      <c r="CW12" s="9">
        <f>IF(管理者入力シート!$B$14=1,CV9*管理者用人口入力シート!AQ$3,IF(管理者入力シート!$B$14=2,CV9*管理者用人口入力シート!AQ$7))+将来予測シート②!$G22</f>
        <v>59.847267916501345</v>
      </c>
      <c r="CX12" s="9">
        <f>IF(管理者入力シート!$B$14=1,CW9*管理者用人口入力シート!AR$3,IF(管理者入力シート!$B$14=2,CW9*管理者用人口入力シート!AR$7))+将来予測シート②!$G23</f>
        <v>64.724314194717309</v>
      </c>
      <c r="CY12" s="9">
        <f>IF(管理者入力シート!$B$14=1,CX9*管理者用人口入力シート!AS$3,IF(管理者入力シート!$B$14=2,CX9*管理者用人口入力シート!AS$7))+将来予測シート②!$G24</f>
        <v>70.477845917237786</v>
      </c>
      <c r="CZ12" s="9">
        <f>IF(管理者入力シート!$B$14=1,CY9*管理者用人口入力シート!AT$3,IF(管理者入力シート!$B$14=2,CY9*管理者用人口入力シート!AT$7))+将来予測シート②!$G25</f>
        <v>73.902746897728974</v>
      </c>
      <c r="DA12" s="9">
        <f>IF(管理者入力シート!$B$14=1,CZ9*管理者用人口入力シート!AU$3,IF(管理者入力シート!$B$14=2,CZ9*管理者用人口入力シート!AU$7))+将来予測シート②!$G26</f>
        <v>102.96293115993373</v>
      </c>
      <c r="DB12" s="9">
        <f>IF(管理者入力シート!$B$14=1,DA9*管理者用人口入力シート!AV$3,IF(管理者入力シート!$B$14=2,DA9*管理者用人口入力シート!AV$7))+将来予測シート②!$G27</f>
        <v>102.63537552622591</v>
      </c>
      <c r="DC12" s="9">
        <f>IF(管理者入力シート!$B$14=1,DB9*管理者用人口入力シート!AW$3,IF(管理者入力シート!$B$14=2,DB9*管理者用人口入力シート!AW$7))+将来予測シート②!$G28</f>
        <v>123.83585085858597</v>
      </c>
      <c r="DD12" s="9">
        <f>IF(管理者入力シート!$B$14=1,DC9*管理者用人口入力シート!AX$3,IF(管理者入力シート!$B$14=2,DC9*管理者用人口入力シート!AX$7))+将来予測シート②!$G29</f>
        <v>146.92176113849735</v>
      </c>
      <c r="DE12" s="9">
        <f>IF(管理者入力シート!$B$14=1,DD9*管理者用人口入力シート!AY$3,IF(管理者入力シート!$B$14=2,DD9*管理者用人口入力シート!AY$7))</f>
        <v>122.0217619721582</v>
      </c>
      <c r="DF12" s="9">
        <f>IF(管理者入力シート!$B$14=1,DE9*管理者用人口入力シート!AZ$3,IF(管理者入力シート!$B$14=2,DE9*管理者用人口入力シート!AZ$7))</f>
        <v>121.90368577114734</v>
      </c>
      <c r="DG12" s="9">
        <f>IF(管理者入力シート!$B$14=1,DF9*管理者用人口入力シート!BA$3,IF(管理者入力シート!$B$14=2,DF9*管理者用人口入力シート!BA$7))</f>
        <v>112.91158408052358</v>
      </c>
      <c r="DH12" s="9">
        <f>IF(管理者入力シート!$B$14=1,DG9*管理者用人口入力シート!BB$3,IF(管理者入力シート!$B$14=2,DG9*管理者用人口入力シート!BB$7))</f>
        <v>110.84650894009029</v>
      </c>
      <c r="DI12" s="9">
        <f>IF(管理者入力シート!$B$14=1,DH9*管理者用人口入力シート!BC$3,IF(管理者入力シート!$B$14=2,DH9*管理者用人口入力シート!BC$7))</f>
        <v>102.9084502036425</v>
      </c>
      <c r="DJ12" s="9">
        <f>IF(管理者入力シート!$B$14=1,DI9*管理者用人口入力シート!BD$3,IF(管理者入力シート!$B$14=2,DI9*管理者用人口入力シート!BD$7))</f>
        <v>46.704846675946428</v>
      </c>
      <c r="DK12" s="9">
        <f>IF(管理者入力シート!$B$14=1,DJ9*管理者用人口入力シート!BE$3,IF(管理者入力シート!$B$14=2,DJ9*管理者用人口入力シート!BE$7))</f>
        <v>10.370380592012101</v>
      </c>
      <c r="DL12" s="9">
        <f>IF(管理者入力シート!$B$14=1,DK9*管理者用人口入力シート!BF$3,IF(管理者入力シート!$B$14=2,DK9*管理者用人口入力シート!BF$7))</f>
        <v>8.6955825568234002E-3</v>
      </c>
      <c r="DM12" s="9">
        <f t="shared" si="69"/>
        <v>1653.1089941869539</v>
      </c>
      <c r="DN12" s="9">
        <f t="shared" si="34"/>
        <v>60.176554312232987</v>
      </c>
      <c r="DO12" s="9">
        <f t="shared" si="35"/>
        <v>42.577281684592393</v>
      </c>
      <c r="DP12" s="9">
        <f t="shared" si="6"/>
        <v>627.67591381807733</v>
      </c>
      <c r="DQ12" s="9">
        <f t="shared" si="36"/>
        <v>383.75046607477174</v>
      </c>
      <c r="DR12" s="13">
        <f t="shared" si="37"/>
        <v>0.37969421013693427</v>
      </c>
      <c r="DS12" s="13">
        <f t="shared" si="38"/>
        <v>0.23213863539803142</v>
      </c>
      <c r="DT12" s="9">
        <f t="shared" si="70"/>
        <v>240.88816096825138</v>
      </c>
      <c r="DV12" s="211"/>
      <c r="DX12" s="28">
        <f>管理者入力シート!B11</f>
        <v>2040</v>
      </c>
      <c r="DY12" s="3" t="s">
        <v>21</v>
      </c>
      <c r="DZ12" s="9">
        <f>FB13*$AK$13</f>
        <v>78.814818201359827</v>
      </c>
      <c r="EA12" s="129">
        <f>IF(管理者入力シート!$B$14=1,DZ9*管理者用人口入力シート!AM$3,IF(管理者入力シート!$B$14=2,DZ9*管理者用人口入力シート!AM$7))</f>
        <v>98.777172590808007</v>
      </c>
      <c r="EB12" s="9">
        <f>IF(管理者入力シート!$B$14=1,EA9*管理者用人口入力シート!AN$3,IF(管理者入力シート!$B$14=2,EA9*管理者用人口入力シート!AN$7))</f>
        <v>104.25190675061509</v>
      </c>
      <c r="EC12" s="9">
        <f>IF(管理者入力シート!$B$14=1,EB9*管理者用人口入力シート!AO$3,IF(管理者入力シート!$B$14=2,EB9*管理者用人口入力シート!AO$7))</f>
        <v>97.524559241526504</v>
      </c>
      <c r="ED12" s="9">
        <f>IF(管理者入力シート!$B$14=1,EC9*管理者用人口入力シート!AP$3,IF(管理者入力シート!$B$14=2,EC9*管理者用人口入力シート!AP$7))</f>
        <v>45.260163198636427</v>
      </c>
      <c r="EE12" s="9">
        <f>IF(管理者入力シート!$B$14=1,ED9*管理者用人口入力シート!AQ$3,IF(管理者入力シート!$B$14=2,ED9*管理者用人口入力シート!AQ$7))+DX1</f>
        <v>97.228230522792174</v>
      </c>
      <c r="EF12" s="9">
        <f>IF(管理者入力シート!$B$14=1,EE9*管理者用人口入力シート!AR$3,IF(管理者入力シート!$B$14=2,EE9*管理者用人口入力シート!AR$7))+DX1</f>
        <v>144.73347268429424</v>
      </c>
      <c r="EG12" s="9">
        <f>IF(管理者入力シート!$B$14=1,EF9*管理者用人口入力シート!AS$3,IF(管理者入力シート!$B$14=2,EF9*管理者用人口入力シート!AS$7))+DX1</f>
        <v>195.00842603827195</v>
      </c>
      <c r="EH12" s="9">
        <f>IF(管理者入力シート!$B$14=1,EG9*管理者用人口入力シート!AT$3,IF(管理者入力シート!$B$14=2,EG9*管理者用人口入力シート!AT$7))</f>
        <v>202.94480050248234</v>
      </c>
      <c r="EI12" s="9">
        <f>IF(管理者入力シート!$B$14=1,EH9*管理者用人口入力シート!AU$3,IF(管理者入力シート!$B$14=2,EH9*管理者用人口入力シート!AU$7))</f>
        <v>193.49835043036362</v>
      </c>
      <c r="EJ12" s="9">
        <f>IF(管理者入力シート!$B$14=1,EI9*管理者用人口入力シート!AV$3,IF(管理者入力シート!$B$14=2,EI9*管理者用人口入力シート!AV$7))</f>
        <v>148.30607723374811</v>
      </c>
      <c r="EK12" s="9">
        <f>IF(管理者入力シート!$B$14=1,EJ9*管理者用人口入力シート!AW$3,IF(管理者入力シート!$B$14=2,EJ9*管理者用人口入力シート!AW$7))</f>
        <v>123.83585085858597</v>
      </c>
      <c r="EL12" s="9">
        <f>IF(管理者入力シート!$B$14=1,EK9*管理者用人口入力シート!AX$3,IF(管理者入力シート!$B$14=2,EK9*管理者用人口入力シート!AX$7))</f>
        <v>146.92176113849735</v>
      </c>
      <c r="EM12" s="9">
        <f>IF(管理者入力シート!$B$14=1,EL9*管理者用人口入力シート!AY$3,IF(管理者入力シート!$B$14=2,EL9*管理者用人口入力シート!AY$7))</f>
        <v>122.0217619721582</v>
      </c>
      <c r="EN12" s="9">
        <f>IF(管理者入力シート!$B$14=1,EM9*管理者用人口入力シート!AZ$3,IF(管理者入力シート!$B$14=2,EM9*管理者用人口入力シート!AZ$7))</f>
        <v>121.90368577114734</v>
      </c>
      <c r="EO12" s="9">
        <f>IF(管理者入力シート!$B$14=1,EN9*管理者用人口入力シート!BA$3,IF(管理者入力シート!$B$14=2,EN9*管理者用人口入力シート!BA$7))</f>
        <v>112.91158408052358</v>
      </c>
      <c r="EP12" s="9">
        <f>IF(管理者入力シート!$B$14=1,EO9*管理者用人口入力シート!BB$3,IF(管理者入力シート!$B$14=2,EO9*管理者用人口入力シート!BB$7))</f>
        <v>110.84650894009029</v>
      </c>
      <c r="EQ12" s="9">
        <f>IF(管理者入力シート!$B$14=1,EP9*管理者用人口入力シート!BC$3,IF(管理者入力シート!$B$14=2,EP9*管理者用人口入力シート!BC$7))</f>
        <v>102.9084502036425</v>
      </c>
      <c r="ER12" s="9">
        <f>IF(管理者入力シート!$B$14=1,EQ9*管理者用人口入力シート!BD$3,IF(管理者入力シート!$B$14=2,EQ9*管理者用人口入力シート!BD$7))</f>
        <v>46.704846675946428</v>
      </c>
      <c r="ES12" s="9">
        <f>IF(管理者入力シート!$B$14=1,ER9*管理者用人口入力シート!BE$3,IF(管理者入力シート!$B$14=2,ER9*管理者用人口入力シート!BE$7))</f>
        <v>10.370380592012101</v>
      </c>
      <c r="ET12" s="9">
        <f>IF(管理者入力シート!$B$14=1,ES9*管理者用人口入力シート!BF$3,IF(管理者入力シート!$B$14=2,ES9*管理者用人口入力シート!BF$7))</f>
        <v>8.6955825568234002E-3</v>
      </c>
      <c r="EU12" s="9">
        <f t="shared" si="71"/>
        <v>2304.7815032100593</v>
      </c>
      <c r="EV12" s="9">
        <f t="shared" si="41"/>
        <v>121.81744760485387</v>
      </c>
      <c r="EW12" s="9">
        <f t="shared" si="42"/>
        <v>61.205674548551343</v>
      </c>
      <c r="EX12" s="9">
        <f t="shared" si="10"/>
        <v>627.67591381807733</v>
      </c>
      <c r="EY12" s="9">
        <f t="shared" si="43"/>
        <v>383.75046607477174</v>
      </c>
      <c r="EZ12" s="13">
        <f t="shared" si="44"/>
        <v>0.27233640713614776</v>
      </c>
      <c r="FA12" s="13">
        <f t="shared" si="45"/>
        <v>0.16650188555413639</v>
      </c>
      <c r="FB12" s="9">
        <f t="shared" si="72"/>
        <v>482.23029244399481</v>
      </c>
    </row>
    <row r="13" spans="1:158" x14ac:dyDescent="0.15">
      <c r="A13" s="7" t="str">
        <f t="shared" si="11"/>
        <v>2020_2</v>
      </c>
      <c r="B13" s="29">
        <v>2020</v>
      </c>
      <c r="C13" s="4" t="s">
        <v>22</v>
      </c>
      <c r="D13" s="10">
        <v>48</v>
      </c>
      <c r="E13" s="10">
        <v>88</v>
      </c>
      <c r="F13" s="10">
        <v>83</v>
      </c>
      <c r="G13" s="10">
        <v>63</v>
      </c>
      <c r="H13" s="10">
        <v>57</v>
      </c>
      <c r="I13" s="10">
        <v>62</v>
      </c>
      <c r="J13" s="10">
        <v>79</v>
      </c>
      <c r="K13" s="10">
        <v>119</v>
      </c>
      <c r="L13" s="10">
        <v>126</v>
      </c>
      <c r="M13" s="10">
        <v>128</v>
      </c>
      <c r="N13" s="10">
        <v>123</v>
      </c>
      <c r="O13" s="10">
        <v>154</v>
      </c>
      <c r="P13" s="10">
        <v>179</v>
      </c>
      <c r="Q13" s="10">
        <v>233</v>
      </c>
      <c r="R13" s="10">
        <v>215</v>
      </c>
      <c r="S13" s="10">
        <v>163</v>
      </c>
      <c r="T13" s="10">
        <v>168</v>
      </c>
      <c r="U13" s="10">
        <v>161</v>
      </c>
      <c r="V13" s="10">
        <v>108</v>
      </c>
      <c r="W13" s="10">
        <v>31</v>
      </c>
      <c r="X13" s="10">
        <v>5</v>
      </c>
      <c r="Y13" s="10">
        <f t="shared" si="177"/>
        <v>2393</v>
      </c>
      <c r="Z13" s="10">
        <f t="shared" ref="Z13:Z14" si="179">E13*3/5+F13*3/5</f>
        <v>102.6</v>
      </c>
      <c r="AA13" s="10">
        <f t="shared" ref="AA13:AA14" si="180">F13*2/5+G13*1/5</f>
        <v>45.800000000000004</v>
      </c>
      <c r="AB13" s="10">
        <f t="shared" si="178"/>
        <v>1084</v>
      </c>
      <c r="AC13" s="10">
        <f t="shared" ref="AC13:AC14" si="181">SUM(S13:X13)</f>
        <v>636</v>
      </c>
      <c r="AD13" s="14">
        <f t="shared" ref="AD13:AD14" si="182">AB13/Y13</f>
        <v>0.4529878813205182</v>
      </c>
      <c r="AE13" s="14">
        <f t="shared" ref="AE13:AE14" si="183">AC13/Y13</f>
        <v>0.26577517760133723</v>
      </c>
      <c r="AF13" s="10">
        <f t="shared" ref="AF13:AF14" si="184">SUM(H13:K13)</f>
        <v>317</v>
      </c>
      <c r="AI13" s="60" t="s">
        <v>47</v>
      </c>
      <c r="AJ13" s="1" t="s">
        <v>21</v>
      </c>
      <c r="AK13" s="8">
        <f>VLOOKUP(AK12&amp;"_1",A:D,4,FALSE)/VLOOKUP(AK12&amp;"_2",A:AF,32,FALSE)</f>
        <v>0.18629741513942019</v>
      </c>
      <c r="AL13" s="63"/>
      <c r="BH13" s="7" t="str">
        <f t="shared" si="19"/>
        <v>2040_2</v>
      </c>
      <c r="BI13" s="29">
        <f>BI12</f>
        <v>2040</v>
      </c>
      <c r="BJ13" s="4" t="s">
        <v>22</v>
      </c>
      <c r="BK13" s="10">
        <f>CM13*$AK$14</f>
        <v>24.60711621362578</v>
      </c>
      <c r="BL13" s="10">
        <f>IF(管理者入力シート!$B$14=1,BK10*管理者用人口入力シート!AM$4,IF(管理者入力シート!$B$14=2,BK10*管理者用人口入力シート!AM$8))</f>
        <v>32.199225926916718</v>
      </c>
      <c r="BM13" s="10">
        <f>IF(管理者入力シート!$B$14=1,BL10*管理者用人口入力シート!AN$4,IF(管理者入力シート!$B$14=2,BL10*管理者用人口入力シート!AN$8))</f>
        <v>38.303055916636659</v>
      </c>
      <c r="BN13" s="10">
        <f>IF(管理者入力シート!$B$14=1,BM10*管理者用人口入力シート!AO$4,IF(管理者入力シート!$B$14=2,BM10*管理者用人口入力シート!AO$8))</f>
        <v>40.076916318615545</v>
      </c>
      <c r="BO13" s="10">
        <f>IF(管理者入力シート!$B$14=1,BN10*管理者用人口入力シート!AP$4,IF(管理者入力シート!$B$14=2,BN10*管理者用人口入力シート!AP$8))</f>
        <v>31.776274569647111</v>
      </c>
      <c r="BP13" s="10">
        <f>IF(管理者入力シート!$B$14=1,BO10*管理者用人口入力シート!AQ$4,IF(管理者入力シート!$B$14=2,BO10*管理者用人口入力シート!AQ$8))</f>
        <v>44.492882507746543</v>
      </c>
      <c r="BQ13" s="10">
        <f>IF(管理者入力シート!$B$14=1,BP10*管理者用人口入力シート!AR$4,IF(管理者入力シート!$B$14=2,BP10*管理者用人口入力シート!AR$8))</f>
        <v>44.430252466259681</v>
      </c>
      <c r="BR13" s="10">
        <f>IF(管理者入力シート!$B$14=1,BQ10*管理者用人口入力シート!AS$4,IF(管理者入力シート!$B$14=2,BQ10*管理者用人口入力シート!AS$8))</f>
        <v>41.810087117166908</v>
      </c>
      <c r="BS13" s="10">
        <f>IF(管理者入力シート!$B$14=1,BR10*管理者用人口入力シート!AT$4,IF(管理者入力シート!$B$14=2,BR10*管理者用人口入力シート!AT$8))</f>
        <v>64.44644729470761</v>
      </c>
      <c r="BT13" s="10">
        <f>IF(管理者入力シート!$B$14=1,BS10*管理者用人口入力シート!AU$4,IF(管理者入力シート!$B$14=2,BS10*管理者用人口入力シート!AU$8))</f>
        <v>84.130207403589267</v>
      </c>
      <c r="BU13" s="10">
        <f>IF(管理者入力シート!$B$14=1,BT10*管理者用人口入力シート!AV$4,IF(管理者入力シート!$B$14=2,BT10*管理者用人口入力シート!AV$8))</f>
        <v>105.53040834432331</v>
      </c>
      <c r="BV13" s="10">
        <f>IF(管理者入力シート!$B$14=1,BU10*管理者用人口入力シート!AW$4,IF(管理者入力シート!$B$14=2,BU10*管理者用人口入力シート!AW$8))</f>
        <v>144.58794024138507</v>
      </c>
      <c r="BW13" s="10">
        <f>IF(管理者入力シート!$B$14=1,BV10*管理者用人口入力シート!AX$4,IF(管理者入力シート!$B$14=2,BV10*管理者用人口入力シート!AX$8))</f>
        <v>147.94254051174889</v>
      </c>
      <c r="BX13" s="10">
        <f>IF(管理者入力シート!$B$14=1,BW10*管理者用人口入力シート!AY$4,IF(管理者入力シート!$B$14=2,BW10*管理者用人口入力シート!AY$8))</f>
        <v>144.47917794449404</v>
      </c>
      <c r="BY13" s="10">
        <f>IF(管理者入力シート!$B$14=1,BX10*管理者用人口入力シート!AZ$4,IF(管理者入力シート!$B$14=2,BX10*管理者用人口入力シート!AZ$8))</f>
        <v>120.99146085974401</v>
      </c>
      <c r="BZ13" s="10">
        <f>IF(管理者入力シート!$B$14=1,BY10*管理者用人口入力シート!BA$4,IF(管理者入力シート!$B$14=2,BY10*管理者用人口入力シート!BA$8))</f>
        <v>145.070631670398</v>
      </c>
      <c r="CA13" s="10">
        <f>IF(管理者入力シート!$B$14=1,BZ10*管理者用人口入力シート!BB$4,IF(管理者入力シート!$B$14=2,BZ10*管理者用人口入力シート!BB$8))</f>
        <v>153.43342214049343</v>
      </c>
      <c r="CB13" s="10">
        <f>IF(管理者入力シート!$B$14=1,CA10*管理者用人口入力シート!BC$4,IF(管理者入力シート!$B$14=2,CA10*管理者用人口入力シート!BC$8))</f>
        <v>179.06514534721398</v>
      </c>
      <c r="CC13" s="10">
        <f>IF(管理者入力シート!$B$14=1,CB10*管理者用人口入力シート!BD$4,IF(管理者入力シート!$B$14=2,CB10*管理者用人口入力シート!BD$8))</f>
        <v>116.72627861005896</v>
      </c>
      <c r="CD13" s="10">
        <f>IF(管理者入力シート!$B$14=1,CC10*管理者用人口入力シート!BE$4,IF(管理者入力シート!$B$14=2,CC10*管理者用人口入力シート!BE$8))</f>
        <v>39.215323640794097</v>
      </c>
      <c r="CE13" s="10">
        <f>IF(管理者入力シート!$B$14=1,CD10*管理者用人口入力シート!BF$4,IF(管理者入力シート!$B$14=2,CD10*管理者用人口入力シート!BF$8))</f>
        <v>8.6296157138322585</v>
      </c>
      <c r="CF13" s="10">
        <f t="shared" si="2"/>
        <v>1751.9444107593977</v>
      </c>
      <c r="CG13" s="10">
        <f t="shared" si="20"/>
        <v>42.301369106132029</v>
      </c>
      <c r="CH13" s="10">
        <f t="shared" si="21"/>
        <v>23.336605630377772</v>
      </c>
      <c r="CI13" s="10">
        <f t="shared" si="3"/>
        <v>907.61105592702859</v>
      </c>
      <c r="CJ13" s="10">
        <f t="shared" si="22"/>
        <v>642.14041712279061</v>
      </c>
      <c r="CK13" s="14">
        <f t="shared" si="23"/>
        <v>0.51805927765345905</v>
      </c>
      <c r="CL13" s="14">
        <f t="shared" si="24"/>
        <v>0.36653013256536404</v>
      </c>
      <c r="CM13" s="10">
        <f t="shared" si="25"/>
        <v>162.50949666082025</v>
      </c>
      <c r="CO13" s="7" t="str">
        <f t="shared" si="26"/>
        <v>2040_2</v>
      </c>
      <c r="CP13" s="29">
        <f>CP12</f>
        <v>2040</v>
      </c>
      <c r="CQ13" s="4" t="s">
        <v>22</v>
      </c>
      <c r="CR13" s="10">
        <f>DT13*$AK$14+将来予測シート②!$H17</f>
        <v>26.790622221095518</v>
      </c>
      <c r="CS13" s="10">
        <f>IF(管理者入力シート!$B$14=1,CR10*管理者用人口入力シート!AM$4,IF(管理者入力シート!$B$14=2,CR10*管理者用人口入力シート!AM$8))+将来予測シート②!$H18</f>
        <v>34.558475197619202</v>
      </c>
      <c r="CT13" s="10">
        <f>IF(管理者入力シート!$B$14=1,CS10*管理者用人口入力シート!AN$4,IF(管理者入力シート!$B$14=2,CS10*管理者用人口入力シート!AN$8))+将来予測シート②!$H19</f>
        <v>41.260703578499715</v>
      </c>
      <c r="CU13" s="10">
        <f>IF(管理者入力シート!$B$14=1,CT10*管理者用人口入力シート!AO$4,IF(管理者入力シート!$B$14=2,CT10*管理者用人口入力シート!AO$8))+将来予測シート②!$H20</f>
        <v>42.05754254177463</v>
      </c>
      <c r="CV13" s="10">
        <f>IF(管理者入力シート!$B$14=1,CU10*管理者用人口入力シート!AP$4,IF(管理者入力シート!$B$14=2,CU10*管理者用人口入力シート!AP$8))+将来予測シート②!$H21</f>
        <v>32.332376100468686</v>
      </c>
      <c r="CW13" s="10">
        <f>IF(管理者入力シート!$B$14=1,CV10*管理者用人口入力シート!AQ$4,IF(管理者入力シート!$B$14=2,CV10*管理者用人口入力シート!AQ$8))+将来予測シート②!$H22</f>
        <v>46.967398758697001</v>
      </c>
      <c r="CX13" s="10">
        <f>IF(管理者入力シート!$B$14=1,CW10*管理者用人口入力シート!AR$4,IF(管理者入力シート!$B$14=2,CW10*管理者用人口入力シート!AR$8))+将来予測シート②!$H23</f>
        <v>46.68646285108521</v>
      </c>
      <c r="CY13" s="10">
        <f>IF(管理者入力シート!$B$14=1,CX10*管理者用人口入力シート!AS$4,IF(管理者入力シート!$B$14=2,CX10*管理者用人口入力シート!AS$8))+将来予測シート②!$H24</f>
        <v>44.339329874900734</v>
      </c>
      <c r="CZ13" s="10">
        <f>IF(管理者入力シート!$B$14=1,CY10*管理者用人口入力シート!AT$4,IF(管理者入力シート!$B$14=2,CY10*管理者用人口入力シート!AT$8))+将来予測シート②!$H25</f>
        <v>68.096515925530809</v>
      </c>
      <c r="DA13" s="10">
        <f>IF(管理者入力シート!$B$14=1,CZ10*管理者用人口入力シート!AU$4,IF(管理者入力シート!$B$14=2,CZ10*管理者用人口入力シート!AU$8))+将来予測シート②!$H26</f>
        <v>85.154285658248398</v>
      </c>
      <c r="DB13" s="10">
        <f>IF(管理者入力シート!$B$14=1,DA10*管理者用人口入力シート!AV$4,IF(管理者入力シート!$B$14=2,DA10*管理者用人口入力シート!AV$8))+将来予測シート②!$H27</f>
        <v>106.66770300397133</v>
      </c>
      <c r="DC13" s="10">
        <f>IF(管理者入力シート!$B$14=1,DB10*管理者用人口入力シート!AW$4,IF(管理者入力シート!$B$14=2,DB10*管理者用人口入力シート!AW$8))+将来予測シート②!$H28</f>
        <v>145.74756773450264</v>
      </c>
      <c r="DD13" s="10">
        <f>IF(管理者入力シート!$B$14=1,DC10*管理者用人口入力シート!AX$4,IF(管理者入力シート!$B$14=2,DC10*管理者用人口入力シート!AX$8))+将来予測シート②!$H29</f>
        <v>147.94254051174889</v>
      </c>
      <c r="DE13" s="10">
        <f>IF(管理者入力シート!$B$14=1,DD10*管理者用人口入力シート!AY$4,IF(管理者入力シート!$B$14=2,DD10*管理者用人口入力シート!AY$8))</f>
        <v>144.47917794449404</v>
      </c>
      <c r="DF13" s="10">
        <f>IF(管理者入力シート!$B$14=1,DE10*管理者用人口入力シート!AZ$4,IF(管理者入力シート!$B$14=2,DE10*管理者用人口入力シート!AZ$8))</f>
        <v>120.99146085974401</v>
      </c>
      <c r="DG13" s="10">
        <f>IF(管理者入力シート!$B$14=1,DF10*管理者用人口入力シート!BA$4,IF(管理者入力シート!$B$14=2,DF10*管理者用人口入力シート!BA$8))</f>
        <v>145.070631670398</v>
      </c>
      <c r="DH13" s="10">
        <f>IF(管理者入力シート!$B$14=1,DG10*管理者用人口入力シート!BB$4,IF(管理者入力シート!$B$14=2,DG10*管理者用人口入力シート!BB$8))</f>
        <v>153.43342214049343</v>
      </c>
      <c r="DI13" s="10">
        <f>IF(管理者入力シート!$B$14=1,DH10*管理者用人口入力シート!BC$4,IF(管理者入力シート!$B$14=2,DH10*管理者用人口入力シート!BC$8))</f>
        <v>179.06514534721398</v>
      </c>
      <c r="DJ13" s="10">
        <f>IF(管理者入力シート!$B$14=1,DI10*管理者用人口入力シート!BD$4,IF(管理者入力シート!$B$14=2,DI10*管理者用人口入力シート!BD$8))</f>
        <v>116.72627861005896</v>
      </c>
      <c r="DK13" s="10">
        <f>IF(管理者入力シート!$B$14=1,DJ10*管理者用人口入力シート!BE$4,IF(管理者入力シート!$B$14=2,DJ10*管理者用人口入力シート!BE$8))</f>
        <v>39.215323640794097</v>
      </c>
      <c r="DL13" s="10">
        <f>IF(管理者入力シート!$B$14=1,DK10*管理者用人口入力シート!BF$4,IF(管理者入力シート!$B$14=2,DK10*管理者用人口入力シート!BF$8))</f>
        <v>8.6296157138322585</v>
      </c>
      <c r="DM13" s="10">
        <f t="shared" si="69"/>
        <v>1776.2125798851714</v>
      </c>
      <c r="DN13" s="10">
        <f t="shared" si="34"/>
        <v>45.491507265671352</v>
      </c>
      <c r="DO13" s="10">
        <f t="shared" si="35"/>
        <v>24.915789939754809</v>
      </c>
      <c r="DP13" s="10">
        <f t="shared" si="6"/>
        <v>907.61105592702859</v>
      </c>
      <c r="DQ13" s="10">
        <f t="shared" si="36"/>
        <v>642.14041712279061</v>
      </c>
      <c r="DR13" s="14">
        <f t="shared" si="37"/>
        <v>0.51098109888721976</v>
      </c>
      <c r="DS13" s="14">
        <f t="shared" si="38"/>
        <v>0.36152227745414556</v>
      </c>
      <c r="DT13" s="10">
        <f t="shared" si="70"/>
        <v>170.32556758515165</v>
      </c>
      <c r="DV13" s="62"/>
      <c r="DX13" s="29">
        <f>DX12</f>
        <v>2040</v>
      </c>
      <c r="DY13" s="4" t="s">
        <v>22</v>
      </c>
      <c r="DZ13" s="10">
        <f>FB13*$AK$14</f>
        <v>64.059423236294407</v>
      </c>
      <c r="EA13" s="10">
        <f>IF(管理者入力シート!$B$14=1,DZ10*管理者用人口入力シート!AM$4,IF(管理者入力シート!$B$14=2,DZ10*管理者用人口入力シート!AM$8))</f>
        <v>76.277367505665978</v>
      </c>
      <c r="EB13" s="10">
        <f>IF(管理者入力シート!$B$14=1,EA10*管理者用人口入力シート!AN$4,IF(管理者入力シート!$B$14=2,EA10*管理者用人口入力シート!AN$8))</f>
        <v>76.150453970259932</v>
      </c>
      <c r="EC13" s="10">
        <f>IF(管理者入力シート!$B$14=1,EB10*管理者用人口入力シート!AO$4,IF(管理者入力シート!$B$14=2,EB10*管理者用人口入力シート!AO$8))</f>
        <v>40.076916318615545</v>
      </c>
      <c r="ED13" s="10">
        <f>IF(管理者入力シート!$B$14=1,EC10*管理者用人口入力シート!AP$4,IF(管理者入力シート!$B$14=2,EC10*管理者用人口入力シート!AP$8))</f>
        <v>31.776274569647111</v>
      </c>
      <c r="EE13" s="10">
        <f>IF(管理者入力シート!$B$14=1,ED10*管理者用人口入力シート!AQ$4,IF(管理者入力シート!$B$14=2,ED10*管理者用人口入力シート!AQ$8))+DX1</f>
        <v>84.492882507746543</v>
      </c>
      <c r="EF13" s="10">
        <f>IF(管理者入力シート!$B$14=1,EE10*管理者用人口入力シート!AR$4,IF(管理者入力シート!$B$14=2,EE10*管理者用人口入力シート!AR$8))+DX1</f>
        <v>129.55446016277034</v>
      </c>
      <c r="EG13" s="10">
        <f>IF(管理者入力シート!$B$14=1,EF10*管理者用人口入力シート!AS$4,IF(管理者入力シート!$B$14=2,EF10*管理者用人口入力シート!AS$8))+DX1</f>
        <v>177.23549038286367</v>
      </c>
      <c r="EH13" s="10">
        <f>IF(管理者入力シート!$B$14=1,EG10*管理者用人口入力シート!AT$4,IF(管理者入力シート!$B$14=2,EG10*管理者用人口入力シート!AT$8))</f>
        <v>206.3413333880309</v>
      </c>
      <c r="EI13" s="10">
        <f>IF(管理者入力シート!$B$14=1,EH10*管理者用人口入力シート!AU$4,IF(管理者入力シート!$B$14=2,EH10*管理者用人口入力シート!AU$8))</f>
        <v>175.16412153548845</v>
      </c>
      <c r="EJ13" s="10">
        <f>IF(管理者入力シート!$B$14=1,EI10*管理者用人口入力シート!AV$4,IF(管理者入力シート!$B$14=2,EI10*管理者用人口入力シート!AV$8))</f>
        <v>153.19540834988067</v>
      </c>
      <c r="EK13" s="10">
        <f>IF(管理者入力シート!$B$14=1,EJ10*管理者用人口入力シート!AW$4,IF(管理者入力シート!$B$14=2,EJ10*管理者用人口入力シート!AW$8))</f>
        <v>144.58794024138507</v>
      </c>
      <c r="EL13" s="10">
        <f>IF(管理者入力シート!$B$14=1,EK10*管理者用人口入力シート!AX$4,IF(管理者入力シート!$B$14=2,EK10*管理者用人口入力シート!AX$8))</f>
        <v>147.94254051174889</v>
      </c>
      <c r="EM13" s="10">
        <f>IF(管理者入力シート!$B$14=1,EL10*管理者用人口入力シート!AY$4,IF(管理者入力シート!$B$14=2,EL10*管理者用人口入力シート!AY$8))</f>
        <v>144.47917794449404</v>
      </c>
      <c r="EN13" s="10">
        <f>IF(管理者入力シート!$B$14=1,EM10*管理者用人口入力シート!AZ$4,IF(管理者入力シート!$B$14=2,EM10*管理者用人口入力シート!AZ$8))</f>
        <v>120.99146085974401</v>
      </c>
      <c r="EO13" s="10">
        <f>IF(管理者入力シート!$B$14=1,EN10*管理者用人口入力シート!BA$4,IF(管理者入力シート!$B$14=2,EN10*管理者用人口入力シート!BA$8))</f>
        <v>145.070631670398</v>
      </c>
      <c r="EP13" s="10">
        <f>IF(管理者入力シート!$B$14=1,EO10*管理者用人口入力シート!BB$4,IF(管理者入力シート!$B$14=2,EO10*管理者用人口入力シート!BB$8))</f>
        <v>153.43342214049343</v>
      </c>
      <c r="EQ13" s="10">
        <f>IF(管理者入力シート!$B$14=1,EP10*管理者用人口入力シート!BC$4,IF(管理者入力シート!$B$14=2,EP10*管理者用人口入力シート!BC$8))</f>
        <v>179.06514534721398</v>
      </c>
      <c r="ER13" s="10">
        <f>IF(管理者入力シート!$B$14=1,EQ10*管理者用人口入力シート!BD$4,IF(管理者入力シート!$B$14=2,EQ10*管理者用人口入力シート!BD$8))</f>
        <v>116.72627861005896</v>
      </c>
      <c r="ES13" s="10">
        <f>IF(管理者入力シート!$B$14=1,ER10*管理者用人口入力シート!BE$4,IF(管理者入力シート!$B$14=2,ER10*管理者用人口入力シート!BE$8))</f>
        <v>39.215323640794097</v>
      </c>
      <c r="ET13" s="10">
        <f>IF(管理者入力シート!$B$14=1,ES10*管理者用人口入力シート!BF$4,IF(管理者入力シート!$B$14=2,ES10*管理者用人口入力シート!BF$8))</f>
        <v>8.6296157138322585</v>
      </c>
      <c r="EU13" s="10">
        <f t="shared" si="71"/>
        <v>2414.4656686074263</v>
      </c>
      <c r="EV13" s="10">
        <f t="shared" si="41"/>
        <v>91.45669288555554</v>
      </c>
      <c r="EW13" s="10">
        <f t="shared" si="42"/>
        <v>38.47556485182708</v>
      </c>
      <c r="EX13" s="10">
        <f t="shared" si="10"/>
        <v>907.61105592702859</v>
      </c>
      <c r="EY13" s="10">
        <f t="shared" si="43"/>
        <v>642.14041712279061</v>
      </c>
      <c r="EZ13" s="14">
        <f t="shared" si="44"/>
        <v>0.3759055544784386</v>
      </c>
      <c r="FA13" s="14">
        <f t="shared" si="45"/>
        <v>0.2659554970989309</v>
      </c>
      <c r="FB13" s="10">
        <f t="shared" si="72"/>
        <v>423.05910762302767</v>
      </c>
    </row>
    <row r="14" spans="1:158" x14ac:dyDescent="0.15">
      <c r="A14" s="7" t="str">
        <f t="shared" si="11"/>
        <v>2020_3</v>
      </c>
      <c r="B14" s="30">
        <v>2020</v>
      </c>
      <c r="C14" s="5" t="s">
        <v>23</v>
      </c>
      <c r="D14" s="11">
        <v>107.0562805991962</v>
      </c>
      <c r="E14" s="11">
        <v>170.07030325173548</v>
      </c>
      <c r="F14" s="11">
        <v>179.07500913408842</v>
      </c>
      <c r="G14" s="11">
        <v>222.30698575082207</v>
      </c>
      <c r="H14" s="11">
        <v>115.05383266350017</v>
      </c>
      <c r="I14" s="11">
        <v>146.10145414687614</v>
      </c>
      <c r="J14" s="11">
        <v>164.08347826086955</v>
      </c>
      <c r="K14" s="11">
        <v>227.09769090244794</v>
      </c>
      <c r="L14" s="11">
        <v>257.11792473511144</v>
      </c>
      <c r="M14" s="11">
        <v>248.10239678480087</v>
      </c>
      <c r="N14" s="11">
        <v>256.0874314943369</v>
      </c>
      <c r="O14" s="11">
        <v>299.10926561929119</v>
      </c>
      <c r="P14" s="11">
        <v>348.12423090975517</v>
      </c>
      <c r="Q14" s="11">
        <v>448.1569820971867</v>
      </c>
      <c r="R14" s="11">
        <v>422.17872122762151</v>
      </c>
      <c r="S14" s="11">
        <v>325.14060650347096</v>
      </c>
      <c r="T14" s="11">
        <v>284.06945560833026</v>
      </c>
      <c r="U14" s="11">
        <v>251.05392765801975</v>
      </c>
      <c r="V14" s="11">
        <v>145.01402265253927</v>
      </c>
      <c r="W14" s="11">
        <v>35</v>
      </c>
      <c r="X14" s="11">
        <v>5</v>
      </c>
      <c r="Y14" s="11">
        <f t="shared" si="177"/>
        <v>4654.9999999999991</v>
      </c>
      <c r="Z14" s="11">
        <f t="shared" si="179"/>
        <v>209.48718743149433</v>
      </c>
      <c r="AA14" s="11">
        <f t="shared" si="180"/>
        <v>116.09140080379979</v>
      </c>
      <c r="AB14" s="11">
        <f t="shared" si="178"/>
        <v>1915.6137157471687</v>
      </c>
      <c r="AC14" s="11">
        <f t="shared" si="181"/>
        <v>1045.2780124223602</v>
      </c>
      <c r="AD14" s="15">
        <f t="shared" si="182"/>
        <v>0.41151744699187304</v>
      </c>
      <c r="AE14" s="15">
        <f t="shared" si="183"/>
        <v>0.22454951931737066</v>
      </c>
      <c r="AF14" s="11">
        <f t="shared" si="184"/>
        <v>652.33645597369377</v>
      </c>
      <c r="AI14" s="43"/>
      <c r="AJ14" s="1" t="s">
        <v>22</v>
      </c>
      <c r="AK14" s="8">
        <f>VLOOKUP(AK12&amp;"_2",A:D,4,FALSE)/VLOOKUP(AK12&amp;"_2",A:AF,32,FALSE)</f>
        <v>0.15141955835962145</v>
      </c>
      <c r="AL14" s="63"/>
      <c r="BH14" s="7" t="str">
        <f t="shared" si="19"/>
        <v>2040_3</v>
      </c>
      <c r="BI14" s="30">
        <f>BI13</f>
        <v>2040</v>
      </c>
      <c r="BJ14" s="5" t="s">
        <v>23</v>
      </c>
      <c r="BK14" s="16">
        <f>BK12+BK13</f>
        <v>54.882215377144831</v>
      </c>
      <c r="BL14" s="16">
        <f t="shared" ref="BL14" si="185">BL12+BL13</f>
        <v>73.896371498140269</v>
      </c>
      <c r="BM14" s="16">
        <f t="shared" ref="BM14" si="186">BM12+BM13</f>
        <v>90.7409128891546</v>
      </c>
      <c r="BN14" s="16">
        <f t="shared" ref="BN14" si="187">BN12+BN13</f>
        <v>137.60147556014203</v>
      </c>
      <c r="BO14" s="16">
        <f t="shared" ref="BO14" si="188">BO12+BO13</f>
        <v>77.036437768283534</v>
      </c>
      <c r="BP14" s="16">
        <f t="shared" ref="BP14" si="189">BP12+BP13</f>
        <v>101.72111303053872</v>
      </c>
      <c r="BQ14" s="16">
        <f t="shared" ref="BQ14" si="190">BQ12+BQ13</f>
        <v>107.04882147731504</v>
      </c>
      <c r="BR14" s="16">
        <f t="shared" ref="BR14" si="191">BR12+BR13</f>
        <v>110.06318945101597</v>
      </c>
      <c r="BS14" s="16">
        <f t="shared" ref="BS14" si="192">BS12+BS13</f>
        <v>136.04385296247159</v>
      </c>
      <c r="BT14" s="16">
        <f t="shared" ref="BT14" si="193">BT12+BT13</f>
        <v>187.09313856352298</v>
      </c>
      <c r="BU14" s="16">
        <f t="shared" ref="BU14" si="194">BU12+BU13</f>
        <v>208.16578387054921</v>
      </c>
      <c r="BV14" s="16">
        <f t="shared" ref="BV14" si="195">BV12+BV13</f>
        <v>268.42379109997103</v>
      </c>
      <c r="BW14" s="16">
        <f t="shared" ref="BW14" si="196">BW12+BW13</f>
        <v>294.86430165024626</v>
      </c>
      <c r="BX14" s="16">
        <f t="shared" ref="BX14" si="197">BX12+BX13</f>
        <v>266.50093991665221</v>
      </c>
      <c r="BY14" s="16">
        <f t="shared" ref="BY14" si="198">BY12+BY13</f>
        <v>242.89514663089136</v>
      </c>
      <c r="BZ14" s="16">
        <f t="shared" ref="BZ14" si="199">BZ12+BZ13</f>
        <v>257.98221575092157</v>
      </c>
      <c r="CA14" s="16">
        <f t="shared" ref="CA14" si="200">CA12+CA13</f>
        <v>264.27993108058371</v>
      </c>
      <c r="CB14" s="16">
        <f t="shared" ref="CB14" si="201">CB12+CB13</f>
        <v>281.97359555085649</v>
      </c>
      <c r="CC14" s="16">
        <f t="shared" ref="CC14" si="202">CC12+CC13</f>
        <v>163.4311252860054</v>
      </c>
      <c r="CD14" s="16">
        <f t="shared" ref="CD14" si="203">CD12+CD13</f>
        <v>49.585704232806194</v>
      </c>
      <c r="CE14" s="16">
        <f t="shared" ref="CE14" si="204">CE12+CE13</f>
        <v>8.638311296389082</v>
      </c>
      <c r="CF14" s="11">
        <f t="shared" si="2"/>
        <v>3382.8683749436013</v>
      </c>
      <c r="CG14" s="11">
        <f t="shared" si="20"/>
        <v>98.78237063237691</v>
      </c>
      <c r="CH14" s="11">
        <f t="shared" si="21"/>
        <v>63.816660267690246</v>
      </c>
      <c r="CI14" s="11">
        <f t="shared" si="3"/>
        <v>1535.286969745106</v>
      </c>
      <c r="CJ14" s="11">
        <f t="shared" si="22"/>
        <v>1025.8908831975625</v>
      </c>
      <c r="CK14" s="15">
        <f t="shared" si="23"/>
        <v>0.45384176964044665</v>
      </c>
      <c r="CL14" s="15">
        <f t="shared" si="24"/>
        <v>0.30326065619229597</v>
      </c>
      <c r="CM14" s="11">
        <f t="shared" si="25"/>
        <v>395.86956172715327</v>
      </c>
      <c r="CO14" s="7" t="str">
        <f t="shared" si="26"/>
        <v>2040_3</v>
      </c>
      <c r="CP14" s="30">
        <f>CP13</f>
        <v>2040</v>
      </c>
      <c r="CQ14" s="5" t="s">
        <v>23</v>
      </c>
      <c r="CR14" s="16">
        <f>CR12+CR13</f>
        <v>59.521835194363888</v>
      </c>
      <c r="CS14" s="16">
        <f t="shared" ref="CS14" si="205">CS12+CS13</f>
        <v>79.039920002858139</v>
      </c>
      <c r="CT14" s="16">
        <f t="shared" ref="CT14" si="206">CT12+CT13</f>
        <v>97.073515960315746</v>
      </c>
      <c r="CU14" s="16">
        <f t="shared" ref="CU14" si="207">CU12+CU13</f>
        <v>143.31832620110455</v>
      </c>
      <c r="CV14" s="16">
        <f t="shared" ref="CV14" si="208">CV12+CV13</f>
        <v>78.171109040263616</v>
      </c>
      <c r="CW14" s="16">
        <f t="shared" ref="CW14" si="209">CW12+CW13</f>
        <v>106.81466667519834</v>
      </c>
      <c r="CX14" s="16">
        <f t="shared" ref="CX14" si="210">CX12+CX13</f>
        <v>111.41077704580252</v>
      </c>
      <c r="CY14" s="16">
        <f t="shared" ref="CY14" si="211">CY12+CY13</f>
        <v>114.81717579213853</v>
      </c>
      <c r="CZ14" s="16">
        <f t="shared" ref="CZ14" si="212">CZ12+CZ13</f>
        <v>141.99926282325978</v>
      </c>
      <c r="DA14" s="16">
        <f t="shared" ref="DA14" si="213">DA12+DA13</f>
        <v>188.11721681818213</v>
      </c>
      <c r="DB14" s="16">
        <f t="shared" ref="DB14" si="214">DB12+DB13</f>
        <v>209.30307853019724</v>
      </c>
      <c r="DC14" s="16">
        <f t="shared" ref="DC14" si="215">DC12+DC13</f>
        <v>269.5834185930886</v>
      </c>
      <c r="DD14" s="16">
        <f t="shared" ref="DD14" si="216">DD12+DD13</f>
        <v>294.86430165024626</v>
      </c>
      <c r="DE14" s="16">
        <f t="shared" ref="DE14" si="217">DE12+DE13</f>
        <v>266.50093991665221</v>
      </c>
      <c r="DF14" s="16">
        <f t="shared" ref="DF14" si="218">DF12+DF13</f>
        <v>242.89514663089136</v>
      </c>
      <c r="DG14" s="16">
        <f t="shared" ref="DG14" si="219">DG12+DG13</f>
        <v>257.98221575092157</v>
      </c>
      <c r="DH14" s="16">
        <f t="shared" ref="DH14" si="220">DH12+DH13</f>
        <v>264.27993108058371</v>
      </c>
      <c r="DI14" s="16">
        <f t="shared" ref="DI14" si="221">DI12+DI13</f>
        <v>281.97359555085649</v>
      </c>
      <c r="DJ14" s="16">
        <f t="shared" ref="DJ14" si="222">DJ12+DJ13</f>
        <v>163.4311252860054</v>
      </c>
      <c r="DK14" s="16">
        <f t="shared" ref="DK14" si="223">DK12+DK13</f>
        <v>49.585704232806194</v>
      </c>
      <c r="DL14" s="16">
        <f t="shared" ref="DL14" si="224">DL12+DL13</f>
        <v>8.638311296389082</v>
      </c>
      <c r="DM14" s="11">
        <f t="shared" si="69"/>
        <v>3429.3215740721248</v>
      </c>
      <c r="DN14" s="11">
        <f t="shared" si="34"/>
        <v>105.66806157790433</v>
      </c>
      <c r="DO14" s="11">
        <f t="shared" si="35"/>
        <v>67.493071624347209</v>
      </c>
      <c r="DP14" s="11">
        <f t="shared" si="6"/>
        <v>1535.286969745106</v>
      </c>
      <c r="DQ14" s="11">
        <f t="shared" si="36"/>
        <v>1025.8908831975625</v>
      </c>
      <c r="DR14" s="15">
        <f t="shared" si="37"/>
        <v>0.44769408076304723</v>
      </c>
      <c r="DS14" s="15">
        <f t="shared" si="38"/>
        <v>0.29915272191268294</v>
      </c>
      <c r="DT14" s="11">
        <f t="shared" si="70"/>
        <v>411.21372855340303</v>
      </c>
      <c r="DX14" s="30">
        <f>DX13</f>
        <v>2040</v>
      </c>
      <c r="DY14" s="5" t="s">
        <v>23</v>
      </c>
      <c r="DZ14" s="16">
        <f>DZ12+DZ13</f>
        <v>142.87424143765423</v>
      </c>
      <c r="EA14" s="16">
        <f t="shared" ref="EA14" si="225">EA12+EA13</f>
        <v>175.054540096474</v>
      </c>
      <c r="EB14" s="16">
        <f t="shared" ref="EB14" si="226">EB12+EB13</f>
        <v>180.40236072087504</v>
      </c>
      <c r="EC14" s="16">
        <f t="shared" ref="EC14" si="227">EC12+EC13</f>
        <v>137.60147556014203</v>
      </c>
      <c r="ED14" s="16">
        <f t="shared" ref="ED14" si="228">ED12+ED13</f>
        <v>77.036437768283534</v>
      </c>
      <c r="EE14" s="16">
        <f t="shared" ref="EE14" si="229">EE12+EE13</f>
        <v>181.72111303053873</v>
      </c>
      <c r="EF14" s="16">
        <f t="shared" ref="EF14" si="230">EF12+EF13</f>
        <v>274.28793284706455</v>
      </c>
      <c r="EG14" s="16">
        <f t="shared" ref="EG14" si="231">EG12+EG13</f>
        <v>372.24391642113562</v>
      </c>
      <c r="EH14" s="16">
        <f t="shared" ref="EH14" si="232">EH12+EH13</f>
        <v>409.28613389051327</v>
      </c>
      <c r="EI14" s="16">
        <f t="shared" ref="EI14" si="233">EI12+EI13</f>
        <v>368.66247196585209</v>
      </c>
      <c r="EJ14" s="16">
        <f t="shared" ref="EJ14" si="234">EJ12+EJ13</f>
        <v>301.50148558362878</v>
      </c>
      <c r="EK14" s="16">
        <f t="shared" ref="EK14" si="235">EK12+EK13</f>
        <v>268.42379109997103</v>
      </c>
      <c r="EL14" s="16">
        <f t="shared" ref="EL14" si="236">EL12+EL13</f>
        <v>294.86430165024626</v>
      </c>
      <c r="EM14" s="16">
        <f t="shared" ref="EM14" si="237">EM12+EM13</f>
        <v>266.50093991665221</v>
      </c>
      <c r="EN14" s="16">
        <f t="shared" ref="EN14" si="238">EN12+EN13</f>
        <v>242.89514663089136</v>
      </c>
      <c r="EO14" s="16">
        <f t="shared" ref="EO14" si="239">EO12+EO13</f>
        <v>257.98221575092157</v>
      </c>
      <c r="EP14" s="16">
        <f t="shared" ref="EP14" si="240">EP12+EP13</f>
        <v>264.27993108058371</v>
      </c>
      <c r="EQ14" s="16">
        <f t="shared" ref="EQ14" si="241">EQ12+EQ13</f>
        <v>281.97359555085649</v>
      </c>
      <c r="ER14" s="16">
        <f t="shared" ref="ER14" si="242">ER12+ER13</f>
        <v>163.4311252860054</v>
      </c>
      <c r="ES14" s="16">
        <f t="shared" ref="ES14" si="243">ES12+ES13</f>
        <v>49.585704232806194</v>
      </c>
      <c r="ET14" s="16">
        <f t="shared" ref="ET14" si="244">ET12+ET13</f>
        <v>8.638311296389082</v>
      </c>
      <c r="EU14" s="11">
        <f t="shared" si="71"/>
        <v>4719.2471718174847</v>
      </c>
      <c r="EV14" s="11">
        <f t="shared" si="41"/>
        <v>213.27414049040942</v>
      </c>
      <c r="EW14" s="11">
        <f t="shared" si="42"/>
        <v>99.681239400378416</v>
      </c>
      <c r="EX14" s="11">
        <f t="shared" si="10"/>
        <v>1535.286969745106</v>
      </c>
      <c r="EY14" s="11">
        <f t="shared" si="43"/>
        <v>1025.8908831975625</v>
      </c>
      <c r="EZ14" s="15">
        <f t="shared" si="44"/>
        <v>0.32532455153304329</v>
      </c>
      <c r="FA14" s="15">
        <f t="shared" si="45"/>
        <v>0.2173844356625359</v>
      </c>
      <c r="FB14" s="11">
        <f t="shared" si="72"/>
        <v>905.28940006702248</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28.272816825656033</v>
      </c>
      <c r="BL15" s="9">
        <f>IF(管理者入力シート!$B$14=1,BK12*管理者用人口入力シート!AM$3,IF(管理者入力シート!$B$14=2,BK12*管理者用人口入力シート!AM$7))</f>
        <v>35.601843449630685</v>
      </c>
      <c r="BM15" s="9">
        <f>IF(管理者入力シート!$B$14=1,BL12*管理者用人口入力シート!AN$3,IF(管理者入力シート!$B$14=2,BL12*管理者用人口入力シート!AN$7))</f>
        <v>46.969260402899472</v>
      </c>
      <c r="BN15" s="9">
        <f>IF(管理者入力シート!$B$14=1,BM12*管理者用人口入力シート!AO$3,IF(管理者入力シート!$B$14=2,BM12*管理者用人口入力シート!AO$7))</f>
        <v>84.279938464908284</v>
      </c>
      <c r="BO15" s="9">
        <f>IF(管理者入力シート!$B$14=1,BN12*管理者用人口入力シート!AP$3,IF(管理者入力シート!$B$14=2,BN12*管理者用人口入力シート!AP$7))</f>
        <v>35.106734721024544</v>
      </c>
      <c r="BP15" s="9">
        <f>IF(管理者入力シート!$B$14=1,BO12*管理者用人口入力シート!AQ$3,IF(管理者入力シート!$B$14=2,BO12*管理者用人口入力シート!AQ$7))</f>
        <v>48.425853397091757</v>
      </c>
      <c r="BQ15" s="9">
        <f>IF(管理者入力シート!$B$14=1,BP12*管理者用人口入力シート!AR$3,IF(管理者入力シート!$B$14=2,BP12*管理者用人口入力シート!AR$7))</f>
        <v>60.254035396432556</v>
      </c>
      <c r="BR15" s="9">
        <f>IF(管理者入力シート!$B$14=1,BQ12*管理者用人口入力シート!AS$3,IF(管理者入力シート!$B$14=2,BQ12*管理者用人口入力シート!AS$7))</f>
        <v>66.157225807381579</v>
      </c>
      <c r="BS15" s="9">
        <f>IF(管理者入力シート!$B$14=1,BR12*管理者用人口入力シート!AT$3,IF(管理者入力シート!$B$14=2,BR12*管理者用人口入力シート!AT$7))</f>
        <v>70.725764559155124</v>
      </c>
      <c r="BT15" s="9">
        <f>IF(管理者入力シート!$B$14=1,BS12*管理者用人口入力シート!AU$3,IF(管理者入力シート!$B$14=2,BS12*管理者用人口入力シート!AU$7))</f>
        <v>76.044788566098433</v>
      </c>
      <c r="BU15" s="9">
        <f>IF(管理者入力シート!$B$14=1,BT12*管理者用人口入力シート!AV$3,IF(管理者入力シート!$B$14=2,BT12*管理者用人口入力シート!AV$7))</f>
        <v>106.81473447035327</v>
      </c>
      <c r="BV15" s="9">
        <f>IF(管理者入力シート!$B$14=1,BU12*管理者用人口入力シート!AW$3,IF(管理者入力シート!$B$14=2,BU12*管理者用人口入力シート!AW$7))</f>
        <v>102.97916311203004</v>
      </c>
      <c r="BW15" s="9">
        <f>IF(管理者入力シート!$B$14=1,BV12*管理者用人口入力シート!AX$3,IF(管理者入力シート!$B$14=2,BV12*管理者用人口入力シート!AX$7))</f>
        <v>125.51502888500308</v>
      </c>
      <c r="BX15" s="9">
        <f>IF(管理者入力シート!$B$14=1,BW12*管理者用人口入力シート!AY$3,IF(管理者入力シート!$B$14=2,BW12*管理者用人口入力シート!AY$7))</f>
        <v>141.48808061485522</v>
      </c>
      <c r="BY15" s="9">
        <f>IF(管理者入力シート!$B$14=1,BX12*管理者用人口入力シート!AZ$3,IF(管理者入力シート!$B$14=2,BX12*管理者用人口入力シート!AZ$7))</f>
        <v>114.1252482352815</v>
      </c>
      <c r="BZ15" s="9">
        <f>IF(管理者入力シート!$B$14=1,BY12*管理者用人口入力シート!BA$3,IF(管理者入力シート!$B$14=2,BY12*管理者用人口入力シート!BA$7))</f>
        <v>103.90409932089648</v>
      </c>
      <c r="CA15" s="9">
        <f>IF(管理者入力シート!$B$14=1,BZ12*管理者用人口入力シート!BB$3,IF(管理者入力シート!$B$14=2,BZ12*管理者用人口入力シート!BB$7))</f>
        <v>96.39636716351481</v>
      </c>
      <c r="CB15" s="9">
        <f>IF(管理者入力シート!$B$14=1,CA12*管理者用人口入力シート!BC$3,IF(管理者入力シート!$B$14=2,CA12*管理者用人口入力シート!BC$7))</f>
        <v>77.89958750654354</v>
      </c>
      <c r="CC15" s="9">
        <f>IF(管理者入力シート!$B$14=1,CB12*管理者用人口入力シート!BD$3,IF(管理者入力シート!$B$14=2,CB12*管理者用人口入力シート!BD$7))</f>
        <v>45.364558642255595</v>
      </c>
      <c r="CD15" s="9">
        <f>IF(管理者入力シート!$B$14=1,CC12*管理者用人口入力シート!BE$3,IF(管理者入力シート!$B$14=2,CC12*管理者用人口入力シート!BE$7))</f>
        <v>11.294419009476218</v>
      </c>
      <c r="CE15" s="9">
        <f>IF(管理者入力シート!$B$14=1,CD12*管理者用人口入力シート!BF$3,IF(管理者入力シート!$B$14=2,CD12*管理者用人口入力シート!BF$7))</f>
        <v>1.0370380592012101E-2</v>
      </c>
      <c r="CF15" s="9">
        <f t="shared" ref="CF15:CF20" si="252">SUM(BK15:CE15)</f>
        <v>1477.6299189310803</v>
      </c>
      <c r="CG15" s="9">
        <f t="shared" ref="CG15:CG20" si="253">BL15*3/5+BM15*3/5</f>
        <v>49.5426623115181</v>
      </c>
      <c r="CH15" s="9">
        <f t="shared" ref="CH15:CH20" si="254">BM15*2/5+BN15*1/5</f>
        <v>35.643691854141444</v>
      </c>
      <c r="CI15" s="9">
        <f t="shared" ref="CI15:CI20" si="255">SUM(BX15:CE15)</f>
        <v>590.48273087341533</v>
      </c>
      <c r="CJ15" s="9">
        <f t="shared" ref="CJ15:CJ20" si="256">SUM(BZ15:CE15)</f>
        <v>334.86940202327861</v>
      </c>
      <c r="CK15" s="13">
        <f t="shared" ref="CK15:CK20" si="257">CI15/CF15</f>
        <v>0.39961476368898341</v>
      </c>
      <c r="CL15" s="13">
        <f t="shared" ref="CL15:CL20" si="258">CJ15/CF15</f>
        <v>0.22662602978797536</v>
      </c>
      <c r="CM15" s="9">
        <f t="shared" ref="CM15:CM20" si="259">SUM(BO15:BR15)</f>
        <v>209.94384932193043</v>
      </c>
      <c r="CO15" s="7" t="str">
        <f t="shared" si="26"/>
        <v>2045_1</v>
      </c>
      <c r="CP15" s="28">
        <f>管理者入力シート!B12</f>
        <v>2045</v>
      </c>
      <c r="CQ15" s="3" t="s">
        <v>21</v>
      </c>
      <c r="CR15" s="9">
        <f>DT16*$AK$13+将来予測シート②!$G17</f>
        <v>30.951986387337577</v>
      </c>
      <c r="CS15" s="9">
        <f>IF(管理者入力シート!$B$14=1,CR12*管理者用人口入力シート!AM$3,IF(管理者入力シート!$B$14=2,CR12*管理者用人口入力シート!AM$7))+将来予測シート②!$G18</f>
        <v>38.490097551686198</v>
      </c>
      <c r="CT15" s="9">
        <f>IF(管理者入力シート!$B$14=1,CS12*管理者用人口入力シート!AN$3,IF(管理者入力シート!$B$14=2,CS12*管理者用人口入力シート!AN$7))+将来予測シート②!$G19</f>
        <v>51.1056016073275</v>
      </c>
      <c r="CU15" s="9">
        <f>IF(管理者入力シート!$B$14=1,CT12*管理者用人口入力シート!AO$3,IF(管理者入力シート!$B$14=2,CT12*管理者用人口入力シート!AO$7))+将来予測シート②!$G20</f>
        <v>89.704283597214598</v>
      </c>
      <c r="CV15" s="9">
        <f>IF(管理者入力シート!$B$14=1,CU12*管理者用人口入力シート!AP$3,IF(管理者入力シート!$B$14=2,CU12*管理者用人口入力シート!AP$7))+将来予測シート②!$G21</f>
        <v>36.451694806095986</v>
      </c>
      <c r="CW15" s="9">
        <f>IF(管理者入力シート!$B$14=1,CV12*管理者用人口入力シート!AQ$3,IF(管理者入力シート!$B$14=2,CV12*管理者用人口入力シート!AQ$7))+将来予測シート②!$G22</f>
        <v>51.04489079080092</v>
      </c>
      <c r="CX15" s="9">
        <f>IF(管理者入力シート!$B$14=1,CW12*管理者用人口入力シート!AR$3,IF(管理者入力シート!$B$14=2,CW12*管理者用人口入力シート!AR$7))+将来予測シート②!$G23</f>
        <v>63.011548085249359</v>
      </c>
      <c r="CY15" s="9">
        <f>IF(管理者入力シート!$B$14=1,CX12*管理者用人口入力シート!AS$3,IF(管理者入力シート!$B$14=2,CX12*管理者用人口入力シート!AS$7))+将来予測シート②!$G24</f>
        <v>68.381969390770308</v>
      </c>
      <c r="CZ15" s="9">
        <f>IF(管理者入力シート!$B$14=1,CY12*管理者用人口入力シート!AT$3,IF(管理者入力シート!$B$14=2,CY12*管理者用人口入力シート!AT$7))+将来予測シート②!$G25</f>
        <v>73.031105789120119</v>
      </c>
      <c r="DA15" s="9">
        <f>IF(管理者入力シート!$B$14=1,CZ12*管理者用人口入力シート!AU$3,IF(管理者入力シート!$B$14=2,CZ12*管理者用人口入力シート!AU$7))+将来予測シート②!$G26</f>
        <v>78.493329609874365</v>
      </c>
      <c r="DB15" s="9">
        <f>IF(管理者入力シート!$B$14=1,DA12*管理者用人口入力シート!AV$3,IF(管理者入力シート!$B$14=2,DA12*管理者用人口入力シート!AV$7))+将来予測シート②!$G27</f>
        <v>106.81473447035327</v>
      </c>
      <c r="DC15" s="9">
        <f>IF(管理者入力シート!$B$14=1,DB12*管理者用人口入力シート!AW$3,IF(管理者入力シート!$B$14=2,DB12*管理者用人口入力シート!AW$7))+将来予測シート②!$G28</f>
        <v>102.97916311203004</v>
      </c>
      <c r="DD15" s="9">
        <f>IF(管理者入力シート!$B$14=1,DC12*管理者用人口入力シート!AX$3,IF(管理者入力シート!$B$14=2,DC12*管理者用人口入力シート!AX$7))+将来予測シート②!$G29</f>
        <v>125.51502888500308</v>
      </c>
      <c r="DE15" s="9">
        <f>IF(管理者入力シート!$B$14=1,DD12*管理者用人口入力シート!AY$3,IF(管理者入力シート!$B$14=2,DD12*管理者用人口入力シート!AY$7))</f>
        <v>141.48808061485522</v>
      </c>
      <c r="DF15" s="9">
        <f>IF(管理者入力シート!$B$14=1,DE12*管理者用人口入力シート!AZ$3,IF(管理者入力シート!$B$14=2,DE12*管理者用人口入力シート!AZ$7))</f>
        <v>114.1252482352815</v>
      </c>
      <c r="DG15" s="9">
        <f>IF(管理者入力シート!$B$14=1,DF12*管理者用人口入力シート!BA$3,IF(管理者入力シート!$B$14=2,DF12*管理者用人口入力シート!BA$7))</f>
        <v>103.90409932089648</v>
      </c>
      <c r="DH15" s="9">
        <f>IF(管理者入力シート!$B$14=1,DG12*管理者用人口入力シート!BB$3,IF(管理者入力シート!$B$14=2,DG12*管理者用人口入力シート!BB$7))</f>
        <v>96.39636716351481</v>
      </c>
      <c r="DI15" s="9">
        <f>IF(管理者入力シート!$B$14=1,DH12*管理者用人口入力シート!BC$3,IF(管理者入力シート!$B$14=2,DH12*管理者用人口入力シート!BC$7))</f>
        <v>77.89958750654354</v>
      </c>
      <c r="DJ15" s="9">
        <f>IF(管理者入力シート!$B$14=1,DI12*管理者用人口入力シート!BD$3,IF(管理者入力シート!$B$14=2,DI12*管理者用人口入力シート!BD$7))</f>
        <v>45.364558642255595</v>
      </c>
      <c r="DK15" s="9">
        <f>IF(管理者入力シート!$B$14=1,DJ12*管理者用人口入力シート!BE$3,IF(管理者入力シート!$B$14=2,DJ12*管理者用人口入力シート!BE$7))</f>
        <v>11.294419009476218</v>
      </c>
      <c r="DL15" s="9">
        <f>IF(管理者入力シート!$B$14=1,DK12*管理者用人口入力シート!BF$3,IF(管理者入力シート!$B$14=2,DK12*管理者用人口入力シート!BF$7))</f>
        <v>1.0370380592012101E-2</v>
      </c>
      <c r="DM15" s="9">
        <f t="shared" ref="DM15:DM20" si="260">SUM(CR15:DL15)</f>
        <v>1506.4581649562792</v>
      </c>
      <c r="DN15" s="9">
        <f t="shared" ref="DN15:DN20" si="261">CS15*3/5+CT15*3/5</f>
        <v>53.757419495408215</v>
      </c>
      <c r="DO15" s="9">
        <f t="shared" ref="DO15:DO20" si="262">CT15*2/5+CU15*1/5</f>
        <v>38.383097362373917</v>
      </c>
      <c r="DP15" s="9">
        <f t="shared" ref="DP15:DP20" si="263">SUM(DE15:DL15)</f>
        <v>590.48273087341533</v>
      </c>
      <c r="DQ15" s="9">
        <f t="shared" ref="DQ15:DQ20" si="264">SUM(DG15:DL15)</f>
        <v>334.86940202327861</v>
      </c>
      <c r="DR15" s="13">
        <f t="shared" ref="DR15:DR20" si="265">DP15/DM15</f>
        <v>0.39196755980976905</v>
      </c>
      <c r="DS15" s="13">
        <f t="shared" ref="DS15:DS20" si="266">DQ15/DM15</f>
        <v>0.22228921440576299</v>
      </c>
      <c r="DT15" s="9">
        <f t="shared" ref="DT15:DT20" si="267">SUM(CV15:CY15)</f>
        <v>218.89010307291656</v>
      </c>
      <c r="DV15" s="62" t="s">
        <v>404</v>
      </c>
      <c r="DW15" s="210">
        <f>AK13+AK14</f>
        <v>0.33771697349904162</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22.979693164929195</v>
      </c>
      <c r="BL16" s="10">
        <f>IF(管理者入力シート!$B$14=1,BK13*管理者用人口入力シート!AM$4,IF(管理者入力シート!$B$14=2,BK13*管理者用人口入力シート!AM$8))</f>
        <v>27.492332747124777</v>
      </c>
      <c r="BM16" s="10">
        <f>IF(管理者入力シート!$B$14=1,BL13*管理者用人口入力シート!AN$4,IF(管理者入力シート!$B$14=2,BL13*管理者用人口入力シート!AN$8))</f>
        <v>34.308537980836945</v>
      </c>
      <c r="BN16" s="10">
        <f>IF(管理者入力シート!$B$14=1,BM13*管理者用人口入力シート!AO$4,IF(管理者入力シート!$B$14=2,BM13*管理者用人口入力シート!AO$8))</f>
        <v>34.634148233688833</v>
      </c>
      <c r="BO16" s="10">
        <f>IF(管理者入力シート!$B$14=1,BN13*管理者用人口入力シート!AP$4,IF(管理者入力シート!$B$14=2,BN13*管理者用人口入力シート!AP$8))</f>
        <v>24.647751198843405</v>
      </c>
      <c r="BP16" s="10">
        <f>IF(管理者入力シート!$B$14=1,BO13*管理者用人口入力シート!AQ$4,IF(管理者入力シート!$B$14=2,BO13*管理者用人口入力シート!AQ$8))</f>
        <v>27.114398796357392</v>
      </c>
      <c r="BQ16" s="10">
        <f>IF(管理者入力シート!$B$14=1,BP13*管理者用人口入力シート!AR$4,IF(管理者入力シート!$B$14=2,BP13*管理者用人口入力シート!AR$8))</f>
        <v>50.192651782400041</v>
      </c>
      <c r="BR16" s="10">
        <f>IF(管理者入力シート!$B$14=1,BQ13*管理者用人口入力シート!AS$4,IF(管理者入力シート!$B$14=2,BQ13*管理者用人口入力シート!AS$8))</f>
        <v>49.806921832452382</v>
      </c>
      <c r="BS16" s="10">
        <f>IF(管理者入力シート!$B$14=1,BR13*管理者用人口入力シート!AT$4,IF(管理者入力シート!$B$14=2,BR13*管理者用人口入力シート!AT$8))</f>
        <v>43.807420217924928</v>
      </c>
      <c r="BT16" s="10">
        <f>IF(管理者入力シート!$B$14=1,BS13*管理者用人口入力シート!AU$4,IF(管理者入力シート!$B$14=2,BS13*管理者用人口入力シート!AU$8))</f>
        <v>65.998205264545135</v>
      </c>
      <c r="BU16" s="10">
        <f>IF(管理者入力シート!$B$14=1,BT13*管理者用人口入力シート!AV$4,IF(管理者入力シート!$B$14=2,BT13*管理者用人口入力シート!AV$8))</f>
        <v>93.43117594761496</v>
      </c>
      <c r="BV16" s="10">
        <f>IF(管理者入力シート!$B$14=1,BU13*管理者用人口入力シート!AW$4,IF(管理者入力シート!$B$14=2,BU13*管理者用人口入力シート!AW$8))</f>
        <v>107.6026883955263</v>
      </c>
      <c r="BW16" s="10">
        <f>IF(管理者入力シート!$B$14=1,BV13*管理者用人口入力シート!AX$4,IF(管理者入力シート!$B$14=2,BV13*管理者用人口入力シート!AX$8))</f>
        <v>146.39832059936469</v>
      </c>
      <c r="BX16" s="10">
        <f>IF(管理者入力シート!$B$14=1,BW13*管理者用人口入力シート!AY$4,IF(管理者入力シート!$B$14=2,BW13*管理者用人口入力シート!AY$8))</f>
        <v>145.64614087798219</v>
      </c>
      <c r="BY16" s="10">
        <f>IF(管理者入力シート!$B$14=1,BX13*管理者用人口入力シート!AZ$4,IF(管理者入力シート!$B$14=2,BX13*管理者用人口入力シート!AZ$8))</f>
        <v>139.82970265008362</v>
      </c>
      <c r="BZ16" s="10">
        <f>IF(管理者入力シート!$B$14=1,BY13*管理者用人口入力シート!BA$4,IF(管理者入力シート!$B$14=2,BY13*管理者用人口入力シート!BA$8))</f>
        <v>118.14338124273026</v>
      </c>
      <c r="CA16" s="10">
        <f>IF(管理者入力シート!$B$14=1,BZ13*管理者用人口入力シート!BB$4,IF(管理者入力シート!$B$14=2,BZ13*管理者用人口入力シート!BB$8))</f>
        <v>133.65699270572495</v>
      </c>
      <c r="CB16" s="10">
        <f>IF(管理者入力シート!$B$14=1,CA13*管理者用人口入力シート!BC$4,IF(管理者入力シート!$B$14=2,CA13*管理者用人口入力シート!BC$8))</f>
        <v>135.42975071772088</v>
      </c>
      <c r="CC16" s="10">
        <f>IF(管理者入力シート!$B$14=1,CB13*管理者用人口入力シート!BD$4,IF(管理者入力シート!$B$14=2,CB13*管理者用人口入力シート!BD$8))</f>
        <v>122.42786420619535</v>
      </c>
      <c r="CD16" s="10">
        <f>IF(管理者入力シート!$B$14=1,CC13*管理者用人口入力シート!BE$4,IF(管理者入力シート!$B$14=2,CC13*管理者用人口入力シート!BE$8))</f>
        <v>50.508135249118062</v>
      </c>
      <c r="CE16" s="10">
        <f>IF(管理者入力シート!$B$14=1,CD13*管理者用人口入力シート!BF$4,IF(管理者入力シート!$B$14=2,CD13*管理者用人口入力シート!BF$8))</f>
        <v>7.7140413477462921</v>
      </c>
      <c r="CF16" s="10">
        <f t="shared" si="252"/>
        <v>1581.7702551589109</v>
      </c>
      <c r="CG16" s="10">
        <f t="shared" si="253"/>
        <v>37.080522436777031</v>
      </c>
      <c r="CH16" s="10">
        <f t="shared" si="254"/>
        <v>20.650244839072545</v>
      </c>
      <c r="CI16" s="10">
        <f t="shared" si="255"/>
        <v>853.35600899730161</v>
      </c>
      <c r="CJ16" s="10">
        <f t="shared" si="256"/>
        <v>567.88016546923575</v>
      </c>
      <c r="CK16" s="14">
        <f t="shared" si="257"/>
        <v>0.53949428256986032</v>
      </c>
      <c r="CL16" s="14">
        <f t="shared" si="258"/>
        <v>0.35901557992831534</v>
      </c>
      <c r="CM16" s="10">
        <f t="shared" si="259"/>
        <v>151.76172361005322</v>
      </c>
      <c r="CO16" s="7" t="str">
        <f t="shared" si="26"/>
        <v>2045_2</v>
      </c>
      <c r="CP16" s="29">
        <f>CP15</f>
        <v>2045</v>
      </c>
      <c r="CQ16" s="4" t="s">
        <v>22</v>
      </c>
      <c r="CR16" s="10">
        <f>DT16*$AK$14+将来予測シート②!$H17</f>
        <v>25.344495318788699</v>
      </c>
      <c r="CS16" s="10">
        <f>IF(管理者入力シート!$B$14=1,CR13*管理者用人口入力シート!AM$4,IF(管理者入力シート!$B$14=2,CR13*管理者用人口入力シート!AM$8))+将来予測シート②!$H18</f>
        <v>29.931857687453359</v>
      </c>
      <c r="CT16" s="10">
        <f>IF(管理者入力シート!$B$14=1,CS13*管理者用人口入力シート!AN$4,IF(管理者入力シート!$B$14=2,CS13*管理者用人口入力シート!AN$8))+将来予測シート②!$H19</f>
        <v>37.822337330978925</v>
      </c>
      <c r="CU16" s="10">
        <f>IF(管理者入力シート!$B$14=1,CT13*管理者用人口入力シート!AO$4,IF(管理者入力シート!$B$14=2,CT13*管理者用人口入力シート!AO$8))+将来予測シート②!$H20</f>
        <v>37.308493794182247</v>
      </c>
      <c r="CV16" s="10">
        <f>IF(管理者入力シート!$B$14=1,CU13*管理者用人口入力シート!AP$4,IF(管理者入力シート!$B$14=2,CU13*管理者用人口入力シート!AP$8))+将来予測シート②!$H21</f>
        <v>25.865858449865968</v>
      </c>
      <c r="CW16" s="10">
        <f>IF(管理者入力シート!$B$14=1,CV13*管理者用人口入力シート!AQ$4,IF(管理者入力シート!$B$14=2,CV13*管理者用人口入力シート!AQ$8))+将来予測シート②!$H22</f>
        <v>29.58891504730784</v>
      </c>
      <c r="CX16" s="10">
        <f>IF(管理者入力シート!$B$14=1,CW13*管理者用人口入力シート!AR$4,IF(管理者入力シート!$B$14=2,CW13*管理者用人口入力シート!AR$8))+将来予測シート②!$H23</f>
        <v>52.984166413807024</v>
      </c>
      <c r="CY16" s="10">
        <f>IF(管理者入力シート!$B$14=1,CX13*管理者用人口入力シート!AS$4,IF(管理者入力シート!$B$14=2,CX13*管理者用人口入力シート!AS$8))+将来予測シート②!$H24</f>
        <v>52.3361645901862</v>
      </c>
      <c r="CZ16" s="10">
        <f>IF(管理者入力シート!$B$14=1,CY13*管理者用人口入力シート!AT$4,IF(管理者入力シート!$B$14=2,CY13*管理者用人口入力シート!AT$8))+将来予測シート②!$H25</f>
        <v>47.457488848748127</v>
      </c>
      <c r="DA16" s="10">
        <f>IF(管理者入力シート!$B$14=1,CZ13*管理者用人口入力シート!AU$4,IF(管理者入力シート!$B$14=2,CZ13*管理者用人口入力シート!AU$8))+将来予測シート②!$H26</f>
        <v>69.73616117738456</v>
      </c>
      <c r="DB16" s="10">
        <f>IF(管理者入力シート!$B$14=1,DA13*管理者用人口入力シート!AV$4,IF(管理者入力シート!$B$14=2,DA13*管理者用人口入力シート!AV$8))+将来予測シート②!$H27</f>
        <v>94.568470607262995</v>
      </c>
      <c r="DC16" s="10">
        <f>IF(管理者入力シート!$B$14=1,DB13*管理者用人口入力シート!AW$4,IF(管理者入力シート!$B$14=2,DB13*管理者用人口入力シート!AW$8))+将来予測シート②!$H28</f>
        <v>108.76231588864387</v>
      </c>
      <c r="DD16" s="10">
        <f>IF(管理者入力シート!$B$14=1,DC13*管理者用人口入力シート!AX$4,IF(管理者入力シート!$B$14=2,DC13*管理者用人口入力シート!AX$8))+将来予測シート②!$H29</f>
        <v>147.57246774628331</v>
      </c>
      <c r="DE16" s="10">
        <f>IF(管理者入力シート!$B$14=1,DD13*管理者用人口入力シート!AY$4,IF(管理者入力シート!$B$14=2,DD13*管理者用人口入力シート!AY$8))</f>
        <v>145.64614087798219</v>
      </c>
      <c r="DF16" s="10">
        <f>IF(管理者入力シート!$B$14=1,DE13*管理者用人口入力シート!AZ$4,IF(管理者入力シート!$B$14=2,DE13*管理者用人口入力シート!AZ$8))</f>
        <v>139.82970265008362</v>
      </c>
      <c r="DG16" s="10">
        <f>IF(管理者入力シート!$B$14=1,DF13*管理者用人口入力シート!BA$4,IF(管理者入力シート!$B$14=2,DF13*管理者用人口入力シート!BA$8))</f>
        <v>118.14338124273026</v>
      </c>
      <c r="DH16" s="10">
        <f>IF(管理者入力シート!$B$14=1,DG13*管理者用人口入力シート!BB$4,IF(管理者入力シート!$B$14=2,DG13*管理者用人口入力シート!BB$8))</f>
        <v>133.65699270572495</v>
      </c>
      <c r="DI16" s="10">
        <f>IF(管理者入力シート!$B$14=1,DH13*管理者用人口入力シート!BC$4,IF(管理者入力シート!$B$14=2,DH13*管理者用人口入力シート!BC$8))</f>
        <v>135.42975071772088</v>
      </c>
      <c r="DJ16" s="10">
        <f>IF(管理者入力シート!$B$14=1,DI13*管理者用人口入力シート!BD$4,IF(管理者入力シート!$B$14=2,DI13*管理者用人口入力シート!BD$8))</f>
        <v>122.42786420619535</v>
      </c>
      <c r="DK16" s="10">
        <f>IF(管理者入力シート!$B$14=1,DJ13*管理者用人口入力シート!BE$4,IF(管理者入力シート!$B$14=2,DJ13*管理者用人口入力シート!BE$8))</f>
        <v>50.508135249118062</v>
      </c>
      <c r="DL16" s="10">
        <f>IF(管理者入力シート!$B$14=1,DK13*管理者用人口入力シート!BF$4,IF(管理者入力シート!$B$14=2,DK13*管理者用人口入力シート!BF$8))</f>
        <v>7.7140413477462921</v>
      </c>
      <c r="DM16" s="10">
        <f t="shared" si="260"/>
        <v>1612.635201898195</v>
      </c>
      <c r="DN16" s="10">
        <f t="shared" si="261"/>
        <v>40.652517011059373</v>
      </c>
      <c r="DO16" s="10">
        <f t="shared" si="262"/>
        <v>22.590633691228021</v>
      </c>
      <c r="DP16" s="10">
        <f t="shared" si="263"/>
        <v>853.35600899730161</v>
      </c>
      <c r="DQ16" s="10">
        <f t="shared" si="264"/>
        <v>567.88016546923575</v>
      </c>
      <c r="DR16" s="14">
        <f t="shared" si="265"/>
        <v>0.52916866008681707</v>
      </c>
      <c r="DS16" s="14">
        <f t="shared" si="266"/>
        <v>0.35214422009441276</v>
      </c>
      <c r="DT16" s="10">
        <f t="shared" si="267"/>
        <v>160.77510450116702</v>
      </c>
      <c r="DV16" s="211" t="s">
        <v>406</v>
      </c>
      <c r="DW16" s="7">
        <f>IF(DW10&lt;0,ABS(DW10)/DW15,0)</f>
        <v>120.64803528130153</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51.252509990585224</v>
      </c>
      <c r="BL17" s="16">
        <f t="shared" ref="BL17:CE17" si="268">BL15+BL16</f>
        <v>63.094176196755463</v>
      </c>
      <c r="BM17" s="16">
        <f t="shared" si="268"/>
        <v>81.27779838373641</v>
      </c>
      <c r="BN17" s="16">
        <f t="shared" si="268"/>
        <v>118.91408669859712</v>
      </c>
      <c r="BO17" s="16">
        <f t="shared" si="268"/>
        <v>59.754485919867946</v>
      </c>
      <c r="BP17" s="16">
        <f t="shared" si="268"/>
        <v>75.540252193449149</v>
      </c>
      <c r="BQ17" s="16">
        <f t="shared" si="268"/>
        <v>110.4466871788326</v>
      </c>
      <c r="BR17" s="16">
        <f t="shared" si="268"/>
        <v>115.96414763983395</v>
      </c>
      <c r="BS17" s="16">
        <f t="shared" si="268"/>
        <v>114.53318477708005</v>
      </c>
      <c r="BT17" s="16">
        <f t="shared" si="268"/>
        <v>142.04299383064358</v>
      </c>
      <c r="BU17" s="16">
        <f t="shared" si="268"/>
        <v>200.24591041796822</v>
      </c>
      <c r="BV17" s="16">
        <f t="shared" si="268"/>
        <v>210.58185150755634</v>
      </c>
      <c r="BW17" s="16">
        <f t="shared" si="268"/>
        <v>271.91334948436776</v>
      </c>
      <c r="BX17" s="16">
        <f t="shared" si="268"/>
        <v>287.13422149283741</v>
      </c>
      <c r="BY17" s="16">
        <f t="shared" si="268"/>
        <v>253.95495088536512</v>
      </c>
      <c r="BZ17" s="16">
        <f t="shared" si="268"/>
        <v>222.04748056362672</v>
      </c>
      <c r="CA17" s="16">
        <f t="shared" si="268"/>
        <v>230.05335986923976</v>
      </c>
      <c r="CB17" s="16">
        <f t="shared" si="268"/>
        <v>213.3293382242644</v>
      </c>
      <c r="CC17" s="16">
        <f t="shared" si="268"/>
        <v>167.79242284845094</v>
      </c>
      <c r="CD17" s="16">
        <f t="shared" si="268"/>
        <v>61.802554258594284</v>
      </c>
      <c r="CE17" s="16">
        <f t="shared" si="268"/>
        <v>7.7244117283383043</v>
      </c>
      <c r="CF17" s="11">
        <f t="shared" si="252"/>
        <v>3059.4001740899907</v>
      </c>
      <c r="CG17" s="11">
        <f t="shared" si="253"/>
        <v>86.623184748295131</v>
      </c>
      <c r="CH17" s="11">
        <f t="shared" si="254"/>
        <v>56.293936693213986</v>
      </c>
      <c r="CI17" s="11">
        <f t="shared" si="255"/>
        <v>1443.8387398707168</v>
      </c>
      <c r="CJ17" s="11">
        <f t="shared" si="256"/>
        <v>902.74956749251442</v>
      </c>
      <c r="CK17" s="15">
        <f t="shared" si="257"/>
        <v>0.47193523491910705</v>
      </c>
      <c r="CL17" s="15">
        <f t="shared" si="258"/>
        <v>0.29507403939435106</v>
      </c>
      <c r="CM17" s="11">
        <f t="shared" si="259"/>
        <v>361.70557293198362</v>
      </c>
      <c r="CO17" s="7" t="str">
        <f t="shared" si="26"/>
        <v>2045_3</v>
      </c>
      <c r="CP17" s="30">
        <f>CP16</f>
        <v>2045</v>
      </c>
      <c r="CQ17" s="5" t="s">
        <v>23</v>
      </c>
      <c r="CR17" s="16">
        <f>CR15+CR16</f>
        <v>56.296481706126272</v>
      </c>
      <c r="CS17" s="16">
        <f>CS15+CS16</f>
        <v>68.42195523913955</v>
      </c>
      <c r="CT17" s="16">
        <f t="shared" ref="CT17:DL17" si="269">CT15+CT16</f>
        <v>88.927938938306426</v>
      </c>
      <c r="CU17" s="16">
        <f t="shared" si="269"/>
        <v>127.01277739139684</v>
      </c>
      <c r="CV17" s="16">
        <f t="shared" si="269"/>
        <v>62.317553255961954</v>
      </c>
      <c r="CW17" s="16">
        <f t="shared" si="269"/>
        <v>80.633805838108756</v>
      </c>
      <c r="CX17" s="16">
        <f t="shared" si="269"/>
        <v>115.99571449905639</v>
      </c>
      <c r="CY17" s="16">
        <f t="shared" si="269"/>
        <v>120.71813398095651</v>
      </c>
      <c r="CZ17" s="16">
        <f t="shared" si="269"/>
        <v>120.48859463786825</v>
      </c>
      <c r="DA17" s="16">
        <f t="shared" si="269"/>
        <v>148.22949078725892</v>
      </c>
      <c r="DB17" s="16">
        <f t="shared" si="269"/>
        <v>201.38320507761625</v>
      </c>
      <c r="DC17" s="16">
        <f t="shared" si="269"/>
        <v>211.74147900067391</v>
      </c>
      <c r="DD17" s="16">
        <f t="shared" si="269"/>
        <v>273.0874966312864</v>
      </c>
      <c r="DE17" s="16">
        <f t="shared" si="269"/>
        <v>287.13422149283741</v>
      </c>
      <c r="DF17" s="16">
        <f t="shared" si="269"/>
        <v>253.95495088536512</v>
      </c>
      <c r="DG17" s="16">
        <f t="shared" si="269"/>
        <v>222.04748056362672</v>
      </c>
      <c r="DH17" s="16">
        <f t="shared" si="269"/>
        <v>230.05335986923976</v>
      </c>
      <c r="DI17" s="16">
        <f t="shared" si="269"/>
        <v>213.3293382242644</v>
      </c>
      <c r="DJ17" s="16">
        <f t="shared" si="269"/>
        <v>167.79242284845094</v>
      </c>
      <c r="DK17" s="16">
        <f t="shared" si="269"/>
        <v>61.802554258594284</v>
      </c>
      <c r="DL17" s="16">
        <f t="shared" si="269"/>
        <v>7.7244117283383043</v>
      </c>
      <c r="DM17" s="11">
        <f t="shared" si="260"/>
        <v>3119.0933668544735</v>
      </c>
      <c r="DN17" s="11">
        <f t="shared" si="261"/>
        <v>94.409936506467602</v>
      </c>
      <c r="DO17" s="11">
        <f t="shared" si="262"/>
        <v>60.973731053601938</v>
      </c>
      <c r="DP17" s="11">
        <f t="shared" si="263"/>
        <v>1443.8387398707168</v>
      </c>
      <c r="DQ17" s="11">
        <f t="shared" si="264"/>
        <v>902.74956749251442</v>
      </c>
      <c r="DR17" s="15">
        <f t="shared" si="265"/>
        <v>0.46290334082778406</v>
      </c>
      <c r="DS17" s="15">
        <f t="shared" si="266"/>
        <v>0.28942691395061199</v>
      </c>
      <c r="DT17" s="11">
        <f t="shared" si="267"/>
        <v>379.66520757408364</v>
      </c>
      <c r="DV17" s="62" t="s">
        <v>407</v>
      </c>
      <c r="DW17" s="7">
        <f>IF(DW9&gt;=0,0,IF(AND(DW10&lt;=0,DW9&lt;=0,DW16*2&gt;=ABS(DW9)),ROUND(DW16/3,0),ROUND(ABS(DW9)/6,0)))</f>
        <v>40</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24.067135016294849</v>
      </c>
      <c r="BL18" s="9">
        <f>IF(管理者入力シート!$B$14=1,BK15*管理者用人口入力シート!AM$3,IF(管理者入力シート!$B$14=2,BK15*管理者用人口入力シート!AM$7))</f>
        <v>33.247270077317616</v>
      </c>
      <c r="BM18" s="9">
        <f>IF(管理者入力シート!$B$14=1,BL15*管理者用人口入力シート!AN$3,IF(管理者入力シート!$B$14=2,BL15*管理者用人口入力シート!AN$7))</f>
        <v>40.103278843216408</v>
      </c>
      <c r="BN18" s="9">
        <f>IF(管理者入力シート!$B$14=1,BM15*管理者用人口入力シート!AO$3,IF(管理者入力シート!$B$14=2,BM15*管理者用人口入力シート!AO$7))</f>
        <v>75.49062080422658</v>
      </c>
      <c r="BO18" s="9">
        <f>IF(管理者入力シート!$B$14=1,BN15*管理者用人口入力シート!AP$3,IF(管理者入力シート!$B$14=2,BN15*管理者用人口入力シート!AP$7))</f>
        <v>30.33895733549685</v>
      </c>
      <c r="BP18" s="9">
        <f>IF(管理者入力シート!$B$14=1,BO15*管理者用人口入力シート!AQ$3,IF(管理者入力シート!$B$14=2,BO15*管理者用人口入力シート!AQ$7))</f>
        <v>37.56225052458813</v>
      </c>
      <c r="BQ18" s="9">
        <f>IF(管理者入力シート!$B$14=1,BP15*管理者用人口入力シート!AR$3,IF(管理者入力シート!$B$14=2,BP15*管理者用人口入力シート!AR$7))</f>
        <v>50.986253777822689</v>
      </c>
      <c r="BR18" s="9">
        <f>IF(管理者入力シート!$B$14=1,BQ15*管理者用人口入力シート!AS$3,IF(管理者入力シート!$B$14=2,BQ15*管理者用人口入力シート!AS$7))</f>
        <v>63.659069322136332</v>
      </c>
      <c r="BS18" s="9">
        <f>IF(管理者入力シート!$B$14=1,BR15*管理者用人口入力シート!AT$3,IF(管理者入力シート!$B$14=2,BR15*管理者用人口入力シート!AT$7))</f>
        <v>68.55395896076719</v>
      </c>
      <c r="BT18" s="9">
        <f>IF(管理者入力シート!$B$14=1,BS15*管理者用人口入力シート!AU$3,IF(管理者入力シート!$B$14=2,BS15*管理者用人口入力シート!AU$7))</f>
        <v>75.119004130315105</v>
      </c>
      <c r="BU18" s="9">
        <f>IF(管理者入力シート!$B$14=1,BT15*管理者用人口入力シート!AV$3,IF(管理者入力シート!$B$14=2,BT15*管理者用人口入力シート!AV$7))</f>
        <v>78.889594604924895</v>
      </c>
      <c r="BV18" s="9">
        <f>IF(管理者入力シート!$B$14=1,BU15*管理者用人口入力シート!AW$3,IF(管理者入力シート!$B$14=2,BU15*管理者用人口入力シート!AW$7))</f>
        <v>107.17252124224936</v>
      </c>
      <c r="BW18" s="9">
        <f>IF(管理者入力シート!$B$14=1,BV15*管理者用人口入力シート!AX$3,IF(管理者入力シート!$B$14=2,BV15*管理者用人口入力シート!AX$7))</f>
        <v>104.37553053453041</v>
      </c>
      <c r="BX18" s="9">
        <f>IF(管理者入力シート!$B$14=1,BW15*管理者用人口入力シート!AY$3,IF(管理者入力シート!$B$14=2,BW15*管理者用人口入力シート!AY$7))</f>
        <v>120.87304418109039</v>
      </c>
      <c r="BY18" s="9">
        <f>IF(管理者入力シート!$B$14=1,BX15*管理者用人口入力シート!AZ$3,IF(管理者入力シート!$B$14=2,BX15*管理者用人口入力シート!AZ$7))</f>
        <v>132.33182394291461</v>
      </c>
      <c r="BZ18" s="9">
        <f>IF(管理者入力シート!$B$14=1,BY15*管理者用人口入力シート!BA$3,IF(管理者入力シート!$B$14=2,BY15*管理者用人口入力シート!BA$7))</f>
        <v>97.274180453592777</v>
      </c>
      <c r="CA18" s="9">
        <f>IF(管理者入力シート!$B$14=1,BZ15*管理者用人口入力シート!BB$3,IF(管理者入力シート!$B$14=2,BZ15*管理者用人口入力シート!BB$7))</f>
        <v>88.706378441989543</v>
      </c>
      <c r="CB18" s="9">
        <f>IF(管理者入力シート!$B$14=1,CA15*管理者用人口入力シート!BC$3,IF(管理者入力シート!$B$14=2,CA15*管理者用人口入力シート!BC$7))</f>
        <v>67.744463140699125</v>
      </c>
      <c r="CC18" s="9">
        <f>IF(管理者入力シート!$B$14=1,CB15*管理者用人口入力シート!BD$3,IF(管理者入力シート!$B$14=2,CB15*管理者用人口入力シート!BD$7))</f>
        <v>34.340041062274516</v>
      </c>
      <c r="CD18" s="9">
        <f>IF(管理者入力シート!$B$14=1,CC15*管理者用人口入力シート!BE$3,IF(管理者入力シート!$B$14=2,CC15*管理者用人口入力シート!BE$7))</f>
        <v>10.970303297226437</v>
      </c>
      <c r="CE18" s="9">
        <f>IF(管理者入力シート!$B$14=1,CD15*管理者用人口入力シート!BF$3,IF(管理者入力シート!$B$14=2,CD15*管理者用人口入力シート!BF$7))</f>
        <v>1.1294419009476218E-2</v>
      </c>
      <c r="CF18" s="9">
        <f t="shared" si="252"/>
        <v>1341.8169741126833</v>
      </c>
      <c r="CG18" s="9">
        <f t="shared" si="253"/>
        <v>44.010329352320419</v>
      </c>
      <c r="CH18" s="9">
        <f t="shared" si="254"/>
        <v>31.13943569813188</v>
      </c>
      <c r="CI18" s="9">
        <f t="shared" si="255"/>
        <v>552.25152893879692</v>
      </c>
      <c r="CJ18" s="9">
        <f t="shared" si="256"/>
        <v>299.04666081479184</v>
      </c>
      <c r="CK18" s="13">
        <f t="shared" si="257"/>
        <v>0.41156993807146447</v>
      </c>
      <c r="CL18" s="13">
        <f t="shared" si="258"/>
        <v>0.22286695323149075</v>
      </c>
      <c r="CM18" s="9">
        <f t="shared" si="259"/>
        <v>182.54653096004401</v>
      </c>
      <c r="CO18" s="7" t="str">
        <f t="shared" si="26"/>
        <v>2050_1</v>
      </c>
      <c r="CP18" s="28">
        <f>管理者入力シート!B13</f>
        <v>2050</v>
      </c>
      <c r="CQ18" s="3" t="s">
        <v>21</v>
      </c>
      <c r="CR18" s="9">
        <f>DT19*$AK$13+将来予測シート②!$G17</f>
        <v>27.042817750642342</v>
      </c>
      <c r="CS18" s="9">
        <f>IF(管理者入力シート!$B$14=1,CR15*管理者用人口入力シート!AM$3,IF(管理者入力シート!$B$14=2,CR15*管理者用人口入力シート!AM$7))+将来予測シート②!$G18</f>
        <v>36.397825416371212</v>
      </c>
      <c r="CT18" s="9">
        <f>IF(管理者入力シート!$B$14=1,CS15*管理者用人口入力シート!AN$3,IF(管理者入力シート!$B$14=2,CS15*管理者用人口入力シート!AN$7))+将来予測シート②!$G19</f>
        <v>44.356718789062732</v>
      </c>
      <c r="CU18" s="9">
        <f>IF(管理者入力シート!$B$14=1,CT15*管理者用人口入力シート!AO$3,IF(管理者入力シート!$B$14=2,CT15*管理者用人口入力シート!AO$7))+将来予測シート②!$G20</f>
        <v>82.138691536059909</v>
      </c>
      <c r="CV18" s="9">
        <f>IF(管理者入力シート!$B$14=1,CU15*管理者用人口入力シート!AP$3,IF(管理者入力シート!$B$14=2,CU15*管理者用人口入力シート!AP$7))+将来予測シート②!$G21</f>
        <v>32.291604413075966</v>
      </c>
      <c r="CW18" s="9">
        <f>IF(管理者入力シート!$B$14=1,CV15*管理者用人口入力シート!AQ$3,IF(管理者入力シート!$B$14=2,CV15*管理者用人口入力シート!AQ$7))+将来予測シート②!$G22</f>
        <v>41.001282894373574</v>
      </c>
      <c r="CX18" s="9">
        <f>IF(管理者入力シート!$B$14=1,CW15*管理者用人口入力シート!AR$3,IF(管理者入力シート!$B$14=2,CW15*管理者用人口入力シート!AR$7))+将来予測シート②!$G23</f>
        <v>53.743766466639492</v>
      </c>
      <c r="CY18" s="9">
        <f>IF(管理者入力シート!$B$14=1,CX15*管理者用人口入力シート!AS$3,IF(管理者入力シート!$B$14=2,CX15*管理者用人口入力シート!AS$7))+将来予測シート②!$G24</f>
        <v>66.572412640291134</v>
      </c>
      <c r="CZ18" s="9">
        <f>IF(管理者入力シート!$B$14=1,CY15*管理者用人口入力シート!AT$3,IF(管理者入力シート!$B$14=2,CY15*管理者用人口入力シート!AT$7))+将来予測シート②!$G25</f>
        <v>70.859300190732185</v>
      </c>
      <c r="DA18" s="9">
        <f>IF(管理者入力シート!$B$14=1,CZ15*管理者用人口入力シート!AU$3,IF(管理者入力シート!$B$14=2,CZ15*管理者用人口入力シート!AU$7))+将来予測シート②!$G26</f>
        <v>77.567545174091052</v>
      </c>
      <c r="DB18" s="9">
        <f>IF(管理者入力シート!$B$14=1,DA15*管理者用人口入力シート!AV$3,IF(管理者入力シート!$B$14=2,DA15*管理者用人口入力シート!AV$7))+将来予測シート②!$G27</f>
        <v>81.429734619241628</v>
      </c>
      <c r="DC18" s="9">
        <f>IF(管理者入力シート!$B$14=1,DB15*管理者用人口入力シート!AW$3,IF(管理者入力シート!$B$14=2,DB15*管理者用人口入力シート!AW$7))+将来予測シート②!$G28</f>
        <v>107.17252124224936</v>
      </c>
      <c r="DD18" s="9">
        <f>IF(管理者入力シート!$B$14=1,DC15*管理者用人口入力シート!AX$3,IF(管理者入力シート!$B$14=2,DC15*管理者用人口入力シート!AX$7))+将来予測シート②!$G29</f>
        <v>104.37553053453041</v>
      </c>
      <c r="DE18" s="9">
        <f>IF(管理者入力シート!$B$14=1,DD15*管理者用人口入力シート!AY$3,IF(管理者入力シート!$B$14=2,DD15*管理者用人口入力シート!AY$7))</f>
        <v>120.87304418109039</v>
      </c>
      <c r="DF18" s="9">
        <f>IF(管理者入力シート!$B$14=1,DE15*管理者用人口入力シート!AZ$3,IF(管理者入力シート!$B$14=2,DE15*管理者用人口入力シート!AZ$7))</f>
        <v>132.33182394291461</v>
      </c>
      <c r="DG18" s="9">
        <f>IF(管理者入力シート!$B$14=1,DF15*管理者用人口入力シート!BA$3,IF(管理者入力シート!$B$14=2,DF15*管理者用人口入力シート!BA$7))</f>
        <v>97.274180453592777</v>
      </c>
      <c r="DH18" s="9">
        <f>IF(管理者入力シート!$B$14=1,DG15*管理者用人口入力シート!BB$3,IF(管理者入力シート!$B$14=2,DG15*管理者用人口入力シート!BB$7))</f>
        <v>88.706378441989543</v>
      </c>
      <c r="DI18" s="9">
        <f>IF(管理者入力シート!$B$14=1,DH15*管理者用人口入力シート!BC$3,IF(管理者入力シート!$B$14=2,DH15*管理者用人口入力シート!BC$7))</f>
        <v>67.744463140699125</v>
      </c>
      <c r="DJ18" s="9">
        <f>IF(管理者入力シート!$B$14=1,DI15*管理者用人口入力シート!BD$3,IF(管理者入力シート!$B$14=2,DI15*管理者用人口入力シート!BD$7))</f>
        <v>34.340041062274516</v>
      </c>
      <c r="DK18" s="9">
        <f>IF(管理者入力シート!$B$14=1,DJ15*管理者用人口入力シート!BE$3,IF(管理者入力シート!$B$14=2,DJ15*管理者用人口入力シート!BE$7))</f>
        <v>10.970303297226437</v>
      </c>
      <c r="DL18" s="9">
        <f>IF(管理者入力シート!$B$14=1,DK15*管理者用人口入力シート!BF$3,IF(管理者入力シート!$B$14=2,DK15*管理者用人口入力シート!BF$7))</f>
        <v>1.1294419009476218E-2</v>
      </c>
      <c r="DM18" s="9">
        <f t="shared" si="260"/>
        <v>1377.201280606158</v>
      </c>
      <c r="DN18" s="9">
        <f t="shared" si="261"/>
        <v>48.452726523260367</v>
      </c>
      <c r="DO18" s="9">
        <f t="shared" si="262"/>
        <v>34.170425822837075</v>
      </c>
      <c r="DP18" s="9">
        <f t="shared" si="263"/>
        <v>552.25152893879692</v>
      </c>
      <c r="DQ18" s="9">
        <f t="shared" si="264"/>
        <v>299.04666081479184</v>
      </c>
      <c r="DR18" s="13">
        <f t="shared" si="265"/>
        <v>0.40099550930981587</v>
      </c>
      <c r="DS18" s="13">
        <f t="shared" si="266"/>
        <v>0.21714085299366712</v>
      </c>
      <c r="DT18" s="9">
        <f t="shared" si="267"/>
        <v>193.60906641438018</v>
      </c>
      <c r="DX18" s="306">
        <f>DX1</f>
        <v>40</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19.561382279091177</v>
      </c>
      <c r="BL19" s="10">
        <f>IF(管理者入力シート!$B$14=1,BK16*管理者用人口入力シート!AM$4,IF(管理者入力シート!$B$14=2,BK16*管理者用人口入力シート!AM$8))</f>
        <v>25.67409221919441</v>
      </c>
      <c r="BM19" s="10">
        <f>IF(管理者入力シート!$B$14=1,BL16*管理者用人口入力シート!AN$4,IF(管理者入力シート!$B$14=2,BL16*管理者用人口入力シート!AN$8))</f>
        <v>29.293304888055026</v>
      </c>
      <c r="BN19" s="10">
        <f>IF(管理者入力シート!$B$14=1,BM16*管理者用人口入力シート!AO$4,IF(管理者入力シート!$B$14=2,BM16*管理者用人口入力シート!AO$8))</f>
        <v>31.022250357662546</v>
      </c>
      <c r="BO19" s="10">
        <f>IF(管理者入力シート!$B$14=1,BN16*管理者用人口入力シート!AP$4,IF(管理者入力シート!$B$14=2,BN16*管理者用人口入力シート!AP$8))</f>
        <v>21.300388030386106</v>
      </c>
      <c r="BP19" s="10">
        <f>IF(管理者入力シート!$B$14=1,BO16*管理者用人口入力シート!AQ$4,IF(管理者入力シート!$B$14=2,BO16*管理者用人口入力シート!AQ$8))</f>
        <v>21.031696273080698</v>
      </c>
      <c r="BQ19" s="10">
        <f>IF(管理者入力シート!$B$14=1,BP16*管理者用人口入力シート!AR$4,IF(管理者入力シート!$B$14=2,BP16*管理者用人口入力シート!AR$8))</f>
        <v>30.587894071321248</v>
      </c>
      <c r="BR19" s="10">
        <f>IF(管理者入力シート!$B$14=1,BQ16*管理者用人口入力シート!AS$4,IF(管理者入力シート!$B$14=2,BQ16*管理者用人口入力シート!AS$8))</f>
        <v>56.266650426709944</v>
      </c>
      <c r="BS19" s="10">
        <f>IF(管理者入力シート!$B$14=1,BR16*管理者用人口入力シート!AT$4,IF(管理者入力シート!$B$14=2,BR16*管理者用人口入力シート!AT$8))</f>
        <v>52.186276205573947</v>
      </c>
      <c r="BT19" s="10">
        <f>IF(管理者入力シート!$B$14=1,BS16*管理者用人口入力シート!AU$4,IF(管理者入力シート!$B$14=2,BS16*管理者用人口入力シート!AU$8))</f>
        <v>44.862226437891209</v>
      </c>
      <c r="BU19" s="10">
        <f>IF(管理者入力シート!$B$14=1,BT16*管理者用人口入力シート!AV$4,IF(管理者入力シート!$B$14=2,BT16*管理者用人口入力シート!AV$8))</f>
        <v>73.294600341558777</v>
      </c>
      <c r="BV19" s="10">
        <f>IF(管理者入力シート!$B$14=1,BU16*管理者用人口入力シート!AW$4,IF(管理者入力シート!$B$14=2,BU16*管理者用人口入力シート!AW$8))</f>
        <v>95.265865731482307</v>
      </c>
      <c r="BW19" s="10">
        <f>IF(管理者入力シート!$B$14=1,BV16*管理者用人口入力シート!AX$4,IF(管理者入力シート!$B$14=2,BV16*管理者用人口入力シート!AX$8))</f>
        <v>108.9499777559795</v>
      </c>
      <c r="BX19" s="10">
        <f>IF(管理者入力シート!$B$14=1,BW16*管理者用人口入力シート!AY$4,IF(管理者入力シート!$B$14=2,BW16*管理者用人口入力シート!AY$8))</f>
        <v>144.12589071783415</v>
      </c>
      <c r="BY19" s="10">
        <f>IF(管理者入力シート!$B$14=1,BX16*管理者用人口入力シート!AZ$4,IF(管理者入力シート!$B$14=2,BX16*管理者用人口入力シート!AZ$8))</f>
        <v>140.95911162316074</v>
      </c>
      <c r="BZ19" s="10">
        <f>IF(管理者入力シート!$B$14=1,BY16*管理者用人口入力シート!BA$4,IF(管理者入力シート!$B$14=2,BY16*管理者用人口入力シート!BA$8))</f>
        <v>136.53818006542409</v>
      </c>
      <c r="CA19" s="10">
        <f>IF(管理者入力シート!$B$14=1,BZ16*管理者用人口入力シート!BB$4,IF(管理者入力シート!$B$14=2,BZ16*管理者用人口入力シート!BB$8))</f>
        <v>108.84828213105112</v>
      </c>
      <c r="CB19" s="10">
        <f>IF(管理者入力シート!$B$14=1,CA16*管理者用人口入力シート!BC$4,IF(管理者入力シート!$B$14=2,CA16*管理者用人口入力シート!BC$8))</f>
        <v>117.9738609182686</v>
      </c>
      <c r="CC19" s="10">
        <f>IF(管理者入力シート!$B$14=1,CB16*管理者用人口入力シート!BD$4,IF(管理者入力シート!$B$14=2,CB16*管理者用人口入力シート!BD$8))</f>
        <v>92.594095284138376</v>
      </c>
      <c r="CD19" s="10">
        <f>IF(管理者入力シート!$B$14=1,CC16*管理者用人口入力シート!BE$4,IF(管理者入力シート!$B$14=2,CC16*管理者用人口入力シート!BE$8))</f>
        <v>52.975244282775407</v>
      </c>
      <c r="CE19" s="10">
        <f>IF(管理者入力シート!$B$14=1,CD16*管理者用人口入力シート!BF$4,IF(管理者入力シート!$B$14=2,CD16*管理者用人口入力シート!BF$8))</f>
        <v>9.9354488892691695</v>
      </c>
      <c r="CF19" s="10">
        <f t="shared" si="252"/>
        <v>1413.2467189299086</v>
      </c>
      <c r="CG19" s="10">
        <f t="shared" si="253"/>
        <v>32.980438264349665</v>
      </c>
      <c r="CH19" s="10">
        <f t="shared" si="254"/>
        <v>17.921772026754518</v>
      </c>
      <c r="CI19" s="10">
        <f t="shared" si="255"/>
        <v>803.95011391192179</v>
      </c>
      <c r="CJ19" s="10">
        <f t="shared" si="256"/>
        <v>518.86511157092673</v>
      </c>
      <c r="CK19" s="14">
        <f t="shared" si="257"/>
        <v>0.56886749011571169</v>
      </c>
      <c r="CL19" s="14">
        <f t="shared" si="258"/>
        <v>0.36714404117902666</v>
      </c>
      <c r="CM19" s="10">
        <f t="shared" si="259"/>
        <v>129.18662880149799</v>
      </c>
      <c r="CO19" s="7" t="str">
        <f t="shared" si="26"/>
        <v>2050_2</v>
      </c>
      <c r="CP19" s="29">
        <f>CP18</f>
        <v>2050</v>
      </c>
      <c r="CQ19" s="4" t="s">
        <v>22</v>
      </c>
      <c r="CR19" s="10">
        <f>DT19*$AK$14+将来予測シート②!$H17</f>
        <v>22.167185595630734</v>
      </c>
      <c r="CS19" s="10">
        <f>IF(管理者入力シート!$B$14=1,CR16*管理者用人口入力シート!AM$4,IF(管理者入力シート!$B$14=2,CR16*管理者用人口入力シート!AM$8))+将来予測シート②!$H18</f>
        <v>28.31617051600119</v>
      </c>
      <c r="CT19" s="10">
        <f>IF(管理者入力シート!$B$14=1,CS16*管理者用人口入力シート!AN$4,IF(管理者入力シート!$B$14=2,CS16*管理者用人口入力シート!AN$8))+将来予測シート②!$H19</f>
        <v>32.892638619258065</v>
      </c>
      <c r="CU19" s="10">
        <f>IF(管理者入力シート!$B$14=1,CT16*管理者用人口入力シート!AO$4,IF(管理者入力シート!$B$14=2,CT16*管理者用人口入力シート!AO$8))+将来予測シート②!$H20</f>
        <v>34.199475898651258</v>
      </c>
      <c r="CV19" s="10">
        <f>IF(管理者入力シート!$B$14=1,CU16*管理者用人口入力シート!AP$4,IF(管理者入力シート!$B$14=2,CU16*管理者用人口入力シート!AP$8))+将来予測シート②!$H21</f>
        <v>22.945140422779009</v>
      </c>
      <c r="CW19" s="10">
        <f>IF(管理者入力シート!$B$14=1,CV16*管理者用人口入力シート!AQ$4,IF(管理者入力シート!$B$14=2,CV16*管理者用人口入力シート!AQ$8))+将来予測シート②!$H22</f>
        <v>24.071095832288595</v>
      </c>
      <c r="CX19" s="10">
        <f>IF(管理者入力シート!$B$14=1,CW16*管理者用人口入力シート!AR$4,IF(管理者入力シート!$B$14=2,CW16*管理者用人口入力シート!AR$8))+将来予測シート②!$H23</f>
        <v>33.37940870272822</v>
      </c>
      <c r="CY19" s="10">
        <f>IF(管理者入力シート!$B$14=1,CX16*管理者用人口入力シート!AS$4,IF(管理者入力シート!$B$14=2,CX16*管理者用人口入力シート!AS$8))+将来予測シート②!$H24</f>
        <v>59.395976580015486</v>
      </c>
      <c r="CZ19" s="10">
        <f>IF(管理者入力シート!$B$14=1,CY16*管理者用人口入力シート!AT$4,IF(管理者入力シート!$B$14=2,CY16*管理者用人口入力シート!AT$8))+将来予測シート②!$H25</f>
        <v>55.836344836397132</v>
      </c>
      <c r="DA19" s="10">
        <f>IF(管理者入力シート!$B$14=1,CZ16*管理者用人口入力シート!AU$4,IF(管理者入力シート!$B$14=2,CZ16*管理者用人口入力シート!AU$8))+将来予測シート②!$H26</f>
        <v>48.600182350730634</v>
      </c>
      <c r="DB19" s="10">
        <f>IF(管理者入力シート!$B$14=1,DA16*管理者用人口入力シート!AV$4,IF(管理者入力シート!$B$14=2,DA16*管理者用人口入力シート!AV$8))+将来予測シート②!$H27</f>
        <v>77.445803902742767</v>
      </c>
      <c r="DC19" s="10">
        <f>IF(管理者入力シート!$B$14=1,DB16*管理者用人口入力シート!AW$4,IF(管理者入力シート!$B$14=2,DB16*管理者用人口入力シート!AW$8))+将来予測シート②!$H28</f>
        <v>96.425493224599904</v>
      </c>
      <c r="DD19" s="10">
        <f>IF(管理者入力シート!$B$14=1,DC16*管理者用人口入力シート!AX$4,IF(管理者入力シート!$B$14=2,DC16*管理者用人口入力シート!AX$8))+将来予測シート②!$H29</f>
        <v>110.12412490289813</v>
      </c>
      <c r="DE19" s="10">
        <f>IF(管理者入力シート!$B$14=1,DD16*管理者用人口入力シート!AY$4,IF(管理者入力シート!$B$14=2,DD16*管理者用人口入力シート!AY$8))</f>
        <v>145.28181247083398</v>
      </c>
      <c r="DF19" s="10">
        <f>IF(管理者入力シート!$B$14=1,DE16*管理者用人口入力シート!AZ$4,IF(管理者入力シート!$B$14=2,DE16*管理者用人口入力シート!AZ$8))</f>
        <v>140.95911162316074</v>
      </c>
      <c r="DG19" s="10">
        <f>IF(管理者入力シート!$B$14=1,DF16*管理者用人口入力シート!BA$4,IF(管理者入力シート!$B$14=2,DF16*管理者用人口入力シート!BA$8))</f>
        <v>136.53818006542409</v>
      </c>
      <c r="DH19" s="10">
        <f>IF(管理者入力シート!$B$14=1,DG16*管理者用人口入力シート!BB$4,IF(管理者入力シート!$B$14=2,DG16*管理者用人口入力シート!BB$8))</f>
        <v>108.84828213105112</v>
      </c>
      <c r="DI19" s="10">
        <f>IF(管理者入力シート!$B$14=1,DH16*管理者用人口入力シート!BC$4,IF(管理者入力シート!$B$14=2,DH16*管理者用人口入力シート!BC$8))</f>
        <v>117.9738609182686</v>
      </c>
      <c r="DJ19" s="10">
        <f>IF(管理者入力シート!$B$14=1,DI16*管理者用人口入力シート!BD$4,IF(管理者入力シート!$B$14=2,DI16*管理者用人口入力シート!BD$8))</f>
        <v>92.594095284138376</v>
      </c>
      <c r="DK19" s="10">
        <f>IF(管理者入力シート!$B$14=1,DJ16*管理者用人口入力シート!BE$4,IF(管理者入力シート!$B$14=2,DJ16*管理者用人口入力シート!BE$8))</f>
        <v>52.975244282775407</v>
      </c>
      <c r="DL19" s="10">
        <f>IF(管理者入力シート!$B$14=1,DK16*管理者用人口入力シート!BF$4,IF(管理者入力シート!$B$14=2,DK16*管理者用人口入力シート!BF$8))</f>
        <v>9.9354488892691695</v>
      </c>
      <c r="DM19" s="10">
        <f t="shared" si="260"/>
        <v>1450.9050770496424</v>
      </c>
      <c r="DN19" s="10">
        <f t="shared" si="261"/>
        <v>36.725285481155552</v>
      </c>
      <c r="DO19" s="10">
        <f t="shared" si="262"/>
        <v>19.996950627433478</v>
      </c>
      <c r="DP19" s="10">
        <f t="shared" si="263"/>
        <v>805.10603566492159</v>
      </c>
      <c r="DQ19" s="10">
        <f t="shared" si="264"/>
        <v>518.86511157092673</v>
      </c>
      <c r="DR19" s="14">
        <f t="shared" si="265"/>
        <v>0.55489917872647643</v>
      </c>
      <c r="DS19" s="14">
        <f t="shared" si="266"/>
        <v>0.35761478802322355</v>
      </c>
      <c r="DT19" s="10">
        <f t="shared" si="267"/>
        <v>139.7916215378113</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43.628517295386025</v>
      </c>
      <c r="BL20" s="16">
        <f t="shared" ref="BL20:CE20" si="276">BL18+BL19</f>
        <v>58.921362296512029</v>
      </c>
      <c r="BM20" s="16">
        <f t="shared" si="276"/>
        <v>69.396583731271434</v>
      </c>
      <c r="BN20" s="16">
        <f t="shared" si="276"/>
        <v>106.51287116188912</v>
      </c>
      <c r="BO20" s="16">
        <f t="shared" si="276"/>
        <v>51.63934536588296</v>
      </c>
      <c r="BP20" s="16">
        <f t="shared" si="276"/>
        <v>58.593946797668828</v>
      </c>
      <c r="BQ20" s="16">
        <f t="shared" si="276"/>
        <v>81.574147849143941</v>
      </c>
      <c r="BR20" s="16">
        <f t="shared" si="276"/>
        <v>119.92571974884628</v>
      </c>
      <c r="BS20" s="16">
        <f t="shared" si="276"/>
        <v>120.74023516634114</v>
      </c>
      <c r="BT20" s="16">
        <f t="shared" si="276"/>
        <v>119.98123056820631</v>
      </c>
      <c r="BU20" s="16">
        <f t="shared" si="276"/>
        <v>152.18419494648367</v>
      </c>
      <c r="BV20" s="16">
        <f t="shared" si="276"/>
        <v>202.43838697373167</v>
      </c>
      <c r="BW20" s="16">
        <f t="shared" si="276"/>
        <v>213.3255082905099</v>
      </c>
      <c r="BX20" s="16">
        <f t="shared" si="276"/>
        <v>264.99893489892452</v>
      </c>
      <c r="BY20" s="16">
        <f t="shared" si="276"/>
        <v>273.29093556607535</v>
      </c>
      <c r="BZ20" s="16">
        <f t="shared" si="276"/>
        <v>233.81236051901686</v>
      </c>
      <c r="CA20" s="16">
        <f t="shared" si="276"/>
        <v>197.55466057304068</v>
      </c>
      <c r="CB20" s="16">
        <f t="shared" si="276"/>
        <v>185.71832405896771</v>
      </c>
      <c r="CC20" s="16">
        <f t="shared" si="276"/>
        <v>126.93413634641288</v>
      </c>
      <c r="CD20" s="16">
        <f t="shared" si="276"/>
        <v>63.945547580001843</v>
      </c>
      <c r="CE20" s="16">
        <f t="shared" si="276"/>
        <v>9.9467433082786449</v>
      </c>
      <c r="CF20" s="11">
        <f t="shared" si="252"/>
        <v>2755.0636930425917</v>
      </c>
      <c r="CG20" s="11">
        <f t="shared" si="253"/>
        <v>76.99076761667007</v>
      </c>
      <c r="CH20" s="11">
        <f t="shared" si="254"/>
        <v>49.061207724886401</v>
      </c>
      <c r="CI20" s="11">
        <f t="shared" si="255"/>
        <v>1356.2016428507188</v>
      </c>
      <c r="CJ20" s="11">
        <f t="shared" si="256"/>
        <v>817.91177238571856</v>
      </c>
      <c r="CK20" s="15">
        <f t="shared" si="257"/>
        <v>0.49225781831307835</v>
      </c>
      <c r="CL20" s="15">
        <f t="shared" si="258"/>
        <v>0.29687581250887407</v>
      </c>
      <c r="CM20" s="11">
        <f t="shared" si="259"/>
        <v>311.73315976154203</v>
      </c>
      <c r="CO20" s="7" t="str">
        <f t="shared" si="26"/>
        <v>2050_3</v>
      </c>
      <c r="CP20" s="30">
        <f>CP19</f>
        <v>2050</v>
      </c>
      <c r="CQ20" s="5" t="s">
        <v>23</v>
      </c>
      <c r="CR20" s="16">
        <f>CR18+CR19</f>
        <v>49.210003346273076</v>
      </c>
      <c r="CS20" s="16">
        <f t="shared" ref="CS20:DL20" si="277">CS18+CS19</f>
        <v>64.713995932372399</v>
      </c>
      <c r="CT20" s="16">
        <f t="shared" si="277"/>
        <v>77.249357408320805</v>
      </c>
      <c r="CU20" s="16">
        <f t="shared" si="277"/>
        <v>116.33816743471117</v>
      </c>
      <c r="CV20" s="16">
        <f t="shared" si="277"/>
        <v>55.236744835854978</v>
      </c>
      <c r="CW20" s="16">
        <f t="shared" si="277"/>
        <v>65.072378726662166</v>
      </c>
      <c r="CX20" s="16">
        <f t="shared" si="277"/>
        <v>87.123175169367713</v>
      </c>
      <c r="CY20" s="16">
        <f t="shared" si="277"/>
        <v>125.96838922030662</v>
      </c>
      <c r="CZ20" s="16">
        <f t="shared" si="277"/>
        <v>126.69564502712932</v>
      </c>
      <c r="DA20" s="16">
        <f t="shared" si="277"/>
        <v>126.16772752482169</v>
      </c>
      <c r="DB20" s="16">
        <f t="shared" si="277"/>
        <v>158.8755385219844</v>
      </c>
      <c r="DC20" s="16">
        <f t="shared" si="277"/>
        <v>203.59801446684926</v>
      </c>
      <c r="DD20" s="16">
        <f t="shared" si="277"/>
        <v>214.49965543742854</v>
      </c>
      <c r="DE20" s="16">
        <f t="shared" si="277"/>
        <v>266.15485665192438</v>
      </c>
      <c r="DF20" s="16">
        <f t="shared" si="277"/>
        <v>273.29093556607535</v>
      </c>
      <c r="DG20" s="16">
        <f t="shared" si="277"/>
        <v>233.81236051901686</v>
      </c>
      <c r="DH20" s="16">
        <f t="shared" si="277"/>
        <v>197.55466057304068</v>
      </c>
      <c r="DI20" s="16">
        <f t="shared" si="277"/>
        <v>185.71832405896771</v>
      </c>
      <c r="DJ20" s="16">
        <f t="shared" si="277"/>
        <v>126.93413634641288</v>
      </c>
      <c r="DK20" s="16">
        <f t="shared" si="277"/>
        <v>63.945547580001843</v>
      </c>
      <c r="DL20" s="16">
        <f t="shared" si="277"/>
        <v>9.9467433082786449</v>
      </c>
      <c r="DM20" s="11">
        <f t="shared" si="260"/>
        <v>2828.1063576557999</v>
      </c>
      <c r="DN20" s="11">
        <f t="shared" si="261"/>
        <v>85.178012004415919</v>
      </c>
      <c r="DO20" s="11">
        <f t="shared" si="262"/>
        <v>54.167376450270552</v>
      </c>
      <c r="DP20" s="11">
        <f t="shared" si="263"/>
        <v>1357.3575646037186</v>
      </c>
      <c r="DQ20" s="11">
        <f t="shared" si="264"/>
        <v>817.91177238571856</v>
      </c>
      <c r="DR20" s="15">
        <f t="shared" si="265"/>
        <v>0.47995279984053502</v>
      </c>
      <c r="DS20" s="15">
        <f t="shared" si="266"/>
        <v>0.28920827895018791</v>
      </c>
      <c r="DT20" s="11">
        <f t="shared" si="267"/>
        <v>333.40068795219145</v>
      </c>
      <c r="DX20" s="28">
        <f>DX3</f>
        <v>2025</v>
      </c>
      <c r="DY20" s="3" t="s">
        <v>21</v>
      </c>
      <c r="DZ20" s="9">
        <f t="shared" ref="DZ20:ET20" si="278">ROUND(DZ3,0)</f>
        <v>46</v>
      </c>
      <c r="EA20" s="9">
        <f t="shared" si="278"/>
        <v>69</v>
      </c>
      <c r="EB20" s="9">
        <f t="shared" si="278"/>
        <v>92</v>
      </c>
      <c r="EC20" s="9">
        <f t="shared" si="278"/>
        <v>154</v>
      </c>
      <c r="ED20" s="9">
        <f t="shared" si="278"/>
        <v>57</v>
      </c>
      <c r="EE20" s="9">
        <f t="shared" si="278"/>
        <v>102</v>
      </c>
      <c r="EF20" s="9">
        <f t="shared" si="278"/>
        <v>129</v>
      </c>
      <c r="EG20" s="9">
        <f t="shared" si="278"/>
        <v>130</v>
      </c>
      <c r="EH20" s="9">
        <f t="shared" si="278"/>
        <v>112</v>
      </c>
      <c r="EI20" s="9">
        <f t="shared" si="278"/>
        <v>139</v>
      </c>
      <c r="EJ20" s="9">
        <f t="shared" si="278"/>
        <v>125</v>
      </c>
      <c r="EK20" s="9">
        <f t="shared" si="278"/>
        <v>134</v>
      </c>
      <c r="EL20" s="9">
        <f t="shared" si="278"/>
        <v>147</v>
      </c>
      <c r="EM20" s="9">
        <f t="shared" si="278"/>
        <v>163</v>
      </c>
      <c r="EN20" s="9">
        <f t="shared" si="278"/>
        <v>201</v>
      </c>
      <c r="EO20" s="9">
        <f t="shared" si="278"/>
        <v>177</v>
      </c>
      <c r="EP20" s="9">
        <f t="shared" si="278"/>
        <v>138</v>
      </c>
      <c r="EQ20" s="9">
        <f t="shared" si="278"/>
        <v>82</v>
      </c>
      <c r="ER20" s="9">
        <f t="shared" si="278"/>
        <v>40</v>
      </c>
      <c r="ES20" s="9">
        <f t="shared" si="278"/>
        <v>9</v>
      </c>
      <c r="ET20" s="9">
        <f t="shared" si="278"/>
        <v>0</v>
      </c>
      <c r="EU20" s="9">
        <f t="shared" ref="EU20:EU21" si="279">SUM(DZ20:ET20)</f>
        <v>2246</v>
      </c>
      <c r="EV20" s="9">
        <f>EA20*3/5+EB20*3/5</f>
        <v>96.6</v>
      </c>
      <c r="EW20" s="9">
        <f>EB20*2/5+EC20*1/5</f>
        <v>67.599999999999994</v>
      </c>
      <c r="EX20" s="9">
        <f t="shared" ref="EX20:EX31" si="280">SUM(EM20:ET20)</f>
        <v>810</v>
      </c>
      <c r="EY20" s="9">
        <f>SUM(EO20:ET20)</f>
        <v>446</v>
      </c>
      <c r="EZ20" s="13">
        <f>EX20/EU20</f>
        <v>0.36064113980409618</v>
      </c>
      <c r="FA20" s="13">
        <f>EY20/EU20</f>
        <v>0.19857524487978628</v>
      </c>
      <c r="FB20" s="9">
        <f>SUM(ED20:EG20)</f>
        <v>418</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37</v>
      </c>
      <c r="EA21" s="10">
        <f t="shared" si="281"/>
        <v>54</v>
      </c>
      <c r="EB21" s="10">
        <f t="shared" si="281"/>
        <v>94</v>
      </c>
      <c r="EC21" s="10">
        <f t="shared" si="281"/>
        <v>75</v>
      </c>
      <c r="ED21" s="10">
        <f t="shared" si="281"/>
        <v>39</v>
      </c>
      <c r="EE21" s="10">
        <f t="shared" si="281"/>
        <v>89</v>
      </c>
      <c r="EF21" s="10">
        <f t="shared" si="281"/>
        <v>110</v>
      </c>
      <c r="EG21" s="10">
        <f t="shared" si="281"/>
        <v>129</v>
      </c>
      <c r="EH21" s="10">
        <f t="shared" si="281"/>
        <v>125</v>
      </c>
      <c r="EI21" s="10">
        <f t="shared" si="281"/>
        <v>129</v>
      </c>
      <c r="EJ21" s="10">
        <f t="shared" si="281"/>
        <v>142</v>
      </c>
      <c r="EK21" s="10">
        <f t="shared" si="281"/>
        <v>125</v>
      </c>
      <c r="EL21" s="10">
        <f t="shared" si="281"/>
        <v>156</v>
      </c>
      <c r="EM21" s="10">
        <f t="shared" si="281"/>
        <v>176</v>
      </c>
      <c r="EN21" s="10">
        <f t="shared" si="281"/>
        <v>226</v>
      </c>
      <c r="EO21" s="10">
        <f t="shared" si="281"/>
        <v>210</v>
      </c>
      <c r="EP21" s="10">
        <f t="shared" si="281"/>
        <v>150</v>
      </c>
      <c r="EQ21" s="10">
        <f t="shared" si="281"/>
        <v>148</v>
      </c>
      <c r="ER21" s="10">
        <f t="shared" si="281"/>
        <v>110</v>
      </c>
      <c r="ES21" s="10">
        <f t="shared" si="281"/>
        <v>47</v>
      </c>
      <c r="ET21" s="10">
        <f t="shared" si="281"/>
        <v>6</v>
      </c>
      <c r="EU21" s="10">
        <f t="shared" si="279"/>
        <v>2377</v>
      </c>
      <c r="EV21" s="10">
        <f t="shared" ref="EV21:EV31" si="282">EA21*3/5+EB21*3/5</f>
        <v>88.8</v>
      </c>
      <c r="EW21" s="10">
        <f t="shared" ref="EW21:EW31" si="283">EB21*2/5+EC21*1/5</f>
        <v>52.6</v>
      </c>
      <c r="EX21" s="10">
        <f t="shared" si="280"/>
        <v>1073</v>
      </c>
      <c r="EY21" s="10">
        <f t="shared" ref="EY21:EY31" si="284">SUM(EO21:ET21)</f>
        <v>671</v>
      </c>
      <c r="EZ21" s="14">
        <f t="shared" ref="EZ21:EZ31" si="285">EX21/EU21</f>
        <v>0.45140933950357592</v>
      </c>
      <c r="FA21" s="14">
        <f t="shared" ref="FA21:FA31" si="286">EY21/EU21</f>
        <v>0.28228859907446363</v>
      </c>
      <c r="FB21" s="10">
        <f>SUM(ED21:EG21)</f>
        <v>367</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83</v>
      </c>
      <c r="EA22" s="16">
        <f t="shared" ref="EA22:ET22" si="287">EA20+EA21</f>
        <v>123</v>
      </c>
      <c r="EB22" s="16">
        <f t="shared" si="287"/>
        <v>186</v>
      </c>
      <c r="EC22" s="16">
        <f t="shared" si="287"/>
        <v>229</v>
      </c>
      <c r="ED22" s="16">
        <f t="shared" si="287"/>
        <v>96</v>
      </c>
      <c r="EE22" s="16">
        <f t="shared" si="287"/>
        <v>191</v>
      </c>
      <c r="EF22" s="16">
        <f t="shared" si="287"/>
        <v>239</v>
      </c>
      <c r="EG22" s="16">
        <f t="shared" si="287"/>
        <v>259</v>
      </c>
      <c r="EH22" s="16">
        <f t="shared" si="287"/>
        <v>237</v>
      </c>
      <c r="EI22" s="16">
        <f t="shared" si="287"/>
        <v>268</v>
      </c>
      <c r="EJ22" s="16">
        <f t="shared" si="287"/>
        <v>267</v>
      </c>
      <c r="EK22" s="16">
        <f t="shared" si="287"/>
        <v>259</v>
      </c>
      <c r="EL22" s="16">
        <f t="shared" si="287"/>
        <v>303</v>
      </c>
      <c r="EM22" s="16">
        <f t="shared" si="287"/>
        <v>339</v>
      </c>
      <c r="EN22" s="16">
        <f t="shared" si="287"/>
        <v>427</v>
      </c>
      <c r="EO22" s="16">
        <f t="shared" si="287"/>
        <v>387</v>
      </c>
      <c r="EP22" s="16">
        <f t="shared" si="287"/>
        <v>288</v>
      </c>
      <c r="EQ22" s="16">
        <f t="shared" si="287"/>
        <v>230</v>
      </c>
      <c r="ER22" s="16">
        <f t="shared" si="287"/>
        <v>150</v>
      </c>
      <c r="ES22" s="16">
        <f t="shared" si="287"/>
        <v>56</v>
      </c>
      <c r="ET22" s="16">
        <f t="shared" si="287"/>
        <v>6</v>
      </c>
      <c r="EU22" s="11">
        <f>SUM(DZ22:ET22)</f>
        <v>4623</v>
      </c>
      <c r="EV22" s="11">
        <f t="shared" si="282"/>
        <v>185.39999999999998</v>
      </c>
      <c r="EW22" s="11">
        <f t="shared" si="283"/>
        <v>120.2</v>
      </c>
      <c r="EX22" s="11">
        <f t="shared" si="280"/>
        <v>1883</v>
      </c>
      <c r="EY22" s="11">
        <f t="shared" si="284"/>
        <v>1117</v>
      </c>
      <c r="EZ22" s="15">
        <f t="shared" si="285"/>
        <v>0.4073112697382652</v>
      </c>
      <c r="FA22" s="15">
        <f t="shared" si="286"/>
        <v>0.24161799697166342</v>
      </c>
      <c r="FB22" s="11">
        <f>SUM(ED22:EG22)</f>
        <v>785</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79</v>
      </c>
      <c r="EA23" s="9">
        <f t="shared" si="288"/>
        <v>54</v>
      </c>
      <c r="EB23" s="9">
        <f t="shared" si="288"/>
        <v>78</v>
      </c>
      <c r="EC23" s="9">
        <f t="shared" si="288"/>
        <v>149</v>
      </c>
      <c r="ED23" s="9">
        <f t="shared" si="288"/>
        <v>56</v>
      </c>
      <c r="EE23" s="9">
        <f t="shared" si="288"/>
        <v>101</v>
      </c>
      <c r="EF23" s="9">
        <f t="shared" si="288"/>
        <v>148</v>
      </c>
      <c r="EG23" s="9">
        <f t="shared" si="288"/>
        <v>176</v>
      </c>
      <c r="EH23" s="9">
        <f t="shared" si="288"/>
        <v>135</v>
      </c>
      <c r="EI23" s="9">
        <f t="shared" si="288"/>
        <v>119</v>
      </c>
      <c r="EJ23" s="9">
        <f t="shared" si="288"/>
        <v>144</v>
      </c>
      <c r="EK23" s="9">
        <f t="shared" si="288"/>
        <v>125</v>
      </c>
      <c r="EL23" s="9">
        <f t="shared" si="288"/>
        <v>135</v>
      </c>
      <c r="EM23" s="9">
        <f t="shared" si="288"/>
        <v>142</v>
      </c>
      <c r="EN23" s="9">
        <f t="shared" si="288"/>
        <v>152</v>
      </c>
      <c r="EO23" s="9">
        <f t="shared" si="288"/>
        <v>172</v>
      </c>
      <c r="EP23" s="9">
        <f t="shared" si="288"/>
        <v>151</v>
      </c>
      <c r="EQ23" s="9">
        <f t="shared" si="288"/>
        <v>97</v>
      </c>
      <c r="ER23" s="9">
        <f t="shared" si="288"/>
        <v>36</v>
      </c>
      <c r="ES23" s="9">
        <f t="shared" si="288"/>
        <v>10</v>
      </c>
      <c r="ET23" s="9">
        <f t="shared" si="288"/>
        <v>0</v>
      </c>
      <c r="EU23" s="9">
        <f t="shared" ref="EU23:EU31" si="289">SUM(DZ23:ET23)</f>
        <v>2259</v>
      </c>
      <c r="EV23" s="9">
        <f t="shared" si="282"/>
        <v>79.199999999999989</v>
      </c>
      <c r="EW23" s="9">
        <f t="shared" si="283"/>
        <v>61</v>
      </c>
      <c r="EX23" s="9">
        <f t="shared" si="280"/>
        <v>760</v>
      </c>
      <c r="EY23" s="9">
        <f t="shared" si="284"/>
        <v>466</v>
      </c>
      <c r="EZ23" s="13">
        <f t="shared" si="285"/>
        <v>0.33643204957945994</v>
      </c>
      <c r="FA23" s="13">
        <f t="shared" si="286"/>
        <v>0.20628596724214254</v>
      </c>
      <c r="FB23" s="9">
        <f t="shared" ref="FB23:FB31" si="290">SUM(ED23:EG23)</f>
        <v>481</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64</v>
      </c>
      <c r="EA24" s="10">
        <f t="shared" si="291"/>
        <v>42</v>
      </c>
      <c r="EB24" s="10">
        <f t="shared" si="291"/>
        <v>57</v>
      </c>
      <c r="EC24" s="10">
        <f t="shared" si="291"/>
        <v>85</v>
      </c>
      <c r="ED24" s="10">
        <f t="shared" si="291"/>
        <v>46</v>
      </c>
      <c r="EE24" s="10">
        <f t="shared" si="291"/>
        <v>73</v>
      </c>
      <c r="EF24" s="10">
        <f t="shared" si="291"/>
        <v>140</v>
      </c>
      <c r="EG24" s="10">
        <f t="shared" si="291"/>
        <v>163</v>
      </c>
      <c r="EH24" s="10">
        <f t="shared" si="291"/>
        <v>135</v>
      </c>
      <c r="EI24" s="10">
        <f t="shared" si="291"/>
        <v>128</v>
      </c>
      <c r="EJ24" s="10">
        <f t="shared" si="291"/>
        <v>143</v>
      </c>
      <c r="EK24" s="10">
        <f t="shared" si="291"/>
        <v>145</v>
      </c>
      <c r="EL24" s="10">
        <f t="shared" si="291"/>
        <v>127</v>
      </c>
      <c r="EM24" s="10">
        <f t="shared" si="291"/>
        <v>154</v>
      </c>
      <c r="EN24" s="10">
        <f t="shared" si="291"/>
        <v>171</v>
      </c>
      <c r="EO24" s="10">
        <f t="shared" si="291"/>
        <v>220</v>
      </c>
      <c r="EP24" s="10">
        <f t="shared" si="291"/>
        <v>193</v>
      </c>
      <c r="EQ24" s="10">
        <f t="shared" si="291"/>
        <v>133</v>
      </c>
      <c r="ER24" s="10">
        <f t="shared" si="291"/>
        <v>101</v>
      </c>
      <c r="ES24" s="10">
        <f t="shared" si="291"/>
        <v>48</v>
      </c>
      <c r="ET24" s="10">
        <f t="shared" si="291"/>
        <v>9</v>
      </c>
      <c r="EU24" s="10">
        <f t="shared" si="289"/>
        <v>2377</v>
      </c>
      <c r="EV24" s="10">
        <f t="shared" si="282"/>
        <v>59.400000000000006</v>
      </c>
      <c r="EW24" s="10">
        <f t="shared" si="283"/>
        <v>39.799999999999997</v>
      </c>
      <c r="EX24" s="10">
        <f t="shared" si="280"/>
        <v>1029</v>
      </c>
      <c r="EY24" s="10">
        <f t="shared" si="284"/>
        <v>704</v>
      </c>
      <c r="EZ24" s="14">
        <f t="shared" si="285"/>
        <v>0.43289861169541438</v>
      </c>
      <c r="FA24" s="14">
        <f t="shared" si="286"/>
        <v>0.29617164493058479</v>
      </c>
      <c r="FB24" s="10">
        <f t="shared" si="290"/>
        <v>422</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143</v>
      </c>
      <c r="EA25" s="16">
        <f t="shared" ref="EA25:ET25" si="292">EA23+EA24</f>
        <v>96</v>
      </c>
      <c r="EB25" s="16">
        <f t="shared" si="292"/>
        <v>135</v>
      </c>
      <c r="EC25" s="16">
        <f t="shared" si="292"/>
        <v>234</v>
      </c>
      <c r="ED25" s="16">
        <f t="shared" si="292"/>
        <v>102</v>
      </c>
      <c r="EE25" s="16">
        <f t="shared" si="292"/>
        <v>174</v>
      </c>
      <c r="EF25" s="16">
        <f t="shared" si="292"/>
        <v>288</v>
      </c>
      <c r="EG25" s="16">
        <f t="shared" si="292"/>
        <v>339</v>
      </c>
      <c r="EH25" s="16">
        <f t="shared" si="292"/>
        <v>270</v>
      </c>
      <c r="EI25" s="16">
        <f t="shared" si="292"/>
        <v>247</v>
      </c>
      <c r="EJ25" s="16">
        <f t="shared" si="292"/>
        <v>287</v>
      </c>
      <c r="EK25" s="16">
        <f t="shared" si="292"/>
        <v>270</v>
      </c>
      <c r="EL25" s="16">
        <f t="shared" si="292"/>
        <v>262</v>
      </c>
      <c r="EM25" s="16">
        <f t="shared" si="292"/>
        <v>296</v>
      </c>
      <c r="EN25" s="16">
        <f t="shared" si="292"/>
        <v>323</v>
      </c>
      <c r="EO25" s="16">
        <f t="shared" si="292"/>
        <v>392</v>
      </c>
      <c r="EP25" s="16">
        <f t="shared" si="292"/>
        <v>344</v>
      </c>
      <c r="EQ25" s="16">
        <f t="shared" si="292"/>
        <v>230</v>
      </c>
      <c r="ER25" s="16">
        <f t="shared" si="292"/>
        <v>137</v>
      </c>
      <c r="ES25" s="16">
        <f t="shared" si="292"/>
        <v>58</v>
      </c>
      <c r="ET25" s="16">
        <f t="shared" si="292"/>
        <v>9</v>
      </c>
      <c r="EU25" s="11">
        <f t="shared" si="289"/>
        <v>4636</v>
      </c>
      <c r="EV25" s="11">
        <f t="shared" si="282"/>
        <v>138.6</v>
      </c>
      <c r="EW25" s="11">
        <f t="shared" si="283"/>
        <v>100.8</v>
      </c>
      <c r="EX25" s="11">
        <f t="shared" si="280"/>
        <v>1789</v>
      </c>
      <c r="EY25" s="11">
        <f t="shared" si="284"/>
        <v>1170</v>
      </c>
      <c r="EZ25" s="15">
        <f t="shared" si="285"/>
        <v>0.385893011216566</v>
      </c>
      <c r="FA25" s="15">
        <f t="shared" si="286"/>
        <v>0.25237273511647973</v>
      </c>
      <c r="FB25" s="11">
        <f t="shared" si="290"/>
        <v>903</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84</v>
      </c>
      <c r="EA26" s="9">
        <f t="shared" si="293"/>
        <v>93</v>
      </c>
      <c r="EB26" s="9">
        <f t="shared" si="293"/>
        <v>61</v>
      </c>
      <c r="EC26" s="9">
        <f t="shared" si="293"/>
        <v>126</v>
      </c>
      <c r="ED26" s="9">
        <f t="shared" si="293"/>
        <v>53</v>
      </c>
      <c r="EE26" s="9">
        <f t="shared" si="293"/>
        <v>99</v>
      </c>
      <c r="EF26" s="9">
        <f t="shared" si="293"/>
        <v>147</v>
      </c>
      <c r="EG26" s="9">
        <f t="shared" si="293"/>
        <v>196</v>
      </c>
      <c r="EH26" s="9">
        <f t="shared" si="293"/>
        <v>182</v>
      </c>
      <c r="EI26" s="9">
        <f t="shared" si="293"/>
        <v>143</v>
      </c>
      <c r="EJ26" s="9">
        <f t="shared" si="293"/>
        <v>123</v>
      </c>
      <c r="EK26" s="9">
        <f t="shared" si="293"/>
        <v>145</v>
      </c>
      <c r="EL26" s="9">
        <f t="shared" si="293"/>
        <v>127</v>
      </c>
      <c r="EM26" s="9">
        <f t="shared" si="293"/>
        <v>130</v>
      </c>
      <c r="EN26" s="9">
        <f t="shared" si="293"/>
        <v>132</v>
      </c>
      <c r="EO26" s="9">
        <f t="shared" si="293"/>
        <v>130</v>
      </c>
      <c r="EP26" s="9">
        <f t="shared" si="293"/>
        <v>146</v>
      </c>
      <c r="EQ26" s="9">
        <f t="shared" si="293"/>
        <v>106</v>
      </c>
      <c r="ER26" s="9">
        <f t="shared" si="293"/>
        <v>43</v>
      </c>
      <c r="ES26" s="9">
        <f t="shared" si="293"/>
        <v>9</v>
      </c>
      <c r="ET26" s="9">
        <f t="shared" si="293"/>
        <v>0</v>
      </c>
      <c r="EU26" s="9">
        <f t="shared" si="289"/>
        <v>2275</v>
      </c>
      <c r="EV26" s="9">
        <f t="shared" si="282"/>
        <v>92.4</v>
      </c>
      <c r="EW26" s="9">
        <f t="shared" si="283"/>
        <v>49.599999999999994</v>
      </c>
      <c r="EX26" s="9">
        <f t="shared" si="280"/>
        <v>696</v>
      </c>
      <c r="EY26" s="9">
        <f t="shared" si="284"/>
        <v>434</v>
      </c>
      <c r="EZ26" s="13">
        <f t="shared" si="285"/>
        <v>0.30593406593406591</v>
      </c>
      <c r="FA26" s="13">
        <f t="shared" si="286"/>
        <v>0.19076923076923077</v>
      </c>
      <c r="FB26" s="9">
        <f t="shared" si="290"/>
        <v>495</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68</v>
      </c>
      <c r="EA27" s="10">
        <f t="shared" si="294"/>
        <v>71</v>
      </c>
      <c r="EB27" s="10">
        <f t="shared" si="294"/>
        <v>44</v>
      </c>
      <c r="EC27" s="10">
        <f t="shared" si="294"/>
        <v>52</v>
      </c>
      <c r="ED27" s="10">
        <f t="shared" si="294"/>
        <v>52</v>
      </c>
      <c r="EE27" s="10">
        <f t="shared" si="294"/>
        <v>79</v>
      </c>
      <c r="EF27" s="10">
        <f t="shared" si="294"/>
        <v>122</v>
      </c>
      <c r="EG27" s="10">
        <f t="shared" si="294"/>
        <v>197</v>
      </c>
      <c r="EH27" s="10">
        <f t="shared" si="294"/>
        <v>171</v>
      </c>
      <c r="EI27" s="10">
        <f t="shared" si="294"/>
        <v>138</v>
      </c>
      <c r="EJ27" s="10">
        <f t="shared" si="294"/>
        <v>142</v>
      </c>
      <c r="EK27" s="10">
        <f t="shared" si="294"/>
        <v>146</v>
      </c>
      <c r="EL27" s="10">
        <f t="shared" si="294"/>
        <v>147</v>
      </c>
      <c r="EM27" s="10">
        <f t="shared" si="294"/>
        <v>125</v>
      </c>
      <c r="EN27" s="10">
        <f t="shared" si="294"/>
        <v>149</v>
      </c>
      <c r="EO27" s="10">
        <f t="shared" si="294"/>
        <v>167</v>
      </c>
      <c r="EP27" s="10">
        <f t="shared" si="294"/>
        <v>203</v>
      </c>
      <c r="EQ27" s="10">
        <f t="shared" si="294"/>
        <v>171</v>
      </c>
      <c r="ER27" s="10">
        <f t="shared" si="294"/>
        <v>91</v>
      </c>
      <c r="ES27" s="10">
        <f t="shared" si="294"/>
        <v>44</v>
      </c>
      <c r="ET27" s="10">
        <f t="shared" si="294"/>
        <v>9</v>
      </c>
      <c r="EU27" s="10">
        <f t="shared" si="289"/>
        <v>2388</v>
      </c>
      <c r="EV27" s="10">
        <f t="shared" si="282"/>
        <v>69</v>
      </c>
      <c r="EW27" s="10">
        <f t="shared" si="283"/>
        <v>28</v>
      </c>
      <c r="EX27" s="10">
        <f t="shared" si="280"/>
        <v>959</v>
      </c>
      <c r="EY27" s="10">
        <f t="shared" si="284"/>
        <v>685</v>
      </c>
      <c r="EZ27" s="14">
        <f t="shared" si="285"/>
        <v>0.40159128978224456</v>
      </c>
      <c r="FA27" s="14">
        <f t="shared" si="286"/>
        <v>0.2868509212730318</v>
      </c>
      <c r="FB27" s="10">
        <f t="shared" si="290"/>
        <v>450</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152</v>
      </c>
      <c r="EA28" s="16">
        <f t="shared" ref="EA28:ET28" si="295">EA26+EA27</f>
        <v>164</v>
      </c>
      <c r="EB28" s="16">
        <f t="shared" si="295"/>
        <v>105</v>
      </c>
      <c r="EC28" s="16">
        <f t="shared" si="295"/>
        <v>178</v>
      </c>
      <c r="ED28" s="16">
        <f t="shared" si="295"/>
        <v>105</v>
      </c>
      <c r="EE28" s="16">
        <f t="shared" si="295"/>
        <v>178</v>
      </c>
      <c r="EF28" s="16">
        <f t="shared" si="295"/>
        <v>269</v>
      </c>
      <c r="EG28" s="16">
        <f t="shared" si="295"/>
        <v>393</v>
      </c>
      <c r="EH28" s="16">
        <f t="shared" si="295"/>
        <v>353</v>
      </c>
      <c r="EI28" s="16">
        <f t="shared" si="295"/>
        <v>281</v>
      </c>
      <c r="EJ28" s="16">
        <f t="shared" si="295"/>
        <v>265</v>
      </c>
      <c r="EK28" s="16">
        <f t="shared" si="295"/>
        <v>291</v>
      </c>
      <c r="EL28" s="16">
        <f t="shared" si="295"/>
        <v>274</v>
      </c>
      <c r="EM28" s="16">
        <f t="shared" si="295"/>
        <v>255</v>
      </c>
      <c r="EN28" s="16">
        <f t="shared" si="295"/>
        <v>281</v>
      </c>
      <c r="EO28" s="16">
        <f t="shared" si="295"/>
        <v>297</v>
      </c>
      <c r="EP28" s="16">
        <f t="shared" si="295"/>
        <v>349</v>
      </c>
      <c r="EQ28" s="16">
        <f t="shared" si="295"/>
        <v>277</v>
      </c>
      <c r="ER28" s="16">
        <f t="shared" si="295"/>
        <v>134</v>
      </c>
      <c r="ES28" s="16">
        <f t="shared" si="295"/>
        <v>53</v>
      </c>
      <c r="ET28" s="16">
        <f t="shared" si="295"/>
        <v>9</v>
      </c>
      <c r="EU28" s="11">
        <f t="shared" si="289"/>
        <v>4663</v>
      </c>
      <c r="EV28" s="11">
        <f t="shared" si="282"/>
        <v>161.4</v>
      </c>
      <c r="EW28" s="11">
        <f t="shared" si="283"/>
        <v>77.599999999999994</v>
      </c>
      <c r="EX28" s="11">
        <f t="shared" si="280"/>
        <v>1655</v>
      </c>
      <c r="EY28" s="11">
        <f t="shared" si="284"/>
        <v>1119</v>
      </c>
      <c r="EZ28" s="15">
        <f t="shared" si="285"/>
        <v>0.35492172421188078</v>
      </c>
      <c r="FA28" s="15">
        <f t="shared" si="286"/>
        <v>0.23997426549431697</v>
      </c>
      <c r="FB28" s="11">
        <f t="shared" si="290"/>
        <v>945</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79</v>
      </c>
      <c r="EA29" s="9">
        <f t="shared" si="296"/>
        <v>99</v>
      </c>
      <c r="EB29" s="9">
        <f t="shared" si="296"/>
        <v>104</v>
      </c>
      <c r="EC29" s="9">
        <f t="shared" si="296"/>
        <v>98</v>
      </c>
      <c r="ED29" s="9">
        <f t="shared" si="296"/>
        <v>45</v>
      </c>
      <c r="EE29" s="9">
        <f t="shared" si="296"/>
        <v>97</v>
      </c>
      <c r="EF29" s="9">
        <f t="shared" si="296"/>
        <v>145</v>
      </c>
      <c r="EG29" s="9">
        <f t="shared" si="296"/>
        <v>195</v>
      </c>
      <c r="EH29" s="9">
        <f t="shared" si="296"/>
        <v>203</v>
      </c>
      <c r="EI29" s="9">
        <f t="shared" si="296"/>
        <v>193</v>
      </c>
      <c r="EJ29" s="9">
        <f t="shared" si="296"/>
        <v>148</v>
      </c>
      <c r="EK29" s="9">
        <f t="shared" si="296"/>
        <v>124</v>
      </c>
      <c r="EL29" s="9">
        <f t="shared" si="296"/>
        <v>147</v>
      </c>
      <c r="EM29" s="9">
        <f t="shared" si="296"/>
        <v>122</v>
      </c>
      <c r="EN29" s="9">
        <f t="shared" si="296"/>
        <v>122</v>
      </c>
      <c r="EO29" s="9">
        <f t="shared" si="296"/>
        <v>113</v>
      </c>
      <c r="EP29" s="9">
        <f t="shared" si="296"/>
        <v>111</v>
      </c>
      <c r="EQ29" s="9">
        <f t="shared" si="296"/>
        <v>103</v>
      </c>
      <c r="ER29" s="9">
        <f t="shared" si="296"/>
        <v>47</v>
      </c>
      <c r="ES29" s="9">
        <f t="shared" si="296"/>
        <v>10</v>
      </c>
      <c r="ET29" s="9">
        <f t="shared" si="296"/>
        <v>0</v>
      </c>
      <c r="EU29" s="9">
        <f t="shared" si="289"/>
        <v>2305</v>
      </c>
      <c r="EV29" s="9">
        <f t="shared" si="282"/>
        <v>121.8</v>
      </c>
      <c r="EW29" s="9">
        <f t="shared" si="283"/>
        <v>61.2</v>
      </c>
      <c r="EX29" s="9">
        <f t="shared" si="280"/>
        <v>628</v>
      </c>
      <c r="EY29" s="9">
        <f t="shared" si="284"/>
        <v>384</v>
      </c>
      <c r="EZ29" s="13">
        <f t="shared" si="285"/>
        <v>0.27245119305856835</v>
      </c>
      <c r="FA29" s="13">
        <f t="shared" si="286"/>
        <v>0.1665943600867679</v>
      </c>
      <c r="FB29" s="9">
        <f t="shared" si="290"/>
        <v>482</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64</v>
      </c>
      <c r="EA30" s="10">
        <f t="shared" si="297"/>
        <v>76</v>
      </c>
      <c r="EB30" s="10">
        <f t="shared" si="297"/>
        <v>76</v>
      </c>
      <c r="EC30" s="10">
        <f t="shared" si="297"/>
        <v>40</v>
      </c>
      <c r="ED30" s="10">
        <f t="shared" si="297"/>
        <v>32</v>
      </c>
      <c r="EE30" s="10">
        <f t="shared" si="297"/>
        <v>84</v>
      </c>
      <c r="EF30" s="10">
        <f t="shared" si="297"/>
        <v>130</v>
      </c>
      <c r="EG30" s="10">
        <f t="shared" si="297"/>
        <v>177</v>
      </c>
      <c r="EH30" s="10">
        <f t="shared" si="297"/>
        <v>206</v>
      </c>
      <c r="EI30" s="10">
        <f t="shared" si="297"/>
        <v>175</v>
      </c>
      <c r="EJ30" s="10">
        <f t="shared" si="297"/>
        <v>153</v>
      </c>
      <c r="EK30" s="10">
        <f t="shared" si="297"/>
        <v>145</v>
      </c>
      <c r="EL30" s="10">
        <f t="shared" si="297"/>
        <v>148</v>
      </c>
      <c r="EM30" s="10">
        <f t="shared" si="297"/>
        <v>144</v>
      </c>
      <c r="EN30" s="10">
        <f t="shared" si="297"/>
        <v>121</v>
      </c>
      <c r="EO30" s="10">
        <f t="shared" si="297"/>
        <v>145</v>
      </c>
      <c r="EP30" s="10">
        <f t="shared" si="297"/>
        <v>153</v>
      </c>
      <c r="EQ30" s="10">
        <f t="shared" si="297"/>
        <v>179</v>
      </c>
      <c r="ER30" s="10">
        <f t="shared" si="297"/>
        <v>117</v>
      </c>
      <c r="ES30" s="10">
        <f t="shared" si="297"/>
        <v>39</v>
      </c>
      <c r="ET30" s="10">
        <f t="shared" si="297"/>
        <v>9</v>
      </c>
      <c r="EU30" s="10">
        <f t="shared" si="289"/>
        <v>2413</v>
      </c>
      <c r="EV30" s="10">
        <f t="shared" si="282"/>
        <v>91.2</v>
      </c>
      <c r="EW30" s="10">
        <f t="shared" si="283"/>
        <v>38.4</v>
      </c>
      <c r="EX30" s="10">
        <f t="shared" si="280"/>
        <v>907</v>
      </c>
      <c r="EY30" s="10">
        <f t="shared" si="284"/>
        <v>642</v>
      </c>
      <c r="EZ30" s="14">
        <f t="shared" si="285"/>
        <v>0.37588064649813513</v>
      </c>
      <c r="FA30" s="14">
        <f t="shared" si="286"/>
        <v>0.26605884790716949</v>
      </c>
      <c r="FB30" s="10">
        <f t="shared" si="290"/>
        <v>423</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143</v>
      </c>
      <c r="EA31" s="16">
        <f t="shared" ref="EA31:ET31" si="298">EA29+EA30</f>
        <v>175</v>
      </c>
      <c r="EB31" s="16">
        <f t="shared" si="298"/>
        <v>180</v>
      </c>
      <c r="EC31" s="16">
        <f t="shared" si="298"/>
        <v>138</v>
      </c>
      <c r="ED31" s="16">
        <f t="shared" si="298"/>
        <v>77</v>
      </c>
      <c r="EE31" s="16">
        <f t="shared" si="298"/>
        <v>181</v>
      </c>
      <c r="EF31" s="16">
        <f t="shared" si="298"/>
        <v>275</v>
      </c>
      <c r="EG31" s="16">
        <f t="shared" si="298"/>
        <v>372</v>
      </c>
      <c r="EH31" s="16">
        <f t="shared" si="298"/>
        <v>409</v>
      </c>
      <c r="EI31" s="16">
        <f t="shared" si="298"/>
        <v>368</v>
      </c>
      <c r="EJ31" s="16">
        <f t="shared" si="298"/>
        <v>301</v>
      </c>
      <c r="EK31" s="16">
        <f t="shared" si="298"/>
        <v>269</v>
      </c>
      <c r="EL31" s="16">
        <f t="shared" si="298"/>
        <v>295</v>
      </c>
      <c r="EM31" s="16">
        <f t="shared" si="298"/>
        <v>266</v>
      </c>
      <c r="EN31" s="16">
        <f t="shared" si="298"/>
        <v>243</v>
      </c>
      <c r="EO31" s="16">
        <f t="shared" si="298"/>
        <v>258</v>
      </c>
      <c r="EP31" s="16">
        <f t="shared" si="298"/>
        <v>264</v>
      </c>
      <c r="EQ31" s="16">
        <f t="shared" si="298"/>
        <v>282</v>
      </c>
      <c r="ER31" s="16">
        <f t="shared" si="298"/>
        <v>164</v>
      </c>
      <c r="ES31" s="16">
        <f t="shared" si="298"/>
        <v>49</v>
      </c>
      <c r="ET31" s="16">
        <f t="shared" si="298"/>
        <v>9</v>
      </c>
      <c r="EU31" s="11">
        <f t="shared" si="289"/>
        <v>4718</v>
      </c>
      <c r="EV31" s="11">
        <f t="shared" si="282"/>
        <v>213</v>
      </c>
      <c r="EW31" s="11">
        <f t="shared" si="283"/>
        <v>99.6</v>
      </c>
      <c r="EX31" s="11">
        <f t="shared" si="280"/>
        <v>1535</v>
      </c>
      <c r="EY31" s="11">
        <f t="shared" si="284"/>
        <v>1026</v>
      </c>
      <c r="EZ31" s="15">
        <f t="shared" si="285"/>
        <v>0.32534972445951676</v>
      </c>
      <c r="FA31" s="15">
        <f t="shared" si="286"/>
        <v>0.21746502755404831</v>
      </c>
      <c r="FB31" s="11">
        <f t="shared" si="290"/>
        <v>905</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2456</v>
      </c>
      <c r="D4" s="17">
        <f>SUM(C41:C61)</f>
        <v>2585</v>
      </c>
      <c r="E4" s="17">
        <f>C4+D4</f>
        <v>5041</v>
      </c>
      <c r="F4" s="85"/>
      <c r="G4" s="1" t="s">
        <v>58</v>
      </c>
      <c r="H4" s="1">
        <f>B4</f>
        <v>2010</v>
      </c>
      <c r="I4" s="17">
        <f>C4</f>
        <v>2456</v>
      </c>
      <c r="J4" s="17">
        <f>D4</f>
        <v>2585</v>
      </c>
      <c r="K4" s="17">
        <f>I4+J4</f>
        <v>5041</v>
      </c>
      <c r="N4" s="1" t="s">
        <v>58</v>
      </c>
      <c r="O4" s="1">
        <f>H4</f>
        <v>2010</v>
      </c>
      <c r="P4" s="17">
        <f>I4</f>
        <v>2456</v>
      </c>
      <c r="Q4" s="17">
        <f t="shared" ref="Q4:R4" si="0">J4</f>
        <v>2585</v>
      </c>
      <c r="R4" s="17">
        <f t="shared" si="0"/>
        <v>5041</v>
      </c>
      <c r="S4" s="1"/>
      <c r="T4" s="1"/>
      <c r="U4" s="1"/>
    </row>
    <row r="5" spans="1:21" x14ac:dyDescent="0.15">
      <c r="A5" s="1" t="s">
        <v>61</v>
      </c>
      <c r="B5" s="1">
        <f>管理者入力シート!B6</f>
        <v>2015</v>
      </c>
      <c r="C5" s="17">
        <f>SUM(B65:B85)</f>
        <v>2350</v>
      </c>
      <c r="D5" s="17">
        <f>SUM(C65:C85)</f>
        <v>2479</v>
      </c>
      <c r="E5" s="17">
        <f t="shared" ref="E5" si="1">C5+D5</f>
        <v>4829</v>
      </c>
      <c r="F5" s="85"/>
      <c r="G5" s="1" t="s">
        <v>57</v>
      </c>
      <c r="H5" s="1">
        <f t="shared" ref="H5:H6" si="2">B5</f>
        <v>2015</v>
      </c>
      <c r="I5" s="17">
        <f t="shared" ref="I5" si="3">C5</f>
        <v>2350</v>
      </c>
      <c r="J5" s="17">
        <f>D5</f>
        <v>2479</v>
      </c>
      <c r="K5" s="17">
        <f t="shared" ref="K5:K10" si="4">I5+J5</f>
        <v>4829</v>
      </c>
      <c r="N5" s="1" t="s">
        <v>57</v>
      </c>
      <c r="O5" s="1">
        <f t="shared" ref="O5:O10" si="5">H5</f>
        <v>2015</v>
      </c>
      <c r="P5" s="17">
        <f t="shared" ref="P5:P10" si="6">I5</f>
        <v>2350</v>
      </c>
      <c r="Q5" s="17">
        <f t="shared" ref="Q5:Q10" si="7">J5</f>
        <v>2479</v>
      </c>
      <c r="R5" s="17">
        <f t="shared" ref="R5:R10" si="8">K5</f>
        <v>4829</v>
      </c>
      <c r="S5" s="1"/>
      <c r="T5" s="1"/>
      <c r="U5" s="1"/>
    </row>
    <row r="6" spans="1:21" x14ac:dyDescent="0.15">
      <c r="A6" s="1" t="s">
        <v>62</v>
      </c>
      <c r="B6" s="1">
        <f>管理者入力シート!B5</f>
        <v>2020</v>
      </c>
      <c r="C6" s="17">
        <f>SUM(B89:B109)</f>
        <v>2260</v>
      </c>
      <c r="D6" s="17">
        <f>SUM(C89:C109)</f>
        <v>2393</v>
      </c>
      <c r="E6" s="17">
        <f>C6+D6</f>
        <v>4653</v>
      </c>
      <c r="F6" s="85"/>
      <c r="G6" s="1" t="s">
        <v>62</v>
      </c>
      <c r="H6" s="1">
        <f t="shared" si="2"/>
        <v>2020</v>
      </c>
      <c r="I6" s="17">
        <f>C6</f>
        <v>2260</v>
      </c>
      <c r="J6" s="17">
        <f>D6</f>
        <v>2393</v>
      </c>
      <c r="K6" s="17">
        <f t="shared" si="4"/>
        <v>4653</v>
      </c>
      <c r="N6" s="1" t="s">
        <v>62</v>
      </c>
      <c r="O6" s="1">
        <f t="shared" si="5"/>
        <v>2020</v>
      </c>
      <c r="P6" s="17">
        <f t="shared" si="6"/>
        <v>2260</v>
      </c>
      <c r="Q6" s="17">
        <f t="shared" si="7"/>
        <v>2393</v>
      </c>
      <c r="R6" s="17">
        <f t="shared" si="8"/>
        <v>4653</v>
      </c>
      <c r="S6" s="1"/>
      <c r="T6" s="1"/>
      <c r="U6" s="1"/>
    </row>
    <row r="7" spans="1:21" x14ac:dyDescent="0.15">
      <c r="G7" s="1" t="s">
        <v>106</v>
      </c>
      <c r="H7" s="1">
        <f>管理者入力シート!B8</f>
        <v>2025</v>
      </c>
      <c r="I7" s="17">
        <f>SUM(H69:H89)</f>
        <v>2126</v>
      </c>
      <c r="J7" s="17">
        <f>SUM(I69:I89)</f>
        <v>2257</v>
      </c>
      <c r="K7" s="17">
        <f t="shared" si="4"/>
        <v>4383</v>
      </c>
      <c r="N7" s="1" t="s">
        <v>106</v>
      </c>
      <c r="O7" s="1">
        <f t="shared" si="5"/>
        <v>2025</v>
      </c>
      <c r="P7" s="17">
        <f t="shared" si="6"/>
        <v>2126</v>
      </c>
      <c r="Q7" s="17">
        <f t="shared" si="7"/>
        <v>2257</v>
      </c>
      <c r="R7" s="17">
        <f t="shared" si="8"/>
        <v>4383</v>
      </c>
      <c r="S7" s="235">
        <f>SUM(O69:O89)</f>
        <v>2130</v>
      </c>
      <c r="T7" s="235">
        <f>SUM(P69:P89)</f>
        <v>2262</v>
      </c>
      <c r="U7" s="235">
        <f>S7+T7</f>
        <v>4392</v>
      </c>
    </row>
    <row r="8" spans="1:21" x14ac:dyDescent="0.15">
      <c r="A8" s="69" t="s">
        <v>71</v>
      </c>
      <c r="G8" s="1" t="s">
        <v>107</v>
      </c>
      <c r="H8" s="1">
        <f>管理者入力シート!B9</f>
        <v>2030</v>
      </c>
      <c r="I8" s="17">
        <f>SUM(H93:H113)</f>
        <v>1973</v>
      </c>
      <c r="J8" s="17">
        <f>SUM(I93:I113)</f>
        <v>2093</v>
      </c>
      <c r="K8" s="17">
        <f t="shared" si="4"/>
        <v>4066</v>
      </c>
      <c r="N8" s="1" t="s">
        <v>107</v>
      </c>
      <c r="O8" s="1">
        <f t="shared" si="5"/>
        <v>2030</v>
      </c>
      <c r="P8" s="17">
        <f t="shared" si="6"/>
        <v>1973</v>
      </c>
      <c r="Q8" s="17">
        <f t="shared" si="7"/>
        <v>2093</v>
      </c>
      <c r="R8" s="17">
        <f t="shared" si="8"/>
        <v>4066</v>
      </c>
      <c r="S8" s="235">
        <f>SUM(O93:O113)</f>
        <v>1982</v>
      </c>
      <c r="T8" s="235">
        <f>SUM(P93:P113)</f>
        <v>2104</v>
      </c>
      <c r="U8" s="235">
        <f t="shared" ref="U8:U10" si="9">S8+T8</f>
        <v>4086</v>
      </c>
    </row>
    <row r="9" spans="1:21" x14ac:dyDescent="0.15">
      <c r="A9" s="2" t="s">
        <v>72</v>
      </c>
      <c r="G9" s="1" t="s">
        <v>108</v>
      </c>
      <c r="H9" s="1">
        <f>管理者入力シート!B10</f>
        <v>2035</v>
      </c>
      <c r="I9" s="17">
        <f>SUM(H117:H137)</f>
        <v>1802</v>
      </c>
      <c r="J9" s="17">
        <f>SUM(I117:I137)</f>
        <v>1922</v>
      </c>
      <c r="K9" s="17">
        <f t="shared" si="4"/>
        <v>3724</v>
      </c>
      <c r="N9" s="1" t="s">
        <v>108</v>
      </c>
      <c r="O9" s="1">
        <f t="shared" si="5"/>
        <v>2035</v>
      </c>
      <c r="P9" s="17">
        <f t="shared" si="6"/>
        <v>1802</v>
      </c>
      <c r="Q9" s="17">
        <f t="shared" si="7"/>
        <v>1922</v>
      </c>
      <c r="R9" s="17">
        <f t="shared" si="8"/>
        <v>3724</v>
      </c>
      <c r="S9" s="235">
        <f>SUM(O117:O137)</f>
        <v>1817</v>
      </c>
      <c r="T9" s="235">
        <f>SUM(P117:P137)</f>
        <v>1941</v>
      </c>
      <c r="U9" s="235">
        <f t="shared" si="9"/>
        <v>3758</v>
      </c>
    </row>
    <row r="10" spans="1:21" x14ac:dyDescent="0.15">
      <c r="A10" s="1" t="s">
        <v>58</v>
      </c>
      <c r="B10" s="1">
        <f>B4</f>
        <v>2010</v>
      </c>
      <c r="C10" s="17">
        <f>ROUND(VLOOKUP(B10&amp;"_3",管理者用人口入力シート!A:AA,26,FALSE),0)</f>
        <v>233</v>
      </c>
      <c r="D10" s="12"/>
      <c r="E10" s="12"/>
      <c r="G10" s="1" t="s">
        <v>109</v>
      </c>
      <c r="H10" s="1">
        <f>管理者入力シート!B11</f>
        <v>2040</v>
      </c>
      <c r="I10" s="17">
        <f>SUM(H141:H161)</f>
        <v>1632</v>
      </c>
      <c r="J10" s="17">
        <f>SUM(I141:I161)</f>
        <v>1751</v>
      </c>
      <c r="K10" s="17">
        <f t="shared" si="4"/>
        <v>3383</v>
      </c>
      <c r="N10" s="1" t="s">
        <v>109</v>
      </c>
      <c r="O10" s="1">
        <f t="shared" si="5"/>
        <v>2040</v>
      </c>
      <c r="P10" s="17">
        <f t="shared" si="6"/>
        <v>1632</v>
      </c>
      <c r="Q10" s="17">
        <f t="shared" si="7"/>
        <v>1751</v>
      </c>
      <c r="R10" s="17">
        <f t="shared" si="8"/>
        <v>3383</v>
      </c>
      <c r="S10" s="235">
        <f>SUM(O141:O161)</f>
        <v>1654</v>
      </c>
      <c r="T10" s="235">
        <f>SUM(P141:P161)</f>
        <v>1776</v>
      </c>
      <c r="U10" s="235">
        <f t="shared" si="9"/>
        <v>3430</v>
      </c>
    </row>
    <row r="11" spans="1:21" x14ac:dyDescent="0.15">
      <c r="A11" s="1" t="s">
        <v>61</v>
      </c>
      <c r="B11" s="1">
        <f t="shared" ref="B11:B12" si="10">B5</f>
        <v>2015</v>
      </c>
      <c r="C11" s="17">
        <f>ROUND(VLOOKUP(B11&amp;"_3",管理者用人口入力シート!A:AA,26,FALSE),0)</f>
        <v>188</v>
      </c>
      <c r="D11" s="12"/>
      <c r="E11" s="12"/>
      <c r="I11" s="12"/>
      <c r="J11" s="12"/>
      <c r="K11" s="12"/>
      <c r="P11" s="12"/>
    </row>
    <row r="12" spans="1:21" x14ac:dyDescent="0.15">
      <c r="A12" s="1" t="s">
        <v>62</v>
      </c>
      <c r="B12" s="1">
        <f t="shared" si="10"/>
        <v>2020</v>
      </c>
      <c r="C12" s="17">
        <f>ROUND(VLOOKUP(B12&amp;"_3",管理者用人口入力シート!A:AA,26,FALSE),0)</f>
        <v>209</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155</v>
      </c>
      <c r="D14" s="12"/>
      <c r="E14" s="12"/>
      <c r="G14" s="1" t="s">
        <v>58</v>
      </c>
      <c r="H14" s="1">
        <f>H4</f>
        <v>2010</v>
      </c>
      <c r="I14" s="17">
        <f>C10</f>
        <v>233</v>
      </c>
      <c r="J14" s="12"/>
      <c r="K14" s="12"/>
      <c r="N14" s="1" t="s">
        <v>58</v>
      </c>
      <c r="O14" s="1">
        <f>O4</f>
        <v>2010</v>
      </c>
      <c r="P14" s="17">
        <f>I14</f>
        <v>233</v>
      </c>
      <c r="Q14" s="17"/>
    </row>
    <row r="15" spans="1:21" x14ac:dyDescent="0.15">
      <c r="A15" s="1" t="s">
        <v>61</v>
      </c>
      <c r="B15" s="1">
        <f t="shared" ref="B15:B16" si="11">B5</f>
        <v>2015</v>
      </c>
      <c r="C15" s="17">
        <f>ROUND(VLOOKUP(B15&amp;"_3",管理者用人口入力シート!A:AA,27,FALSE),0)</f>
        <v>120</v>
      </c>
      <c r="D15" s="12"/>
      <c r="E15" s="12"/>
      <c r="G15" s="1" t="s">
        <v>57</v>
      </c>
      <c r="H15" s="1">
        <f t="shared" ref="H15:H20" si="12">H5</f>
        <v>2015</v>
      </c>
      <c r="I15" s="17">
        <f>C11</f>
        <v>188</v>
      </c>
      <c r="J15" s="12"/>
      <c r="K15" s="12"/>
      <c r="N15" s="1" t="s">
        <v>57</v>
      </c>
      <c r="O15" s="1">
        <f t="shared" ref="O15:O20" si="13">O5</f>
        <v>2015</v>
      </c>
      <c r="P15" s="17">
        <f t="shared" ref="P15:P20" si="14">I15</f>
        <v>188</v>
      </c>
      <c r="Q15" s="17"/>
    </row>
    <row r="16" spans="1:21" x14ac:dyDescent="0.15">
      <c r="A16" s="1" t="s">
        <v>62</v>
      </c>
      <c r="B16" s="1">
        <f t="shared" si="11"/>
        <v>2020</v>
      </c>
      <c r="C16" s="17">
        <f>ROUND(VLOOKUP(B16&amp;"_3",管理者用人口入力シート!A:AA,27,FALSE),0)</f>
        <v>116</v>
      </c>
      <c r="D16" s="12"/>
      <c r="E16" s="12"/>
      <c r="G16" s="1" t="s">
        <v>62</v>
      </c>
      <c r="H16" s="1">
        <f t="shared" si="12"/>
        <v>2020</v>
      </c>
      <c r="I16" s="17">
        <f>C12</f>
        <v>209</v>
      </c>
      <c r="J16" s="12"/>
      <c r="K16" s="12"/>
      <c r="N16" s="1" t="s">
        <v>62</v>
      </c>
      <c r="O16" s="1">
        <f t="shared" si="13"/>
        <v>2020</v>
      </c>
      <c r="P16" s="17">
        <f t="shared" si="14"/>
        <v>209</v>
      </c>
      <c r="Q16" s="17"/>
    </row>
    <row r="17" spans="1:17" x14ac:dyDescent="0.15">
      <c r="G17" s="1" t="s">
        <v>106</v>
      </c>
      <c r="H17" s="1">
        <f t="shared" si="12"/>
        <v>2025</v>
      </c>
      <c r="I17" s="17">
        <f>ROUND(VLOOKUP(H17&amp;"_3",管理者用人口入力シート!BH:CM,26,FALSE),0)</f>
        <v>186</v>
      </c>
      <c r="J17" s="12"/>
      <c r="K17" s="12"/>
      <c r="N17" s="1" t="s">
        <v>106</v>
      </c>
      <c r="O17" s="1">
        <f t="shared" si="13"/>
        <v>2025</v>
      </c>
      <c r="P17" s="17">
        <f t="shared" si="14"/>
        <v>186</v>
      </c>
      <c r="Q17" s="17">
        <f>ROUND(VLOOKUP(H17&amp;"_3",管理者用人口入力シート!CO:DT,26,FALSE),0)</f>
        <v>187</v>
      </c>
    </row>
    <row r="18" spans="1:17" x14ac:dyDescent="0.15">
      <c r="A18" s="69" t="s">
        <v>110</v>
      </c>
      <c r="G18" s="1" t="s">
        <v>107</v>
      </c>
      <c r="H18" s="1">
        <f t="shared" si="12"/>
        <v>2030</v>
      </c>
      <c r="I18" s="17">
        <f>ROUND(VLOOKUP(H18&amp;"_3",管理者用人口入力シート!BH:CM,26,FALSE),0)</f>
        <v>139</v>
      </c>
      <c r="J18" s="12"/>
      <c r="K18" s="12"/>
      <c r="N18" s="1" t="s">
        <v>107</v>
      </c>
      <c r="O18" s="1">
        <f t="shared" si="13"/>
        <v>2030</v>
      </c>
      <c r="P18" s="17">
        <f t="shared" si="14"/>
        <v>139</v>
      </c>
      <c r="Q18" s="17">
        <f>ROUND(VLOOKUP(H18&amp;"_3",管理者用人口入力シート!CO:DT,26,FALSE),0)</f>
        <v>141</v>
      </c>
    </row>
    <row r="19" spans="1:17" x14ac:dyDescent="0.15">
      <c r="A19" s="2" t="s">
        <v>84</v>
      </c>
      <c r="G19" s="1" t="s">
        <v>108</v>
      </c>
      <c r="H19" s="1">
        <f t="shared" si="12"/>
        <v>2035</v>
      </c>
      <c r="I19" s="17">
        <f>ROUND(VLOOKUP(H19&amp;"_3",管理者用人口入力シート!BH:CM,26,FALSE),0)</f>
        <v>113</v>
      </c>
      <c r="J19" s="12"/>
      <c r="K19" s="12"/>
      <c r="N19" s="1" t="s">
        <v>108</v>
      </c>
      <c r="O19" s="1">
        <f t="shared" si="13"/>
        <v>2035</v>
      </c>
      <c r="P19" s="17">
        <f t="shared" si="14"/>
        <v>113</v>
      </c>
      <c r="Q19" s="17">
        <f>ROUND(VLOOKUP(H19&amp;"_3",管理者用人口入力シート!CO:DT,26,FALSE),0)</f>
        <v>118</v>
      </c>
    </row>
    <row r="20" spans="1:17" x14ac:dyDescent="0.15">
      <c r="A20" s="1" t="s">
        <v>58</v>
      </c>
      <c r="B20" s="1">
        <f>B4</f>
        <v>2010</v>
      </c>
      <c r="C20" s="17">
        <f>SUM(B54:C61)</f>
        <v>1629</v>
      </c>
      <c r="D20" s="12"/>
      <c r="E20" s="12"/>
      <c r="G20" s="1" t="s">
        <v>109</v>
      </c>
      <c r="H20" s="1">
        <f t="shared" si="12"/>
        <v>2040</v>
      </c>
      <c r="I20" s="17">
        <f>ROUND(VLOOKUP(H20&amp;"_3",管理者用人口入力シート!BH:CM,26,FALSE),0)</f>
        <v>99</v>
      </c>
      <c r="J20" s="12"/>
      <c r="K20" s="12"/>
      <c r="N20" s="1" t="s">
        <v>109</v>
      </c>
      <c r="O20" s="1">
        <f t="shared" si="13"/>
        <v>2040</v>
      </c>
      <c r="P20" s="17">
        <f t="shared" si="14"/>
        <v>99</v>
      </c>
      <c r="Q20" s="17">
        <f>ROUND(VLOOKUP(H20&amp;"_3",管理者用人口入力シート!CO:DT,26,FALSE),0)</f>
        <v>106</v>
      </c>
    </row>
    <row r="21" spans="1:17" x14ac:dyDescent="0.15">
      <c r="A21" s="1" t="s">
        <v>61</v>
      </c>
      <c r="B21" s="1">
        <f t="shared" ref="B21:B22" si="15">B5</f>
        <v>2015</v>
      </c>
      <c r="C21" s="17">
        <f>SUM(B78:C85)</f>
        <v>1787</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1915</v>
      </c>
      <c r="D22" s="12"/>
      <c r="E22" s="12"/>
      <c r="G22" s="1" t="s">
        <v>58</v>
      </c>
      <c r="H22" s="1">
        <f>H4</f>
        <v>2010</v>
      </c>
      <c r="I22" s="17">
        <f>C14</f>
        <v>155</v>
      </c>
      <c r="J22" s="12"/>
      <c r="K22" s="12"/>
      <c r="N22" s="1" t="s">
        <v>58</v>
      </c>
      <c r="O22" s="1">
        <f>O4</f>
        <v>2010</v>
      </c>
      <c r="P22" s="17">
        <f>I22</f>
        <v>155</v>
      </c>
      <c r="Q22" s="17"/>
    </row>
    <row r="23" spans="1:17" x14ac:dyDescent="0.15">
      <c r="A23" s="2" t="s">
        <v>86</v>
      </c>
      <c r="G23" s="1" t="s">
        <v>57</v>
      </c>
      <c r="H23" s="1">
        <f t="shared" ref="H23:H28" si="16">H5</f>
        <v>2015</v>
      </c>
      <c r="I23" s="17">
        <f t="shared" ref="I23:I24" si="17">C15</f>
        <v>120</v>
      </c>
      <c r="J23" s="12"/>
      <c r="K23" s="12"/>
      <c r="N23" s="1" t="s">
        <v>57</v>
      </c>
      <c r="O23" s="1">
        <f t="shared" ref="O23:O28" si="18">O5</f>
        <v>2015</v>
      </c>
      <c r="P23" s="17">
        <f t="shared" ref="P23:P28" si="19">I23</f>
        <v>120</v>
      </c>
      <c r="Q23" s="17"/>
    </row>
    <row r="24" spans="1:17" x14ac:dyDescent="0.15">
      <c r="A24" s="1" t="s">
        <v>58</v>
      </c>
      <c r="B24" s="1">
        <f>B4</f>
        <v>2010</v>
      </c>
      <c r="C24" s="17">
        <f>SUM(B56:C61)</f>
        <v>915</v>
      </c>
      <c r="D24" s="12"/>
      <c r="E24" s="12"/>
      <c r="G24" s="1" t="s">
        <v>62</v>
      </c>
      <c r="H24" s="1">
        <f t="shared" si="16"/>
        <v>2020</v>
      </c>
      <c r="I24" s="17">
        <f t="shared" si="17"/>
        <v>116</v>
      </c>
      <c r="J24" s="12"/>
      <c r="K24" s="12"/>
      <c r="N24" s="1" t="s">
        <v>62</v>
      </c>
      <c r="O24" s="1">
        <f t="shared" si="18"/>
        <v>2020</v>
      </c>
      <c r="P24" s="17">
        <f t="shared" si="19"/>
        <v>116</v>
      </c>
      <c r="Q24" s="17"/>
    </row>
    <row r="25" spans="1:17" x14ac:dyDescent="0.15">
      <c r="A25" s="1" t="s">
        <v>61</v>
      </c>
      <c r="B25" s="1">
        <f t="shared" ref="B25:B26" si="20">B5</f>
        <v>2015</v>
      </c>
      <c r="C25" s="17">
        <f>SUM(B80:C85)</f>
        <v>990</v>
      </c>
      <c r="D25" s="12"/>
      <c r="E25" s="12"/>
      <c r="G25" s="1" t="s">
        <v>106</v>
      </c>
      <c r="H25" s="1">
        <f t="shared" si="16"/>
        <v>2025</v>
      </c>
      <c r="I25" s="17">
        <f>ROUND(VLOOKUP(H25&amp;"_3",管理者用人口入力シート!BH:CM,27,FALSE),0)</f>
        <v>120</v>
      </c>
      <c r="J25" s="12"/>
      <c r="K25" s="12"/>
      <c r="N25" s="1" t="s">
        <v>106</v>
      </c>
      <c r="O25" s="1">
        <f t="shared" si="18"/>
        <v>2025</v>
      </c>
      <c r="P25" s="17">
        <f t="shared" si="19"/>
        <v>120</v>
      </c>
      <c r="Q25" s="17">
        <f>ROUND(VLOOKUP(H17&amp;"_3",管理者用人口入力シート!CO:DT,27,FALSE),0)</f>
        <v>121</v>
      </c>
    </row>
    <row r="26" spans="1:17" x14ac:dyDescent="0.15">
      <c r="A26" s="1" t="s">
        <v>62</v>
      </c>
      <c r="B26" s="1">
        <f t="shared" si="20"/>
        <v>2020</v>
      </c>
      <c r="C26" s="17">
        <f>SUM(B104:C109)</f>
        <v>1045</v>
      </c>
      <c r="D26" s="12"/>
      <c r="E26" s="12"/>
      <c r="G26" s="1" t="s">
        <v>107</v>
      </c>
      <c r="H26" s="1">
        <f t="shared" si="16"/>
        <v>2030</v>
      </c>
      <c r="I26" s="17">
        <f>ROUND(VLOOKUP(H26&amp;"_3",管理者用人口入力シート!BH:CM,27,FALSE),0)</f>
        <v>101</v>
      </c>
      <c r="J26" s="12"/>
      <c r="K26" s="12"/>
      <c r="N26" s="1" t="s">
        <v>107</v>
      </c>
      <c r="O26" s="1">
        <f t="shared" si="18"/>
        <v>2030</v>
      </c>
      <c r="P26" s="17">
        <f t="shared" si="19"/>
        <v>101</v>
      </c>
      <c r="Q26" s="17">
        <f>ROUND(VLOOKUP(H18&amp;"_3",管理者用人口入力シート!CO:DT,27,FALSE),0)</f>
        <v>102</v>
      </c>
    </row>
    <row r="27" spans="1:17" x14ac:dyDescent="0.15">
      <c r="G27" s="1" t="s">
        <v>108</v>
      </c>
      <c r="H27" s="1">
        <f t="shared" si="16"/>
        <v>2035</v>
      </c>
      <c r="I27" s="17">
        <f>ROUND(VLOOKUP(H27&amp;"_3",管理者用人口入力シート!BH:CM,27,FALSE),0)</f>
        <v>77</v>
      </c>
      <c r="J27" s="12"/>
      <c r="K27" s="12"/>
      <c r="N27" s="1" t="s">
        <v>108</v>
      </c>
      <c r="O27" s="1">
        <f t="shared" si="18"/>
        <v>2035</v>
      </c>
      <c r="P27" s="17">
        <f t="shared" si="19"/>
        <v>77</v>
      </c>
      <c r="Q27" s="17">
        <f>ROUND(VLOOKUP(H19&amp;"_3",管理者用人口入力シート!CO:DT,27,FALSE),0)</f>
        <v>80</v>
      </c>
    </row>
    <row r="28" spans="1:17" x14ac:dyDescent="0.15">
      <c r="A28" s="69" t="s">
        <v>85</v>
      </c>
      <c r="G28" s="1" t="s">
        <v>109</v>
      </c>
      <c r="H28" s="1">
        <f t="shared" si="16"/>
        <v>2040</v>
      </c>
      <c r="I28" s="17">
        <f>ROUND(VLOOKUP(H28&amp;"_3",管理者用人口入力シート!BH:CM,27,FALSE),0)</f>
        <v>64</v>
      </c>
      <c r="J28" s="12"/>
      <c r="K28" s="12"/>
      <c r="N28" s="1" t="s">
        <v>109</v>
      </c>
      <c r="O28" s="1">
        <f t="shared" si="18"/>
        <v>2040</v>
      </c>
      <c r="P28" s="17">
        <f t="shared" si="19"/>
        <v>64</v>
      </c>
      <c r="Q28" s="17">
        <f>ROUND(VLOOKUP(H20&amp;"_3",管理者用人口入力シート!CO:DT,27,FALSE),0)</f>
        <v>67</v>
      </c>
    </row>
    <row r="29" spans="1:17" x14ac:dyDescent="0.15">
      <c r="A29" s="2" t="s">
        <v>84</v>
      </c>
    </row>
    <row r="30" spans="1:17" x14ac:dyDescent="0.15">
      <c r="A30" s="1" t="s">
        <v>58</v>
      </c>
      <c r="B30" s="1">
        <f>B4</f>
        <v>2010</v>
      </c>
      <c r="C30" s="38">
        <f>ROUND((SUM(B54:C61)/SUM(B41:C61)),2)</f>
        <v>0.32</v>
      </c>
      <c r="D30" s="204"/>
      <c r="E30" s="204"/>
      <c r="G30" s="69" t="s">
        <v>110</v>
      </c>
      <c r="N30" s="69" t="s">
        <v>110</v>
      </c>
    </row>
    <row r="31" spans="1:17" x14ac:dyDescent="0.15">
      <c r="A31" s="1" t="s">
        <v>61</v>
      </c>
      <c r="B31" s="1">
        <f t="shared" ref="B31:B32" si="21">B5</f>
        <v>2015</v>
      </c>
      <c r="C31" s="38">
        <f>ROUND((SUM(B78:C85)/SUM(B65:C85)),2)</f>
        <v>0.37</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0.41</v>
      </c>
      <c r="D32" s="204"/>
      <c r="E32" s="204"/>
      <c r="G32" s="1" t="s">
        <v>58</v>
      </c>
      <c r="H32" s="1">
        <f>H4</f>
        <v>2010</v>
      </c>
      <c r="I32" s="17">
        <f>C20</f>
        <v>1629</v>
      </c>
      <c r="J32" s="12"/>
      <c r="K32" s="12"/>
      <c r="N32" s="1" t="s">
        <v>58</v>
      </c>
      <c r="O32" s="1">
        <f>O4</f>
        <v>2010</v>
      </c>
      <c r="P32" s="17">
        <f>I32</f>
        <v>1629</v>
      </c>
      <c r="Q32" s="17"/>
    </row>
    <row r="33" spans="1:17" x14ac:dyDescent="0.15">
      <c r="A33" s="2" t="s">
        <v>86</v>
      </c>
      <c r="G33" s="1" t="s">
        <v>57</v>
      </c>
      <c r="H33" s="1">
        <f t="shared" ref="H33:H38" si="22">H5</f>
        <v>2015</v>
      </c>
      <c r="I33" s="17">
        <f>C21</f>
        <v>1787</v>
      </c>
      <c r="J33" s="12"/>
      <c r="K33" s="12"/>
      <c r="N33" s="1" t="s">
        <v>57</v>
      </c>
      <c r="O33" s="1">
        <f t="shared" ref="O33:O38" si="23">O5</f>
        <v>2015</v>
      </c>
      <c r="P33" s="17">
        <f t="shared" ref="P33:P38" si="24">I33</f>
        <v>1787</v>
      </c>
      <c r="Q33" s="17"/>
    </row>
    <row r="34" spans="1:17" x14ac:dyDescent="0.15">
      <c r="A34" s="1" t="s">
        <v>58</v>
      </c>
      <c r="B34" s="1">
        <f>B4</f>
        <v>2010</v>
      </c>
      <c r="C34" s="38">
        <f>ROUND((SUM(B56:C61)/SUM(B41:C61)),2)</f>
        <v>0.18</v>
      </c>
      <c r="D34" s="204"/>
      <c r="E34" s="204"/>
      <c r="G34" s="1" t="s">
        <v>62</v>
      </c>
      <c r="H34" s="1">
        <f t="shared" si="22"/>
        <v>2020</v>
      </c>
      <c r="I34" s="17">
        <f>C22</f>
        <v>1915</v>
      </c>
      <c r="J34" s="12"/>
      <c r="K34" s="12"/>
      <c r="N34" s="1" t="s">
        <v>62</v>
      </c>
      <c r="O34" s="1">
        <f t="shared" si="23"/>
        <v>2020</v>
      </c>
      <c r="P34" s="17">
        <f t="shared" si="24"/>
        <v>1915</v>
      </c>
      <c r="Q34" s="17"/>
    </row>
    <row r="35" spans="1:17" x14ac:dyDescent="0.15">
      <c r="A35" s="1" t="s">
        <v>61</v>
      </c>
      <c r="B35" s="1">
        <f t="shared" ref="B35:B36" si="25">B5</f>
        <v>2015</v>
      </c>
      <c r="C35" s="38">
        <f>ROUND((SUM(B80:C85)/SUM(B65:C85)),2)</f>
        <v>0.21</v>
      </c>
      <c r="D35" s="204"/>
      <c r="E35" s="204"/>
      <c r="G35" s="1" t="s">
        <v>106</v>
      </c>
      <c r="H35" s="1">
        <f t="shared" si="22"/>
        <v>2025</v>
      </c>
      <c r="I35" s="17">
        <f>SUM(H82:I89)</f>
        <v>1883</v>
      </c>
      <c r="J35" s="12"/>
      <c r="K35" s="12"/>
      <c r="N35" s="1" t="s">
        <v>106</v>
      </c>
      <c r="O35" s="1">
        <f t="shared" si="23"/>
        <v>2025</v>
      </c>
      <c r="P35" s="17">
        <f t="shared" si="24"/>
        <v>1883</v>
      </c>
      <c r="Q35" s="17">
        <f>SUM(O82:P89)</f>
        <v>1883</v>
      </c>
    </row>
    <row r="36" spans="1:17" x14ac:dyDescent="0.15">
      <c r="A36" s="1" t="s">
        <v>62</v>
      </c>
      <c r="B36" s="1">
        <f t="shared" si="25"/>
        <v>2020</v>
      </c>
      <c r="C36" s="38">
        <f>ROUND((SUM(B104:C109)/SUM(B89:C109)),2)</f>
        <v>0.22</v>
      </c>
      <c r="D36" s="204"/>
      <c r="E36" s="204"/>
      <c r="G36" s="1" t="s">
        <v>107</v>
      </c>
      <c r="H36" s="1">
        <f t="shared" si="22"/>
        <v>2030</v>
      </c>
      <c r="I36" s="17">
        <f>SUM(H106:I113)</f>
        <v>1789</v>
      </c>
      <c r="J36" s="12"/>
      <c r="K36" s="12"/>
      <c r="N36" s="1" t="s">
        <v>107</v>
      </c>
      <c r="O36" s="1">
        <f t="shared" si="23"/>
        <v>2030</v>
      </c>
      <c r="P36" s="17">
        <f t="shared" si="24"/>
        <v>1789</v>
      </c>
      <c r="Q36" s="17">
        <f>SUM(O106:P113)</f>
        <v>1789</v>
      </c>
    </row>
    <row r="37" spans="1:17" x14ac:dyDescent="0.15">
      <c r="G37" s="1" t="s">
        <v>108</v>
      </c>
      <c r="H37" s="1">
        <f t="shared" si="22"/>
        <v>2035</v>
      </c>
      <c r="I37" s="17">
        <f>SUM(H130:I137)</f>
        <v>1655</v>
      </c>
      <c r="J37" s="12"/>
      <c r="K37" s="12"/>
      <c r="N37" s="1" t="s">
        <v>108</v>
      </c>
      <c r="O37" s="1">
        <f t="shared" si="23"/>
        <v>2035</v>
      </c>
      <c r="P37" s="17">
        <f t="shared" si="24"/>
        <v>1655</v>
      </c>
      <c r="Q37" s="17">
        <f>SUM(O130:P137)</f>
        <v>1655</v>
      </c>
    </row>
    <row r="38" spans="1:17" x14ac:dyDescent="0.15">
      <c r="A38" s="69" t="s">
        <v>113</v>
      </c>
      <c r="G38" s="1" t="s">
        <v>109</v>
      </c>
      <c r="H38" s="1">
        <f t="shared" si="22"/>
        <v>2040</v>
      </c>
      <c r="I38" s="17">
        <f>SUM(H154:I161)</f>
        <v>1535</v>
      </c>
      <c r="J38" s="12"/>
      <c r="K38" s="12"/>
      <c r="N38" s="1" t="s">
        <v>109</v>
      </c>
      <c r="O38" s="1">
        <f t="shared" si="23"/>
        <v>2040</v>
      </c>
      <c r="P38" s="17">
        <f t="shared" si="24"/>
        <v>1535</v>
      </c>
      <c r="Q38" s="17">
        <f>SUM(O154:P161)</f>
        <v>1535</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915</v>
      </c>
      <c r="J40" s="12"/>
      <c r="K40" s="12"/>
      <c r="N40" s="1" t="s">
        <v>58</v>
      </c>
      <c r="O40" s="1">
        <f>O4</f>
        <v>2010</v>
      </c>
      <c r="P40" s="17">
        <f>I40</f>
        <v>915</v>
      </c>
      <c r="Q40" s="17"/>
    </row>
    <row r="41" spans="1:17" x14ac:dyDescent="0.15">
      <c r="A41" s="2" t="s">
        <v>0</v>
      </c>
      <c r="B41" s="17">
        <f>ROUND(VLOOKUP(B$39&amp;"_1",管理者用人口入力シート!A:X,D41,FALSE),0)</f>
        <v>88</v>
      </c>
      <c r="C41" s="17">
        <f>ROUND(VLOOKUP(B$39&amp;"_2",管理者用人口入力シート!A:X,D41,FALSE),0)</f>
        <v>64</v>
      </c>
      <c r="D41" s="2">
        <v>4</v>
      </c>
      <c r="G41" s="1" t="s">
        <v>57</v>
      </c>
      <c r="H41" s="1">
        <f t="shared" ref="H41:H46" si="26">H5</f>
        <v>2015</v>
      </c>
      <c r="I41" s="17">
        <f>C25</f>
        <v>990</v>
      </c>
      <c r="J41" s="12"/>
      <c r="K41" s="12"/>
      <c r="N41" s="1" t="s">
        <v>57</v>
      </c>
      <c r="O41" s="1">
        <f t="shared" ref="O41:O46" si="27">O5</f>
        <v>2015</v>
      </c>
      <c r="P41" s="17">
        <f t="shared" ref="P41:P46" si="28">I41</f>
        <v>990</v>
      </c>
      <c r="Q41" s="17"/>
    </row>
    <row r="42" spans="1:17" x14ac:dyDescent="0.15">
      <c r="A42" s="2" t="s">
        <v>1</v>
      </c>
      <c r="B42" s="17">
        <f>ROUND(VLOOKUP(B$39&amp;"_1",管理者用人口入力シート!A:X,D42,FALSE),0)</f>
        <v>81</v>
      </c>
      <c r="C42" s="17">
        <f>ROUND(VLOOKUP(B$39&amp;"_2",管理者用人口入力シート!A:X,D42,FALSE),0)</f>
        <v>71</v>
      </c>
      <c r="D42" s="2">
        <v>5</v>
      </c>
      <c r="G42" s="1" t="s">
        <v>62</v>
      </c>
      <c r="H42" s="1">
        <f t="shared" si="26"/>
        <v>2020</v>
      </c>
      <c r="I42" s="17">
        <f>C26</f>
        <v>1045</v>
      </c>
      <c r="J42" s="12"/>
      <c r="K42" s="12"/>
      <c r="N42" s="1" t="s">
        <v>62</v>
      </c>
      <c r="O42" s="1">
        <f t="shared" si="27"/>
        <v>2020</v>
      </c>
      <c r="P42" s="17">
        <f t="shared" si="28"/>
        <v>1045</v>
      </c>
      <c r="Q42" s="17"/>
    </row>
    <row r="43" spans="1:17" x14ac:dyDescent="0.15">
      <c r="A43" s="2" t="s">
        <v>2</v>
      </c>
      <c r="B43" s="17">
        <f>ROUND(VLOOKUP(B$39&amp;"_1",管理者用人口入力シート!A:X,D43,FALSE),0)</f>
        <v>122</v>
      </c>
      <c r="C43" s="17">
        <f>ROUND(VLOOKUP(B$39&amp;"_2",管理者用人口入力シート!A:X,D43,FALSE),0)</f>
        <v>115</v>
      </c>
      <c r="D43" s="2">
        <v>6</v>
      </c>
      <c r="G43" s="1" t="s">
        <v>106</v>
      </c>
      <c r="H43" s="1">
        <f t="shared" si="26"/>
        <v>2025</v>
      </c>
      <c r="I43" s="17">
        <f>SUM(H84:I89)</f>
        <v>1117</v>
      </c>
      <c r="J43" s="12"/>
      <c r="K43" s="12"/>
      <c r="N43" s="1" t="s">
        <v>106</v>
      </c>
      <c r="O43" s="1">
        <f t="shared" si="27"/>
        <v>2025</v>
      </c>
      <c r="P43" s="17">
        <f t="shared" si="28"/>
        <v>1117</v>
      </c>
      <c r="Q43" s="17">
        <f>SUM(O84:P89)</f>
        <v>1117</v>
      </c>
    </row>
    <row r="44" spans="1:17" x14ac:dyDescent="0.15">
      <c r="A44" s="2" t="s">
        <v>3</v>
      </c>
      <c r="B44" s="17">
        <f>ROUND(VLOOKUP(B$39&amp;"_1",管理者用人口入力シート!A:X,D44,FALSE),0)</f>
        <v>192</v>
      </c>
      <c r="C44" s="17">
        <f>ROUND(VLOOKUP(B$39&amp;"_2",管理者用人口入力シート!A:X,D44,FALSE),0)</f>
        <v>110</v>
      </c>
      <c r="D44" s="2">
        <v>7</v>
      </c>
      <c r="G44" s="1" t="s">
        <v>107</v>
      </c>
      <c r="H44" s="1">
        <f t="shared" si="26"/>
        <v>2030</v>
      </c>
      <c r="I44" s="17">
        <f>SUM(H108:I113)</f>
        <v>1170</v>
      </c>
      <c r="J44" s="12"/>
      <c r="K44" s="12"/>
      <c r="N44" s="1" t="s">
        <v>107</v>
      </c>
      <c r="O44" s="1">
        <f t="shared" si="27"/>
        <v>2030</v>
      </c>
      <c r="P44" s="17">
        <f t="shared" si="28"/>
        <v>1170</v>
      </c>
      <c r="Q44" s="17">
        <f>SUM(O108:P113)</f>
        <v>1170</v>
      </c>
    </row>
    <row r="45" spans="1:17" x14ac:dyDescent="0.15">
      <c r="A45" s="2" t="s">
        <v>4</v>
      </c>
      <c r="B45" s="17">
        <f>ROUND(VLOOKUP(B$39&amp;"_1",管理者用人口入力シート!A:X,D45,FALSE),0)</f>
        <v>81</v>
      </c>
      <c r="C45" s="17">
        <f>ROUND(VLOOKUP(B$39&amp;"_2",管理者用人口入力シート!A:X,D45,FALSE),0)</f>
        <v>77</v>
      </c>
      <c r="D45" s="2">
        <v>8</v>
      </c>
      <c r="G45" s="1" t="s">
        <v>108</v>
      </c>
      <c r="H45" s="1">
        <f t="shared" si="26"/>
        <v>2035</v>
      </c>
      <c r="I45" s="17">
        <f>SUM(H132:I137)</f>
        <v>1119</v>
      </c>
      <c r="J45" s="12"/>
      <c r="K45" s="12"/>
      <c r="N45" s="1" t="s">
        <v>108</v>
      </c>
      <c r="O45" s="1">
        <f t="shared" si="27"/>
        <v>2035</v>
      </c>
      <c r="P45" s="17">
        <f t="shared" si="28"/>
        <v>1119</v>
      </c>
      <c r="Q45" s="17">
        <f>SUM(O132:P137)</f>
        <v>1119</v>
      </c>
    </row>
    <row r="46" spans="1:17" x14ac:dyDescent="0.15">
      <c r="A46" s="2" t="s">
        <v>5</v>
      </c>
      <c r="B46" s="17">
        <f>ROUND(VLOOKUP(B$39&amp;"_1",管理者用人口入力シート!A:X,D46,FALSE),0)</f>
        <v>83</v>
      </c>
      <c r="C46" s="17">
        <f>ROUND(VLOOKUP(B$39&amp;"_2",管理者用人口入力シート!A:X,D46,FALSE),0)</f>
        <v>95</v>
      </c>
      <c r="D46" s="2">
        <v>9</v>
      </c>
      <c r="G46" s="1" t="s">
        <v>109</v>
      </c>
      <c r="H46" s="1">
        <f t="shared" si="26"/>
        <v>2040</v>
      </c>
      <c r="I46" s="17">
        <f>SUM(H156:I161)</f>
        <v>1026</v>
      </c>
      <c r="J46" s="12"/>
      <c r="K46" s="12"/>
      <c r="N46" s="1" t="s">
        <v>109</v>
      </c>
      <c r="O46" s="1">
        <f t="shared" si="27"/>
        <v>2040</v>
      </c>
      <c r="P46" s="17">
        <f t="shared" si="28"/>
        <v>1026</v>
      </c>
      <c r="Q46" s="17">
        <f>SUM(O156:P161)</f>
        <v>1026</v>
      </c>
    </row>
    <row r="47" spans="1:17" x14ac:dyDescent="0.15">
      <c r="A47" s="2" t="s">
        <v>6</v>
      </c>
      <c r="B47" s="17">
        <f>ROUND(VLOOKUP(B$39&amp;"_1",管理者用人口入力シート!A:X,D47,FALSE),0)</f>
        <v>126</v>
      </c>
      <c r="C47" s="17">
        <f>ROUND(VLOOKUP(B$39&amp;"_2",管理者用人口入力シート!A:X,D47,FALSE),0)</f>
        <v>105</v>
      </c>
      <c r="D47" s="2">
        <v>10</v>
      </c>
    </row>
    <row r="48" spans="1:17" x14ac:dyDescent="0.15">
      <c r="A48" s="2" t="s">
        <v>7</v>
      </c>
      <c r="B48" s="17">
        <f>ROUND(VLOOKUP(B$39&amp;"_1",管理者用人口入力シート!A:X,D48,FALSE),0)</f>
        <v>110</v>
      </c>
      <c r="C48" s="17">
        <f>ROUND(VLOOKUP(B$39&amp;"_2",管理者用人口入力シート!A:X,D48,FALSE),0)</f>
        <v>125</v>
      </c>
      <c r="D48" s="2">
        <v>11</v>
      </c>
      <c r="G48" s="69" t="s">
        <v>85</v>
      </c>
      <c r="N48" s="69" t="s">
        <v>85</v>
      </c>
    </row>
    <row r="49" spans="1:17" x14ac:dyDescent="0.15">
      <c r="A49" s="2" t="s">
        <v>8</v>
      </c>
      <c r="B49" s="17">
        <f>ROUND(VLOOKUP(B$39&amp;"_1",管理者用人口入力シート!A:X,D49,FALSE),0)</f>
        <v>126</v>
      </c>
      <c r="C49" s="17">
        <f>ROUND(VLOOKUP(B$39&amp;"_2",管理者用人口入力シート!A:X,D49,FALSE),0)</f>
        <v>113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139</v>
      </c>
      <c r="C50" s="17">
        <f>ROUND(VLOOKUP(B$39&amp;"_2",管理者用人口入力シート!A:X,D50,FALSE),0)</f>
        <v>136</v>
      </c>
      <c r="D50" s="2">
        <v>13</v>
      </c>
      <c r="G50" s="1" t="s">
        <v>58</v>
      </c>
      <c r="H50" s="1">
        <f>H4</f>
        <v>2010</v>
      </c>
      <c r="I50" s="38">
        <f>C30</f>
        <v>0.32</v>
      </c>
      <c r="J50" s="204"/>
      <c r="K50" s="204"/>
      <c r="N50" s="1" t="s">
        <v>58</v>
      </c>
      <c r="O50" s="1">
        <f>O4</f>
        <v>2010</v>
      </c>
      <c r="P50" s="38">
        <f t="shared" ref="P50:P56" si="29">I50</f>
        <v>0.32</v>
      </c>
      <c r="Q50" s="1"/>
    </row>
    <row r="51" spans="1:17" x14ac:dyDescent="0.15">
      <c r="A51" s="2" t="s">
        <v>10</v>
      </c>
      <c r="B51" s="17">
        <f>ROUND(VLOOKUP(B$39&amp;"_1",管理者用人口入力シート!A:X,D51,FALSE),0)</f>
        <v>168</v>
      </c>
      <c r="C51" s="17">
        <f>ROUND(VLOOKUP(B$39&amp;"_2",管理者用人口入力シート!A:X,D51,FALSE),0)</f>
        <v>174</v>
      </c>
      <c r="D51" s="2">
        <v>14</v>
      </c>
      <c r="G51" s="1" t="s">
        <v>57</v>
      </c>
      <c r="H51" s="1">
        <f t="shared" ref="H51:H56" si="30">H5</f>
        <v>2015</v>
      </c>
      <c r="I51" s="38">
        <f t="shared" ref="I51:I52" si="31">C31</f>
        <v>0.37</v>
      </c>
      <c r="J51" s="204"/>
      <c r="K51" s="204"/>
      <c r="N51" s="1" t="s">
        <v>57</v>
      </c>
      <c r="O51" s="1">
        <f t="shared" ref="O51:O56" si="32">O5</f>
        <v>2015</v>
      </c>
      <c r="P51" s="38">
        <f t="shared" si="29"/>
        <v>0.37</v>
      </c>
      <c r="Q51" s="1"/>
    </row>
    <row r="52" spans="1:17" x14ac:dyDescent="0.15">
      <c r="A52" s="2" t="s">
        <v>11</v>
      </c>
      <c r="B52" s="17">
        <f>ROUND(VLOOKUP(B$39&amp;"_1",管理者用人口入力シート!A:X,D52,FALSE),0)</f>
        <v>226</v>
      </c>
      <c r="C52" s="17">
        <f>ROUND(VLOOKUP(B$39&amp;"_2",管理者用人口入力シート!A:X,D52,FALSE),0)</f>
        <v>220</v>
      </c>
      <c r="D52" s="2">
        <v>15</v>
      </c>
      <c r="G52" s="1" t="s">
        <v>62</v>
      </c>
      <c r="H52" s="1">
        <f t="shared" si="30"/>
        <v>2020</v>
      </c>
      <c r="I52" s="38">
        <f t="shared" si="31"/>
        <v>0.41</v>
      </c>
      <c r="J52" s="204"/>
      <c r="K52" s="204"/>
      <c r="N52" s="1" t="s">
        <v>62</v>
      </c>
      <c r="O52" s="1">
        <f t="shared" si="32"/>
        <v>2020</v>
      </c>
      <c r="P52" s="38">
        <f t="shared" si="29"/>
        <v>0.41</v>
      </c>
      <c r="Q52" s="1"/>
    </row>
    <row r="53" spans="1:17" x14ac:dyDescent="0.15">
      <c r="A53" s="2" t="s">
        <v>12</v>
      </c>
      <c r="B53" s="17">
        <f>ROUND(VLOOKUP(B$39&amp;"_1",管理者用人口入力シート!A:X,D53,FALSE),0)</f>
        <v>233</v>
      </c>
      <c r="C53" s="17">
        <f>ROUND(VLOOKUP(B$39&amp;"_2",管理者用人口入力シート!A:X,D53,FALSE),0)</f>
        <v>232</v>
      </c>
      <c r="D53" s="2">
        <v>16</v>
      </c>
      <c r="G53" s="1" t="s">
        <v>106</v>
      </c>
      <c r="H53" s="1">
        <f t="shared" si="30"/>
        <v>2025</v>
      </c>
      <c r="I53" s="38">
        <f>ROUND((SUM(H82:I89)/SUM(H69:I89)),2)</f>
        <v>0.43</v>
      </c>
      <c r="J53" s="204"/>
      <c r="K53" s="204"/>
      <c r="L53" s="70"/>
      <c r="M53" s="70"/>
      <c r="N53" s="1" t="s">
        <v>106</v>
      </c>
      <c r="O53" s="1">
        <f t="shared" si="32"/>
        <v>2025</v>
      </c>
      <c r="P53" s="38">
        <f t="shared" si="29"/>
        <v>0.43</v>
      </c>
      <c r="Q53" s="38">
        <f>ROUND((SUM(O82:P89)/SUM(O69:P89)),2)</f>
        <v>0.43</v>
      </c>
    </row>
    <row r="54" spans="1:17" x14ac:dyDescent="0.15">
      <c r="A54" s="2" t="s">
        <v>13</v>
      </c>
      <c r="B54" s="17">
        <f>ROUND(VLOOKUP(B$39&amp;"_1",管理者用人口入力シート!A:X,D54,FALSE),0)</f>
        <v>185</v>
      </c>
      <c r="C54" s="17">
        <f>ROUND(VLOOKUP(B$39&amp;"_2",管理者用人口入力シート!A:X,D54,FALSE),0)</f>
        <v>169</v>
      </c>
      <c r="D54" s="2">
        <v>17</v>
      </c>
      <c r="G54" s="1" t="s">
        <v>107</v>
      </c>
      <c r="H54" s="1">
        <f t="shared" si="30"/>
        <v>2030</v>
      </c>
      <c r="I54" s="38">
        <f>ROUND((SUM(H106:I113)/SUM(H93:I113)),2)</f>
        <v>0.44</v>
      </c>
      <c r="J54" s="204"/>
      <c r="K54" s="204"/>
      <c r="N54" s="1" t="s">
        <v>107</v>
      </c>
      <c r="O54" s="1">
        <f t="shared" si="32"/>
        <v>2030</v>
      </c>
      <c r="P54" s="38">
        <f t="shared" si="29"/>
        <v>0.44</v>
      </c>
      <c r="Q54" s="38">
        <f>ROUND((SUM(O106:P113)/SUM(O93:P113)),2)</f>
        <v>0.44</v>
      </c>
    </row>
    <row r="55" spans="1:17" x14ac:dyDescent="0.15">
      <c r="A55" s="2" t="s">
        <v>14</v>
      </c>
      <c r="B55" s="17">
        <f>ROUND(VLOOKUP(B$39&amp;"_1",管理者用人口入力シート!A:X,D55,FALSE),0)</f>
        <v>168</v>
      </c>
      <c r="C55" s="17">
        <f>ROUND(VLOOKUP(B$39&amp;"_2",管理者用人口入力シート!A:X,D55,FALSE),0)</f>
        <v>192</v>
      </c>
      <c r="D55" s="2">
        <v>18</v>
      </c>
      <c r="G55" s="1" t="s">
        <v>108</v>
      </c>
      <c r="H55" s="1">
        <f t="shared" si="30"/>
        <v>2035</v>
      </c>
      <c r="I55" s="38">
        <f>ROUND((SUM(H130:I137)/SUM(H117:I137)),2)</f>
        <v>0.44</v>
      </c>
      <c r="J55" s="204"/>
      <c r="K55" s="204"/>
      <c r="N55" s="1" t="s">
        <v>108</v>
      </c>
      <c r="O55" s="1">
        <f t="shared" si="32"/>
        <v>2035</v>
      </c>
      <c r="P55" s="38">
        <f t="shared" si="29"/>
        <v>0.44</v>
      </c>
      <c r="Q55" s="38">
        <f>ROUND((SUM(O130:P137)/SUM(O117:P137)),2)</f>
        <v>0.44</v>
      </c>
    </row>
    <row r="56" spans="1:17" x14ac:dyDescent="0.15">
      <c r="A56" s="2" t="s">
        <v>15</v>
      </c>
      <c r="B56" s="17">
        <f>ROUND(VLOOKUP(B$39&amp;"_1",管理者用人口入力シート!A:X,D56,FALSE),0)</f>
        <v>136</v>
      </c>
      <c r="C56" s="17">
        <f>ROUND(VLOOKUP(B$39&amp;"_2",管理者用人口入力シート!A:X,D56,FALSE),0)</f>
        <v>199</v>
      </c>
      <c r="D56" s="2">
        <v>19</v>
      </c>
      <c r="G56" s="1" t="s">
        <v>109</v>
      </c>
      <c r="H56" s="1">
        <f t="shared" si="30"/>
        <v>2040</v>
      </c>
      <c r="I56" s="38">
        <f>ROUND((SUM(H154:I161)/SUM(H141:I161)),2)</f>
        <v>0.45</v>
      </c>
      <c r="J56" s="204"/>
      <c r="K56" s="204"/>
      <c r="N56" s="1" t="s">
        <v>109</v>
      </c>
      <c r="O56" s="1">
        <f t="shared" si="32"/>
        <v>2040</v>
      </c>
      <c r="P56" s="38">
        <f t="shared" si="29"/>
        <v>0.45</v>
      </c>
      <c r="Q56" s="38">
        <f>ROUND((SUM(O154:P161)/SUM(O141:P161)),2)</f>
        <v>0.45</v>
      </c>
    </row>
    <row r="57" spans="1:17" x14ac:dyDescent="0.15">
      <c r="A57" s="2" t="s">
        <v>16</v>
      </c>
      <c r="B57" s="17">
        <f>ROUND(VLOOKUP(B$39&amp;"_1",管理者用人口入力シート!A:X,D57,FALSE),0)</f>
        <v>120</v>
      </c>
      <c r="C57" s="17">
        <f>ROUND(VLOOKUP(B$39&amp;"_2",管理者用人口入力シート!A:X,D57,FALSE),0)</f>
        <v>166</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47</v>
      </c>
      <c r="C58" s="17">
        <f>ROUND(VLOOKUP(B$39&amp;"_2",管理者用人口入力シート!A:X,D58,FALSE),0)</f>
        <v>132</v>
      </c>
      <c r="D58" s="2">
        <v>21</v>
      </c>
      <c r="G58" s="1" t="s">
        <v>58</v>
      </c>
      <c r="H58" s="1">
        <f>H4</f>
        <v>2010</v>
      </c>
      <c r="I58" s="38">
        <f>C34</f>
        <v>0.18</v>
      </c>
      <c r="J58" s="204"/>
      <c r="K58" s="204"/>
      <c r="N58" s="1" t="s">
        <v>58</v>
      </c>
      <c r="O58" s="1">
        <f>O4</f>
        <v>2010</v>
      </c>
      <c r="P58" s="38">
        <f t="shared" ref="P58:P64" si="33">I58</f>
        <v>0.18</v>
      </c>
      <c r="Q58" s="1"/>
    </row>
    <row r="59" spans="1:17" x14ac:dyDescent="0.15">
      <c r="A59" s="2" t="s">
        <v>18</v>
      </c>
      <c r="B59" s="17">
        <f>ROUND(VLOOKUP(B$39&amp;"_1",管理者用人口入力シート!A:X,D59,FALSE),0)</f>
        <v>18</v>
      </c>
      <c r="C59" s="17">
        <f>ROUND(VLOOKUP(B$39&amp;"_2",管理者用人口入力シート!A:X,D59,FALSE),0)</f>
        <v>67</v>
      </c>
      <c r="D59" s="2">
        <v>22</v>
      </c>
      <c r="G59" s="1" t="s">
        <v>57</v>
      </c>
      <c r="H59" s="1">
        <f t="shared" ref="H59:H64" si="34">H5</f>
        <v>2015</v>
      </c>
      <c r="I59" s="38">
        <f t="shared" ref="I59:I60" si="35">C35</f>
        <v>0.21</v>
      </c>
      <c r="J59" s="204"/>
      <c r="K59" s="204"/>
      <c r="N59" s="1" t="s">
        <v>57</v>
      </c>
      <c r="O59" s="1">
        <f t="shared" ref="O59:O64" si="36">O5</f>
        <v>2015</v>
      </c>
      <c r="P59" s="38">
        <f t="shared" si="33"/>
        <v>0.21</v>
      </c>
      <c r="Q59" s="1"/>
    </row>
    <row r="60" spans="1:17" x14ac:dyDescent="0.15">
      <c r="A60" s="2" t="s">
        <v>19</v>
      </c>
      <c r="B60" s="17">
        <f>ROUND(VLOOKUP(B$39&amp;"_1",管理者用人口入力シート!A:X,D60,FALSE),0)</f>
        <v>6</v>
      </c>
      <c r="C60" s="17">
        <f>ROUND(VLOOKUP(B$39&amp;"_2",管理者用人口入力シート!A:X,D60,FALSE),0)</f>
        <v>19</v>
      </c>
      <c r="D60" s="2">
        <v>23</v>
      </c>
      <c r="G60" s="1" t="s">
        <v>62</v>
      </c>
      <c r="H60" s="1">
        <f t="shared" si="34"/>
        <v>2020</v>
      </c>
      <c r="I60" s="38">
        <f t="shared" si="35"/>
        <v>0.22</v>
      </c>
      <c r="J60" s="204"/>
      <c r="K60" s="204"/>
      <c r="N60" s="1" t="s">
        <v>62</v>
      </c>
      <c r="O60" s="1">
        <f t="shared" si="36"/>
        <v>2020</v>
      </c>
      <c r="P60" s="38">
        <f t="shared" si="33"/>
        <v>0.22</v>
      </c>
      <c r="Q60" s="1"/>
    </row>
    <row r="61" spans="1:17" x14ac:dyDescent="0.15">
      <c r="A61" s="2" t="s">
        <v>20</v>
      </c>
      <c r="B61" s="17">
        <f>ROUND(VLOOKUP(B$39&amp;"_1",管理者用人口入力シート!A:X,D61,FALSE),0)</f>
        <v>1</v>
      </c>
      <c r="C61" s="17">
        <f>ROUND(VLOOKUP(B$39&amp;"_2",管理者用人口入力シート!A:X,D61,FALSE),0)</f>
        <v>4</v>
      </c>
      <c r="D61" s="2">
        <v>24</v>
      </c>
      <c r="G61" s="1" t="s">
        <v>106</v>
      </c>
      <c r="H61" s="1">
        <f t="shared" si="34"/>
        <v>2025</v>
      </c>
      <c r="I61" s="38">
        <f>ROUND((SUM(H84:I89)/SUM(H69:I89)),2)</f>
        <v>0.25</v>
      </c>
      <c r="J61" s="204"/>
      <c r="K61" s="204"/>
      <c r="N61" s="1" t="s">
        <v>106</v>
      </c>
      <c r="O61" s="1">
        <f t="shared" si="36"/>
        <v>2025</v>
      </c>
      <c r="P61" s="38">
        <f t="shared" si="33"/>
        <v>0.25</v>
      </c>
      <c r="Q61" s="38">
        <f>ROUND((SUM(O84:P89)/SUM(O69:P89)),2)</f>
        <v>0.25</v>
      </c>
    </row>
    <row r="62" spans="1:17" x14ac:dyDescent="0.15">
      <c r="G62" s="1" t="s">
        <v>107</v>
      </c>
      <c r="H62" s="1">
        <f t="shared" si="34"/>
        <v>2030</v>
      </c>
      <c r="I62" s="38">
        <f>ROUND((SUM(H108:I113)/SUM(H93:I113)),2)</f>
        <v>0.28999999999999998</v>
      </c>
      <c r="J62" s="204"/>
      <c r="K62" s="204"/>
      <c r="N62" s="1" t="s">
        <v>107</v>
      </c>
      <c r="O62" s="1">
        <f t="shared" si="36"/>
        <v>2030</v>
      </c>
      <c r="P62" s="38">
        <f t="shared" si="33"/>
        <v>0.28999999999999998</v>
      </c>
      <c r="Q62" s="38">
        <f>ROUND((SUM(O108:P113)/SUM(O93:P113)),2)</f>
        <v>0.28999999999999998</v>
      </c>
    </row>
    <row r="63" spans="1:17" x14ac:dyDescent="0.15">
      <c r="A63" s="2" t="s">
        <v>384</v>
      </c>
      <c r="B63" s="314">
        <f>管理者入力シート!B6</f>
        <v>2015</v>
      </c>
      <c r="C63" s="315"/>
      <c r="D63" s="2" t="s">
        <v>114</v>
      </c>
      <c r="G63" s="1" t="s">
        <v>108</v>
      </c>
      <c r="H63" s="1">
        <f t="shared" si="34"/>
        <v>2035</v>
      </c>
      <c r="I63" s="38">
        <f>ROUND((SUM(H132:I137)/SUM(H117:I137)),2)</f>
        <v>0.3</v>
      </c>
      <c r="J63" s="204"/>
      <c r="K63" s="204"/>
      <c r="N63" s="1" t="s">
        <v>108</v>
      </c>
      <c r="O63" s="1">
        <f t="shared" si="36"/>
        <v>2035</v>
      </c>
      <c r="P63" s="38">
        <f t="shared" si="33"/>
        <v>0.3</v>
      </c>
      <c r="Q63" s="38">
        <f>ROUND((SUM(O132:P137)/SUM(O117:P137)),2)</f>
        <v>0.3</v>
      </c>
    </row>
    <row r="64" spans="1:17" x14ac:dyDescent="0.15">
      <c r="A64" s="2" t="s">
        <v>115</v>
      </c>
      <c r="B64" s="18" t="s">
        <v>21</v>
      </c>
      <c r="C64" s="18" t="s">
        <v>22</v>
      </c>
      <c r="G64" s="1" t="s">
        <v>109</v>
      </c>
      <c r="H64" s="1">
        <f t="shared" si="34"/>
        <v>2040</v>
      </c>
      <c r="I64" s="38">
        <f>ROUND((SUM(H156:I161)/SUM(H141:I161)),2)</f>
        <v>0.3</v>
      </c>
      <c r="J64" s="204"/>
      <c r="K64" s="204"/>
      <c r="N64" s="1" t="s">
        <v>109</v>
      </c>
      <c r="O64" s="1">
        <f t="shared" si="36"/>
        <v>2040</v>
      </c>
      <c r="P64" s="38">
        <f t="shared" si="33"/>
        <v>0.3</v>
      </c>
      <c r="Q64" s="38">
        <f>ROUND((SUM(O156:P161)/SUM(O141:P161)),2)</f>
        <v>0.3</v>
      </c>
    </row>
    <row r="65" spans="1:21" x14ac:dyDescent="0.15">
      <c r="A65" s="2" t="s">
        <v>0</v>
      </c>
      <c r="B65" s="17">
        <f>ROUND(VLOOKUP(B$63&amp;"_1",管理者用人口入力シート!A:X,D65,FALSE),0)</f>
        <v>58</v>
      </c>
      <c r="C65" s="17">
        <f>ROUND(VLOOKUP(B$63&amp;"_2",管理者用人口入力シート!A:X,D65,FALSE),0)</f>
        <v>76</v>
      </c>
      <c r="D65" s="2">
        <v>4</v>
      </c>
    </row>
    <row r="66" spans="1:21" x14ac:dyDescent="0.15">
      <c r="A66" s="2" t="s">
        <v>1</v>
      </c>
      <c r="B66" s="17">
        <f>ROUND(VLOOKUP(B$63&amp;"_1",管理者用人口入力シート!A:X,D66,FALSE),0)</f>
        <v>86</v>
      </c>
      <c r="C66" s="17">
        <f>ROUND(VLOOKUP(B$63&amp;"_2",管理者用人口入力シート!A:X,D66,FALSE),0)</f>
        <v>69</v>
      </c>
      <c r="D66" s="2">
        <v>5</v>
      </c>
      <c r="G66" s="69" t="s">
        <v>113</v>
      </c>
      <c r="N66" s="69" t="s">
        <v>113</v>
      </c>
    </row>
    <row r="67" spans="1:21" x14ac:dyDescent="0.15">
      <c r="A67" s="2" t="s">
        <v>2</v>
      </c>
      <c r="B67" s="17">
        <f>ROUND(VLOOKUP(B$63&amp;"_1",管理者用人口入力シート!A:X,D67,FALSE),0)</f>
        <v>92</v>
      </c>
      <c r="C67" s="17">
        <f>ROUND(VLOOKUP(B$63&amp;"_2",管理者用人口入力シート!A:X,D67,FALSE),0)</f>
        <v>67</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182</v>
      </c>
      <c r="C68" s="17">
        <f>ROUND(VLOOKUP(B$63&amp;"_2",管理者用人口入力シート!A:X,D68,FALSE),0)</f>
        <v>100</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78</v>
      </c>
      <c r="C69" s="17">
        <f>ROUND(VLOOKUP(B$63&amp;"_2",管理者用人口入力シート!A:X,D69,FALSE),0)</f>
        <v>73</v>
      </c>
      <c r="D69" s="2">
        <v>8</v>
      </c>
      <c r="G69" s="2" t="s">
        <v>0</v>
      </c>
      <c r="H69" s="17">
        <f>ROUND(VLOOKUP(H$67&amp;"_1",管理者用人口入力シート!BH:CE,J69,FALSE),0)</f>
        <v>46</v>
      </c>
      <c r="I69" s="17">
        <f>ROUND(VLOOKUP(H$67&amp;"_2",管理者用人口入力シート!BH:CE,J69,FALSE),0)</f>
        <v>37</v>
      </c>
      <c r="J69" s="2">
        <v>4</v>
      </c>
      <c r="K69" s="12"/>
      <c r="N69" s="2" t="s">
        <v>0</v>
      </c>
      <c r="O69" s="17">
        <f>ROUND(VLOOKUP(O$67&amp;"_1",管理者用人口入力シート!CO:DL,Q69,FALSE),0)</f>
        <v>47</v>
      </c>
      <c r="P69" s="17">
        <f>ROUND(VLOOKUP(O$67&amp;"_2",管理者用人口入力シート!CO:DL,Q69,FALSE),0)</f>
        <v>38</v>
      </c>
      <c r="Q69" s="2">
        <v>4</v>
      </c>
      <c r="U69" s="85"/>
    </row>
    <row r="70" spans="1:21" x14ac:dyDescent="0.15">
      <c r="A70" s="2" t="s">
        <v>5</v>
      </c>
      <c r="B70" s="17">
        <f>ROUND(VLOOKUP(B$63&amp;"_1",管理者用人口入力シート!A:X,D70,FALSE),0)</f>
        <v>86</v>
      </c>
      <c r="C70" s="17">
        <f>ROUND(VLOOKUP(B$63&amp;"_2",管理者用人口入力シート!A:X,D70,FALSE),0)</f>
        <v>66</v>
      </c>
      <c r="D70" s="2">
        <v>9</v>
      </c>
      <c r="G70" s="2" t="s">
        <v>1</v>
      </c>
      <c r="H70" s="17">
        <f>ROUND(VLOOKUP(H$67&amp;"_1",管理者用人口入力シート!BH:CE,J70,FALSE),0)</f>
        <v>69</v>
      </c>
      <c r="I70" s="17">
        <f>ROUND(VLOOKUP(H$67&amp;"_2",管理者用人口入力シート!BH:CE,J70,FALSE),0)</f>
        <v>54</v>
      </c>
      <c r="J70" s="2">
        <v>5</v>
      </c>
      <c r="K70" s="12"/>
      <c r="N70" s="2" t="s">
        <v>1</v>
      </c>
      <c r="O70" s="17">
        <f>ROUND(VLOOKUP(O$67&amp;"_1",管理者用人口入力シート!CO:DL,Q70,FALSE),0)</f>
        <v>69</v>
      </c>
      <c r="P70" s="17">
        <f>ROUND(VLOOKUP(O$67&amp;"_2",管理者用人口入力シート!CO:DL,Q70,FALSE),0)</f>
        <v>54</v>
      </c>
      <c r="Q70" s="2">
        <v>5</v>
      </c>
      <c r="U70" s="85"/>
    </row>
    <row r="71" spans="1:21" x14ac:dyDescent="0.15">
      <c r="A71" s="2" t="s">
        <v>6</v>
      </c>
      <c r="B71" s="17">
        <f>ROUND(VLOOKUP(B$63&amp;"_1",管理者用人口入力シート!A:X,D71,FALSE),0)</f>
        <v>93</v>
      </c>
      <c r="C71" s="17">
        <f>ROUND(VLOOKUP(B$63&amp;"_2",管理者用人口入力シート!A:X,D71,FALSE),0)</f>
        <v>101</v>
      </c>
      <c r="D71" s="2">
        <v>10</v>
      </c>
      <c r="G71" s="2" t="s">
        <v>2</v>
      </c>
      <c r="H71" s="17">
        <f>ROUND(VLOOKUP(H$67&amp;"_1",管理者用人口入力シート!BH:CE,J71,FALSE),0)</f>
        <v>92</v>
      </c>
      <c r="I71" s="17">
        <f>ROUND(VLOOKUP(H$67&amp;"_2",管理者用人口入力シート!BH:CE,J71,FALSE),0)</f>
        <v>94</v>
      </c>
      <c r="J71" s="2">
        <v>6</v>
      </c>
      <c r="K71" s="12"/>
      <c r="N71" s="2" t="s">
        <v>2</v>
      </c>
      <c r="O71" s="17">
        <f>ROUND(VLOOKUP(O$67&amp;"_1",管理者用人口入力シート!CO:DL,Q71,FALSE),0)</f>
        <v>93</v>
      </c>
      <c r="P71" s="17">
        <f>ROUND(VLOOKUP(O$67&amp;"_2",管理者用人口入力シート!CO:DL,Q71,FALSE),0)</f>
        <v>95</v>
      </c>
      <c r="Q71" s="2">
        <v>6</v>
      </c>
      <c r="U71" s="85"/>
    </row>
    <row r="72" spans="1:21" x14ac:dyDescent="0.15">
      <c r="A72" s="2" t="s">
        <v>7</v>
      </c>
      <c r="B72" s="17">
        <f>ROUND(VLOOKUP(B$63&amp;"_1",管理者用人口入力シート!A:X,D72,FALSE),0)</f>
        <v>121</v>
      </c>
      <c r="C72" s="17">
        <f>ROUND(VLOOKUP(B$63&amp;"_2",管理者用人口入力シート!A:X,D72,FALSE),0)</f>
        <v>112</v>
      </c>
      <c r="D72" s="2">
        <v>11</v>
      </c>
      <c r="G72" s="2" t="s">
        <v>3</v>
      </c>
      <c r="H72" s="17">
        <f>ROUND(VLOOKUP(H$67&amp;"_1",管理者用人口入力シート!BH:CE,J72,FALSE),0)</f>
        <v>154</v>
      </c>
      <c r="I72" s="17">
        <f>ROUND(VLOOKUP(H$67&amp;"_2",管理者用人口入力シート!BH:CE,J72,FALSE),0)</f>
        <v>75</v>
      </c>
      <c r="J72" s="2">
        <v>7</v>
      </c>
      <c r="K72" s="12"/>
      <c r="N72" s="2" t="s">
        <v>3</v>
      </c>
      <c r="O72" s="17">
        <f>ROUND(VLOOKUP(O$67&amp;"_1",管理者用人口入力シート!CO:DL,Q72,FALSE),0)</f>
        <v>154</v>
      </c>
      <c r="P72" s="17">
        <f>ROUND(VLOOKUP(O$67&amp;"_2",管理者用人口入力シート!CO:DL,Q72,FALSE),0)</f>
        <v>75</v>
      </c>
      <c r="Q72" s="2">
        <v>7</v>
      </c>
      <c r="U72" s="85"/>
    </row>
    <row r="73" spans="1:21" x14ac:dyDescent="0.15">
      <c r="A73" s="2" t="s">
        <v>8</v>
      </c>
      <c r="B73" s="17">
        <f>ROUND(VLOOKUP(B$63&amp;"_1",管理者用人口入力シート!A:X,D73,FALSE),0)</f>
        <v>109</v>
      </c>
      <c r="C73" s="17">
        <f>ROUND(VLOOKUP(B$63&amp;"_2",管理者用人口入力シート!A:X,D73,FALSE),0)</f>
        <v>122</v>
      </c>
      <c r="D73" s="2">
        <v>12</v>
      </c>
      <c r="G73" s="2" t="s">
        <v>4</v>
      </c>
      <c r="H73" s="17">
        <f>ROUND(VLOOKUP(H$67&amp;"_1",管理者用人口入力シート!BH:CE,J73,FALSE),0)</f>
        <v>57</v>
      </c>
      <c r="I73" s="17">
        <f>ROUND(VLOOKUP(H$67&amp;"_2",管理者用人口入力シート!BH:CE,J73,FALSE),0)</f>
        <v>39</v>
      </c>
      <c r="J73" s="2">
        <v>8</v>
      </c>
      <c r="K73" s="12"/>
      <c r="N73" s="2" t="s">
        <v>4</v>
      </c>
      <c r="O73" s="17">
        <f>ROUND(VLOOKUP(O$67&amp;"_1",管理者用人口入力シート!CO:DL,Q73,FALSE),0)</f>
        <v>57</v>
      </c>
      <c r="P73" s="17">
        <f>ROUND(VLOOKUP(O$67&amp;"_2",管理者用人口入力シート!CO:DL,Q73,FALSE),0)</f>
        <v>39</v>
      </c>
      <c r="Q73" s="2">
        <v>8</v>
      </c>
      <c r="U73" s="85"/>
    </row>
    <row r="74" spans="1:21" x14ac:dyDescent="0.15">
      <c r="A74" s="2" t="s">
        <v>9</v>
      </c>
      <c r="B74" s="17">
        <f>ROUND(VLOOKUP(B$63&amp;"_1",管理者用人口入力シート!A:X,D74,FALSE),0)</f>
        <v>129</v>
      </c>
      <c r="C74" s="17">
        <f>ROUND(VLOOKUP(B$63&amp;"_2",管理者用人口入力シート!A:X,D74,FALSE),0)</f>
        <v>113</v>
      </c>
      <c r="D74" s="2">
        <v>13</v>
      </c>
      <c r="G74" s="2" t="s">
        <v>5</v>
      </c>
      <c r="H74" s="17">
        <f>ROUND(VLOOKUP(H$67&amp;"_1",管理者用人口入力シート!BH:CE,J74,FALSE),0)</f>
        <v>62</v>
      </c>
      <c r="I74" s="17">
        <f>ROUND(VLOOKUP(H$67&amp;"_2",管理者用人口入力シート!BH:CE,J74,FALSE),0)</f>
        <v>49</v>
      </c>
      <c r="J74" s="2">
        <v>9</v>
      </c>
      <c r="K74" s="12"/>
      <c r="N74" s="2" t="s">
        <v>5</v>
      </c>
      <c r="O74" s="17">
        <f>ROUND(VLOOKUP(O$67&amp;"_1",管理者用人口入力シート!CO:DL,Q74,FALSE),0)</f>
        <v>64</v>
      </c>
      <c r="P74" s="17">
        <f>ROUND(VLOOKUP(O$67&amp;"_2",管理者用人口入力シート!CO:DL,Q74,FALSE),0)</f>
        <v>51</v>
      </c>
      <c r="Q74" s="2">
        <v>9</v>
      </c>
      <c r="U74" s="85"/>
    </row>
    <row r="75" spans="1:21" x14ac:dyDescent="0.15">
      <c r="A75" s="2" t="s">
        <v>10</v>
      </c>
      <c r="B75" s="17">
        <f>ROUND(VLOOKUP(B$63&amp;"_1",管理者用人口入力シート!A:X,D75,FALSE),0)</f>
        <v>145</v>
      </c>
      <c r="C75" s="17">
        <f>ROUND(VLOOKUP(B$63&amp;"_2",管理者用人口入力シート!A:X,D75,FALSE),0)</f>
        <v>154</v>
      </c>
      <c r="D75" s="2">
        <v>14</v>
      </c>
      <c r="G75" s="2" t="s">
        <v>6</v>
      </c>
      <c r="H75" s="17">
        <f>ROUND(VLOOKUP(H$67&amp;"_1",管理者用人口入力シート!BH:CE,J75,FALSE),0)</f>
        <v>89</v>
      </c>
      <c r="I75" s="17">
        <f>ROUND(VLOOKUP(H$67&amp;"_2",管理者用人口入力シート!BH:CE,J75,FALSE),0)</f>
        <v>70</v>
      </c>
      <c r="J75" s="2">
        <v>10</v>
      </c>
      <c r="K75" s="12"/>
      <c r="N75" s="2" t="s">
        <v>6</v>
      </c>
      <c r="O75" s="17">
        <f>ROUND(VLOOKUP(O$67&amp;"_1",管理者用人口入力シート!CO:DL,Q75,FALSE),0)</f>
        <v>89</v>
      </c>
      <c r="P75" s="17">
        <f>ROUND(VLOOKUP(O$67&amp;"_2",管理者用人口入力シート!CO:DL,Q75,FALSE),0)</f>
        <v>70</v>
      </c>
      <c r="Q75" s="2">
        <v>10</v>
      </c>
      <c r="U75" s="85"/>
    </row>
    <row r="76" spans="1:21" x14ac:dyDescent="0.15">
      <c r="A76" s="2" t="s">
        <v>11</v>
      </c>
      <c r="B76" s="17">
        <f>ROUND(VLOOKUP(B$63&amp;"_1",管理者用人口入力シート!A:X,D76,FALSE),0)</f>
        <v>169</v>
      </c>
      <c r="C76" s="17">
        <f>ROUND(VLOOKUP(B$63&amp;"_2",管理者用人口入力シート!A:X,D76,FALSE),0)</f>
        <v>181</v>
      </c>
      <c r="D76" s="2">
        <v>15</v>
      </c>
      <c r="G76" s="2" t="s">
        <v>7</v>
      </c>
      <c r="H76" s="17">
        <f>ROUND(VLOOKUP(H$67&amp;"_1",管理者用人口入力シート!BH:CE,J76,FALSE),0)</f>
        <v>90</v>
      </c>
      <c r="I76" s="17">
        <f>ROUND(VLOOKUP(H$67&amp;"_2",管理者用人口入力シート!BH:CE,J76,FALSE),0)</f>
        <v>89</v>
      </c>
      <c r="J76" s="2">
        <v>11</v>
      </c>
      <c r="K76" s="12"/>
      <c r="N76" s="2" t="s">
        <v>7</v>
      </c>
      <c r="O76" s="17">
        <f>ROUND(VLOOKUP(O$67&amp;"_1",管理者用人口入力シート!CO:DL,Q76,FALSE),0)</f>
        <v>90</v>
      </c>
      <c r="P76" s="17">
        <f>ROUND(VLOOKUP(O$67&amp;"_2",管理者用人口入力シート!CO:DL,Q76,FALSE),0)</f>
        <v>89</v>
      </c>
      <c r="Q76" s="2">
        <v>11</v>
      </c>
      <c r="U76" s="85"/>
    </row>
    <row r="77" spans="1:21" x14ac:dyDescent="0.15">
      <c r="A77" s="2" t="s">
        <v>12</v>
      </c>
      <c r="B77" s="17">
        <f>ROUND(VLOOKUP(B$63&amp;"_1",管理者用人口入力シート!A:X,D77,FALSE),0)</f>
        <v>232</v>
      </c>
      <c r="C77" s="17">
        <f>ROUND(VLOOKUP(B$63&amp;"_2",管理者用人口入力シート!A:X,D77,FALSE),0)</f>
        <v>228</v>
      </c>
      <c r="D77" s="2">
        <v>16</v>
      </c>
      <c r="G77" s="2" t="s">
        <v>8</v>
      </c>
      <c r="H77" s="17">
        <f>ROUND(VLOOKUP(H$67&amp;"_1",管理者用人口入力シート!BH:CE,J77,FALSE),0)</f>
        <v>112</v>
      </c>
      <c r="I77" s="17">
        <f>ROUND(VLOOKUP(H$67&amp;"_2",管理者用人口入力シート!BH:CE,J77,FALSE),0)</f>
        <v>125</v>
      </c>
      <c r="J77" s="2">
        <v>12</v>
      </c>
      <c r="K77" s="12"/>
      <c r="N77" s="2" t="s">
        <v>8</v>
      </c>
      <c r="O77" s="17">
        <f>ROUND(VLOOKUP(O$67&amp;"_1",管理者用人口入力シート!CO:DL,Q77,FALSE),0)</f>
        <v>112</v>
      </c>
      <c r="P77" s="17">
        <f>ROUND(VLOOKUP(O$67&amp;"_2",管理者用人口入力シート!CO:DL,Q77,FALSE),0)</f>
        <v>126</v>
      </c>
      <c r="Q77" s="2">
        <v>12</v>
      </c>
      <c r="U77" s="85"/>
    </row>
    <row r="78" spans="1:21" x14ac:dyDescent="0.15">
      <c r="A78" s="2" t="s">
        <v>13</v>
      </c>
      <c r="B78" s="17">
        <f>ROUND(VLOOKUP(B$63&amp;"_1",管理者用人口入力シート!A:X,D78,FALSE),0)</f>
        <v>233</v>
      </c>
      <c r="C78" s="17">
        <f>ROUND(VLOOKUP(B$63&amp;"_2",管理者用人口入力シート!A:X,D78,FALSE),0)</f>
        <v>220</v>
      </c>
      <c r="D78" s="2">
        <v>17</v>
      </c>
      <c r="G78" s="2" t="s">
        <v>9</v>
      </c>
      <c r="H78" s="17">
        <f>ROUND(VLOOKUP(H$67&amp;"_1",管理者用人口入力シート!BH:CE,J78,FALSE),0)</f>
        <v>139</v>
      </c>
      <c r="I78" s="17">
        <f>ROUND(VLOOKUP(H$67&amp;"_2",管理者用人口入力シート!BH:CE,J78,FALSE),0)</f>
        <v>129</v>
      </c>
      <c r="J78" s="2">
        <v>13</v>
      </c>
      <c r="K78" s="12"/>
      <c r="N78" s="2" t="s">
        <v>9</v>
      </c>
      <c r="O78" s="17">
        <f>ROUND(VLOOKUP(O$67&amp;"_1",管理者用人口入力シート!CO:DL,Q78,FALSE),0)</f>
        <v>139</v>
      </c>
      <c r="P78" s="17">
        <f>ROUND(VLOOKUP(O$67&amp;"_2",管理者用人口入力シート!CO:DL,Q78,FALSE),0)</f>
        <v>129</v>
      </c>
      <c r="Q78" s="2">
        <v>13</v>
      </c>
      <c r="U78" s="85"/>
    </row>
    <row r="79" spans="1:21" x14ac:dyDescent="0.15">
      <c r="A79" s="2" t="s">
        <v>14</v>
      </c>
      <c r="B79" s="17">
        <f>ROUND(VLOOKUP(B$63&amp;"_1",管理者用人口入力シート!A:X,D79,FALSE),0)</f>
        <v>182</v>
      </c>
      <c r="C79" s="17">
        <f>ROUND(VLOOKUP(B$63&amp;"_2",管理者用人口入力シート!A:X,D79,FALSE),0)</f>
        <v>162</v>
      </c>
      <c r="D79" s="2">
        <v>18</v>
      </c>
      <c r="G79" s="2" t="s">
        <v>10</v>
      </c>
      <c r="H79" s="17">
        <f>ROUND(VLOOKUP(H$67&amp;"_1",管理者用人口入力シート!BH:CE,J79,FALSE),0)</f>
        <v>125</v>
      </c>
      <c r="I79" s="17">
        <f>ROUND(VLOOKUP(H$67&amp;"_2",管理者用人口入力シート!BH:CE,J79,FALSE),0)</f>
        <v>142</v>
      </c>
      <c r="J79" s="2">
        <v>14</v>
      </c>
      <c r="K79" s="12"/>
      <c r="N79" s="2" t="s">
        <v>10</v>
      </c>
      <c r="O79" s="17">
        <f>ROUND(VLOOKUP(O$67&amp;"_1",管理者用人口入力シート!CO:DL,Q79,FALSE),0)</f>
        <v>125</v>
      </c>
      <c r="P79" s="17">
        <f>ROUND(VLOOKUP(O$67&amp;"_2",管理者用人口入力シート!CO:DL,Q79,FALSE),0)</f>
        <v>142</v>
      </c>
      <c r="Q79" s="2">
        <v>14</v>
      </c>
      <c r="U79" s="85"/>
    </row>
    <row r="80" spans="1:21" x14ac:dyDescent="0.15">
      <c r="A80" s="2" t="s">
        <v>15</v>
      </c>
      <c r="B80" s="17">
        <f>ROUND(VLOOKUP(B$63&amp;"_1",管理者用人口入力シート!A:X,D80,FALSE),0)</f>
        <v>137</v>
      </c>
      <c r="C80" s="17">
        <f>ROUND(VLOOKUP(B$63&amp;"_2",管理者用人口入力シート!A:X,D80,FALSE),0)</f>
        <v>182</v>
      </c>
      <c r="D80" s="2">
        <v>19</v>
      </c>
      <c r="G80" s="2" t="s">
        <v>11</v>
      </c>
      <c r="H80" s="17">
        <f>ROUND(VLOOKUP(H$67&amp;"_1",管理者用人口入力シート!BH:CE,J80,FALSE),0)</f>
        <v>134</v>
      </c>
      <c r="I80" s="17">
        <f>ROUND(VLOOKUP(H$67&amp;"_2",管理者用人口入力シート!BH:CE,J80,FALSE),0)</f>
        <v>125</v>
      </c>
      <c r="J80" s="2">
        <v>15</v>
      </c>
      <c r="K80" s="12"/>
      <c r="N80" s="2" t="s">
        <v>11</v>
      </c>
      <c r="O80" s="17">
        <f>ROUND(VLOOKUP(O$67&amp;"_1",管理者用人口入力シート!CO:DL,Q80,FALSE),0)</f>
        <v>134</v>
      </c>
      <c r="P80" s="17">
        <f>ROUND(VLOOKUP(O$67&amp;"_2",管理者用人口入力シート!CO:DL,Q80,FALSE),0)</f>
        <v>125</v>
      </c>
      <c r="Q80" s="2">
        <v>15</v>
      </c>
      <c r="U80" s="85"/>
    </row>
    <row r="81" spans="1:21" x14ac:dyDescent="0.15">
      <c r="A81" s="2" t="s">
        <v>16</v>
      </c>
      <c r="B81" s="17">
        <f>ROUND(VLOOKUP(B$63&amp;"_1",管理者用人口入力シート!A:X,D81,FALSE),0)</f>
        <v>117</v>
      </c>
      <c r="C81" s="17">
        <f>ROUND(VLOOKUP(B$63&amp;"_2",管理者用人口入力シート!A:X,D81,FALSE),0)</f>
        <v>183</v>
      </c>
      <c r="D81" s="2">
        <v>20</v>
      </c>
      <c r="G81" s="2" t="s">
        <v>12</v>
      </c>
      <c r="H81" s="17">
        <f>ROUND(VLOOKUP(H$67&amp;"_1",管理者用人口入力シート!BH:CE,J81,FALSE),0)</f>
        <v>147</v>
      </c>
      <c r="I81" s="17">
        <f>ROUND(VLOOKUP(H$67&amp;"_2",管理者用人口入力シート!BH:CE,J81,FALSE),0)</f>
        <v>156</v>
      </c>
      <c r="J81" s="2">
        <v>16</v>
      </c>
      <c r="K81" s="12"/>
      <c r="N81" s="2" t="s">
        <v>12</v>
      </c>
      <c r="O81" s="17">
        <f>ROUND(VLOOKUP(O$67&amp;"_1",管理者用人口入力シート!CO:DL,Q81,FALSE),0)</f>
        <v>147</v>
      </c>
      <c r="P81" s="17">
        <f>ROUND(VLOOKUP(O$67&amp;"_2",管理者用人口入力シート!CO:DL,Q81,FALSE),0)</f>
        <v>156</v>
      </c>
      <c r="Q81" s="2">
        <v>16</v>
      </c>
      <c r="U81" s="85"/>
    </row>
    <row r="82" spans="1:21" x14ac:dyDescent="0.15">
      <c r="A82" s="2" t="s">
        <v>17</v>
      </c>
      <c r="B82" s="17">
        <f>ROUND(VLOOKUP(B$63&amp;"_1",管理者用人口入力シート!A:X,D82,FALSE),0)</f>
        <v>77</v>
      </c>
      <c r="C82" s="17">
        <f>ROUND(VLOOKUP(B$63&amp;"_2",管理者用人口入力シート!A:X,D82,FALSE),0)</f>
        <v>147</v>
      </c>
      <c r="D82" s="2">
        <v>21</v>
      </c>
      <c r="G82" s="2" t="s">
        <v>13</v>
      </c>
      <c r="H82" s="17">
        <f>ROUND(VLOOKUP(H$67&amp;"_1",管理者用人口入力シート!BH:CE,J82,FALSE),0)</f>
        <v>163</v>
      </c>
      <c r="I82" s="17">
        <f>ROUND(VLOOKUP(H$67&amp;"_2",管理者用人口入力シート!BH:CE,J82,FALSE),0)</f>
        <v>176</v>
      </c>
      <c r="J82" s="2">
        <v>17</v>
      </c>
      <c r="K82" s="12"/>
      <c r="N82" s="2" t="s">
        <v>13</v>
      </c>
      <c r="O82" s="17">
        <f>ROUND(VLOOKUP(O$67&amp;"_1",管理者用人口入力シート!CO:DL,Q82,FALSE),0)</f>
        <v>163</v>
      </c>
      <c r="P82" s="17">
        <f>ROUND(VLOOKUP(O$67&amp;"_2",管理者用人口入力シート!CO:DL,Q82,FALSE),0)</f>
        <v>176</v>
      </c>
      <c r="Q82" s="2">
        <v>17</v>
      </c>
      <c r="U82" s="85"/>
    </row>
    <row r="83" spans="1:21" x14ac:dyDescent="0.15">
      <c r="A83" s="2" t="s">
        <v>18</v>
      </c>
      <c r="B83" s="17">
        <f>ROUND(VLOOKUP(B$63&amp;"_1",管理者用人口入力シート!A:X,D83,FALSE),0)</f>
        <v>19</v>
      </c>
      <c r="C83" s="17">
        <f>ROUND(VLOOKUP(B$63&amp;"_2",管理者用人口入力シート!A:X,D83,FALSE),0)</f>
        <v>84</v>
      </c>
      <c r="D83" s="2">
        <v>22</v>
      </c>
      <c r="G83" s="2" t="s">
        <v>14</v>
      </c>
      <c r="H83" s="17">
        <f>ROUND(VLOOKUP(H$67&amp;"_1",管理者用人口入力シート!BH:CE,J83,FALSE),0)</f>
        <v>201</v>
      </c>
      <c r="I83" s="17">
        <f>ROUND(VLOOKUP(H$67&amp;"_2",管理者用人口入力シート!BH:CE,J83,FALSE),0)</f>
        <v>226</v>
      </c>
      <c r="J83" s="2">
        <v>18</v>
      </c>
      <c r="K83" s="12"/>
      <c r="N83" s="2" t="s">
        <v>14</v>
      </c>
      <c r="O83" s="17">
        <f>ROUND(VLOOKUP(O$67&amp;"_1",管理者用人口入力シート!CO:DL,Q83,FALSE),0)</f>
        <v>201</v>
      </c>
      <c r="P83" s="17">
        <f>ROUND(VLOOKUP(O$67&amp;"_2",管理者用人口入力シート!CO:DL,Q83,FALSE),0)</f>
        <v>226</v>
      </c>
      <c r="Q83" s="2">
        <v>18</v>
      </c>
      <c r="U83" s="85"/>
    </row>
    <row r="84" spans="1:21" x14ac:dyDescent="0.15">
      <c r="A84" s="2" t="s">
        <v>19</v>
      </c>
      <c r="B84" s="17">
        <f>ROUND(VLOOKUP(B$63&amp;"_1",管理者用人口入力シート!A:X,D84,FALSE),0)</f>
        <v>5</v>
      </c>
      <c r="C84" s="17">
        <f>ROUND(VLOOKUP(B$63&amp;"_2",管理者用人口入力シート!A:X,D84,FALSE),0)</f>
        <v>34</v>
      </c>
      <c r="D84" s="2">
        <v>23</v>
      </c>
      <c r="G84" s="2" t="s">
        <v>15</v>
      </c>
      <c r="H84" s="17">
        <f>ROUND(VLOOKUP(H$67&amp;"_1",管理者用人口入力シート!BH:CE,J84,FALSE),0)</f>
        <v>177</v>
      </c>
      <c r="I84" s="17">
        <f>ROUND(VLOOKUP(H$67&amp;"_2",管理者用人口入力シート!BH:CE,J84,FALSE),0)</f>
        <v>210</v>
      </c>
      <c r="J84" s="2">
        <v>19</v>
      </c>
      <c r="K84" s="12"/>
      <c r="N84" s="2" t="s">
        <v>15</v>
      </c>
      <c r="O84" s="17">
        <f>ROUND(VLOOKUP(O$67&amp;"_1",管理者用人口入力シート!CO:DL,Q84,FALSE),0)</f>
        <v>177</v>
      </c>
      <c r="P84" s="17">
        <f>ROUND(VLOOKUP(O$67&amp;"_2",管理者用人口入力シート!CO:DL,Q84,FALSE),0)</f>
        <v>210</v>
      </c>
      <c r="Q84" s="2">
        <v>19</v>
      </c>
      <c r="U84" s="85"/>
    </row>
    <row r="85" spans="1:21" x14ac:dyDescent="0.15">
      <c r="A85" s="2" t="s">
        <v>20</v>
      </c>
      <c r="B85" s="17">
        <f>ROUND(VLOOKUP(B$63&amp;"_1",管理者用人口入力シート!A:X,D85,FALSE),0)</f>
        <v>0</v>
      </c>
      <c r="C85" s="17">
        <f>ROUND(VLOOKUP(B$63&amp;"_2",管理者用人口入力シート!A:X,D85,FALSE),0)</f>
        <v>5</v>
      </c>
      <c r="D85" s="2">
        <v>24</v>
      </c>
      <c r="G85" s="2" t="s">
        <v>16</v>
      </c>
      <c r="H85" s="17">
        <f>ROUND(VLOOKUP(H$67&amp;"_1",管理者用人口入力シート!BH:CE,J85,FALSE),0)</f>
        <v>138</v>
      </c>
      <c r="I85" s="17">
        <f>ROUND(VLOOKUP(H$67&amp;"_2",管理者用人口入力シート!BH:CE,J85,FALSE),0)</f>
        <v>150</v>
      </c>
      <c r="J85" s="2">
        <v>20</v>
      </c>
      <c r="K85" s="12"/>
      <c r="N85" s="2" t="s">
        <v>16</v>
      </c>
      <c r="O85" s="17">
        <f>ROUND(VLOOKUP(O$67&amp;"_1",管理者用人口入力シート!CO:DL,Q85,FALSE),0)</f>
        <v>138</v>
      </c>
      <c r="P85" s="17">
        <f>ROUND(VLOOKUP(O$67&amp;"_2",管理者用人口入力シート!CO:DL,Q85,FALSE),0)</f>
        <v>150</v>
      </c>
      <c r="Q85" s="2">
        <v>20</v>
      </c>
      <c r="U85" s="85"/>
    </row>
    <row r="86" spans="1:21" x14ac:dyDescent="0.15">
      <c r="G86" s="2" t="s">
        <v>17</v>
      </c>
      <c r="H86" s="17">
        <f>ROUND(VLOOKUP(H$67&amp;"_1",管理者用人口入力シート!BH:CE,J86,FALSE),0)</f>
        <v>82</v>
      </c>
      <c r="I86" s="17">
        <f>ROUND(VLOOKUP(H$67&amp;"_2",管理者用人口入力シート!BH:CE,J86,FALSE),0)</f>
        <v>148</v>
      </c>
      <c r="J86" s="2">
        <v>21</v>
      </c>
      <c r="K86" s="12"/>
      <c r="N86" s="2" t="s">
        <v>17</v>
      </c>
      <c r="O86" s="17">
        <f>ROUND(VLOOKUP(O$67&amp;"_1",管理者用人口入力シート!CO:DL,Q86,FALSE),0)</f>
        <v>82</v>
      </c>
      <c r="P86" s="17">
        <f>ROUND(VLOOKUP(O$67&amp;"_2",管理者用人口入力シート!CO:DL,Q86,FALSE),0)</f>
        <v>148</v>
      </c>
      <c r="Q86" s="2">
        <v>21</v>
      </c>
      <c r="U86" s="85"/>
    </row>
    <row r="87" spans="1:21" x14ac:dyDescent="0.15">
      <c r="A87" s="2" t="s">
        <v>62</v>
      </c>
      <c r="B87" s="314">
        <f>管理者入力シート!B5</f>
        <v>2020</v>
      </c>
      <c r="C87" s="315"/>
      <c r="D87" s="2" t="s">
        <v>114</v>
      </c>
      <c r="G87" s="2" t="s">
        <v>18</v>
      </c>
      <c r="H87" s="17">
        <f>ROUND(VLOOKUP(H$67&amp;"_1",管理者用人口入力シート!BH:CE,J87,FALSE),0)</f>
        <v>40</v>
      </c>
      <c r="I87" s="17">
        <f>ROUND(VLOOKUP(H$67&amp;"_2",管理者用人口入力シート!BH:CE,J87,FALSE),0)</f>
        <v>110</v>
      </c>
      <c r="J87" s="2">
        <v>22</v>
      </c>
      <c r="K87" s="12"/>
      <c r="N87" s="2" t="s">
        <v>18</v>
      </c>
      <c r="O87" s="17">
        <f>ROUND(VLOOKUP(O$67&amp;"_1",管理者用人口入力シート!CO:DL,Q87,FALSE),0)</f>
        <v>40</v>
      </c>
      <c r="P87" s="17">
        <f>ROUND(VLOOKUP(O$67&amp;"_2",管理者用人口入力シート!CO:DL,Q87,FALSE),0)</f>
        <v>110</v>
      </c>
      <c r="Q87" s="2">
        <v>22</v>
      </c>
      <c r="U87" s="85"/>
    </row>
    <row r="88" spans="1:21" x14ac:dyDescent="0.15">
      <c r="A88" s="2" t="s">
        <v>115</v>
      </c>
      <c r="B88" s="18" t="s">
        <v>21</v>
      </c>
      <c r="C88" s="18" t="s">
        <v>22</v>
      </c>
      <c r="G88" s="2" t="s">
        <v>19</v>
      </c>
      <c r="H88" s="17">
        <f>ROUND(VLOOKUP(H$67&amp;"_1",管理者用人口入力シート!BH:CE,J88,FALSE),0)</f>
        <v>9</v>
      </c>
      <c r="I88" s="17">
        <f>ROUND(VLOOKUP(H$67&amp;"_2",管理者用人口入力シート!BH:CE,J88,FALSE),0)</f>
        <v>47</v>
      </c>
      <c r="J88" s="2">
        <v>23</v>
      </c>
      <c r="K88" s="12"/>
      <c r="N88" s="2" t="s">
        <v>19</v>
      </c>
      <c r="O88" s="17">
        <f>ROUND(VLOOKUP(O$67&amp;"_1",管理者用人口入力シート!CO:DL,Q88,FALSE),0)</f>
        <v>9</v>
      </c>
      <c r="P88" s="17">
        <f>ROUND(VLOOKUP(O$67&amp;"_2",管理者用人口入力シート!CO:DL,Q88,FALSE),0)</f>
        <v>47</v>
      </c>
      <c r="Q88" s="2">
        <v>23</v>
      </c>
      <c r="U88" s="85"/>
    </row>
    <row r="89" spans="1:21" x14ac:dyDescent="0.15">
      <c r="A89" s="2" t="s">
        <v>0</v>
      </c>
      <c r="B89" s="17">
        <f>ROUND(VLOOKUP(B$87&amp;"_1",管理者用人口入力シート!A:X,D89,FALSE),0)</f>
        <v>59</v>
      </c>
      <c r="C89" s="17">
        <f>ROUND(VLOOKUP(B$87&amp;"_2",管理者用人口入力シート!A:X,D89,FALSE),0)</f>
        <v>48</v>
      </c>
      <c r="D89" s="2">
        <v>4</v>
      </c>
      <c r="G89" s="2" t="s">
        <v>20</v>
      </c>
      <c r="H89" s="17">
        <f>ROUND(VLOOKUP(H$67&amp;"_1",管理者用人口入力シート!BH:CE,J89,FALSE),0)</f>
        <v>0</v>
      </c>
      <c r="I89" s="17">
        <f>ROUND(VLOOKUP(H$67&amp;"_2",管理者用人口入力シート!BH:CE,J89,FALSE),0)</f>
        <v>6</v>
      </c>
      <c r="J89" s="2">
        <v>24</v>
      </c>
      <c r="K89" s="12"/>
      <c r="N89" s="2" t="s">
        <v>20</v>
      </c>
      <c r="O89" s="17">
        <f>ROUND(VLOOKUP(O$67&amp;"_1",管理者用人口入力シート!CO:DL,Q89,FALSE),0)</f>
        <v>0</v>
      </c>
      <c r="P89" s="17">
        <f>ROUND(VLOOKUP(O$67&amp;"_2",管理者用人口入力シート!CO:DL,Q89,FALSE),0)</f>
        <v>6</v>
      </c>
      <c r="Q89" s="2">
        <v>24</v>
      </c>
      <c r="U89" s="85"/>
    </row>
    <row r="90" spans="1:21" x14ac:dyDescent="0.15">
      <c r="A90" s="2" t="s">
        <v>1</v>
      </c>
      <c r="B90" s="17">
        <f>ROUND(VLOOKUP(B$87&amp;"_1",管理者用人口入力シート!A:X,D90,FALSE),0)</f>
        <v>82</v>
      </c>
      <c r="C90" s="17">
        <f>ROUND(VLOOKUP(B$87&amp;"_2",管理者用人口入力シート!A:X,D90,FALSE),0)</f>
        <v>88</v>
      </c>
      <c r="D90" s="2">
        <v>5</v>
      </c>
    </row>
    <row r="91" spans="1:21" x14ac:dyDescent="0.15">
      <c r="A91" s="2" t="s">
        <v>2</v>
      </c>
      <c r="B91" s="17">
        <f>ROUND(VLOOKUP(B$87&amp;"_1",管理者用人口入力シート!A:X,D91,FALSE),0)</f>
        <v>96</v>
      </c>
      <c r="C91" s="17">
        <f>ROUND(VLOOKUP(B$87&amp;"_2",管理者用人口入力シート!A:X,D91,FALSE),0)</f>
        <v>83</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159</v>
      </c>
      <c r="C92" s="17">
        <f>ROUND(VLOOKUP(B$87&amp;"_2",管理者用人口入力シート!A:X,D92,FALSE),0)</f>
        <v>63</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58</v>
      </c>
      <c r="C93" s="17">
        <f>ROUND(VLOOKUP(B$87&amp;"_2",管理者用人口入力シート!A:X,D93,FALSE),0)</f>
        <v>57</v>
      </c>
      <c r="D93" s="2">
        <v>8</v>
      </c>
      <c r="G93" s="2" t="s">
        <v>0</v>
      </c>
      <c r="H93" s="17">
        <f>ROUND(VLOOKUP(H$91&amp;"_1",管理者用人口入力シート!BH:CE,J93,FALSE),0)</f>
        <v>40</v>
      </c>
      <c r="I93" s="17">
        <f>ROUND(VLOOKUP(H$91&amp;"_2",管理者用人口入力シート!BH:CE,J93,FALSE),0)</f>
        <v>32</v>
      </c>
      <c r="J93" s="2">
        <v>4</v>
      </c>
      <c r="K93" s="12"/>
      <c r="N93" s="2" t="s">
        <v>0</v>
      </c>
      <c r="O93" s="17">
        <f>ROUND(VLOOKUP(O$91&amp;"_1",管理者用人口入力シート!CO:DL,Q93,FALSE),0)</f>
        <v>41</v>
      </c>
      <c r="P93" s="17">
        <f>ROUND(VLOOKUP(O$91&amp;"_2",管理者用人口入力シート!CO:DL,Q93,FALSE),0)</f>
        <v>34</v>
      </c>
      <c r="Q93" s="2">
        <v>4</v>
      </c>
      <c r="T93" s="85"/>
    </row>
    <row r="94" spans="1:21" x14ac:dyDescent="0.15">
      <c r="A94" s="2" t="s">
        <v>5</v>
      </c>
      <c r="B94" s="17">
        <f>ROUND(VLOOKUP(B$87&amp;"_1",管理者用人口入力シート!A:X,D94,FALSE),0)</f>
        <v>84</v>
      </c>
      <c r="C94" s="17">
        <f>ROUND(VLOOKUP(B$87&amp;"_2",管理者用人口入力シート!A:X,D94,FALSE),0)</f>
        <v>62</v>
      </c>
      <c r="D94" s="2">
        <v>9</v>
      </c>
      <c r="G94" s="2" t="s">
        <v>1</v>
      </c>
      <c r="H94" s="17">
        <f>ROUND(VLOOKUP(H$91&amp;"_1",管理者用人口入力シート!BH:CE,J94,FALSE),0)</f>
        <v>54</v>
      </c>
      <c r="I94" s="17">
        <f>ROUND(VLOOKUP(H$91&amp;"_2",管理者用人口入力シート!BH:CE,J94,FALSE),0)</f>
        <v>42</v>
      </c>
      <c r="J94" s="2">
        <v>5</v>
      </c>
      <c r="K94" s="12"/>
      <c r="N94" s="2" t="s">
        <v>1</v>
      </c>
      <c r="O94" s="17">
        <f>ROUND(VLOOKUP(O$91&amp;"_1",管理者用人口入力シート!CO:DL,Q94,FALSE),0)</f>
        <v>55</v>
      </c>
      <c r="P94" s="17">
        <f>ROUND(VLOOKUP(O$91&amp;"_2",管理者用人口入力シート!CO:DL,Q94,FALSE),0)</f>
        <v>43</v>
      </c>
      <c r="Q94" s="2">
        <v>5</v>
      </c>
      <c r="T94" s="85"/>
    </row>
    <row r="95" spans="1:21" x14ac:dyDescent="0.15">
      <c r="A95" s="2" t="s">
        <v>6</v>
      </c>
      <c r="B95" s="17">
        <f>ROUND(VLOOKUP(B$87&amp;"_1",管理者用人口入力シート!A:X,D95,FALSE),0)</f>
        <v>85</v>
      </c>
      <c r="C95" s="17">
        <f>ROUND(VLOOKUP(B$87&amp;"_2",管理者用人口入力シート!A:X,D95,FALSE),0)</f>
        <v>79</v>
      </c>
      <c r="D95" s="2">
        <v>10</v>
      </c>
      <c r="G95" s="2" t="s">
        <v>2</v>
      </c>
      <c r="H95" s="17">
        <f>ROUND(VLOOKUP(H$91&amp;"_1",管理者用人口入力シート!BH:CE,J95,FALSE),0)</f>
        <v>78</v>
      </c>
      <c r="I95" s="17">
        <f>ROUND(VLOOKUP(H$91&amp;"_2",管理者用人口入力シート!BH:CE,J95,FALSE),0)</f>
        <v>57</v>
      </c>
      <c r="J95" s="2">
        <v>6</v>
      </c>
      <c r="K95" s="12"/>
      <c r="N95" s="2" t="s">
        <v>2</v>
      </c>
      <c r="O95" s="17">
        <f>ROUND(VLOOKUP(O$91&amp;"_1",管理者用人口入力シート!CO:DL,Q95,FALSE),0)</f>
        <v>79</v>
      </c>
      <c r="P95" s="17">
        <f>ROUND(VLOOKUP(O$91&amp;"_2",管理者用人口入力シート!CO:DL,Q95,FALSE),0)</f>
        <v>58</v>
      </c>
      <c r="Q95" s="2">
        <v>6</v>
      </c>
      <c r="T95" s="85"/>
    </row>
    <row r="96" spans="1:21" x14ac:dyDescent="0.15">
      <c r="A96" s="2" t="s">
        <v>7</v>
      </c>
      <c r="B96" s="17">
        <f>ROUND(VLOOKUP(B$87&amp;"_1",管理者用人口入力シート!A:X,D96,FALSE),0)</f>
        <v>108</v>
      </c>
      <c r="C96" s="17">
        <f>ROUND(VLOOKUP(B$87&amp;"_2",管理者用人口入力シート!A:X,D96,FALSE),0)</f>
        <v>119</v>
      </c>
      <c r="D96" s="2">
        <v>11</v>
      </c>
      <c r="G96" s="2" t="s">
        <v>3</v>
      </c>
      <c r="H96" s="17">
        <f>ROUND(VLOOKUP(H$91&amp;"_1",管理者用人口入力シート!BH:CE,J96,FALSE),0)</f>
        <v>149</v>
      </c>
      <c r="I96" s="17">
        <f>ROUND(VLOOKUP(H$91&amp;"_2",管理者用人口入力シート!BH:CE,J96,FALSE),0)</f>
        <v>85</v>
      </c>
      <c r="J96" s="2">
        <v>7</v>
      </c>
      <c r="K96" s="12"/>
      <c r="N96" s="2" t="s">
        <v>3</v>
      </c>
      <c r="O96" s="17">
        <f>ROUND(VLOOKUP(O$91&amp;"_1",管理者用人口入力シート!CO:DL,Q96,FALSE),0)</f>
        <v>150</v>
      </c>
      <c r="P96" s="17">
        <f>ROUND(VLOOKUP(O$91&amp;"_2",管理者用人口入力シート!CO:DL,Q96,FALSE),0)</f>
        <v>86</v>
      </c>
      <c r="Q96" s="2">
        <v>7</v>
      </c>
      <c r="T96" s="85"/>
    </row>
    <row r="97" spans="1:20" x14ac:dyDescent="0.15">
      <c r="A97" s="2" t="s">
        <v>8</v>
      </c>
      <c r="B97" s="17">
        <f>ROUND(VLOOKUP(B$87&amp;"_1",管理者用人口入力シート!A:X,D97,FALSE),0)</f>
        <v>131</v>
      </c>
      <c r="C97" s="17">
        <f>ROUND(VLOOKUP(B$87&amp;"_2",管理者用人口入力シート!A:X,D97,FALSE),0)</f>
        <v>126</v>
      </c>
      <c r="D97" s="2">
        <v>12</v>
      </c>
      <c r="G97" s="2" t="s">
        <v>4</v>
      </c>
      <c r="H97" s="17">
        <f>ROUND(VLOOKUP(H$91&amp;"_1",管理者用人口入力シート!BH:CE,J97,FALSE),0)</f>
        <v>56</v>
      </c>
      <c r="I97" s="17">
        <f>ROUND(VLOOKUP(H$91&amp;"_2",管理者用人口入力シート!BH:CE,J97,FALSE),0)</f>
        <v>46</v>
      </c>
      <c r="J97" s="2">
        <v>8</v>
      </c>
      <c r="K97" s="12"/>
      <c r="N97" s="2" t="s">
        <v>4</v>
      </c>
      <c r="O97" s="17">
        <f>ROUND(VLOOKUP(O$91&amp;"_1",管理者用人口入力シート!CO:DL,Q97,FALSE),0)</f>
        <v>56</v>
      </c>
      <c r="P97" s="17">
        <f>ROUND(VLOOKUP(O$91&amp;"_2",管理者用人口入力シート!CO:DL,Q97,FALSE),0)</f>
        <v>46</v>
      </c>
      <c r="Q97" s="2">
        <v>8</v>
      </c>
      <c r="T97" s="85"/>
    </row>
    <row r="98" spans="1:20" x14ac:dyDescent="0.15">
      <c r="A98" s="2" t="s">
        <v>9</v>
      </c>
      <c r="B98" s="17">
        <f>ROUND(VLOOKUP(B$87&amp;"_1",管理者用人口入力シート!A:X,D98,FALSE),0)</f>
        <v>120</v>
      </c>
      <c r="C98" s="17">
        <f>ROUND(VLOOKUP(B$87&amp;"_2",管理者用人口入力シート!A:X,D98,FALSE),0)</f>
        <v>128</v>
      </c>
      <c r="D98" s="2">
        <v>13</v>
      </c>
      <c r="G98" s="2" t="s">
        <v>5</v>
      </c>
      <c r="H98" s="17">
        <f>ROUND(VLOOKUP(H$91&amp;"_1",管理者用人口入力シート!BH:CE,J98,FALSE),0)</f>
        <v>61</v>
      </c>
      <c r="I98" s="17">
        <f>ROUND(VLOOKUP(H$91&amp;"_2",管理者用人口入力シート!BH:CE,J98,FALSE),0)</f>
        <v>33</v>
      </c>
      <c r="J98" s="2">
        <v>9</v>
      </c>
      <c r="K98" s="12"/>
      <c r="N98" s="2" t="s">
        <v>5</v>
      </c>
      <c r="O98" s="17">
        <f>ROUND(VLOOKUP(O$91&amp;"_1",管理者用人口入力シート!CO:DL,Q98,FALSE),0)</f>
        <v>63</v>
      </c>
      <c r="P98" s="17">
        <f>ROUND(VLOOKUP(O$91&amp;"_2",管理者用人口入力シート!CO:DL,Q98,FALSE),0)</f>
        <v>35</v>
      </c>
      <c r="Q98" s="2">
        <v>9</v>
      </c>
      <c r="T98" s="85"/>
    </row>
    <row r="99" spans="1:20" x14ac:dyDescent="0.15">
      <c r="A99" s="2" t="s">
        <v>10</v>
      </c>
      <c r="B99" s="17">
        <f>ROUND(VLOOKUP(B$87&amp;"_1",管理者用人口入力シート!A:X,D99,FALSE),0)</f>
        <v>133</v>
      </c>
      <c r="C99" s="17">
        <f>ROUND(VLOOKUP(B$87&amp;"_2",管理者用人口入力シート!A:X,D99,FALSE),0)</f>
        <v>123</v>
      </c>
      <c r="D99" s="2">
        <v>14</v>
      </c>
      <c r="G99" s="2" t="s">
        <v>6</v>
      </c>
      <c r="H99" s="17">
        <f>ROUND(VLOOKUP(H$91&amp;"_1",管理者用人口入力シート!BH:CE,J99,FALSE),0)</f>
        <v>65</v>
      </c>
      <c r="I99" s="17">
        <f>ROUND(VLOOKUP(H$91&amp;"_2",管理者用人口入力シート!BH:CE,J99,FALSE),0)</f>
        <v>55</v>
      </c>
      <c r="J99" s="2">
        <v>10</v>
      </c>
      <c r="K99" s="12"/>
      <c r="N99" s="2" t="s">
        <v>6</v>
      </c>
      <c r="O99" s="17">
        <f>ROUND(VLOOKUP(O$91&amp;"_1",管理者用人口入力シート!CO:DL,Q99,FALSE),0)</f>
        <v>68</v>
      </c>
      <c r="P99" s="17">
        <f>ROUND(VLOOKUP(O$91&amp;"_2",管理者用人口入力シート!CO:DL,Q99,FALSE),0)</f>
        <v>57</v>
      </c>
      <c r="Q99" s="2">
        <v>10</v>
      </c>
      <c r="T99" s="85"/>
    </row>
    <row r="100" spans="1:20" x14ac:dyDescent="0.15">
      <c r="A100" s="2" t="s">
        <v>11</v>
      </c>
      <c r="B100" s="17">
        <f>ROUND(VLOOKUP(B$87&amp;"_1",管理者用人口入力シート!A:X,D100,FALSE),0)</f>
        <v>145</v>
      </c>
      <c r="C100" s="17">
        <f>ROUND(VLOOKUP(B$87&amp;"_2",管理者用人口入力シート!A:X,D100,FALSE),0)</f>
        <v>154</v>
      </c>
      <c r="D100" s="2">
        <v>15</v>
      </c>
      <c r="G100" s="2" t="s">
        <v>7</v>
      </c>
      <c r="H100" s="17">
        <f>ROUND(VLOOKUP(H$91&amp;"_1",管理者用人口入力シート!BH:CE,J100,FALSE),0)</f>
        <v>94</v>
      </c>
      <c r="I100" s="17">
        <f>ROUND(VLOOKUP(H$91&amp;"_2",管理者用人口入力シート!BH:CE,J100,FALSE),0)</f>
        <v>78</v>
      </c>
      <c r="J100" s="2">
        <v>11</v>
      </c>
      <c r="K100" s="12"/>
      <c r="N100" s="2" t="s">
        <v>7</v>
      </c>
      <c r="O100" s="17">
        <f>ROUND(VLOOKUP(O$91&amp;"_1",管理者用人口入力シート!CO:DL,Q100,FALSE),0)</f>
        <v>94</v>
      </c>
      <c r="P100" s="17">
        <f>ROUND(VLOOKUP(O$91&amp;"_2",管理者用人口入力シート!CO:DL,Q100,FALSE),0)</f>
        <v>78</v>
      </c>
      <c r="Q100" s="2">
        <v>11</v>
      </c>
      <c r="T100" s="85"/>
    </row>
    <row r="101" spans="1:20" x14ac:dyDescent="0.15">
      <c r="A101" s="2" t="s">
        <v>12</v>
      </c>
      <c r="B101" s="17">
        <f>ROUND(VLOOKUP(B$87&amp;"_1",管理者用人口入力シート!A:X,D101,FALSE),0)</f>
        <v>169</v>
      </c>
      <c r="C101" s="17">
        <f>ROUND(VLOOKUP(B$87&amp;"_2",管理者用人口入力シート!A:X,D101,FALSE),0)</f>
        <v>179</v>
      </c>
      <c r="D101" s="2">
        <v>16</v>
      </c>
      <c r="G101" s="2" t="s">
        <v>8</v>
      </c>
      <c r="H101" s="17">
        <f>ROUND(VLOOKUP(H$91&amp;"_1",管理者用人口入力シート!BH:CE,J101,FALSE),0)</f>
        <v>93</v>
      </c>
      <c r="I101" s="17">
        <f>ROUND(VLOOKUP(H$91&amp;"_2",管理者用人口入力シート!BH:CE,J101,FALSE),0)</f>
        <v>93</v>
      </c>
      <c r="J101" s="2">
        <v>12</v>
      </c>
      <c r="K101" s="12"/>
      <c r="N101" s="2" t="s">
        <v>8</v>
      </c>
      <c r="O101" s="17">
        <f>ROUND(VLOOKUP(O$91&amp;"_1",管理者用人口入力シート!CO:DL,Q101,FALSE),0)</f>
        <v>93</v>
      </c>
      <c r="P101" s="17">
        <f>ROUND(VLOOKUP(O$91&amp;"_2",管理者用人口入力シート!CO:DL,Q101,FALSE),0)</f>
        <v>94</v>
      </c>
      <c r="Q101" s="2">
        <v>12</v>
      </c>
      <c r="T101" s="85"/>
    </row>
    <row r="102" spans="1:20" x14ac:dyDescent="0.15">
      <c r="A102" s="2" t="s">
        <v>13</v>
      </c>
      <c r="B102" s="17">
        <f>ROUND(VLOOKUP(B$87&amp;"_1",管理者用人口入力シート!A:X,D102,FALSE),0)</f>
        <v>215</v>
      </c>
      <c r="C102" s="17">
        <f>ROUND(VLOOKUP(B$87&amp;"_2",管理者用人口入力シート!A:X,D102,FALSE),0)</f>
        <v>233</v>
      </c>
      <c r="D102" s="2">
        <v>17</v>
      </c>
      <c r="G102" s="2" t="s">
        <v>9</v>
      </c>
      <c r="H102" s="17">
        <f>ROUND(VLOOKUP(H$91&amp;"_1",管理者用人口入力シート!BH:CE,J102,FALSE),0)</f>
        <v>119</v>
      </c>
      <c r="I102" s="17">
        <f>ROUND(VLOOKUP(H$91&amp;"_2",管理者用人口入力シート!BH:CE,J102,FALSE),0)</f>
        <v>128</v>
      </c>
      <c r="J102" s="2">
        <v>13</v>
      </c>
      <c r="K102" s="12"/>
      <c r="N102" s="2" t="s">
        <v>9</v>
      </c>
      <c r="O102" s="17">
        <f>ROUND(VLOOKUP(O$91&amp;"_1",管理者用人口入力シート!CO:DL,Q102,FALSE),0)</f>
        <v>119</v>
      </c>
      <c r="P102" s="17">
        <f>ROUND(VLOOKUP(O$91&amp;"_2",管理者用人口入力シート!CO:DL,Q102,FALSE),0)</f>
        <v>129</v>
      </c>
      <c r="Q102" s="2">
        <v>13</v>
      </c>
      <c r="T102" s="85"/>
    </row>
    <row r="103" spans="1:20" x14ac:dyDescent="0.15">
      <c r="A103" s="2" t="s">
        <v>14</v>
      </c>
      <c r="B103" s="17">
        <f>ROUND(VLOOKUP(B$87&amp;"_1",管理者用人口入力シート!A:X,D103,FALSE),0)</f>
        <v>207</v>
      </c>
      <c r="C103" s="17">
        <f>ROUND(VLOOKUP(B$87&amp;"_2",管理者用人口入力シート!A:X,D103,FALSE),0)</f>
        <v>215</v>
      </c>
      <c r="D103" s="2">
        <v>18</v>
      </c>
      <c r="G103" s="2" t="s">
        <v>10</v>
      </c>
      <c r="H103" s="17">
        <f>ROUND(VLOOKUP(H$91&amp;"_1",管理者用人口入力シート!BH:CE,J103,FALSE),0)</f>
        <v>144</v>
      </c>
      <c r="I103" s="17">
        <f>ROUND(VLOOKUP(H$91&amp;"_2",管理者用人口入力シート!BH:CE,J103,FALSE),0)</f>
        <v>143</v>
      </c>
      <c r="J103" s="2">
        <v>14</v>
      </c>
      <c r="K103" s="12"/>
      <c r="N103" s="2" t="s">
        <v>10</v>
      </c>
      <c r="O103" s="17">
        <f>ROUND(VLOOKUP(O$91&amp;"_1",管理者用人口入力シート!CO:DL,Q103,FALSE),0)</f>
        <v>144</v>
      </c>
      <c r="P103" s="17">
        <f>ROUND(VLOOKUP(O$91&amp;"_2",管理者用人口入力シート!CO:DL,Q103,FALSE),0)</f>
        <v>143</v>
      </c>
      <c r="Q103" s="2">
        <v>14</v>
      </c>
      <c r="T103" s="85"/>
    </row>
    <row r="104" spans="1:20" x14ac:dyDescent="0.15">
      <c r="A104" s="2" t="s">
        <v>15</v>
      </c>
      <c r="B104" s="17">
        <f>ROUND(VLOOKUP(B$87&amp;"_1",管理者用人口入力シート!A:X,D104,FALSE),0)</f>
        <v>162</v>
      </c>
      <c r="C104" s="17">
        <f>ROUND(VLOOKUP(B$87&amp;"_2",管理者用人口入力シート!A:X,D104,FALSE),0)</f>
        <v>163</v>
      </c>
      <c r="D104" s="2">
        <v>19</v>
      </c>
      <c r="G104" s="2" t="s">
        <v>11</v>
      </c>
      <c r="H104" s="17">
        <f>ROUND(VLOOKUP(H$91&amp;"_1",管理者用人口入力シート!BH:CE,J104,FALSE),0)</f>
        <v>125</v>
      </c>
      <c r="I104" s="17">
        <f>ROUND(VLOOKUP(H$91&amp;"_2",管理者用人口入力シート!BH:CE,J104,FALSE),0)</f>
        <v>145</v>
      </c>
      <c r="J104" s="2">
        <v>15</v>
      </c>
      <c r="K104" s="12"/>
      <c r="N104" s="2" t="s">
        <v>11</v>
      </c>
      <c r="O104" s="17">
        <f>ROUND(VLOOKUP(O$91&amp;"_1",管理者用人口入力シート!CO:DL,Q104,FALSE),0)</f>
        <v>125</v>
      </c>
      <c r="P104" s="17">
        <f>ROUND(VLOOKUP(O$91&amp;"_2",管理者用人口入力シート!CO:DL,Q104,FALSE),0)</f>
        <v>145</v>
      </c>
      <c r="Q104" s="2">
        <v>15</v>
      </c>
      <c r="T104" s="85"/>
    </row>
    <row r="105" spans="1:20" x14ac:dyDescent="0.15">
      <c r="A105" s="2" t="s">
        <v>16</v>
      </c>
      <c r="B105" s="17">
        <f>ROUND(VLOOKUP(B$87&amp;"_1",管理者用人口入力シート!A:X,D105,FALSE),0)</f>
        <v>116</v>
      </c>
      <c r="C105" s="17">
        <f>ROUND(VLOOKUP(B$87&amp;"_2",管理者用人口入力シート!A:X,D105,FALSE),0)</f>
        <v>168</v>
      </c>
      <c r="D105" s="2">
        <v>20</v>
      </c>
      <c r="G105" s="2" t="s">
        <v>12</v>
      </c>
      <c r="H105" s="17">
        <f>ROUND(VLOOKUP(H$91&amp;"_1",管理者用人口入力シート!BH:CE,J105,FALSE),0)</f>
        <v>135</v>
      </c>
      <c r="I105" s="17">
        <f>ROUND(VLOOKUP(H$91&amp;"_2",管理者用人口入力シート!BH:CE,J105,FALSE),0)</f>
        <v>127</v>
      </c>
      <c r="J105" s="2">
        <v>16</v>
      </c>
      <c r="K105" s="12"/>
      <c r="N105" s="2" t="s">
        <v>12</v>
      </c>
      <c r="O105" s="17">
        <f>ROUND(VLOOKUP(O$91&amp;"_1",管理者用人口入力シート!CO:DL,Q105,FALSE),0)</f>
        <v>135</v>
      </c>
      <c r="P105" s="17">
        <f>ROUND(VLOOKUP(O$91&amp;"_2",管理者用人口入力シート!CO:DL,Q105,FALSE),0)</f>
        <v>127</v>
      </c>
      <c r="Q105" s="2">
        <v>16</v>
      </c>
      <c r="T105" s="85"/>
    </row>
    <row r="106" spans="1:20" x14ac:dyDescent="0.15">
      <c r="A106" s="2" t="s">
        <v>17</v>
      </c>
      <c r="B106" s="17">
        <f>ROUND(VLOOKUP(B$87&amp;"_1",管理者用人口入力シート!A:X,D106,FALSE),0)</f>
        <v>90</v>
      </c>
      <c r="C106" s="17">
        <f>ROUND(VLOOKUP(B$87&amp;"_2",管理者用人口入力シート!A:X,D106,FALSE),0)</f>
        <v>161</v>
      </c>
      <c r="D106" s="2">
        <v>21</v>
      </c>
      <c r="G106" s="2" t="s">
        <v>13</v>
      </c>
      <c r="H106" s="17">
        <f>ROUND(VLOOKUP(H$91&amp;"_1",管理者用人口入力シート!BH:CE,J106,FALSE),0)</f>
        <v>142</v>
      </c>
      <c r="I106" s="17">
        <f>ROUND(VLOOKUP(H$91&amp;"_2",管理者用人口入力シート!BH:CE,J106,FALSE),0)</f>
        <v>154</v>
      </c>
      <c r="J106" s="2">
        <v>17</v>
      </c>
      <c r="K106" s="12"/>
      <c r="N106" s="2" t="s">
        <v>13</v>
      </c>
      <c r="O106" s="17">
        <f>ROUND(VLOOKUP(O$91&amp;"_1",管理者用人口入力シート!CO:DL,Q106,FALSE),0)</f>
        <v>142</v>
      </c>
      <c r="P106" s="17">
        <f>ROUND(VLOOKUP(O$91&amp;"_2",管理者用人口入力シート!CO:DL,Q106,FALSE),0)</f>
        <v>154</v>
      </c>
      <c r="Q106" s="2">
        <v>17</v>
      </c>
      <c r="T106" s="85"/>
    </row>
    <row r="107" spans="1:20" x14ac:dyDescent="0.15">
      <c r="A107" s="2" t="s">
        <v>18</v>
      </c>
      <c r="B107" s="17">
        <f>ROUND(VLOOKUP(B$87&amp;"_1",管理者用人口入力シート!A:X,D107,FALSE),0)</f>
        <v>37</v>
      </c>
      <c r="C107" s="17">
        <f>ROUND(VLOOKUP(B$87&amp;"_2",管理者用人口入力シート!A:X,D107,FALSE),0)</f>
        <v>108</v>
      </c>
      <c r="D107" s="2">
        <v>22</v>
      </c>
      <c r="G107" s="2" t="s">
        <v>14</v>
      </c>
      <c r="H107" s="17">
        <f>ROUND(VLOOKUP(H$91&amp;"_1",管理者用人口入力シート!BH:CE,J107,FALSE),0)</f>
        <v>152</v>
      </c>
      <c r="I107" s="17">
        <f>ROUND(VLOOKUP(H$91&amp;"_2",管理者用人口入力シート!BH:CE,J107,FALSE),0)</f>
        <v>171</v>
      </c>
      <c r="J107" s="2">
        <v>18</v>
      </c>
      <c r="K107" s="12"/>
      <c r="N107" s="2" t="s">
        <v>14</v>
      </c>
      <c r="O107" s="17">
        <f>ROUND(VLOOKUP(O$91&amp;"_1",管理者用人口入力シート!CO:DL,Q107,FALSE),0)</f>
        <v>152</v>
      </c>
      <c r="P107" s="17">
        <f>ROUND(VLOOKUP(O$91&amp;"_2",管理者用人口入力シート!CO:DL,Q107,FALSE),0)</f>
        <v>171</v>
      </c>
      <c r="Q107" s="2">
        <v>18</v>
      </c>
      <c r="T107" s="85"/>
    </row>
    <row r="108" spans="1:20" x14ac:dyDescent="0.15">
      <c r="A108" s="2" t="s">
        <v>19</v>
      </c>
      <c r="B108" s="17">
        <f>ROUND(VLOOKUP(B$87&amp;"_1",管理者用人口入力シート!A:X,D108,FALSE),0)</f>
        <v>4</v>
      </c>
      <c r="C108" s="17">
        <f>ROUND(VLOOKUP(B$87&amp;"_2",管理者用人口入力シート!A:X,D108,FALSE),0)</f>
        <v>31</v>
      </c>
      <c r="D108" s="2">
        <v>23</v>
      </c>
      <c r="G108" s="2" t="s">
        <v>15</v>
      </c>
      <c r="H108" s="17">
        <f>ROUND(VLOOKUP(H$91&amp;"_1",管理者用人口入力シート!BH:CE,J108,FALSE),0)</f>
        <v>172</v>
      </c>
      <c r="I108" s="17">
        <f>ROUND(VLOOKUP(H$91&amp;"_2",管理者用人口入力シート!BH:CE,J108,FALSE),0)</f>
        <v>220</v>
      </c>
      <c r="J108" s="2">
        <v>19</v>
      </c>
      <c r="K108" s="12"/>
      <c r="N108" s="2" t="s">
        <v>15</v>
      </c>
      <c r="O108" s="17">
        <f>ROUND(VLOOKUP(O$91&amp;"_1",管理者用人口入力シート!CO:DL,Q108,FALSE),0)</f>
        <v>172</v>
      </c>
      <c r="P108" s="17">
        <f>ROUND(VLOOKUP(O$91&amp;"_2",管理者用人口入力シート!CO:DL,Q108,FALSE),0)</f>
        <v>220</v>
      </c>
      <c r="Q108" s="2">
        <v>19</v>
      </c>
      <c r="T108" s="85"/>
    </row>
    <row r="109" spans="1:20" x14ac:dyDescent="0.15">
      <c r="A109" s="2" t="s">
        <v>20</v>
      </c>
      <c r="B109" s="17">
        <f>ROUND(VLOOKUP(B$87&amp;"_1",管理者用人口入力シート!A:X,D109,FALSE),0)</f>
        <v>0</v>
      </c>
      <c r="C109" s="17">
        <f>ROUND(VLOOKUP(B$87&amp;"_2",管理者用人口入力シート!A:X,D109,FALSE),0)</f>
        <v>5</v>
      </c>
      <c r="D109" s="2">
        <v>24</v>
      </c>
      <c r="G109" s="2" t="s">
        <v>16</v>
      </c>
      <c r="H109" s="17">
        <f>ROUND(VLOOKUP(H$91&amp;"_1",管理者用人口入力シート!BH:CE,J109,FALSE),0)</f>
        <v>151</v>
      </c>
      <c r="I109" s="17">
        <f>ROUND(VLOOKUP(H$91&amp;"_2",管理者用人口入力シート!BH:CE,J109,FALSE),0)</f>
        <v>193</v>
      </c>
      <c r="J109" s="2">
        <v>20</v>
      </c>
      <c r="K109" s="12"/>
      <c r="N109" s="2" t="s">
        <v>16</v>
      </c>
      <c r="O109" s="17">
        <f>ROUND(VLOOKUP(O$91&amp;"_1",管理者用人口入力シート!CO:DL,Q109,FALSE),0)</f>
        <v>151</v>
      </c>
      <c r="P109" s="17">
        <f>ROUND(VLOOKUP(O$91&amp;"_2",管理者用人口入力シート!CO:DL,Q109,FALSE),0)</f>
        <v>193</v>
      </c>
      <c r="Q109" s="2">
        <v>20</v>
      </c>
      <c r="T109" s="85"/>
    </row>
    <row r="110" spans="1:20" x14ac:dyDescent="0.15">
      <c r="G110" s="2" t="s">
        <v>17</v>
      </c>
      <c r="H110" s="17">
        <f>ROUND(VLOOKUP(H$91&amp;"_1",管理者用人口入力シート!BH:CE,J110,FALSE),0)</f>
        <v>97</v>
      </c>
      <c r="I110" s="17">
        <f>ROUND(VLOOKUP(H$91&amp;"_2",管理者用人口入力シート!BH:CE,J110,FALSE),0)</f>
        <v>133</v>
      </c>
      <c r="J110" s="2">
        <v>21</v>
      </c>
      <c r="K110" s="12"/>
      <c r="N110" s="2" t="s">
        <v>17</v>
      </c>
      <c r="O110" s="17">
        <f>ROUND(VLOOKUP(O$91&amp;"_1",管理者用人口入力シート!CO:DL,Q110,FALSE),0)</f>
        <v>97</v>
      </c>
      <c r="P110" s="17">
        <f>ROUND(VLOOKUP(O$91&amp;"_2",管理者用人口入力シート!CO:DL,Q110,FALSE),0)</f>
        <v>133</v>
      </c>
      <c r="Q110" s="2">
        <v>21</v>
      </c>
      <c r="T110" s="85"/>
    </row>
    <row r="111" spans="1:20" x14ac:dyDescent="0.15">
      <c r="G111" s="2" t="s">
        <v>18</v>
      </c>
      <c r="H111" s="17">
        <f>ROUND(VLOOKUP(H$91&amp;"_1",管理者用人口入力シート!BH:CE,J111,FALSE),0)</f>
        <v>36</v>
      </c>
      <c r="I111" s="17">
        <f>ROUND(VLOOKUP(H$91&amp;"_2",管理者用人口入力シート!BH:CE,J111,FALSE),0)</f>
        <v>101</v>
      </c>
      <c r="J111" s="2">
        <v>22</v>
      </c>
      <c r="K111" s="12"/>
      <c r="N111" s="2" t="s">
        <v>18</v>
      </c>
      <c r="O111" s="17">
        <f>ROUND(VLOOKUP(O$91&amp;"_1",管理者用人口入力シート!CO:DL,Q111,FALSE),0)</f>
        <v>36</v>
      </c>
      <c r="P111" s="17">
        <f>ROUND(VLOOKUP(O$91&amp;"_2",管理者用人口入力シート!CO:DL,Q111,FALSE),0)</f>
        <v>101</v>
      </c>
      <c r="Q111" s="2">
        <v>22</v>
      </c>
      <c r="T111" s="85"/>
    </row>
    <row r="112" spans="1:20" x14ac:dyDescent="0.15">
      <c r="G112" s="2" t="s">
        <v>19</v>
      </c>
      <c r="H112" s="17">
        <f>ROUND(VLOOKUP(H$91&amp;"_1",管理者用人口入力シート!BH:CE,J112,FALSE),0)</f>
        <v>10</v>
      </c>
      <c r="I112" s="17">
        <f>ROUND(VLOOKUP(H$91&amp;"_2",管理者用人口入力シート!BH:CE,J112,FALSE),0)</f>
        <v>48</v>
      </c>
      <c r="J112" s="2">
        <v>23</v>
      </c>
      <c r="K112" s="12"/>
      <c r="N112" s="2" t="s">
        <v>19</v>
      </c>
      <c r="O112" s="17">
        <f>ROUND(VLOOKUP(O$91&amp;"_1",管理者用人口入力シート!CO:DL,Q112,FALSE),0)</f>
        <v>10</v>
      </c>
      <c r="P112" s="17">
        <f>ROUND(VLOOKUP(O$91&amp;"_2",管理者用人口入力シート!CO:DL,Q112,FALSE),0)</f>
        <v>48</v>
      </c>
      <c r="Q112" s="2">
        <v>23</v>
      </c>
      <c r="T112" s="85"/>
    </row>
    <row r="113" spans="7:20" x14ac:dyDescent="0.15">
      <c r="G113" s="2" t="s">
        <v>20</v>
      </c>
      <c r="H113" s="17">
        <f>ROUND(VLOOKUP(H$91&amp;"_1",管理者用人口入力シート!BH:CE,J113,FALSE),0)</f>
        <v>0</v>
      </c>
      <c r="I113" s="17">
        <f>ROUND(VLOOKUP(H$91&amp;"_2",管理者用人口入力シート!BH:CE,J113,FALSE),0)</f>
        <v>9</v>
      </c>
      <c r="J113" s="2">
        <v>24</v>
      </c>
      <c r="K113" s="12"/>
      <c r="N113" s="2" t="s">
        <v>20</v>
      </c>
      <c r="O113" s="17">
        <f>ROUND(VLOOKUP(O$91&amp;"_1",管理者用人口入力シート!CO:DL,Q113,FALSE),0)</f>
        <v>0</v>
      </c>
      <c r="P113" s="17">
        <f>ROUND(VLOOKUP(O$91&amp;"_2",管理者用人口入力シート!CO:DL,Q113,FALSE),0)</f>
        <v>9</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35</v>
      </c>
      <c r="I117" s="17">
        <f>ROUND(VLOOKUP(H$115&amp;"_2",管理者用人口入力シート!BH:CE,J117,FALSE),0)</f>
        <v>29</v>
      </c>
      <c r="J117" s="2">
        <v>4</v>
      </c>
      <c r="N117" s="2" t="s">
        <v>0</v>
      </c>
      <c r="O117" s="17">
        <f>ROUND(VLOOKUP(O$115&amp;"_1",管理者用人口入力シート!CO:DL,Q117,FALSE),0)</f>
        <v>38</v>
      </c>
      <c r="P117" s="17">
        <f>ROUND(VLOOKUP(O$115&amp;"_2",管理者用人口入力シート!CO:DL,Q117,FALSE),0)</f>
        <v>31</v>
      </c>
      <c r="Q117" s="2">
        <v>4</v>
      </c>
      <c r="T117" s="85"/>
    </row>
    <row r="118" spans="7:20" x14ac:dyDescent="0.15">
      <c r="G118" s="2" t="s">
        <v>1</v>
      </c>
      <c r="H118" s="17">
        <f>ROUND(VLOOKUP(H$115&amp;"_1",管理者用人口入力シート!BH:CE,J118,FALSE),0)</f>
        <v>47</v>
      </c>
      <c r="I118" s="17">
        <f>ROUND(VLOOKUP(H$115&amp;"_2",管理者用人口入力シート!BH:CE,J118,FALSE),0)</f>
        <v>36</v>
      </c>
      <c r="J118" s="2">
        <v>5</v>
      </c>
      <c r="N118" s="2" t="s">
        <v>1</v>
      </c>
      <c r="O118" s="17">
        <f>ROUND(VLOOKUP(O$115&amp;"_1",管理者用人口入力シート!CO:DL,Q118,FALSE),0)</f>
        <v>49</v>
      </c>
      <c r="P118" s="17">
        <f>ROUND(VLOOKUP(O$115&amp;"_2",管理者用人口入力シート!CO:DL,Q118,FALSE),0)</f>
        <v>38</v>
      </c>
      <c r="Q118" s="2">
        <v>5</v>
      </c>
      <c r="T118" s="85"/>
    </row>
    <row r="119" spans="7:20" x14ac:dyDescent="0.15">
      <c r="G119" s="2" t="s">
        <v>2</v>
      </c>
      <c r="H119" s="17">
        <f>ROUND(VLOOKUP(H$115&amp;"_1",管理者用人口入力シート!BH:CE,J119,FALSE),0)</f>
        <v>61</v>
      </c>
      <c r="I119" s="17">
        <f>ROUND(VLOOKUP(H$115&amp;"_2",管理者用人口入力シート!BH:CE,J119,FALSE),0)</f>
        <v>44</v>
      </c>
      <c r="J119" s="2">
        <v>6</v>
      </c>
      <c r="N119" s="2" t="s">
        <v>2</v>
      </c>
      <c r="O119" s="17">
        <f>ROUND(VLOOKUP(O$115&amp;"_1",管理者用人口入力シート!CO:DL,Q119,FALSE),0)</f>
        <v>63</v>
      </c>
      <c r="P119" s="17">
        <f>ROUND(VLOOKUP(O$115&amp;"_2",管理者用人口入力シート!CO:DL,Q119,FALSE),0)</f>
        <v>47</v>
      </c>
      <c r="Q119" s="2">
        <v>6</v>
      </c>
      <c r="T119" s="85"/>
    </row>
    <row r="120" spans="7:20" x14ac:dyDescent="0.15">
      <c r="G120" s="2" t="s">
        <v>3</v>
      </c>
      <c r="H120" s="17">
        <f>ROUND(VLOOKUP(H$115&amp;"_1",管理者用人口入力シート!BH:CE,J120,FALSE),0)</f>
        <v>126</v>
      </c>
      <c r="I120" s="17">
        <f>ROUND(VLOOKUP(H$115&amp;"_2",管理者用人口入力シート!BH:CE,J120,FALSE),0)</f>
        <v>52</v>
      </c>
      <c r="J120" s="2">
        <v>7</v>
      </c>
      <c r="N120" s="2" t="s">
        <v>3</v>
      </c>
      <c r="O120" s="17">
        <f>ROUND(VLOOKUP(O$115&amp;"_1",管理者用人口入力シート!CO:DL,Q120,FALSE),0)</f>
        <v>127</v>
      </c>
      <c r="P120" s="17">
        <f>ROUND(VLOOKUP(O$115&amp;"_2",管理者用人口入力シート!CO:DL,Q120,FALSE),0)</f>
        <v>53</v>
      </c>
      <c r="Q120" s="2">
        <v>7</v>
      </c>
      <c r="T120" s="85"/>
    </row>
    <row r="121" spans="7:20" x14ac:dyDescent="0.15">
      <c r="G121" s="2" t="s">
        <v>4</v>
      </c>
      <c r="H121" s="17">
        <f>ROUND(VLOOKUP(H$115&amp;"_1",管理者用人口入力シート!BH:CE,J121,FALSE),0)</f>
        <v>53</v>
      </c>
      <c r="I121" s="17">
        <f>ROUND(VLOOKUP(H$115&amp;"_2",管理者用人口入力シート!BH:CE,J121,FALSE),0)</f>
        <v>52</v>
      </c>
      <c r="J121" s="2">
        <v>8</v>
      </c>
      <c r="N121" s="2" t="s">
        <v>4</v>
      </c>
      <c r="O121" s="17">
        <f>ROUND(VLOOKUP(O$115&amp;"_1",管理者用人口入力シート!CO:DL,Q121,FALSE),0)</f>
        <v>54</v>
      </c>
      <c r="P121" s="17">
        <f>ROUND(VLOOKUP(O$115&amp;"_2",管理者用人口入力シート!CO:DL,Q121,FALSE),0)</f>
        <v>53</v>
      </c>
      <c r="Q121" s="2">
        <v>8</v>
      </c>
      <c r="T121" s="85"/>
    </row>
    <row r="122" spans="7:20" x14ac:dyDescent="0.15">
      <c r="G122" s="2" t="s">
        <v>5</v>
      </c>
      <c r="H122" s="17">
        <f>ROUND(VLOOKUP(H$115&amp;"_1",管理者用人口入力シート!BH:CE,J122,FALSE),0)</f>
        <v>59</v>
      </c>
      <c r="I122" s="17">
        <f>ROUND(VLOOKUP(H$115&amp;"_2",管理者用人口入力シート!BH:CE,J122,FALSE),0)</f>
        <v>39</v>
      </c>
      <c r="J122" s="2">
        <v>9</v>
      </c>
      <c r="N122" s="2" t="s">
        <v>5</v>
      </c>
      <c r="O122" s="17">
        <f>ROUND(VLOOKUP(O$115&amp;"_1",管理者用人口入力シート!CO:DL,Q122,FALSE),0)</f>
        <v>61</v>
      </c>
      <c r="P122" s="17">
        <f>ROUND(VLOOKUP(O$115&amp;"_2",管理者用人口入力シート!CO:DL,Q122,FALSE),0)</f>
        <v>41</v>
      </c>
      <c r="Q122" s="2">
        <v>9</v>
      </c>
      <c r="T122" s="85"/>
    </row>
    <row r="123" spans="7:20" x14ac:dyDescent="0.15">
      <c r="G123" s="2" t="s">
        <v>6</v>
      </c>
      <c r="H123" s="17">
        <f>ROUND(VLOOKUP(H$115&amp;"_1",管理者用人口入力シート!BH:CE,J123,FALSE),0)</f>
        <v>65</v>
      </c>
      <c r="I123" s="17">
        <f>ROUND(VLOOKUP(H$115&amp;"_2",管理者用人口入力シート!BH:CE,J123,FALSE),0)</f>
        <v>37</v>
      </c>
      <c r="J123" s="2">
        <v>10</v>
      </c>
      <c r="N123" s="2" t="s">
        <v>6</v>
      </c>
      <c r="O123" s="17">
        <f>ROUND(VLOOKUP(O$115&amp;"_1",管理者用人口入力シート!CO:DL,Q123,FALSE),0)</f>
        <v>67</v>
      </c>
      <c r="P123" s="17">
        <f>ROUND(VLOOKUP(O$115&amp;"_2",管理者用人口入力シート!CO:DL,Q123,FALSE),0)</f>
        <v>40</v>
      </c>
      <c r="Q123" s="2">
        <v>10</v>
      </c>
      <c r="T123" s="85"/>
    </row>
    <row r="124" spans="7:20" x14ac:dyDescent="0.15">
      <c r="G124" s="2" t="s">
        <v>7</v>
      </c>
      <c r="H124" s="17">
        <f>ROUND(VLOOKUP(H$115&amp;"_1",管理者用人口入力シート!BH:CE,J124,FALSE),0)</f>
        <v>69</v>
      </c>
      <c r="I124" s="17">
        <f>ROUND(VLOOKUP(H$115&amp;"_2",管理者用人口入力シート!BH:CE,J124,FALSE),0)</f>
        <v>62</v>
      </c>
      <c r="J124" s="2">
        <v>11</v>
      </c>
      <c r="N124" s="2" t="s">
        <v>7</v>
      </c>
      <c r="O124" s="17">
        <f>ROUND(VLOOKUP(O$115&amp;"_1",管理者用人口入力シート!CO:DL,Q124,FALSE),0)</f>
        <v>71</v>
      </c>
      <c r="P124" s="17">
        <f>ROUND(VLOOKUP(O$115&amp;"_2",管理者用人口入力シート!CO:DL,Q124,FALSE),0)</f>
        <v>64</v>
      </c>
      <c r="Q124" s="2">
        <v>11</v>
      </c>
      <c r="T124" s="85"/>
    </row>
    <row r="125" spans="7:20" x14ac:dyDescent="0.15">
      <c r="G125" s="2" t="s">
        <v>8</v>
      </c>
      <c r="H125" s="17">
        <f>ROUND(VLOOKUP(H$115&amp;"_1",管理者用人口入力シート!BH:CE,J125,FALSE),0)</f>
        <v>97</v>
      </c>
      <c r="I125" s="17">
        <f>ROUND(VLOOKUP(H$115&amp;"_2",管理者用人口入力シート!BH:CE,J125,FALSE),0)</f>
        <v>82</v>
      </c>
      <c r="J125" s="2">
        <v>12</v>
      </c>
      <c r="N125" s="2" t="s">
        <v>8</v>
      </c>
      <c r="O125" s="17">
        <f>ROUND(VLOOKUP(O$115&amp;"_1",管理者用人口入力シート!CO:DL,Q125,FALSE),0)</f>
        <v>97</v>
      </c>
      <c r="P125" s="17">
        <f>ROUND(VLOOKUP(O$115&amp;"_2",管理者用人口入力シート!CO:DL,Q125,FALSE),0)</f>
        <v>83</v>
      </c>
      <c r="Q125" s="2">
        <v>12</v>
      </c>
      <c r="T125" s="85"/>
    </row>
    <row r="126" spans="7:20" x14ac:dyDescent="0.15">
      <c r="G126" s="2" t="s">
        <v>9</v>
      </c>
      <c r="H126" s="17">
        <f>ROUND(VLOOKUP(H$115&amp;"_1",管理者用人口入力シート!BH:CE,J126,FALSE),0)</f>
        <v>99</v>
      </c>
      <c r="I126" s="17">
        <f>ROUND(VLOOKUP(H$115&amp;"_2",管理者用人口入力シート!BH:CE,J126,FALSE),0)</f>
        <v>95</v>
      </c>
      <c r="J126" s="2">
        <v>13</v>
      </c>
      <c r="N126" s="2" t="s">
        <v>9</v>
      </c>
      <c r="O126" s="17">
        <f>ROUND(VLOOKUP(O$115&amp;"_1",管理者用人口入力シート!CO:DL,Q126,FALSE),0)</f>
        <v>99</v>
      </c>
      <c r="P126" s="17">
        <f>ROUND(VLOOKUP(O$115&amp;"_2",管理者用人口入力シート!CO:DL,Q126,FALSE),0)</f>
        <v>96</v>
      </c>
      <c r="Q126" s="2">
        <v>13</v>
      </c>
      <c r="T126" s="85"/>
    </row>
    <row r="127" spans="7:20" x14ac:dyDescent="0.15">
      <c r="G127" s="2" t="s">
        <v>10</v>
      </c>
      <c r="H127" s="17">
        <f>ROUND(VLOOKUP(H$115&amp;"_1",管理者用人口入力シート!BH:CE,J127,FALSE),0)</f>
        <v>123</v>
      </c>
      <c r="I127" s="17">
        <f>ROUND(VLOOKUP(H$115&amp;"_2",管理者用人口入力シート!BH:CE,J127,FALSE),0)</f>
        <v>142</v>
      </c>
      <c r="J127" s="2">
        <v>14</v>
      </c>
      <c r="N127" s="2" t="s">
        <v>10</v>
      </c>
      <c r="O127" s="17">
        <f>ROUND(VLOOKUP(O$115&amp;"_1",管理者用人口入力シート!CO:DL,Q127,FALSE),0)</f>
        <v>123</v>
      </c>
      <c r="P127" s="17">
        <f>ROUND(VLOOKUP(O$115&amp;"_2",管理者用人口入力シート!CO:DL,Q127,FALSE),0)</f>
        <v>143</v>
      </c>
      <c r="Q127" s="2">
        <v>14</v>
      </c>
      <c r="T127" s="85"/>
    </row>
    <row r="128" spans="7:20" x14ac:dyDescent="0.15">
      <c r="G128" s="2" t="s">
        <v>11</v>
      </c>
      <c r="H128" s="17">
        <f>ROUND(VLOOKUP(H$115&amp;"_1",管理者用人口入力シート!BH:CE,J128,FALSE),0)</f>
        <v>145</v>
      </c>
      <c r="I128" s="17">
        <f>ROUND(VLOOKUP(H$115&amp;"_2",管理者用人口入力シート!BH:CE,J128,FALSE),0)</f>
        <v>146</v>
      </c>
      <c r="J128" s="2">
        <v>15</v>
      </c>
      <c r="N128" s="2" t="s">
        <v>11</v>
      </c>
      <c r="O128" s="17">
        <f>ROUND(VLOOKUP(O$115&amp;"_1",管理者用人口入力シート!CO:DL,Q128,FALSE),0)</f>
        <v>145</v>
      </c>
      <c r="P128" s="17">
        <f>ROUND(VLOOKUP(O$115&amp;"_2",管理者用人口入力シート!CO:DL,Q128,FALSE),0)</f>
        <v>146</v>
      </c>
      <c r="Q128" s="2">
        <v>15</v>
      </c>
      <c r="T128" s="85"/>
    </row>
    <row r="129" spans="7:20" x14ac:dyDescent="0.15">
      <c r="G129" s="2" t="s">
        <v>12</v>
      </c>
      <c r="H129" s="17">
        <f>ROUND(VLOOKUP(H$115&amp;"_1",管理者用人口入力シート!BH:CE,J129,FALSE),0)</f>
        <v>127</v>
      </c>
      <c r="I129" s="17">
        <f>ROUND(VLOOKUP(H$115&amp;"_2",管理者用人口入力シート!BH:CE,J129,FALSE),0)</f>
        <v>147</v>
      </c>
      <c r="J129" s="2">
        <v>16</v>
      </c>
      <c r="N129" s="2" t="s">
        <v>12</v>
      </c>
      <c r="O129" s="17">
        <f>ROUND(VLOOKUP(O$115&amp;"_1",管理者用人口入力シート!CO:DL,Q129,FALSE),0)</f>
        <v>127</v>
      </c>
      <c r="P129" s="17">
        <f>ROUND(VLOOKUP(O$115&amp;"_2",管理者用人口入力シート!CO:DL,Q129,FALSE),0)</f>
        <v>147</v>
      </c>
      <c r="Q129" s="2">
        <v>16</v>
      </c>
      <c r="T129" s="85"/>
    </row>
    <row r="130" spans="7:20" x14ac:dyDescent="0.15">
      <c r="G130" s="2" t="s">
        <v>13</v>
      </c>
      <c r="H130" s="17">
        <f>ROUND(VLOOKUP(H$115&amp;"_1",管理者用人口入力シート!BH:CE,J130,FALSE),0)</f>
        <v>130</v>
      </c>
      <c r="I130" s="17">
        <f>ROUND(VLOOKUP(H$115&amp;"_2",管理者用人口入力シート!BH:CE,J130,FALSE),0)</f>
        <v>125</v>
      </c>
      <c r="J130" s="2">
        <v>17</v>
      </c>
      <c r="N130" s="2" t="s">
        <v>13</v>
      </c>
      <c r="O130" s="17">
        <f>ROUND(VLOOKUP(O$115&amp;"_1",管理者用人口入力シート!CO:DL,Q130,FALSE),0)</f>
        <v>130</v>
      </c>
      <c r="P130" s="17">
        <f>ROUND(VLOOKUP(O$115&amp;"_2",管理者用人口入力シート!CO:DL,Q130,FALSE),0)</f>
        <v>125</v>
      </c>
      <c r="Q130" s="2">
        <v>17</v>
      </c>
      <c r="T130" s="85"/>
    </row>
    <row r="131" spans="7:20" x14ac:dyDescent="0.15">
      <c r="G131" s="2" t="s">
        <v>14</v>
      </c>
      <c r="H131" s="17">
        <f>ROUND(VLOOKUP(H$115&amp;"_1",管理者用人口入力シート!BH:CE,J131,FALSE),0)</f>
        <v>132</v>
      </c>
      <c r="I131" s="17">
        <f>ROUND(VLOOKUP(H$115&amp;"_2",管理者用人口入力シート!BH:CE,J131,FALSE),0)</f>
        <v>149</v>
      </c>
      <c r="J131" s="2">
        <v>18</v>
      </c>
      <c r="N131" s="2" t="s">
        <v>14</v>
      </c>
      <c r="O131" s="17">
        <f>ROUND(VLOOKUP(O$115&amp;"_1",管理者用人口入力シート!CO:DL,Q131,FALSE),0)</f>
        <v>132</v>
      </c>
      <c r="P131" s="17">
        <f>ROUND(VLOOKUP(O$115&amp;"_2",管理者用人口入力シート!CO:DL,Q131,FALSE),0)</f>
        <v>149</v>
      </c>
      <c r="Q131" s="2">
        <v>18</v>
      </c>
      <c r="T131" s="85"/>
    </row>
    <row r="132" spans="7:20" x14ac:dyDescent="0.15">
      <c r="G132" s="2" t="s">
        <v>15</v>
      </c>
      <c r="H132" s="17">
        <f>ROUND(VLOOKUP(H$115&amp;"_1",管理者用人口入力シート!BH:CE,J132,FALSE),0)</f>
        <v>130</v>
      </c>
      <c r="I132" s="17">
        <f>ROUND(VLOOKUP(H$115&amp;"_2",管理者用人口入力シート!BH:CE,J132,FALSE),0)</f>
        <v>167</v>
      </c>
      <c r="J132" s="2">
        <v>19</v>
      </c>
      <c r="N132" s="2" t="s">
        <v>15</v>
      </c>
      <c r="O132" s="17">
        <f>ROUND(VLOOKUP(O$115&amp;"_1",管理者用人口入力シート!CO:DL,Q132,FALSE),0)</f>
        <v>130</v>
      </c>
      <c r="P132" s="17">
        <f>ROUND(VLOOKUP(O$115&amp;"_2",管理者用人口入力シート!CO:DL,Q132,FALSE),0)</f>
        <v>167</v>
      </c>
      <c r="Q132" s="2">
        <v>19</v>
      </c>
      <c r="T132" s="85"/>
    </row>
    <row r="133" spans="7:20" x14ac:dyDescent="0.15">
      <c r="G133" s="2" t="s">
        <v>16</v>
      </c>
      <c r="H133" s="17">
        <f>ROUND(VLOOKUP(H$115&amp;"_1",管理者用人口入力シート!BH:CE,J133,FALSE),0)</f>
        <v>146</v>
      </c>
      <c r="I133" s="17">
        <f>ROUND(VLOOKUP(H$115&amp;"_2",管理者用人口入力シート!BH:CE,J133,FALSE),0)</f>
        <v>203</v>
      </c>
      <c r="J133" s="2">
        <v>20</v>
      </c>
      <c r="N133" s="2" t="s">
        <v>16</v>
      </c>
      <c r="O133" s="17">
        <f>ROUND(VLOOKUP(O$115&amp;"_1",管理者用人口入力シート!CO:DL,Q133,FALSE),0)</f>
        <v>146</v>
      </c>
      <c r="P133" s="17">
        <f>ROUND(VLOOKUP(O$115&amp;"_2",管理者用人口入力シート!CO:DL,Q133,FALSE),0)</f>
        <v>203</v>
      </c>
      <c r="Q133" s="2">
        <v>20</v>
      </c>
      <c r="T133" s="85"/>
    </row>
    <row r="134" spans="7:20" x14ac:dyDescent="0.15">
      <c r="G134" s="2" t="s">
        <v>17</v>
      </c>
      <c r="H134" s="17">
        <f>ROUND(VLOOKUP(H$115&amp;"_1",管理者用人口入力シート!BH:CE,J134,FALSE),0)</f>
        <v>106</v>
      </c>
      <c r="I134" s="17">
        <f>ROUND(VLOOKUP(H$115&amp;"_2",管理者用人口入力シート!BH:CE,J134,FALSE),0)</f>
        <v>171</v>
      </c>
      <c r="J134" s="2">
        <v>21</v>
      </c>
      <c r="N134" s="2" t="s">
        <v>17</v>
      </c>
      <c r="O134" s="17">
        <f>ROUND(VLOOKUP(O$115&amp;"_1",管理者用人口入力シート!CO:DL,Q134,FALSE),0)</f>
        <v>106</v>
      </c>
      <c r="P134" s="17">
        <f>ROUND(VLOOKUP(O$115&amp;"_2",管理者用人口入力シート!CO:DL,Q134,FALSE),0)</f>
        <v>171</v>
      </c>
      <c r="Q134" s="2">
        <v>21</v>
      </c>
      <c r="T134" s="85"/>
    </row>
    <row r="135" spans="7:20" x14ac:dyDescent="0.15">
      <c r="G135" s="2" t="s">
        <v>18</v>
      </c>
      <c r="H135" s="17">
        <f>ROUND(VLOOKUP(H$115&amp;"_1",管理者用人口入力シート!BH:CE,J135,FALSE),0)</f>
        <v>43</v>
      </c>
      <c r="I135" s="17">
        <f>ROUND(VLOOKUP(H$115&amp;"_2",管理者用人口入力シート!BH:CE,J135,FALSE),0)</f>
        <v>91</v>
      </c>
      <c r="J135" s="2">
        <v>22</v>
      </c>
      <c r="N135" s="2" t="s">
        <v>18</v>
      </c>
      <c r="O135" s="17">
        <f>ROUND(VLOOKUP(O$115&amp;"_1",管理者用人口入力シート!CO:DL,Q135,FALSE),0)</f>
        <v>43</v>
      </c>
      <c r="P135" s="17">
        <f>ROUND(VLOOKUP(O$115&amp;"_2",管理者用人口入力シート!CO:DL,Q135,FALSE),0)</f>
        <v>91</v>
      </c>
      <c r="Q135" s="2">
        <v>22</v>
      </c>
      <c r="T135" s="85"/>
    </row>
    <row r="136" spans="7:20" x14ac:dyDescent="0.15">
      <c r="G136" s="2" t="s">
        <v>19</v>
      </c>
      <c r="H136" s="17">
        <f>ROUND(VLOOKUP(H$115&amp;"_1",管理者用人口入力シート!BH:CE,J136,FALSE),0)</f>
        <v>9</v>
      </c>
      <c r="I136" s="17">
        <f>ROUND(VLOOKUP(H$115&amp;"_2",管理者用人口入力シート!BH:CE,J136,FALSE),0)</f>
        <v>44</v>
      </c>
      <c r="J136" s="2">
        <v>23</v>
      </c>
      <c r="N136" s="2" t="s">
        <v>19</v>
      </c>
      <c r="O136" s="17">
        <f>ROUND(VLOOKUP(O$115&amp;"_1",管理者用人口入力シート!CO:DL,Q136,FALSE),0)</f>
        <v>9</v>
      </c>
      <c r="P136" s="17">
        <f>ROUND(VLOOKUP(O$115&amp;"_2",管理者用人口入力シート!CO:DL,Q136,FALSE),0)</f>
        <v>44</v>
      </c>
      <c r="Q136" s="2">
        <v>23</v>
      </c>
      <c r="T136" s="85"/>
    </row>
    <row r="137" spans="7:20" x14ac:dyDescent="0.15">
      <c r="G137" s="2" t="s">
        <v>20</v>
      </c>
      <c r="H137" s="17">
        <f>ROUND(VLOOKUP(H$115&amp;"_1",管理者用人口入力シート!BH:CE,J137,FALSE),0)</f>
        <v>0</v>
      </c>
      <c r="I137" s="17">
        <f>ROUND(VLOOKUP(H$115&amp;"_2",管理者用人口入力シート!BH:CE,J137,FALSE),0)</f>
        <v>9</v>
      </c>
      <c r="J137" s="2">
        <v>24</v>
      </c>
      <c r="N137" s="2" t="s">
        <v>20</v>
      </c>
      <c r="O137" s="17">
        <f>ROUND(VLOOKUP(O$115&amp;"_1",管理者用人口入力シート!CO:DL,Q137,FALSE),0)</f>
        <v>0</v>
      </c>
      <c r="P137" s="17">
        <f>ROUND(VLOOKUP(O$115&amp;"_2",管理者用人口入力シート!CO:DL,Q137,FALSE),0)</f>
        <v>9</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30</v>
      </c>
      <c r="I141" s="17">
        <f>ROUND(VLOOKUP(H$139&amp;"_2",管理者用人口入力シート!BH:CE,J141,FALSE),0)</f>
        <v>25</v>
      </c>
      <c r="J141" s="2">
        <v>4</v>
      </c>
      <c r="N141" s="2" t="s">
        <v>0</v>
      </c>
      <c r="O141" s="17">
        <f>ROUND(VLOOKUP(O$139&amp;"_1",管理者用人口入力シート!CO:DL,Q141,FALSE),0)</f>
        <v>33</v>
      </c>
      <c r="P141" s="17">
        <f>ROUND(VLOOKUP(O$139&amp;"_2",管理者用人口入力シート!CO:DL,Q141,FALSE),0)</f>
        <v>27</v>
      </c>
      <c r="Q141" s="2">
        <v>4</v>
      </c>
    </row>
    <row r="142" spans="7:20" x14ac:dyDescent="0.15">
      <c r="G142" s="2" t="s">
        <v>1</v>
      </c>
      <c r="H142" s="17">
        <f>ROUND(VLOOKUP(H$139&amp;"_1",管理者用人口入力シート!BH:CE,J142,FALSE),0)</f>
        <v>42</v>
      </c>
      <c r="I142" s="17">
        <f>ROUND(VLOOKUP(H$139&amp;"_2",管理者用人口入力シート!BH:CE,J142,FALSE),0)</f>
        <v>32</v>
      </c>
      <c r="J142" s="2">
        <v>5</v>
      </c>
      <c r="N142" s="2" t="s">
        <v>1</v>
      </c>
      <c r="O142" s="17">
        <f>ROUND(VLOOKUP(O$139&amp;"_1",管理者用人口入力シート!CO:DL,Q142,FALSE),0)</f>
        <v>44</v>
      </c>
      <c r="P142" s="17">
        <f>ROUND(VLOOKUP(O$139&amp;"_2",管理者用人口入力シート!CO:DL,Q142,FALSE),0)</f>
        <v>35</v>
      </c>
      <c r="Q142" s="2">
        <v>5</v>
      </c>
    </row>
    <row r="143" spans="7:20" x14ac:dyDescent="0.15">
      <c r="G143" s="2" t="s">
        <v>2</v>
      </c>
      <c r="H143" s="17">
        <f>ROUND(VLOOKUP(H$139&amp;"_1",管理者用人口入力シート!BH:CE,J143,FALSE),0)</f>
        <v>52</v>
      </c>
      <c r="I143" s="17">
        <f>ROUND(VLOOKUP(H$139&amp;"_2",管理者用人口入力シート!BH:CE,J143,FALSE),0)</f>
        <v>38</v>
      </c>
      <c r="J143" s="2">
        <v>6</v>
      </c>
      <c r="N143" s="2" t="s">
        <v>2</v>
      </c>
      <c r="O143" s="17">
        <f>ROUND(VLOOKUP(O$139&amp;"_1",管理者用人口入力シート!CO:DL,Q143,FALSE),0)</f>
        <v>56</v>
      </c>
      <c r="P143" s="17">
        <f>ROUND(VLOOKUP(O$139&amp;"_2",管理者用人口入力シート!CO:DL,Q143,FALSE),0)</f>
        <v>41</v>
      </c>
      <c r="Q143" s="2">
        <v>6</v>
      </c>
    </row>
    <row r="144" spans="7:20" x14ac:dyDescent="0.15">
      <c r="G144" s="2" t="s">
        <v>3</v>
      </c>
      <c r="H144" s="17">
        <f>ROUND(VLOOKUP(H$139&amp;"_1",管理者用人口入力シート!BH:CE,J144,FALSE),0)</f>
        <v>98</v>
      </c>
      <c r="I144" s="17">
        <f>ROUND(VLOOKUP(H$139&amp;"_2",管理者用人口入力シート!BH:CE,J144,FALSE),0)</f>
        <v>40</v>
      </c>
      <c r="J144" s="2">
        <v>7</v>
      </c>
      <c r="N144" s="2" t="s">
        <v>3</v>
      </c>
      <c r="O144" s="17">
        <f>ROUND(VLOOKUP(O$139&amp;"_1",管理者用人口入力シート!CO:DL,Q144,FALSE),0)</f>
        <v>101</v>
      </c>
      <c r="P144" s="17">
        <f>ROUND(VLOOKUP(O$139&amp;"_2",管理者用人口入力シート!CO:DL,Q144,FALSE),0)</f>
        <v>42</v>
      </c>
      <c r="Q144" s="2">
        <v>7</v>
      </c>
    </row>
    <row r="145" spans="7:17" x14ac:dyDescent="0.15">
      <c r="G145" s="2" t="s">
        <v>4</v>
      </c>
      <c r="H145" s="17">
        <f>ROUND(VLOOKUP(H$139&amp;"_1",管理者用人口入力シート!BH:CE,J145,FALSE),0)</f>
        <v>45</v>
      </c>
      <c r="I145" s="17">
        <f>ROUND(VLOOKUP(H$139&amp;"_2",管理者用人口入力シート!BH:CE,J145,FALSE),0)</f>
        <v>32</v>
      </c>
      <c r="J145" s="2">
        <v>8</v>
      </c>
      <c r="N145" s="2" t="s">
        <v>4</v>
      </c>
      <c r="O145" s="17">
        <f>ROUND(VLOOKUP(O$139&amp;"_1",管理者用人口入力シート!CO:DL,Q145,FALSE),0)</f>
        <v>46</v>
      </c>
      <c r="P145" s="17">
        <f>ROUND(VLOOKUP(O$139&amp;"_2",管理者用人口入力シート!CO:DL,Q145,FALSE),0)</f>
        <v>32</v>
      </c>
      <c r="Q145" s="2">
        <v>8</v>
      </c>
    </row>
    <row r="146" spans="7:17" x14ac:dyDescent="0.15">
      <c r="G146" s="2" t="s">
        <v>5</v>
      </c>
      <c r="H146" s="17">
        <f>ROUND(VLOOKUP(H$139&amp;"_1",管理者用人口入力シート!BH:CE,J146,FALSE),0)</f>
        <v>57</v>
      </c>
      <c r="I146" s="17">
        <f>ROUND(VLOOKUP(H$139&amp;"_2",管理者用人口入力シート!BH:CE,J146,FALSE),0)</f>
        <v>44</v>
      </c>
      <c r="J146" s="2">
        <v>9</v>
      </c>
      <c r="N146" s="2" t="s">
        <v>5</v>
      </c>
      <c r="O146" s="17">
        <f>ROUND(VLOOKUP(O$139&amp;"_1",管理者用人口入力シート!CO:DL,Q146,FALSE),0)</f>
        <v>60</v>
      </c>
      <c r="P146" s="17">
        <f>ROUND(VLOOKUP(O$139&amp;"_2",管理者用人口入力シート!CO:DL,Q146,FALSE),0)</f>
        <v>47</v>
      </c>
      <c r="Q146" s="2">
        <v>9</v>
      </c>
    </row>
    <row r="147" spans="7:17" x14ac:dyDescent="0.15">
      <c r="G147" s="2" t="s">
        <v>6</v>
      </c>
      <c r="H147" s="17">
        <f>ROUND(VLOOKUP(H$139&amp;"_1",管理者用人口入力シート!BH:CE,J147,FALSE),0)</f>
        <v>63</v>
      </c>
      <c r="I147" s="17">
        <f>ROUND(VLOOKUP(H$139&amp;"_2",管理者用人口入力シート!BH:CE,J147,FALSE),0)</f>
        <v>44</v>
      </c>
      <c r="J147" s="2">
        <v>10</v>
      </c>
      <c r="N147" s="2" t="s">
        <v>6</v>
      </c>
      <c r="O147" s="17">
        <f>ROUND(VLOOKUP(O$139&amp;"_1",管理者用人口入力シート!CO:DL,Q147,FALSE),0)</f>
        <v>65</v>
      </c>
      <c r="P147" s="17">
        <f>ROUND(VLOOKUP(O$139&amp;"_2",管理者用人口入力シート!CO:DL,Q147,FALSE),0)</f>
        <v>47</v>
      </c>
      <c r="Q147" s="2">
        <v>10</v>
      </c>
    </row>
    <row r="148" spans="7:17" x14ac:dyDescent="0.15">
      <c r="G148" s="2" t="s">
        <v>7</v>
      </c>
      <c r="H148" s="17">
        <f>ROUND(VLOOKUP(H$139&amp;"_1",管理者用人口入力シート!BH:CE,J148,FALSE),0)</f>
        <v>68</v>
      </c>
      <c r="I148" s="17">
        <f>ROUND(VLOOKUP(H$139&amp;"_2",管理者用人口入力シート!BH:CE,J148,FALSE),0)</f>
        <v>42</v>
      </c>
      <c r="J148" s="2">
        <v>11</v>
      </c>
      <c r="N148" s="2" t="s">
        <v>7</v>
      </c>
      <c r="O148" s="17">
        <f>ROUND(VLOOKUP(O$139&amp;"_1",管理者用人口入力シート!CO:DL,Q148,FALSE),0)</f>
        <v>70</v>
      </c>
      <c r="P148" s="17">
        <f>ROUND(VLOOKUP(O$139&amp;"_2",管理者用人口入力シート!CO:DL,Q148,FALSE),0)</f>
        <v>44</v>
      </c>
      <c r="Q148" s="2">
        <v>11</v>
      </c>
    </row>
    <row r="149" spans="7:17" x14ac:dyDescent="0.15">
      <c r="G149" s="2" t="s">
        <v>8</v>
      </c>
      <c r="H149" s="17">
        <f>ROUND(VLOOKUP(H$139&amp;"_1",管理者用人口入力シート!BH:CE,J149,FALSE),0)</f>
        <v>72</v>
      </c>
      <c r="I149" s="17">
        <f>ROUND(VLOOKUP(H$139&amp;"_2",管理者用人口入力シート!BH:CE,J149,FALSE),0)</f>
        <v>64</v>
      </c>
      <c r="J149" s="2">
        <v>12</v>
      </c>
      <c r="N149" s="2" t="s">
        <v>8</v>
      </c>
      <c r="O149" s="17">
        <f>ROUND(VLOOKUP(O$139&amp;"_1",管理者用人口入力シート!CO:DL,Q149,FALSE),0)</f>
        <v>74</v>
      </c>
      <c r="P149" s="17">
        <f>ROUND(VLOOKUP(O$139&amp;"_2",管理者用人口入力シート!CO:DL,Q149,FALSE),0)</f>
        <v>68</v>
      </c>
      <c r="Q149" s="2">
        <v>12</v>
      </c>
    </row>
    <row r="150" spans="7:17" x14ac:dyDescent="0.15">
      <c r="G150" s="2" t="s">
        <v>9</v>
      </c>
      <c r="H150" s="17">
        <f>ROUND(VLOOKUP(H$139&amp;"_1",管理者用人口入力シート!BH:CE,J150,FALSE),0)</f>
        <v>103</v>
      </c>
      <c r="I150" s="17">
        <f>ROUND(VLOOKUP(H$139&amp;"_2",管理者用人口入力シート!BH:CE,J150,FALSE),0)</f>
        <v>84</v>
      </c>
      <c r="J150" s="2">
        <v>13</v>
      </c>
      <c r="N150" s="2" t="s">
        <v>9</v>
      </c>
      <c r="O150" s="17">
        <f>ROUND(VLOOKUP(O$139&amp;"_1",管理者用人口入力シート!CO:DL,Q150,FALSE),0)</f>
        <v>103</v>
      </c>
      <c r="P150" s="17">
        <f>ROUND(VLOOKUP(O$139&amp;"_2",管理者用人口入力シート!CO:DL,Q150,FALSE),0)</f>
        <v>85</v>
      </c>
      <c r="Q150" s="2">
        <v>13</v>
      </c>
    </row>
    <row r="151" spans="7:17" x14ac:dyDescent="0.15">
      <c r="G151" s="2" t="s">
        <v>10</v>
      </c>
      <c r="H151" s="17">
        <f>ROUND(VLOOKUP(H$139&amp;"_1",管理者用人口入力シート!BH:CE,J151,FALSE),0)</f>
        <v>103</v>
      </c>
      <c r="I151" s="17">
        <f>ROUND(VLOOKUP(H$139&amp;"_2",管理者用人口入力シート!BH:CE,J151,FALSE),0)</f>
        <v>106</v>
      </c>
      <c r="J151" s="2">
        <v>14</v>
      </c>
      <c r="N151" s="2" t="s">
        <v>10</v>
      </c>
      <c r="O151" s="17">
        <f>ROUND(VLOOKUP(O$139&amp;"_1",管理者用人口入力シート!CO:DL,Q151,FALSE),0)</f>
        <v>103</v>
      </c>
      <c r="P151" s="17">
        <f>ROUND(VLOOKUP(O$139&amp;"_2",管理者用人口入力シート!CO:DL,Q151,FALSE),0)</f>
        <v>107</v>
      </c>
      <c r="Q151" s="2">
        <v>14</v>
      </c>
    </row>
    <row r="152" spans="7:17" x14ac:dyDescent="0.15">
      <c r="G152" s="2" t="s">
        <v>11</v>
      </c>
      <c r="H152" s="17">
        <f>ROUND(VLOOKUP(H$139&amp;"_1",管理者用人口入力シート!BH:CE,J152,FALSE),0)</f>
        <v>124</v>
      </c>
      <c r="I152" s="17">
        <f>ROUND(VLOOKUP(H$139&amp;"_2",管理者用人口入力シート!BH:CE,J152,FALSE),0)</f>
        <v>145</v>
      </c>
      <c r="J152" s="2">
        <v>15</v>
      </c>
      <c r="N152" s="2" t="s">
        <v>11</v>
      </c>
      <c r="O152" s="17">
        <f>ROUND(VLOOKUP(O$139&amp;"_1",管理者用人口入力シート!CO:DL,Q152,FALSE),0)</f>
        <v>124</v>
      </c>
      <c r="P152" s="17">
        <f>ROUND(VLOOKUP(O$139&amp;"_2",管理者用人口入力シート!CO:DL,Q152,FALSE),0)</f>
        <v>146</v>
      </c>
      <c r="Q152" s="2">
        <v>15</v>
      </c>
    </row>
    <row r="153" spans="7:17" x14ac:dyDescent="0.15">
      <c r="G153" s="2" t="s">
        <v>12</v>
      </c>
      <c r="H153" s="17">
        <f>ROUND(VLOOKUP(H$139&amp;"_1",管理者用人口入力シート!BH:CE,J153,FALSE),0)</f>
        <v>147</v>
      </c>
      <c r="I153" s="17">
        <f>ROUND(VLOOKUP(H$139&amp;"_2",管理者用人口入力シート!BH:CE,J153,FALSE),0)</f>
        <v>148</v>
      </c>
      <c r="J153" s="2">
        <v>16</v>
      </c>
      <c r="N153" s="2" t="s">
        <v>12</v>
      </c>
      <c r="O153" s="17">
        <f>ROUND(VLOOKUP(O$139&amp;"_1",管理者用人口入力シート!CO:DL,Q153,FALSE),0)</f>
        <v>147</v>
      </c>
      <c r="P153" s="17">
        <f>ROUND(VLOOKUP(O$139&amp;"_2",管理者用人口入力シート!CO:DL,Q153,FALSE),0)</f>
        <v>148</v>
      </c>
      <c r="Q153" s="2">
        <v>16</v>
      </c>
    </row>
    <row r="154" spans="7:17" x14ac:dyDescent="0.15">
      <c r="G154" s="2" t="s">
        <v>13</v>
      </c>
      <c r="H154" s="17">
        <f>ROUND(VLOOKUP(H$139&amp;"_1",管理者用人口入力シート!BH:CE,J154,FALSE),0)</f>
        <v>122</v>
      </c>
      <c r="I154" s="17">
        <f>ROUND(VLOOKUP(H$139&amp;"_2",管理者用人口入力シート!BH:CE,J154,FALSE),0)</f>
        <v>144</v>
      </c>
      <c r="J154" s="2">
        <v>17</v>
      </c>
      <c r="N154" s="2" t="s">
        <v>13</v>
      </c>
      <c r="O154" s="17">
        <f>ROUND(VLOOKUP(O$139&amp;"_1",管理者用人口入力シート!CO:DL,Q154,FALSE),0)</f>
        <v>122</v>
      </c>
      <c r="P154" s="17">
        <f>ROUND(VLOOKUP(O$139&amp;"_2",管理者用人口入力シート!CO:DL,Q154,FALSE),0)</f>
        <v>144</v>
      </c>
      <c r="Q154" s="2">
        <v>17</v>
      </c>
    </row>
    <row r="155" spans="7:17" x14ac:dyDescent="0.15">
      <c r="G155" s="2" t="s">
        <v>14</v>
      </c>
      <c r="H155" s="17">
        <f>ROUND(VLOOKUP(H$139&amp;"_1",管理者用人口入力シート!BH:CE,J155,FALSE),0)</f>
        <v>122</v>
      </c>
      <c r="I155" s="17">
        <f>ROUND(VLOOKUP(H$139&amp;"_2",管理者用人口入力シート!BH:CE,J155,FALSE),0)</f>
        <v>121</v>
      </c>
      <c r="J155" s="2">
        <v>18</v>
      </c>
      <c r="N155" s="2" t="s">
        <v>14</v>
      </c>
      <c r="O155" s="17">
        <f>ROUND(VLOOKUP(O$139&amp;"_1",管理者用人口入力シート!CO:DL,Q155,FALSE),0)</f>
        <v>122</v>
      </c>
      <c r="P155" s="17">
        <f>ROUND(VLOOKUP(O$139&amp;"_2",管理者用人口入力シート!CO:DL,Q155,FALSE),0)</f>
        <v>121</v>
      </c>
      <c r="Q155" s="2">
        <v>18</v>
      </c>
    </row>
    <row r="156" spans="7:17" x14ac:dyDescent="0.15">
      <c r="G156" s="2" t="s">
        <v>15</v>
      </c>
      <c r="H156" s="17">
        <f>ROUND(VLOOKUP(H$139&amp;"_1",管理者用人口入力シート!BH:CE,J156,FALSE),0)</f>
        <v>113</v>
      </c>
      <c r="I156" s="17">
        <f>ROUND(VLOOKUP(H$139&amp;"_2",管理者用人口入力シート!BH:CE,J156,FALSE),0)</f>
        <v>145</v>
      </c>
      <c r="J156" s="2">
        <v>19</v>
      </c>
      <c r="N156" s="2" t="s">
        <v>15</v>
      </c>
      <c r="O156" s="17">
        <f>ROUND(VLOOKUP(O$139&amp;"_1",管理者用人口入力シート!CO:DL,Q156,FALSE),0)</f>
        <v>113</v>
      </c>
      <c r="P156" s="17">
        <f>ROUND(VLOOKUP(O$139&amp;"_2",管理者用人口入力シート!CO:DL,Q156,FALSE),0)</f>
        <v>145</v>
      </c>
      <c r="Q156" s="2">
        <v>19</v>
      </c>
    </row>
    <row r="157" spans="7:17" x14ac:dyDescent="0.15">
      <c r="G157" s="2" t="s">
        <v>16</v>
      </c>
      <c r="H157" s="17">
        <f>ROUND(VLOOKUP(H$139&amp;"_1",管理者用人口入力シート!BH:CE,J157,FALSE),0)</f>
        <v>111</v>
      </c>
      <c r="I157" s="17">
        <f>ROUND(VLOOKUP(H$139&amp;"_2",管理者用人口入力シート!BH:CE,J157,FALSE),0)</f>
        <v>153</v>
      </c>
      <c r="J157" s="2">
        <v>20</v>
      </c>
      <c r="N157" s="2" t="s">
        <v>16</v>
      </c>
      <c r="O157" s="17">
        <f>ROUND(VLOOKUP(O$139&amp;"_1",管理者用人口入力シート!CO:DL,Q157,FALSE),0)</f>
        <v>111</v>
      </c>
      <c r="P157" s="17">
        <f>ROUND(VLOOKUP(O$139&amp;"_2",管理者用人口入力シート!CO:DL,Q157,FALSE),0)</f>
        <v>153</v>
      </c>
      <c r="Q157" s="2">
        <v>20</v>
      </c>
    </row>
    <row r="158" spans="7:17" x14ac:dyDescent="0.15">
      <c r="G158" s="2" t="s">
        <v>17</v>
      </c>
      <c r="H158" s="17">
        <f>ROUND(VLOOKUP(H$139&amp;"_1",管理者用人口入力シート!BH:CE,J158,FALSE),0)</f>
        <v>103</v>
      </c>
      <c r="I158" s="17">
        <f>ROUND(VLOOKUP(H$139&amp;"_2",管理者用人口入力シート!BH:CE,J158,FALSE),0)</f>
        <v>179</v>
      </c>
      <c r="J158" s="2">
        <v>21</v>
      </c>
      <c r="N158" s="2" t="s">
        <v>17</v>
      </c>
      <c r="O158" s="17">
        <f>ROUND(VLOOKUP(O$139&amp;"_1",管理者用人口入力シート!CO:DL,Q158,FALSE),0)</f>
        <v>103</v>
      </c>
      <c r="P158" s="17">
        <f>ROUND(VLOOKUP(O$139&amp;"_2",管理者用人口入力シート!CO:DL,Q158,FALSE),0)</f>
        <v>179</v>
      </c>
      <c r="Q158" s="2">
        <v>21</v>
      </c>
    </row>
    <row r="159" spans="7:17" x14ac:dyDescent="0.15">
      <c r="G159" s="2" t="s">
        <v>18</v>
      </c>
      <c r="H159" s="17">
        <f>ROUND(VLOOKUP(H$139&amp;"_1",管理者用人口入力シート!BH:CE,J159,FALSE),0)</f>
        <v>47</v>
      </c>
      <c r="I159" s="17">
        <f>ROUND(VLOOKUP(H$139&amp;"_2",管理者用人口入力シート!BH:CE,J159,FALSE),0)</f>
        <v>117</v>
      </c>
      <c r="J159" s="2">
        <v>22</v>
      </c>
      <c r="N159" s="2" t="s">
        <v>18</v>
      </c>
      <c r="O159" s="17">
        <f>ROUND(VLOOKUP(O$139&amp;"_1",管理者用人口入力シート!CO:DL,Q159,FALSE),0)</f>
        <v>47</v>
      </c>
      <c r="P159" s="17">
        <f>ROUND(VLOOKUP(O$139&amp;"_2",管理者用人口入力シート!CO:DL,Q159,FALSE),0)</f>
        <v>117</v>
      </c>
      <c r="Q159" s="2">
        <v>22</v>
      </c>
    </row>
    <row r="160" spans="7:17" x14ac:dyDescent="0.15">
      <c r="G160" s="2" t="s">
        <v>19</v>
      </c>
      <c r="H160" s="17">
        <f>ROUND(VLOOKUP(H$139&amp;"_1",管理者用人口入力シート!BH:CE,J160,FALSE),0)</f>
        <v>10</v>
      </c>
      <c r="I160" s="17">
        <f>ROUND(VLOOKUP(H$139&amp;"_2",管理者用人口入力シート!BH:CE,J160,FALSE),0)</f>
        <v>39</v>
      </c>
      <c r="J160" s="2">
        <v>23</v>
      </c>
      <c r="N160" s="2" t="s">
        <v>19</v>
      </c>
      <c r="O160" s="17">
        <f>ROUND(VLOOKUP(O$139&amp;"_1",管理者用人口入力シート!CO:DL,Q160,FALSE),0)</f>
        <v>10</v>
      </c>
      <c r="P160" s="17">
        <f>ROUND(VLOOKUP(O$139&amp;"_2",管理者用人口入力シート!CO:DL,Q160,FALSE),0)</f>
        <v>39</v>
      </c>
      <c r="Q160" s="2">
        <v>23</v>
      </c>
    </row>
    <row r="161" spans="7:17" x14ac:dyDescent="0.15">
      <c r="G161" s="2" t="s">
        <v>20</v>
      </c>
      <c r="H161" s="17">
        <f>ROUND(VLOOKUP(H$139&amp;"_1",管理者用人口入力シート!BH:CE,J161,FALSE),0)</f>
        <v>0</v>
      </c>
      <c r="I161" s="17">
        <f>ROUND(VLOOKUP(H$139&amp;"_2",管理者用人口入力シート!BH:CE,J161,FALSE),0)</f>
        <v>9</v>
      </c>
      <c r="J161" s="2">
        <v>24</v>
      </c>
      <c r="N161" s="2" t="s">
        <v>20</v>
      </c>
      <c r="O161" s="17">
        <f>ROUND(VLOOKUP(O$139&amp;"_1",管理者用人口入力シート!CO:DL,Q161,FALSE),0)</f>
        <v>0</v>
      </c>
      <c r="P161" s="17">
        <f>ROUND(VLOOKUP(O$139&amp;"_2",管理者用人口入力シート!CO:DL,Q161,FALSE),0)</f>
        <v>9</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28</v>
      </c>
      <c r="I165" s="17">
        <f>ROUND(VLOOKUP(H$163&amp;"_2",管理者用人口入力シート!BH:CE,J165,FALSE),0)</f>
        <v>23</v>
      </c>
      <c r="J165" s="2">
        <v>4</v>
      </c>
      <c r="N165" s="2" t="s">
        <v>0</v>
      </c>
      <c r="O165" s="17">
        <f>ROUND(VLOOKUP(O$163&amp;"_1",管理者用人口入力シート!CO:DL,Q165,FALSE),0)</f>
        <v>31</v>
      </c>
      <c r="P165" s="17">
        <f>ROUND(VLOOKUP(O$163&amp;"_2",管理者用人口入力シート!CO:DL,Q165,FALSE),0)</f>
        <v>25</v>
      </c>
      <c r="Q165" s="2">
        <v>4</v>
      </c>
    </row>
    <row r="166" spans="7:17" x14ac:dyDescent="0.15">
      <c r="G166" s="2" t="s">
        <v>1</v>
      </c>
      <c r="H166" s="17">
        <f>ROUND(VLOOKUP(H$163&amp;"_1",管理者用人口入力シート!BH:CE,J166,FALSE),0)</f>
        <v>36</v>
      </c>
      <c r="I166" s="17">
        <f>ROUND(VLOOKUP(H$163&amp;"_2",管理者用人口入力シート!BH:CE,J166,FALSE),0)</f>
        <v>27</v>
      </c>
      <c r="J166" s="2">
        <v>5</v>
      </c>
      <c r="N166" s="2" t="s">
        <v>1</v>
      </c>
      <c r="O166" s="17">
        <f>ROUND(VLOOKUP(O$163&amp;"_1",管理者用人口入力シート!CO:DL,Q166,FALSE),0)</f>
        <v>38</v>
      </c>
      <c r="P166" s="17">
        <f>ROUND(VLOOKUP(O$163&amp;"_2",管理者用人口入力シート!CO:DL,Q166,FALSE),0)</f>
        <v>30</v>
      </c>
      <c r="Q166" s="2">
        <v>5</v>
      </c>
    </row>
    <row r="167" spans="7:17" x14ac:dyDescent="0.15">
      <c r="G167" s="2" t="s">
        <v>2</v>
      </c>
      <c r="H167" s="17">
        <f>ROUND(VLOOKUP(H$163&amp;"_1",管理者用人口入力シート!BH:CE,J167,FALSE),0)</f>
        <v>47</v>
      </c>
      <c r="I167" s="17">
        <f>ROUND(VLOOKUP(H$163&amp;"_2",管理者用人口入力シート!BH:CE,J167,FALSE),0)</f>
        <v>34</v>
      </c>
      <c r="J167" s="2">
        <v>6</v>
      </c>
      <c r="N167" s="2" t="s">
        <v>2</v>
      </c>
      <c r="O167" s="17">
        <f>ROUND(VLOOKUP(O$163&amp;"_1",管理者用人口入力シート!CO:DL,Q167,FALSE),0)</f>
        <v>51</v>
      </c>
      <c r="P167" s="17">
        <f>ROUND(VLOOKUP(O$163&amp;"_2",管理者用人口入力シート!CO:DL,Q167,FALSE),0)</f>
        <v>38</v>
      </c>
      <c r="Q167" s="2">
        <v>6</v>
      </c>
    </row>
    <row r="168" spans="7:17" x14ac:dyDescent="0.15">
      <c r="G168" s="2" t="s">
        <v>3</v>
      </c>
      <c r="H168" s="17">
        <f>ROUND(VLOOKUP(H$163&amp;"_1",管理者用人口入力シート!BH:CE,J168,FALSE),0)</f>
        <v>84</v>
      </c>
      <c r="I168" s="17">
        <f>ROUND(VLOOKUP(H$163&amp;"_2",管理者用人口入力シート!BH:CE,J168,FALSE),0)</f>
        <v>35</v>
      </c>
      <c r="J168" s="2">
        <v>7</v>
      </c>
      <c r="N168" s="2" t="s">
        <v>3</v>
      </c>
      <c r="O168" s="17">
        <f>ROUND(VLOOKUP(O$163&amp;"_1",管理者用人口入力シート!CO:DL,Q168,FALSE),0)</f>
        <v>90</v>
      </c>
      <c r="P168" s="17">
        <f>ROUND(VLOOKUP(O$163&amp;"_2",管理者用人口入力シート!CO:DL,Q168,FALSE),0)</f>
        <v>37</v>
      </c>
      <c r="Q168" s="2">
        <v>7</v>
      </c>
    </row>
    <row r="169" spans="7:17" x14ac:dyDescent="0.15">
      <c r="G169" s="2" t="s">
        <v>4</v>
      </c>
      <c r="H169" s="17">
        <f>ROUND(VLOOKUP(H$163&amp;"_1",管理者用人口入力シート!BH:CE,J169,FALSE),0)</f>
        <v>35</v>
      </c>
      <c r="I169" s="17">
        <f>ROUND(VLOOKUP(H$163&amp;"_2",管理者用人口入力シート!BH:CE,J169,FALSE),0)</f>
        <v>25</v>
      </c>
      <c r="J169" s="2">
        <v>8</v>
      </c>
      <c r="N169" s="2" t="s">
        <v>4</v>
      </c>
      <c r="O169" s="17">
        <f>ROUND(VLOOKUP(O$163&amp;"_1",管理者用人口入力シート!CO:DL,Q169,FALSE),0)</f>
        <v>36</v>
      </c>
      <c r="P169" s="17">
        <f>ROUND(VLOOKUP(O$163&amp;"_2",管理者用人口入力シート!CO:DL,Q169,FALSE),0)</f>
        <v>26</v>
      </c>
      <c r="Q169" s="2">
        <v>8</v>
      </c>
    </row>
    <row r="170" spans="7:17" x14ac:dyDescent="0.15">
      <c r="G170" s="2" t="s">
        <v>5</v>
      </c>
      <c r="H170" s="17">
        <f>ROUND(VLOOKUP(H$163&amp;"_1",管理者用人口入力シート!BH:CE,J170,FALSE),0)</f>
        <v>48</v>
      </c>
      <c r="I170" s="17">
        <f>ROUND(VLOOKUP(H$163&amp;"_2",管理者用人口入力シート!BH:CE,J170,FALSE),0)</f>
        <v>27</v>
      </c>
      <c r="J170" s="2">
        <v>9</v>
      </c>
      <c r="N170" s="2" t="s">
        <v>5</v>
      </c>
      <c r="O170" s="17">
        <f>ROUND(VLOOKUP(O$163&amp;"_1",管理者用人口入力シート!CO:DL,Q170,FALSE),0)</f>
        <v>51</v>
      </c>
      <c r="P170" s="17">
        <f>ROUND(VLOOKUP(O$163&amp;"_2",管理者用人口入力シート!CO:DL,Q170,FALSE),0)</f>
        <v>30</v>
      </c>
      <c r="Q170" s="2">
        <v>9</v>
      </c>
    </row>
    <row r="171" spans="7:17" x14ac:dyDescent="0.15">
      <c r="G171" s="2" t="s">
        <v>6</v>
      </c>
      <c r="H171" s="17">
        <f>ROUND(VLOOKUP(H$163&amp;"_1",管理者用人口入力シート!BH:CE,J171,FALSE),0)</f>
        <v>60</v>
      </c>
      <c r="I171" s="17">
        <f>ROUND(VLOOKUP(H$163&amp;"_2",管理者用人口入力シート!BH:CE,J171,FALSE),0)</f>
        <v>50</v>
      </c>
      <c r="J171" s="2">
        <v>10</v>
      </c>
      <c r="N171" s="2" t="s">
        <v>6</v>
      </c>
      <c r="O171" s="17">
        <f>ROUND(VLOOKUP(O$163&amp;"_1",管理者用人口入力シート!CO:DL,Q171,FALSE),0)</f>
        <v>63</v>
      </c>
      <c r="P171" s="17">
        <f>ROUND(VLOOKUP(O$163&amp;"_2",管理者用人口入力シート!CO:DL,Q171,FALSE),0)</f>
        <v>53</v>
      </c>
      <c r="Q171" s="2">
        <v>10</v>
      </c>
    </row>
    <row r="172" spans="7:17" x14ac:dyDescent="0.15">
      <c r="G172" s="2" t="s">
        <v>7</v>
      </c>
      <c r="H172" s="17">
        <f>ROUND(VLOOKUP(H$163&amp;"_1",管理者用人口入力シート!BH:CE,J172,FALSE),0)</f>
        <v>66</v>
      </c>
      <c r="I172" s="17">
        <f>ROUND(VLOOKUP(H$163&amp;"_2",管理者用人口入力シート!BH:CE,J172,FALSE),0)</f>
        <v>50</v>
      </c>
      <c r="J172" s="2">
        <v>11</v>
      </c>
      <c r="N172" s="2" t="s">
        <v>7</v>
      </c>
      <c r="O172" s="17">
        <f>ROUND(VLOOKUP(O$163&amp;"_1",管理者用人口入力シート!CO:DL,Q172,FALSE),0)</f>
        <v>68</v>
      </c>
      <c r="P172" s="17">
        <f>ROUND(VLOOKUP(O$163&amp;"_2",管理者用人口入力シート!CO:DL,Q172,FALSE),0)</f>
        <v>52</v>
      </c>
      <c r="Q172" s="2">
        <v>11</v>
      </c>
    </row>
    <row r="173" spans="7:17" x14ac:dyDescent="0.15">
      <c r="G173" s="2" t="s">
        <v>8</v>
      </c>
      <c r="H173" s="17">
        <f>ROUND(VLOOKUP(H$163&amp;"_1",管理者用人口入力シート!BH:CE,J173,FALSE),0)</f>
        <v>71</v>
      </c>
      <c r="I173" s="17">
        <f>ROUND(VLOOKUP(H$163&amp;"_2",管理者用人口入力シート!BH:CE,J173,FALSE),0)</f>
        <v>44</v>
      </c>
      <c r="J173" s="2">
        <v>12</v>
      </c>
      <c r="N173" s="2" t="s">
        <v>8</v>
      </c>
      <c r="O173" s="17">
        <f>ROUND(VLOOKUP(O$163&amp;"_1",管理者用人口入力シート!CO:DL,Q173,FALSE),0)</f>
        <v>73</v>
      </c>
      <c r="P173" s="17">
        <f>ROUND(VLOOKUP(O$163&amp;"_2",管理者用人口入力シート!CO:DL,Q173,FALSE),0)</f>
        <v>47</v>
      </c>
      <c r="Q173" s="2">
        <v>12</v>
      </c>
    </row>
    <row r="174" spans="7:17" x14ac:dyDescent="0.15">
      <c r="G174" s="2" t="s">
        <v>9</v>
      </c>
      <c r="H174" s="17">
        <f>ROUND(VLOOKUP(H$163&amp;"_1",管理者用人口入力シート!BH:CE,J174,FALSE),0)</f>
        <v>76</v>
      </c>
      <c r="I174" s="17">
        <f>ROUND(VLOOKUP(H$163&amp;"_2",管理者用人口入力シート!BH:CE,J174,FALSE),0)</f>
        <v>66</v>
      </c>
      <c r="J174" s="2">
        <v>13</v>
      </c>
      <c r="N174" s="2" t="s">
        <v>9</v>
      </c>
      <c r="O174" s="17">
        <f>ROUND(VLOOKUP(O$163&amp;"_1",管理者用人口入力シート!CO:DL,Q174,FALSE),0)</f>
        <v>78</v>
      </c>
      <c r="P174" s="17">
        <f>ROUND(VLOOKUP(O$163&amp;"_2",管理者用人口入力シート!CO:DL,Q174,FALSE),0)</f>
        <v>70</v>
      </c>
      <c r="Q174" s="2">
        <v>13</v>
      </c>
    </row>
    <row r="175" spans="7:17" x14ac:dyDescent="0.15">
      <c r="G175" s="2" t="s">
        <v>10</v>
      </c>
      <c r="H175" s="17">
        <f>ROUND(VLOOKUP(H$163&amp;"_1",管理者用人口入力シート!BH:CE,J175,FALSE),0)</f>
        <v>107</v>
      </c>
      <c r="I175" s="17">
        <f>ROUND(VLOOKUP(H$163&amp;"_2",管理者用人口入力シート!BH:CE,J175,FALSE),0)</f>
        <v>93</v>
      </c>
      <c r="J175" s="2">
        <v>14</v>
      </c>
      <c r="N175" s="2" t="s">
        <v>10</v>
      </c>
      <c r="O175" s="17">
        <f>ROUND(VLOOKUP(O$163&amp;"_1",管理者用人口入力シート!CO:DL,Q175,FALSE),0)</f>
        <v>107</v>
      </c>
      <c r="P175" s="17">
        <f>ROUND(VLOOKUP(O$163&amp;"_2",管理者用人口入力シート!CO:DL,Q175,FALSE),0)</f>
        <v>95</v>
      </c>
      <c r="Q175" s="2">
        <v>14</v>
      </c>
    </row>
    <row r="176" spans="7:17" x14ac:dyDescent="0.15">
      <c r="G176" s="2" t="s">
        <v>11</v>
      </c>
      <c r="H176" s="17">
        <f>ROUND(VLOOKUP(H$163&amp;"_1",管理者用人口入力シート!BH:CE,J176,FALSE),0)</f>
        <v>103</v>
      </c>
      <c r="I176" s="17">
        <f>ROUND(VLOOKUP(H$163&amp;"_2",管理者用人口入力シート!BH:CE,J176,FALSE),0)</f>
        <v>108</v>
      </c>
      <c r="J176" s="2">
        <v>15</v>
      </c>
      <c r="N176" s="2" t="s">
        <v>11</v>
      </c>
      <c r="O176" s="17">
        <f>ROUND(VLOOKUP(O$163&amp;"_1",管理者用人口入力シート!CO:DL,Q176,FALSE),0)</f>
        <v>103</v>
      </c>
      <c r="P176" s="17">
        <f>ROUND(VLOOKUP(O$163&amp;"_2",管理者用人口入力シート!CO:DL,Q176,FALSE),0)</f>
        <v>109</v>
      </c>
      <c r="Q176" s="2">
        <v>15</v>
      </c>
    </row>
    <row r="177" spans="7:17" x14ac:dyDescent="0.15">
      <c r="G177" s="2" t="s">
        <v>12</v>
      </c>
      <c r="H177" s="17">
        <f>ROUND(VLOOKUP(H$163&amp;"_1",管理者用人口入力シート!BH:CE,J177,FALSE),0)</f>
        <v>126</v>
      </c>
      <c r="I177" s="17">
        <f>ROUND(VLOOKUP(H$163&amp;"_2",管理者用人口入力シート!BH:CE,J177,FALSE),0)</f>
        <v>146</v>
      </c>
      <c r="J177" s="2">
        <v>16</v>
      </c>
      <c r="N177" s="2" t="s">
        <v>12</v>
      </c>
      <c r="O177" s="17">
        <f>ROUND(VLOOKUP(O$163&amp;"_1",管理者用人口入力シート!CO:DL,Q177,FALSE),0)</f>
        <v>126</v>
      </c>
      <c r="P177" s="17">
        <f>ROUND(VLOOKUP(O$163&amp;"_2",管理者用人口入力シート!CO:DL,Q177,FALSE),0)</f>
        <v>148</v>
      </c>
      <c r="Q177" s="2">
        <v>16</v>
      </c>
    </row>
    <row r="178" spans="7:17" x14ac:dyDescent="0.15">
      <c r="G178" s="2" t="s">
        <v>13</v>
      </c>
      <c r="H178" s="17">
        <f>ROUND(VLOOKUP(H$163&amp;"_1",管理者用人口入力シート!BH:CE,J178,FALSE),0)</f>
        <v>141</v>
      </c>
      <c r="I178" s="17">
        <f>ROUND(VLOOKUP(H$163&amp;"_2",管理者用人口入力シート!BH:CE,J178,FALSE),0)</f>
        <v>146</v>
      </c>
      <c r="J178" s="2">
        <v>17</v>
      </c>
      <c r="N178" s="2" t="s">
        <v>13</v>
      </c>
      <c r="O178" s="17">
        <f>ROUND(VLOOKUP(O$163&amp;"_1",管理者用人口入力シート!CO:DL,Q178,FALSE),0)</f>
        <v>141</v>
      </c>
      <c r="P178" s="17">
        <f>ROUND(VLOOKUP(O$163&amp;"_2",管理者用人口入力シート!CO:DL,Q178,FALSE),0)</f>
        <v>146</v>
      </c>
      <c r="Q178" s="2">
        <v>17</v>
      </c>
    </row>
    <row r="179" spans="7:17" x14ac:dyDescent="0.15">
      <c r="G179" s="2" t="s">
        <v>14</v>
      </c>
      <c r="H179" s="17">
        <f>ROUND(VLOOKUP(H$163&amp;"_1",管理者用人口入力シート!BH:CE,J179,FALSE),0)</f>
        <v>114</v>
      </c>
      <c r="I179" s="17">
        <f>ROUND(VLOOKUP(H$163&amp;"_2",管理者用人口入力シート!BH:CE,J179,FALSE),0)</f>
        <v>140</v>
      </c>
      <c r="J179" s="2">
        <v>18</v>
      </c>
      <c r="N179" s="2" t="s">
        <v>14</v>
      </c>
      <c r="O179" s="17">
        <f>ROUND(VLOOKUP(O$163&amp;"_1",管理者用人口入力シート!CO:DL,Q179,FALSE),0)</f>
        <v>114</v>
      </c>
      <c r="P179" s="17">
        <f>ROUND(VLOOKUP(O$163&amp;"_2",管理者用人口入力シート!CO:DL,Q179,FALSE),0)</f>
        <v>140</v>
      </c>
      <c r="Q179" s="2">
        <v>18</v>
      </c>
    </row>
    <row r="180" spans="7:17" x14ac:dyDescent="0.15">
      <c r="G180" s="2" t="s">
        <v>15</v>
      </c>
      <c r="H180" s="17">
        <f>ROUND(VLOOKUP(H$163&amp;"_1",管理者用人口入力シート!BH:CE,J180,FALSE),0)</f>
        <v>104</v>
      </c>
      <c r="I180" s="17">
        <f>ROUND(VLOOKUP(H$163&amp;"_2",管理者用人口入力シート!BH:CE,J180,FALSE),0)</f>
        <v>118</v>
      </c>
      <c r="J180" s="2">
        <v>19</v>
      </c>
      <c r="N180" s="2" t="s">
        <v>15</v>
      </c>
      <c r="O180" s="17">
        <f>ROUND(VLOOKUP(O$163&amp;"_1",管理者用人口入力シート!CO:DL,Q180,FALSE),0)</f>
        <v>104</v>
      </c>
      <c r="P180" s="17">
        <f>ROUND(VLOOKUP(O$163&amp;"_2",管理者用人口入力シート!CO:DL,Q180,FALSE),0)</f>
        <v>118</v>
      </c>
      <c r="Q180" s="2">
        <v>19</v>
      </c>
    </row>
    <row r="181" spans="7:17" x14ac:dyDescent="0.15">
      <c r="G181" s="2" t="s">
        <v>16</v>
      </c>
      <c r="H181" s="17">
        <f>ROUND(VLOOKUP(H$163&amp;"_1",管理者用人口入力シート!BH:CE,J181,FALSE),0)</f>
        <v>96</v>
      </c>
      <c r="I181" s="17">
        <f>ROUND(VLOOKUP(H$163&amp;"_2",管理者用人口入力シート!BH:CE,J181,FALSE),0)</f>
        <v>134</v>
      </c>
      <c r="J181" s="2">
        <v>20</v>
      </c>
      <c r="N181" s="2" t="s">
        <v>16</v>
      </c>
      <c r="O181" s="17">
        <f>ROUND(VLOOKUP(O$163&amp;"_1",管理者用人口入力シート!CO:DL,Q181,FALSE),0)</f>
        <v>96</v>
      </c>
      <c r="P181" s="17">
        <f>ROUND(VLOOKUP(O$163&amp;"_2",管理者用人口入力シート!CO:DL,Q181,FALSE),0)</f>
        <v>134</v>
      </c>
      <c r="Q181" s="2">
        <v>20</v>
      </c>
    </row>
    <row r="182" spans="7:17" x14ac:dyDescent="0.15">
      <c r="G182" s="2" t="s">
        <v>17</v>
      </c>
      <c r="H182" s="17">
        <f>ROUND(VLOOKUP(H$163&amp;"_1",管理者用人口入力シート!BH:CE,J182,FALSE),0)</f>
        <v>78</v>
      </c>
      <c r="I182" s="17">
        <f>ROUND(VLOOKUP(H$163&amp;"_2",管理者用人口入力シート!BH:CE,J182,FALSE),0)</f>
        <v>135</v>
      </c>
      <c r="J182" s="2">
        <v>21</v>
      </c>
      <c r="N182" s="2" t="s">
        <v>17</v>
      </c>
      <c r="O182" s="17">
        <f>ROUND(VLOOKUP(O$163&amp;"_1",管理者用人口入力シート!CO:DL,Q182,FALSE),0)</f>
        <v>78</v>
      </c>
      <c r="P182" s="17">
        <f>ROUND(VLOOKUP(O$163&amp;"_2",管理者用人口入力シート!CO:DL,Q182,FALSE),0)</f>
        <v>135</v>
      </c>
      <c r="Q182" s="2">
        <v>21</v>
      </c>
    </row>
    <row r="183" spans="7:17" x14ac:dyDescent="0.15">
      <c r="G183" s="2" t="s">
        <v>18</v>
      </c>
      <c r="H183" s="17">
        <f>ROUND(VLOOKUP(H$163&amp;"_1",管理者用人口入力シート!BH:CE,J183,FALSE),0)</f>
        <v>45</v>
      </c>
      <c r="I183" s="17">
        <f>ROUND(VLOOKUP(H$163&amp;"_2",管理者用人口入力シート!BH:CE,J183,FALSE),0)</f>
        <v>122</v>
      </c>
      <c r="J183" s="2">
        <v>22</v>
      </c>
      <c r="N183" s="2" t="s">
        <v>18</v>
      </c>
      <c r="O183" s="17">
        <f>ROUND(VLOOKUP(O$163&amp;"_1",管理者用人口入力シート!CO:DL,Q183,FALSE),0)</f>
        <v>45</v>
      </c>
      <c r="P183" s="17">
        <f>ROUND(VLOOKUP(O$163&amp;"_2",管理者用人口入力シート!CO:DL,Q183,FALSE),0)</f>
        <v>122</v>
      </c>
      <c r="Q183" s="2">
        <v>22</v>
      </c>
    </row>
    <row r="184" spans="7:17" x14ac:dyDescent="0.15">
      <c r="G184" s="2" t="s">
        <v>19</v>
      </c>
      <c r="H184" s="17">
        <f>ROUND(VLOOKUP(H$163&amp;"_1",管理者用人口入力シート!BH:CE,J184,FALSE),0)</f>
        <v>11</v>
      </c>
      <c r="I184" s="17">
        <f>ROUND(VLOOKUP(H$163&amp;"_2",管理者用人口入力シート!BH:CE,J184,FALSE),0)</f>
        <v>51</v>
      </c>
      <c r="J184" s="2">
        <v>23</v>
      </c>
      <c r="N184" s="2" t="s">
        <v>19</v>
      </c>
      <c r="O184" s="17">
        <f>ROUND(VLOOKUP(O$163&amp;"_1",管理者用人口入力シート!CO:DL,Q184,FALSE),0)</f>
        <v>11</v>
      </c>
      <c r="P184" s="17">
        <f>ROUND(VLOOKUP(O$163&amp;"_2",管理者用人口入力シート!CO:DL,Q184,FALSE),0)</f>
        <v>51</v>
      </c>
      <c r="Q184" s="2">
        <v>23</v>
      </c>
    </row>
    <row r="185" spans="7:17" x14ac:dyDescent="0.15">
      <c r="G185" s="2" t="s">
        <v>20</v>
      </c>
      <c r="H185" s="17">
        <f>ROUND(VLOOKUP(H$163&amp;"_1",管理者用人口入力シート!BH:CE,J185,FALSE),0)</f>
        <v>0</v>
      </c>
      <c r="I185" s="17">
        <f>ROUND(VLOOKUP(H$163&amp;"_2",管理者用人口入力シート!BH:CE,J185,FALSE),0)</f>
        <v>8</v>
      </c>
      <c r="J185" s="2">
        <v>24</v>
      </c>
      <c r="N185" s="2" t="s">
        <v>20</v>
      </c>
      <c r="O185" s="17">
        <f>ROUND(VLOOKUP(O$163&amp;"_1",管理者用人口入力シート!CO:DL,Q185,FALSE),0)</f>
        <v>0</v>
      </c>
      <c r="P185" s="17">
        <f>ROUND(VLOOKUP(O$163&amp;"_2",管理者用人口入力シート!CO:DL,Q185,FALSE),0)</f>
        <v>8</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24</v>
      </c>
      <c r="I189" s="17">
        <f>ROUND(VLOOKUP(H$187&amp;"_2",管理者用人口入力シート!BH:CE,J189,FALSE),0)</f>
        <v>20</v>
      </c>
      <c r="J189" s="2">
        <v>4</v>
      </c>
      <c r="N189" s="2" t="s">
        <v>0</v>
      </c>
      <c r="O189" s="17">
        <f>ROUND(VLOOKUP(O$187&amp;"_1",管理者用人口入力シート!CO:DL,Q189,FALSE),0)</f>
        <v>27</v>
      </c>
      <c r="P189" s="17">
        <f>ROUND(VLOOKUP(O$187&amp;"_2",管理者用人口入力シート!CO:DL,Q189,FALSE),0)</f>
        <v>22</v>
      </c>
      <c r="Q189" s="2">
        <v>4</v>
      </c>
    </row>
    <row r="190" spans="7:17" x14ac:dyDescent="0.15">
      <c r="G190" s="2" t="s">
        <v>1</v>
      </c>
      <c r="H190" s="17">
        <f>ROUND(VLOOKUP(H$187&amp;"_1",管理者用人口入力シート!BH:CE,J190,FALSE),0)</f>
        <v>33</v>
      </c>
      <c r="I190" s="17">
        <f>ROUND(VLOOKUP(H$187&amp;"_2",管理者用人口入力シート!BH:CE,J190,FALSE),0)</f>
        <v>26</v>
      </c>
      <c r="J190" s="2">
        <v>5</v>
      </c>
      <c r="N190" s="2" t="s">
        <v>1</v>
      </c>
      <c r="O190" s="17">
        <f>ROUND(VLOOKUP(O$187&amp;"_1",管理者用人口入力シート!CO:DL,Q190,FALSE),0)</f>
        <v>36</v>
      </c>
      <c r="P190" s="17">
        <f>ROUND(VLOOKUP(O$187&amp;"_2",管理者用人口入力シート!CO:DL,Q190,FALSE),0)</f>
        <v>28</v>
      </c>
      <c r="Q190" s="2">
        <v>5</v>
      </c>
    </row>
    <row r="191" spans="7:17" x14ac:dyDescent="0.15">
      <c r="G191" s="2" t="s">
        <v>2</v>
      </c>
      <c r="H191" s="17">
        <f>ROUND(VLOOKUP(H$187&amp;"_1",管理者用人口入力シート!BH:CE,J191,FALSE),0)</f>
        <v>40</v>
      </c>
      <c r="I191" s="17">
        <f>ROUND(VLOOKUP(H$187&amp;"_2",管理者用人口入力シート!BH:CE,J191,FALSE),0)</f>
        <v>29</v>
      </c>
      <c r="J191" s="2">
        <v>6</v>
      </c>
      <c r="N191" s="2" t="s">
        <v>2</v>
      </c>
      <c r="O191" s="17">
        <f>ROUND(VLOOKUP(O$187&amp;"_1",管理者用人口入力シート!CO:DL,Q191,FALSE),0)</f>
        <v>44</v>
      </c>
      <c r="P191" s="17">
        <f>ROUND(VLOOKUP(O$187&amp;"_2",管理者用人口入力シート!CO:DL,Q191,FALSE),0)</f>
        <v>33</v>
      </c>
      <c r="Q191" s="2">
        <v>6</v>
      </c>
    </row>
    <row r="192" spans="7:17" x14ac:dyDescent="0.15">
      <c r="G192" s="2" t="s">
        <v>3</v>
      </c>
      <c r="H192" s="17">
        <f>ROUND(VLOOKUP(H$187&amp;"_1",管理者用人口入力シート!BH:CE,J192,FALSE),0)</f>
        <v>75</v>
      </c>
      <c r="I192" s="17">
        <f>ROUND(VLOOKUP(H$187&amp;"_2",管理者用人口入力シート!BH:CE,J192,FALSE),0)</f>
        <v>31</v>
      </c>
      <c r="J192" s="2">
        <v>7</v>
      </c>
      <c r="N192" s="2" t="s">
        <v>3</v>
      </c>
      <c r="O192" s="17">
        <f>ROUND(VLOOKUP(O$187&amp;"_1",管理者用人口入力シート!CO:DL,Q192,FALSE),0)</f>
        <v>82</v>
      </c>
      <c r="P192" s="17">
        <f>ROUND(VLOOKUP(O$187&amp;"_2",管理者用人口入力シート!CO:DL,Q192,FALSE),0)</f>
        <v>34</v>
      </c>
      <c r="Q192" s="2">
        <v>7</v>
      </c>
    </row>
    <row r="193" spans="7:17" x14ac:dyDescent="0.15">
      <c r="G193" s="2" t="s">
        <v>4</v>
      </c>
      <c r="H193" s="17">
        <f>ROUND(VLOOKUP(H$187&amp;"_1",管理者用人口入力シート!BH:CE,J193,FALSE),0)</f>
        <v>30</v>
      </c>
      <c r="I193" s="17">
        <f>ROUND(VLOOKUP(H$187&amp;"_2",管理者用人口入力シート!BH:CE,J193,FALSE),0)</f>
        <v>21</v>
      </c>
      <c r="J193" s="2">
        <v>8</v>
      </c>
      <c r="N193" s="2" t="s">
        <v>4</v>
      </c>
      <c r="O193" s="17">
        <f>ROUND(VLOOKUP(O$187&amp;"_1",管理者用人口入力シート!CO:DL,Q193,FALSE),0)</f>
        <v>32</v>
      </c>
      <c r="P193" s="17">
        <f>ROUND(VLOOKUP(O$187&amp;"_2",管理者用人口入力シート!CO:DL,Q193,FALSE),0)</f>
        <v>23</v>
      </c>
      <c r="Q193" s="2">
        <v>8</v>
      </c>
    </row>
    <row r="194" spans="7:17" x14ac:dyDescent="0.15">
      <c r="G194" s="2" t="s">
        <v>5</v>
      </c>
      <c r="H194" s="17">
        <f>ROUND(VLOOKUP(H$187&amp;"_1",管理者用人口入力シート!BH:CE,J194,FALSE),0)</f>
        <v>38</v>
      </c>
      <c r="I194" s="17">
        <f>ROUND(VLOOKUP(H$187&amp;"_2",管理者用人口入力シート!BH:CE,J194,FALSE),0)</f>
        <v>21</v>
      </c>
      <c r="J194" s="2">
        <v>9</v>
      </c>
      <c r="N194" s="2" t="s">
        <v>5</v>
      </c>
      <c r="O194" s="17">
        <f>ROUND(VLOOKUP(O$187&amp;"_1",管理者用人口入力シート!CO:DL,Q194,FALSE),0)</f>
        <v>41</v>
      </c>
      <c r="P194" s="17">
        <f>ROUND(VLOOKUP(O$187&amp;"_2",管理者用人口入力シート!CO:DL,Q194,FALSE),0)</f>
        <v>24</v>
      </c>
      <c r="Q194" s="2">
        <v>9</v>
      </c>
    </row>
    <row r="195" spans="7:17" x14ac:dyDescent="0.15">
      <c r="G195" s="2" t="s">
        <v>6</v>
      </c>
      <c r="H195" s="17">
        <f>ROUND(VLOOKUP(H$187&amp;"_1",管理者用人口入力シート!BH:CE,J195,FALSE),0)</f>
        <v>51</v>
      </c>
      <c r="I195" s="17">
        <f>ROUND(VLOOKUP(H$187&amp;"_2",管理者用人口入力シート!BH:CE,J195,FALSE),0)</f>
        <v>31</v>
      </c>
      <c r="J195" s="2">
        <v>10</v>
      </c>
      <c r="N195" s="2" t="s">
        <v>6</v>
      </c>
      <c r="O195" s="17">
        <f>ROUND(VLOOKUP(O$187&amp;"_1",管理者用人口入力シート!CO:DL,Q195,FALSE),0)</f>
        <v>54</v>
      </c>
      <c r="P195" s="17">
        <f>ROUND(VLOOKUP(O$187&amp;"_2",管理者用人口入力シート!CO:DL,Q195,FALSE),0)</f>
        <v>33</v>
      </c>
      <c r="Q195" s="2">
        <v>10</v>
      </c>
    </row>
    <row r="196" spans="7:17" x14ac:dyDescent="0.15">
      <c r="G196" s="2" t="s">
        <v>7</v>
      </c>
      <c r="H196" s="17">
        <f>ROUND(VLOOKUP(H$187&amp;"_1",管理者用人口入力シート!BH:CE,J196,FALSE),0)</f>
        <v>64</v>
      </c>
      <c r="I196" s="17">
        <f>ROUND(VLOOKUP(H$187&amp;"_2",管理者用人口入力シート!BH:CE,J196,FALSE),0)</f>
        <v>56</v>
      </c>
      <c r="J196" s="2">
        <v>11</v>
      </c>
      <c r="N196" s="2" t="s">
        <v>7</v>
      </c>
      <c r="O196" s="17">
        <f>ROUND(VLOOKUP(O$187&amp;"_1",管理者用人口入力シート!CO:DL,Q196,FALSE),0)</f>
        <v>67</v>
      </c>
      <c r="P196" s="17">
        <f>ROUND(VLOOKUP(O$187&amp;"_2",管理者用人口入力シート!CO:DL,Q196,FALSE),0)</f>
        <v>59</v>
      </c>
      <c r="Q196" s="2">
        <v>11</v>
      </c>
    </row>
    <row r="197" spans="7:17" x14ac:dyDescent="0.15">
      <c r="G197" s="2" t="s">
        <v>8</v>
      </c>
      <c r="H197" s="17">
        <f>ROUND(VLOOKUP(H$187&amp;"_1",管理者用人口入力シート!BH:CE,J197,FALSE),0)</f>
        <v>69</v>
      </c>
      <c r="I197" s="17">
        <f>ROUND(VLOOKUP(H$187&amp;"_2",管理者用人口入力シート!BH:CE,J197,FALSE),0)</f>
        <v>52</v>
      </c>
      <c r="J197" s="2">
        <v>12</v>
      </c>
      <c r="N197" s="2" t="s">
        <v>8</v>
      </c>
      <c r="O197" s="17">
        <f>ROUND(VLOOKUP(O$187&amp;"_1",管理者用人口入力シート!CO:DL,Q197,FALSE),0)</f>
        <v>71</v>
      </c>
      <c r="P197" s="17">
        <f>ROUND(VLOOKUP(O$187&amp;"_2",管理者用人口入力シート!CO:DL,Q197,FALSE),0)</f>
        <v>56</v>
      </c>
      <c r="Q197" s="2">
        <v>12</v>
      </c>
    </row>
    <row r="198" spans="7:17" x14ac:dyDescent="0.15">
      <c r="G198" s="2" t="s">
        <v>9</v>
      </c>
      <c r="H198" s="17">
        <f>ROUND(VLOOKUP(H$187&amp;"_1",管理者用人口入力シート!BH:CE,J198,FALSE),0)</f>
        <v>75</v>
      </c>
      <c r="I198" s="17">
        <f>ROUND(VLOOKUP(H$187&amp;"_2",管理者用人口入力シート!BH:CE,J198,FALSE),0)</f>
        <v>45</v>
      </c>
      <c r="J198" s="2">
        <v>13</v>
      </c>
      <c r="N198" s="2" t="s">
        <v>9</v>
      </c>
      <c r="O198" s="17">
        <f>ROUND(VLOOKUP(O$187&amp;"_1",管理者用人口入力シート!CO:DL,Q198,FALSE),0)</f>
        <v>78</v>
      </c>
      <c r="P198" s="17">
        <f>ROUND(VLOOKUP(O$187&amp;"_2",管理者用人口入力シート!CO:DL,Q198,FALSE),0)</f>
        <v>49</v>
      </c>
      <c r="Q198" s="2">
        <v>13</v>
      </c>
    </row>
    <row r="199" spans="7:17" x14ac:dyDescent="0.15">
      <c r="G199" s="2" t="s">
        <v>10</v>
      </c>
      <c r="H199" s="17">
        <f>ROUND(VLOOKUP(H$187&amp;"_1",管理者用人口入力シート!BH:CE,J199,FALSE),0)</f>
        <v>79</v>
      </c>
      <c r="I199" s="17">
        <f>ROUND(VLOOKUP(H$187&amp;"_2",管理者用人口入力シート!BH:CE,J199,FALSE),0)</f>
        <v>73</v>
      </c>
      <c r="J199" s="2">
        <v>14</v>
      </c>
      <c r="N199" s="2" t="s">
        <v>10</v>
      </c>
      <c r="O199" s="17">
        <f>ROUND(VLOOKUP(O$187&amp;"_1",管理者用人口入力シート!CO:DL,Q199,FALSE),0)</f>
        <v>81</v>
      </c>
      <c r="P199" s="17">
        <f>ROUND(VLOOKUP(O$187&amp;"_2",管理者用人口入力シート!CO:DL,Q199,FALSE),0)</f>
        <v>77</v>
      </c>
      <c r="Q199" s="2">
        <v>14</v>
      </c>
    </row>
    <row r="200" spans="7:17" x14ac:dyDescent="0.15">
      <c r="G200" s="2" t="s">
        <v>11</v>
      </c>
      <c r="H200" s="17">
        <f>ROUND(VLOOKUP(H$187&amp;"_1",管理者用人口入力シート!BH:CE,J200,FALSE),0)</f>
        <v>107</v>
      </c>
      <c r="I200" s="17">
        <f>ROUND(VLOOKUP(H$187&amp;"_2",管理者用人口入力シート!BH:CE,J200,FALSE),0)</f>
        <v>95</v>
      </c>
      <c r="J200" s="2">
        <v>15</v>
      </c>
      <c r="N200" s="2" t="s">
        <v>11</v>
      </c>
      <c r="O200" s="17">
        <f>ROUND(VLOOKUP(O$187&amp;"_1",管理者用人口入力シート!CO:DL,Q200,FALSE),0)</f>
        <v>107</v>
      </c>
      <c r="P200" s="17">
        <f>ROUND(VLOOKUP(O$187&amp;"_2",管理者用人口入力シート!CO:DL,Q200,FALSE),0)</f>
        <v>96</v>
      </c>
      <c r="Q200" s="2">
        <v>15</v>
      </c>
    </row>
    <row r="201" spans="7:17" x14ac:dyDescent="0.15">
      <c r="G201" s="2" t="s">
        <v>12</v>
      </c>
      <c r="H201" s="17">
        <f>ROUND(VLOOKUP(H$187&amp;"_1",管理者用人口入力シート!BH:CE,J201,FALSE),0)</f>
        <v>104</v>
      </c>
      <c r="I201" s="17">
        <f>ROUND(VLOOKUP(H$187&amp;"_2",管理者用人口入力シート!BH:CE,J201,FALSE),0)</f>
        <v>109</v>
      </c>
      <c r="J201" s="2">
        <v>16</v>
      </c>
      <c r="N201" s="2" t="s">
        <v>12</v>
      </c>
      <c r="O201" s="17">
        <f>ROUND(VLOOKUP(O$187&amp;"_1",管理者用人口入力シート!CO:DL,Q201,FALSE),0)</f>
        <v>104</v>
      </c>
      <c r="P201" s="17">
        <f>ROUND(VLOOKUP(O$187&amp;"_2",管理者用人口入力シート!CO:DL,Q201,FALSE),0)</f>
        <v>110</v>
      </c>
      <c r="Q201" s="2">
        <v>16</v>
      </c>
    </row>
    <row r="202" spans="7:17" x14ac:dyDescent="0.15">
      <c r="G202" s="2" t="s">
        <v>13</v>
      </c>
      <c r="H202" s="17">
        <f>ROUND(VLOOKUP(H$187&amp;"_1",管理者用人口入力シート!BH:CE,J202,FALSE),0)</f>
        <v>121</v>
      </c>
      <c r="I202" s="17">
        <f>ROUND(VLOOKUP(H$187&amp;"_2",管理者用人口入力シート!BH:CE,J202,FALSE),0)</f>
        <v>144</v>
      </c>
      <c r="J202" s="2">
        <v>17</v>
      </c>
      <c r="N202" s="2" t="s">
        <v>13</v>
      </c>
      <c r="O202" s="17">
        <f>ROUND(VLOOKUP(O$187&amp;"_1",管理者用人口入力シート!CO:DL,Q202,FALSE),0)</f>
        <v>121</v>
      </c>
      <c r="P202" s="17">
        <f>ROUND(VLOOKUP(O$187&amp;"_2",管理者用人口入力シート!CO:DL,Q202,FALSE),0)</f>
        <v>145</v>
      </c>
      <c r="Q202" s="2">
        <v>17</v>
      </c>
    </row>
    <row r="203" spans="7:17" x14ac:dyDescent="0.15">
      <c r="G203" s="2" t="s">
        <v>14</v>
      </c>
      <c r="H203" s="17">
        <f>ROUND(VLOOKUP(H$187&amp;"_1",管理者用人口入力シート!BH:CE,J203,FALSE),0)</f>
        <v>132</v>
      </c>
      <c r="I203" s="17">
        <f>ROUND(VLOOKUP(H$187&amp;"_2",管理者用人口入力シート!BH:CE,J203,FALSE),0)</f>
        <v>141</v>
      </c>
      <c r="J203" s="2">
        <v>18</v>
      </c>
      <c r="N203" s="2" t="s">
        <v>14</v>
      </c>
      <c r="O203" s="17">
        <f>ROUND(VLOOKUP(O$187&amp;"_1",管理者用人口入力シート!CO:DL,Q203,FALSE),0)</f>
        <v>132</v>
      </c>
      <c r="P203" s="17">
        <f>ROUND(VLOOKUP(O$187&amp;"_2",管理者用人口入力シート!CO:DL,Q203,FALSE),0)</f>
        <v>141</v>
      </c>
      <c r="Q203" s="2">
        <v>18</v>
      </c>
    </row>
    <row r="204" spans="7:17" x14ac:dyDescent="0.15">
      <c r="G204" s="2" t="s">
        <v>15</v>
      </c>
      <c r="H204" s="17">
        <f>ROUND(VLOOKUP(H$187&amp;"_1",管理者用人口入力シート!BH:CE,J204,FALSE),0)</f>
        <v>97</v>
      </c>
      <c r="I204" s="17">
        <f>ROUND(VLOOKUP(H$187&amp;"_2",管理者用人口入力シート!BH:CE,J204,FALSE),0)</f>
        <v>137</v>
      </c>
      <c r="J204" s="2">
        <v>19</v>
      </c>
      <c r="N204" s="2" t="s">
        <v>15</v>
      </c>
      <c r="O204" s="17">
        <f>ROUND(VLOOKUP(O$187&amp;"_1",管理者用人口入力シート!CO:DL,Q204,FALSE),0)</f>
        <v>97</v>
      </c>
      <c r="P204" s="17">
        <f>ROUND(VLOOKUP(O$187&amp;"_2",管理者用人口入力シート!CO:DL,Q204,FALSE),0)</f>
        <v>137</v>
      </c>
      <c r="Q204" s="2">
        <v>19</v>
      </c>
    </row>
    <row r="205" spans="7:17" x14ac:dyDescent="0.15">
      <c r="G205" s="2" t="s">
        <v>16</v>
      </c>
      <c r="H205" s="17">
        <f>ROUND(VLOOKUP(H$187&amp;"_1",管理者用人口入力シート!BH:CE,J205,FALSE),0)</f>
        <v>89</v>
      </c>
      <c r="I205" s="17">
        <f>ROUND(VLOOKUP(H$187&amp;"_2",管理者用人口入力シート!BH:CE,J205,FALSE),0)</f>
        <v>109</v>
      </c>
      <c r="J205" s="2">
        <v>20</v>
      </c>
      <c r="N205" s="2" t="s">
        <v>16</v>
      </c>
      <c r="O205" s="17">
        <f>ROUND(VLOOKUP(O$187&amp;"_1",管理者用人口入力シート!CO:DL,Q205,FALSE),0)</f>
        <v>89</v>
      </c>
      <c r="P205" s="17">
        <f>ROUND(VLOOKUP(O$187&amp;"_2",管理者用人口入力シート!CO:DL,Q205,FALSE),0)</f>
        <v>109</v>
      </c>
      <c r="Q205" s="2">
        <v>20</v>
      </c>
    </row>
    <row r="206" spans="7:17" x14ac:dyDescent="0.15">
      <c r="G206" s="2" t="s">
        <v>17</v>
      </c>
      <c r="H206" s="17">
        <f>ROUND(VLOOKUP(H$187&amp;"_1",管理者用人口入力シート!BH:CE,J206,FALSE),0)</f>
        <v>68</v>
      </c>
      <c r="I206" s="17">
        <f>ROUND(VLOOKUP(H$187&amp;"_2",管理者用人口入力シート!BH:CE,J206,FALSE),0)</f>
        <v>118</v>
      </c>
      <c r="J206" s="2">
        <v>21</v>
      </c>
      <c r="N206" s="2" t="s">
        <v>17</v>
      </c>
      <c r="O206" s="17">
        <f>ROUND(VLOOKUP(O$187&amp;"_1",管理者用人口入力シート!CO:DL,Q206,FALSE),0)</f>
        <v>68</v>
      </c>
      <c r="P206" s="17">
        <f>ROUND(VLOOKUP(O$187&amp;"_2",管理者用人口入力シート!CO:DL,Q206,FALSE),0)</f>
        <v>118</v>
      </c>
      <c r="Q206" s="2">
        <v>21</v>
      </c>
    </row>
    <row r="207" spans="7:17" x14ac:dyDescent="0.15">
      <c r="G207" s="2" t="s">
        <v>18</v>
      </c>
      <c r="H207" s="17">
        <f>ROUND(VLOOKUP(H$187&amp;"_1",管理者用人口入力シート!BH:CE,J207,FALSE),0)</f>
        <v>34</v>
      </c>
      <c r="I207" s="17">
        <f>ROUND(VLOOKUP(H$187&amp;"_2",管理者用人口入力シート!BH:CE,J207,FALSE),0)</f>
        <v>93</v>
      </c>
      <c r="J207" s="2">
        <v>22</v>
      </c>
      <c r="N207" s="2" t="s">
        <v>18</v>
      </c>
      <c r="O207" s="17">
        <f>ROUND(VLOOKUP(O$187&amp;"_1",管理者用人口入力シート!CO:DL,Q207,FALSE),0)</f>
        <v>34</v>
      </c>
      <c r="P207" s="17">
        <f>ROUND(VLOOKUP(O$187&amp;"_2",管理者用人口入力シート!CO:DL,Q207,FALSE),0)</f>
        <v>93</v>
      </c>
      <c r="Q207" s="2">
        <v>22</v>
      </c>
    </row>
    <row r="208" spans="7:17" x14ac:dyDescent="0.15">
      <c r="G208" s="2" t="s">
        <v>19</v>
      </c>
      <c r="H208" s="17">
        <f>ROUND(VLOOKUP(H$187&amp;"_1",管理者用人口入力シート!BH:CE,J208,FALSE),0)</f>
        <v>11</v>
      </c>
      <c r="I208" s="17">
        <f>ROUND(VLOOKUP(H$187&amp;"_2",管理者用人口入力シート!BH:CE,J208,FALSE),0)</f>
        <v>53</v>
      </c>
      <c r="J208" s="2">
        <v>23</v>
      </c>
      <c r="N208" s="2" t="s">
        <v>19</v>
      </c>
      <c r="O208" s="17">
        <f>ROUND(VLOOKUP(O$187&amp;"_1",管理者用人口入力シート!CO:DL,Q208,FALSE),0)</f>
        <v>11</v>
      </c>
      <c r="P208" s="17">
        <f>ROUND(VLOOKUP(O$187&amp;"_2",管理者用人口入力シート!CO:DL,Q208,FALSE),0)</f>
        <v>53</v>
      </c>
      <c r="Q208" s="2">
        <v>23</v>
      </c>
    </row>
    <row r="209" spans="7:17" x14ac:dyDescent="0.15">
      <c r="G209" s="2" t="s">
        <v>20</v>
      </c>
      <c r="H209" s="17">
        <f>ROUND(VLOOKUP(H$187&amp;"_1",管理者用人口入力シート!BH:CE,J209,FALSE),0)</f>
        <v>0</v>
      </c>
      <c r="I209" s="17">
        <f>ROUND(VLOOKUP(H$187&amp;"_2",管理者用人口入力シート!BH:CE,J209,FALSE),0)</f>
        <v>10</v>
      </c>
      <c r="J209" s="2">
        <v>24</v>
      </c>
      <c r="N209" s="2" t="s">
        <v>20</v>
      </c>
      <c r="O209" s="17">
        <f>ROUND(VLOOKUP(O$187&amp;"_1",管理者用人口入力シート!CO:DL,Q209,FALSE),0)</f>
        <v>0</v>
      </c>
      <c r="P209" s="17">
        <f>ROUND(VLOOKUP(O$187&amp;"_2",管理者用人口入力シート!CO:DL,Q209,FALSE),0)</f>
        <v>10</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72</v>
      </c>
      <c r="P214" s="17">
        <f>O93+P93</f>
        <v>75</v>
      </c>
      <c r="Q214" s="2">
        <v>4</v>
      </c>
    </row>
    <row r="215" spans="7:17" x14ac:dyDescent="0.15">
      <c r="N215" s="2" t="s">
        <v>1</v>
      </c>
      <c r="O215" s="17">
        <f t="shared" ref="O215:O233" si="37">H94+I94</f>
        <v>96</v>
      </c>
      <c r="P215" s="17">
        <f t="shared" ref="P215:P233" si="38">O94+P94</f>
        <v>98</v>
      </c>
      <c r="Q215" s="2">
        <v>5</v>
      </c>
    </row>
    <row r="216" spans="7:17" x14ac:dyDescent="0.15">
      <c r="N216" s="2" t="s">
        <v>2</v>
      </c>
      <c r="O216" s="17">
        <f t="shared" si="37"/>
        <v>135</v>
      </c>
      <c r="P216" s="17">
        <f t="shared" si="38"/>
        <v>137</v>
      </c>
      <c r="Q216" s="2">
        <v>6</v>
      </c>
    </row>
    <row r="217" spans="7:17" x14ac:dyDescent="0.15">
      <c r="N217" s="2" t="s">
        <v>3</v>
      </c>
      <c r="O217" s="17">
        <f t="shared" si="37"/>
        <v>234</v>
      </c>
      <c r="P217" s="17">
        <f t="shared" si="38"/>
        <v>236</v>
      </c>
      <c r="Q217" s="2">
        <v>7</v>
      </c>
    </row>
    <row r="218" spans="7:17" x14ac:dyDescent="0.15">
      <c r="N218" s="2" t="s">
        <v>4</v>
      </c>
      <c r="O218" s="17">
        <f t="shared" si="37"/>
        <v>102</v>
      </c>
      <c r="P218" s="17">
        <f t="shared" si="38"/>
        <v>102</v>
      </c>
      <c r="Q218" s="2">
        <v>8</v>
      </c>
    </row>
    <row r="219" spans="7:17" x14ac:dyDescent="0.15">
      <c r="N219" s="2" t="s">
        <v>5</v>
      </c>
      <c r="O219" s="17">
        <f t="shared" si="37"/>
        <v>94</v>
      </c>
      <c r="P219" s="17">
        <f t="shared" si="38"/>
        <v>98</v>
      </c>
      <c r="Q219" s="2">
        <v>9</v>
      </c>
    </row>
    <row r="220" spans="7:17" x14ac:dyDescent="0.15">
      <c r="N220" s="2" t="s">
        <v>6</v>
      </c>
      <c r="O220" s="17">
        <f t="shared" si="37"/>
        <v>120</v>
      </c>
      <c r="P220" s="17">
        <f t="shared" si="38"/>
        <v>125</v>
      </c>
      <c r="Q220" s="2">
        <v>10</v>
      </c>
    </row>
    <row r="221" spans="7:17" x14ac:dyDescent="0.15">
      <c r="N221" s="2" t="s">
        <v>7</v>
      </c>
      <c r="O221" s="17">
        <f t="shared" si="37"/>
        <v>172</v>
      </c>
      <c r="P221" s="17">
        <f t="shared" si="38"/>
        <v>172</v>
      </c>
      <c r="Q221" s="2">
        <v>11</v>
      </c>
    </row>
    <row r="222" spans="7:17" x14ac:dyDescent="0.15">
      <c r="N222" s="2" t="s">
        <v>8</v>
      </c>
      <c r="O222" s="17">
        <f t="shared" si="37"/>
        <v>186</v>
      </c>
      <c r="P222" s="17">
        <f t="shared" si="38"/>
        <v>187</v>
      </c>
      <c r="Q222" s="2">
        <v>12</v>
      </c>
    </row>
    <row r="223" spans="7:17" x14ac:dyDescent="0.15">
      <c r="N223" s="2" t="s">
        <v>9</v>
      </c>
      <c r="O223" s="17">
        <f t="shared" si="37"/>
        <v>247</v>
      </c>
      <c r="P223" s="17">
        <f t="shared" si="38"/>
        <v>248</v>
      </c>
      <c r="Q223" s="2">
        <v>13</v>
      </c>
    </row>
    <row r="224" spans="7:17" x14ac:dyDescent="0.15">
      <c r="N224" s="2" t="s">
        <v>10</v>
      </c>
      <c r="O224" s="17">
        <f t="shared" si="37"/>
        <v>287</v>
      </c>
      <c r="P224" s="17">
        <f t="shared" si="38"/>
        <v>287</v>
      </c>
      <c r="Q224" s="2">
        <v>14</v>
      </c>
    </row>
    <row r="225" spans="14:17" x14ac:dyDescent="0.15">
      <c r="N225" s="2" t="s">
        <v>11</v>
      </c>
      <c r="O225" s="17">
        <f t="shared" si="37"/>
        <v>270</v>
      </c>
      <c r="P225" s="17">
        <f t="shared" si="38"/>
        <v>270</v>
      </c>
      <c r="Q225" s="2">
        <v>15</v>
      </c>
    </row>
    <row r="226" spans="14:17" x14ac:dyDescent="0.15">
      <c r="N226" s="2" t="s">
        <v>12</v>
      </c>
      <c r="O226" s="17">
        <f t="shared" si="37"/>
        <v>262</v>
      </c>
      <c r="P226" s="17">
        <f t="shared" si="38"/>
        <v>262</v>
      </c>
      <c r="Q226" s="2">
        <v>16</v>
      </c>
    </row>
    <row r="227" spans="14:17" x14ac:dyDescent="0.15">
      <c r="N227" s="2" t="s">
        <v>13</v>
      </c>
      <c r="O227" s="17">
        <f t="shared" si="37"/>
        <v>296</v>
      </c>
      <c r="P227" s="17">
        <f t="shared" si="38"/>
        <v>296</v>
      </c>
      <c r="Q227" s="2">
        <v>17</v>
      </c>
    </row>
    <row r="228" spans="14:17" x14ac:dyDescent="0.15">
      <c r="N228" s="2" t="s">
        <v>14</v>
      </c>
      <c r="O228" s="17">
        <f t="shared" si="37"/>
        <v>323</v>
      </c>
      <c r="P228" s="17">
        <f t="shared" si="38"/>
        <v>323</v>
      </c>
      <c r="Q228" s="2">
        <v>18</v>
      </c>
    </row>
    <row r="229" spans="14:17" x14ac:dyDescent="0.15">
      <c r="N229" s="2" t="s">
        <v>15</v>
      </c>
      <c r="O229" s="17">
        <f t="shared" si="37"/>
        <v>392</v>
      </c>
      <c r="P229" s="17">
        <f t="shared" si="38"/>
        <v>392</v>
      </c>
      <c r="Q229" s="2">
        <v>19</v>
      </c>
    </row>
    <row r="230" spans="14:17" x14ac:dyDescent="0.15">
      <c r="N230" s="2" t="s">
        <v>16</v>
      </c>
      <c r="O230" s="17">
        <f t="shared" si="37"/>
        <v>344</v>
      </c>
      <c r="P230" s="17">
        <f t="shared" si="38"/>
        <v>344</v>
      </c>
      <c r="Q230" s="2">
        <v>20</v>
      </c>
    </row>
    <row r="231" spans="14:17" x14ac:dyDescent="0.15">
      <c r="N231" s="2" t="s">
        <v>17</v>
      </c>
      <c r="O231" s="17">
        <f t="shared" si="37"/>
        <v>230</v>
      </c>
      <c r="P231" s="17">
        <f t="shared" si="38"/>
        <v>230</v>
      </c>
      <c r="Q231" s="2">
        <v>21</v>
      </c>
    </row>
    <row r="232" spans="14:17" x14ac:dyDescent="0.15">
      <c r="N232" s="2" t="s">
        <v>18</v>
      </c>
      <c r="O232" s="17">
        <f t="shared" si="37"/>
        <v>137</v>
      </c>
      <c r="P232" s="17">
        <f t="shared" si="38"/>
        <v>137</v>
      </c>
      <c r="Q232" s="2">
        <v>22</v>
      </c>
    </row>
    <row r="233" spans="14:17" x14ac:dyDescent="0.15">
      <c r="N233" s="2" t="s">
        <v>19</v>
      </c>
      <c r="O233" s="17">
        <f t="shared" si="37"/>
        <v>58</v>
      </c>
      <c r="P233" s="17">
        <f t="shared" si="38"/>
        <v>58</v>
      </c>
      <c r="Q233" s="2">
        <v>23</v>
      </c>
    </row>
    <row r="234" spans="14:17" x14ac:dyDescent="0.15">
      <c r="N234" s="2" t="s">
        <v>20</v>
      </c>
      <c r="O234" s="17">
        <f>H113+I113</f>
        <v>9</v>
      </c>
      <c r="P234" s="17">
        <f>O113+P113</f>
        <v>9</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55</v>
      </c>
      <c r="P238" s="17">
        <f>O141+P141</f>
        <v>60</v>
      </c>
      <c r="Q238" s="2">
        <v>4</v>
      </c>
    </row>
    <row r="239" spans="14:17" x14ac:dyDescent="0.15">
      <c r="N239" s="2" t="s">
        <v>1</v>
      </c>
      <c r="O239" s="17">
        <f t="shared" ref="O239:O257" si="39">H142+I142</f>
        <v>74</v>
      </c>
      <c r="P239" s="17">
        <f t="shared" ref="P239:P257" si="40">O142+P142</f>
        <v>79</v>
      </c>
      <c r="Q239" s="2">
        <v>5</v>
      </c>
    </row>
    <row r="240" spans="14:17" x14ac:dyDescent="0.15">
      <c r="N240" s="2" t="s">
        <v>2</v>
      </c>
      <c r="O240" s="17">
        <f t="shared" si="39"/>
        <v>90</v>
      </c>
      <c r="P240" s="17">
        <f t="shared" si="40"/>
        <v>97</v>
      </c>
      <c r="Q240" s="2">
        <v>6</v>
      </c>
    </row>
    <row r="241" spans="14:17" x14ac:dyDescent="0.15">
      <c r="N241" s="2" t="s">
        <v>3</v>
      </c>
      <c r="O241" s="17">
        <f t="shared" si="39"/>
        <v>138</v>
      </c>
      <c r="P241" s="17">
        <f t="shared" si="40"/>
        <v>143</v>
      </c>
      <c r="Q241" s="2">
        <v>7</v>
      </c>
    </row>
    <row r="242" spans="14:17" x14ac:dyDescent="0.15">
      <c r="N242" s="2" t="s">
        <v>4</v>
      </c>
      <c r="O242" s="17">
        <f t="shared" si="39"/>
        <v>77</v>
      </c>
      <c r="P242" s="17">
        <f t="shared" si="40"/>
        <v>78</v>
      </c>
      <c r="Q242" s="2">
        <v>8</v>
      </c>
    </row>
    <row r="243" spans="14:17" x14ac:dyDescent="0.15">
      <c r="N243" s="2" t="s">
        <v>5</v>
      </c>
      <c r="O243" s="17">
        <f t="shared" si="39"/>
        <v>101</v>
      </c>
      <c r="P243" s="17">
        <f t="shared" si="40"/>
        <v>107</v>
      </c>
      <c r="Q243" s="2">
        <v>9</v>
      </c>
    </row>
    <row r="244" spans="14:17" x14ac:dyDescent="0.15">
      <c r="N244" s="2" t="s">
        <v>6</v>
      </c>
      <c r="O244" s="17">
        <f t="shared" si="39"/>
        <v>107</v>
      </c>
      <c r="P244" s="17">
        <f t="shared" si="40"/>
        <v>112</v>
      </c>
      <c r="Q244" s="2">
        <v>10</v>
      </c>
    </row>
    <row r="245" spans="14:17" x14ac:dyDescent="0.15">
      <c r="N245" s="2" t="s">
        <v>7</v>
      </c>
      <c r="O245" s="17">
        <f t="shared" si="39"/>
        <v>110</v>
      </c>
      <c r="P245" s="17">
        <f t="shared" si="40"/>
        <v>114</v>
      </c>
      <c r="Q245" s="2">
        <v>11</v>
      </c>
    </row>
    <row r="246" spans="14:17" x14ac:dyDescent="0.15">
      <c r="N246" s="2" t="s">
        <v>8</v>
      </c>
      <c r="O246" s="17">
        <f t="shared" si="39"/>
        <v>136</v>
      </c>
      <c r="P246" s="17">
        <f t="shared" si="40"/>
        <v>142</v>
      </c>
      <c r="Q246" s="2">
        <v>12</v>
      </c>
    </row>
    <row r="247" spans="14:17" x14ac:dyDescent="0.15">
      <c r="N247" s="2" t="s">
        <v>9</v>
      </c>
      <c r="O247" s="17">
        <f t="shared" si="39"/>
        <v>187</v>
      </c>
      <c r="P247" s="17">
        <f t="shared" si="40"/>
        <v>188</v>
      </c>
      <c r="Q247" s="2">
        <v>13</v>
      </c>
    </row>
    <row r="248" spans="14:17" x14ac:dyDescent="0.15">
      <c r="N248" s="2" t="s">
        <v>10</v>
      </c>
      <c r="O248" s="17">
        <f t="shared" si="39"/>
        <v>209</v>
      </c>
      <c r="P248" s="17">
        <f t="shared" si="40"/>
        <v>210</v>
      </c>
      <c r="Q248" s="2">
        <v>14</v>
      </c>
    </row>
    <row r="249" spans="14:17" x14ac:dyDescent="0.15">
      <c r="N249" s="2" t="s">
        <v>11</v>
      </c>
      <c r="O249" s="17">
        <f t="shared" si="39"/>
        <v>269</v>
      </c>
      <c r="P249" s="17">
        <f t="shared" si="40"/>
        <v>270</v>
      </c>
      <c r="Q249" s="2">
        <v>15</v>
      </c>
    </row>
    <row r="250" spans="14:17" x14ac:dyDescent="0.15">
      <c r="N250" s="2" t="s">
        <v>12</v>
      </c>
      <c r="O250" s="17">
        <f t="shared" si="39"/>
        <v>295</v>
      </c>
      <c r="P250" s="17">
        <f t="shared" si="40"/>
        <v>295</v>
      </c>
      <c r="Q250" s="2">
        <v>16</v>
      </c>
    </row>
    <row r="251" spans="14:17" x14ac:dyDescent="0.15">
      <c r="N251" s="2" t="s">
        <v>13</v>
      </c>
      <c r="O251" s="17">
        <f t="shared" si="39"/>
        <v>266</v>
      </c>
      <c r="P251" s="17">
        <f t="shared" si="40"/>
        <v>266</v>
      </c>
      <c r="Q251" s="2">
        <v>17</v>
      </c>
    </row>
    <row r="252" spans="14:17" x14ac:dyDescent="0.15">
      <c r="N252" s="2" t="s">
        <v>14</v>
      </c>
      <c r="O252" s="17">
        <f t="shared" si="39"/>
        <v>243</v>
      </c>
      <c r="P252" s="17">
        <f t="shared" si="40"/>
        <v>243</v>
      </c>
      <c r="Q252" s="2">
        <v>18</v>
      </c>
    </row>
    <row r="253" spans="14:17" x14ac:dyDescent="0.15">
      <c r="N253" s="2" t="s">
        <v>15</v>
      </c>
      <c r="O253" s="17">
        <f t="shared" si="39"/>
        <v>258</v>
      </c>
      <c r="P253" s="17">
        <f t="shared" si="40"/>
        <v>258</v>
      </c>
      <c r="Q253" s="2">
        <v>19</v>
      </c>
    </row>
    <row r="254" spans="14:17" x14ac:dyDescent="0.15">
      <c r="N254" s="2" t="s">
        <v>16</v>
      </c>
      <c r="O254" s="17">
        <f t="shared" si="39"/>
        <v>264</v>
      </c>
      <c r="P254" s="17">
        <f t="shared" si="40"/>
        <v>264</v>
      </c>
      <c r="Q254" s="2">
        <v>20</v>
      </c>
    </row>
    <row r="255" spans="14:17" x14ac:dyDescent="0.15">
      <c r="N255" s="2" t="s">
        <v>17</v>
      </c>
      <c r="O255" s="17">
        <f t="shared" si="39"/>
        <v>282</v>
      </c>
      <c r="P255" s="17">
        <f t="shared" si="40"/>
        <v>282</v>
      </c>
      <c r="Q255" s="2">
        <v>21</v>
      </c>
    </row>
    <row r="256" spans="14:17" x14ac:dyDescent="0.15">
      <c r="N256" s="2" t="s">
        <v>18</v>
      </c>
      <c r="O256" s="17">
        <f t="shared" si="39"/>
        <v>164</v>
      </c>
      <c r="P256" s="17">
        <f t="shared" si="40"/>
        <v>164</v>
      </c>
      <c r="Q256" s="2">
        <v>22</v>
      </c>
    </row>
    <row r="257" spans="14:17" x14ac:dyDescent="0.15">
      <c r="N257" s="2" t="s">
        <v>19</v>
      </c>
      <c r="O257" s="17">
        <f t="shared" si="39"/>
        <v>49</v>
      </c>
      <c r="P257" s="17">
        <f t="shared" si="40"/>
        <v>49</v>
      </c>
      <c r="Q257" s="2">
        <v>23</v>
      </c>
    </row>
    <row r="258" spans="14:17" x14ac:dyDescent="0.15">
      <c r="N258" s="2" t="s">
        <v>20</v>
      </c>
      <c r="O258" s="17">
        <f>H161+I161</f>
        <v>9</v>
      </c>
      <c r="P258" s="17">
        <f>O161+P161</f>
        <v>9</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2019-03-15T12:18:41Z</cp:lastPrinted>
  <dcterms:created xsi:type="dcterms:W3CDTF">2018-08-17T00:57:13Z</dcterms:created>
  <dcterms:modified xsi:type="dcterms:W3CDTF">2023-03-06T09:14:00Z</dcterms:modified>
</cp:coreProperties>
</file>