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tCGWy+tuaDNn4d0Vj/ONnKQDrZgXlZBc0bjKlpL4Ba55aDHMv6L0BWiD8qqy88uzOhk2QtO/CHvPDCyUwo6g==" workbookSaltValue="uhWcfFQgMEZVFp/9eu8QkQ=="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D18" i="17" s="1"/>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C95" i="18" l="1"/>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46" i="18" l="1"/>
  <c r="AT8" i="17"/>
  <c r="BS4" i="17" s="1"/>
  <c r="AX8" i="17"/>
  <c r="BW4" i="17" s="1"/>
  <c r="EL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O75" i="18"/>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R7" i="17" l="1"/>
  <c r="CM5"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Y21" i="17" l="1"/>
  <c r="EX21" i="17"/>
  <c r="DP7" i="17"/>
  <c r="DH8" i="17"/>
  <c r="DP8" i="17" s="1"/>
  <c r="DQ7" i="17"/>
  <c r="DI10" i="17"/>
  <c r="DJ13" i="17" s="1"/>
  <c r="DK16"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DQ10" i="17"/>
  <c r="P250" i="18"/>
  <c r="DB16" i="17"/>
  <c r="DC19" i="17" s="1"/>
  <c r="P200" i="18" s="1"/>
  <c r="DG19" i="17"/>
  <c r="P204" i="18" s="1"/>
  <c r="P134" i="18"/>
  <c r="Q45" i="18" s="1"/>
  <c r="DP10" i="17"/>
  <c r="DI11" i="17"/>
  <c r="DQ11" i="17"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H142" i="18" l="1"/>
  <c r="Q37" i="18"/>
  <c r="P175" i="18"/>
  <c r="DP11" i="17"/>
  <c r="DC20" i="17"/>
  <c r="DB17"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CK12" i="17" s="1"/>
  <c r="DW7" i="17"/>
  <c r="DW9" i="17" s="1"/>
  <c r="DW10" i="17"/>
  <c r="DW16"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7" i="17"/>
  <c r="EF10" i="17" s="1"/>
  <c r="C37" i="21"/>
  <c r="EE3" i="17"/>
  <c r="EG4" i="17"/>
  <c r="EE10" i="17"/>
  <c r="EG3" i="17"/>
  <c r="EF3" i="17"/>
  <c r="EE9" i="17"/>
  <c r="DX18" i="17"/>
  <c r="EE12" i="17"/>
  <c r="EF4" i="17"/>
  <c r="EF21" i="17" s="1"/>
  <c r="EE6" i="17"/>
  <c r="EF9" i="17" s="1"/>
  <c r="EE4" i="17"/>
  <c r="EF7" i="17" s="1"/>
  <c r="EG10"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9" i="17"/>
  <c r="EE14" i="17"/>
  <c r="FB10" i="17"/>
  <c r="EH13" i="17"/>
  <c r="EH30" i="17" s="1"/>
  <c r="EE26" i="17"/>
  <c r="EE11" i="17"/>
  <c r="EG27" i="17"/>
  <c r="EG12" i="17"/>
  <c r="EF26" i="17"/>
  <c r="EF11" i="17"/>
  <c r="EG6" i="17"/>
  <c r="FB6" i="17" s="1"/>
  <c r="EF5" i="17"/>
  <c r="EF20" i="17"/>
  <c r="EF22" i="17" s="1"/>
  <c r="EF12" i="17"/>
  <c r="EH6" i="17"/>
  <c r="EG5" i="17"/>
  <c r="EG20" i="17"/>
  <c r="EG7" i="17"/>
  <c r="EF13" i="17"/>
  <c r="EF30" i="17" s="1"/>
  <c r="EE27" i="17"/>
  <c r="EF24" i="17"/>
  <c r="EG21" i="17"/>
  <c r="EH7" i="17"/>
  <c r="EF6" i="17"/>
  <c r="EF8" i="17" s="1"/>
  <c r="EE5" i="17"/>
  <c r="EE20" i="17"/>
  <c r="FB3" i="17"/>
  <c r="EU3" i="17"/>
  <c r="EG13" i="17"/>
  <c r="EG30" i="17" s="1"/>
  <c r="EF27" i="17"/>
  <c r="D38" i="21"/>
  <c r="C38" i="21"/>
  <c r="C39" i="21"/>
  <c r="D39" i="21"/>
  <c r="D37" i="21"/>
  <c r="EE21" i="17"/>
  <c r="EU4" i="17"/>
  <c r="FB4" i="17"/>
  <c r="EE24" i="17"/>
  <c r="EE23" i="17"/>
  <c r="EE8" i="17"/>
  <c r="EE3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EE25" i="17"/>
  <c r="FB13" i="17"/>
  <c r="DZ12" i="17" s="1"/>
  <c r="FB30" i="17"/>
  <c r="EG22" i="17"/>
  <c r="EF28" i="17"/>
  <c r="EG29" i="17"/>
  <c r="EG14" i="17"/>
  <c r="EG8" i="17"/>
  <c r="FB8" i="17" s="1"/>
  <c r="EH10" i="17"/>
  <c r="EG24" i="17"/>
  <c r="FB7" i="17"/>
  <c r="EZ3" i="17"/>
  <c r="FA3" i="17"/>
  <c r="EE22" i="17"/>
  <c r="FB20" i="17"/>
  <c r="EU20" i="17"/>
  <c r="EI9" i="17"/>
  <c r="EH23" i="17"/>
  <c r="EH8" i="17"/>
  <c r="FA4" i="17"/>
  <c r="EZ4" i="17"/>
  <c r="EU5" i="17"/>
  <c r="FB5" i="17"/>
  <c r="EF14" i="17"/>
  <c r="EF29" i="17"/>
  <c r="EF31" i="17" s="1"/>
  <c r="DZ10" i="17"/>
  <c r="DZ9" i="17"/>
  <c r="EF23" i="17"/>
  <c r="EF25" i="17" s="1"/>
  <c r="EG9" i="17"/>
  <c r="FB12" i="17"/>
  <c r="EU21" i="17"/>
  <c r="FB21" i="17"/>
  <c r="EI10" i="17"/>
  <c r="EH24" i="17"/>
  <c r="FB27" i="17"/>
  <c r="EG23" i="17"/>
  <c r="EH9" i="17"/>
  <c r="EE31" i="17"/>
  <c r="D11" i="19"/>
  <c r="CK18" i="17"/>
  <c r="DS20" i="17"/>
  <c r="DS18" i="17"/>
  <c r="CK19" i="17"/>
  <c r="CL19" i="17"/>
  <c r="CF20" i="17"/>
  <c r="DZ13" i="17" l="1"/>
  <c r="DZ30" i="17" s="1"/>
  <c r="EG25" i="17"/>
  <c r="FB25" i="17"/>
  <c r="FB14" i="17"/>
  <c r="FB24" i="17"/>
  <c r="EZ21" i="17"/>
  <c r="FA21" i="17"/>
  <c r="DZ7" i="17"/>
  <c r="DZ6" i="17"/>
  <c r="EH27" i="17"/>
  <c r="EI13" i="17"/>
  <c r="EI30" i="17" s="1"/>
  <c r="EA12" i="17"/>
  <c r="DZ26" i="17"/>
  <c r="DZ11" i="17"/>
  <c r="EI11" i="17"/>
  <c r="EJ12" i="17"/>
  <c r="EI26" i="17"/>
  <c r="FB23" i="17"/>
  <c r="EA13" i="17"/>
  <c r="DZ27" i="17"/>
  <c r="FA20" i="17"/>
  <c r="EZ20" i="17"/>
  <c r="FB29" i="17"/>
  <c r="EG31" i="17"/>
  <c r="FB31" i="17" s="1"/>
  <c r="EZ5" i="17"/>
  <c r="FA5" i="17"/>
  <c r="EG26" i="17"/>
  <c r="EH12" i="17"/>
  <c r="EG11" i="17"/>
  <c r="FB11" i="17" s="1"/>
  <c r="FB9" i="17"/>
  <c r="EH25" i="17"/>
  <c r="FB22" i="17"/>
  <c r="EU22" i="17"/>
  <c r="DZ29" i="17"/>
  <c r="DZ31" i="17" s="1"/>
  <c r="DZ14" i="17"/>
  <c r="EH26" i="17"/>
  <c r="EI12" i="17"/>
  <c r="EH11" i="17"/>
  <c r="EJ13" i="17"/>
  <c r="EJ30" i="17" s="1"/>
  <c r="EI27" i="17"/>
  <c r="CK20" i="17"/>
  <c r="CL20" i="17"/>
  <c r="DZ28" i="17" l="1"/>
  <c r="EH28" i="17"/>
  <c r="EG28" i="17"/>
  <c r="FB28" i="17" s="1"/>
  <c r="FB26" i="17"/>
  <c r="EJ29" i="17"/>
  <c r="EJ31" i="17" s="1"/>
  <c r="EJ14" i="17"/>
  <c r="EI29" i="17"/>
  <c r="EI31" i="17" s="1"/>
  <c r="EI14" i="17"/>
  <c r="EA29" i="17"/>
  <c r="EA14" i="17"/>
  <c r="EH29" i="17"/>
  <c r="EH31" i="17" s="1"/>
  <c r="EH14" i="17"/>
  <c r="FA22" i="17"/>
  <c r="EZ22" i="17"/>
  <c r="H36" i="21"/>
  <c r="DZ23" i="17"/>
  <c r="DZ8" i="17"/>
  <c r="EU8" i="17" s="1"/>
  <c r="EU6" i="17"/>
  <c r="EA9" i="17"/>
  <c r="EA10" i="17"/>
  <c r="DZ24" i="17"/>
  <c r="EU24" i="17" s="1"/>
  <c r="EU7" i="17"/>
  <c r="EA30" i="17"/>
  <c r="EI28" i="17"/>
  <c r="EU9" i="17" l="1"/>
  <c r="EA26" i="17"/>
  <c r="EV9" i="17"/>
  <c r="EA11" i="17"/>
  <c r="EB12" i="17"/>
  <c r="FA8" i="17"/>
  <c r="EZ8" i="17"/>
  <c r="FA7" i="17"/>
  <c r="EZ7" i="17"/>
  <c r="EA27" i="17"/>
  <c r="EB13" i="17"/>
  <c r="EV10" i="17"/>
  <c r="EU10" i="17"/>
  <c r="EZ6" i="17"/>
  <c r="FA6" i="17"/>
  <c r="DZ25" i="17"/>
  <c r="EU25" i="17" s="1"/>
  <c r="EU23" i="17"/>
  <c r="EA31" i="17"/>
  <c r="FA24" i="17"/>
  <c r="EZ24" i="17"/>
  <c r="EV27" i="17" l="1"/>
  <c r="EU27" i="17"/>
  <c r="EB29" i="17"/>
  <c r="EV12" i="17"/>
  <c r="EB14" i="17"/>
  <c r="EW12" i="17"/>
  <c r="EU12" i="17"/>
  <c r="H37" i="21"/>
  <c r="FA25" i="17"/>
  <c r="EZ25" i="17"/>
  <c r="EV11" i="17"/>
  <c r="EU11" i="17"/>
  <c r="EZ10" i="17"/>
  <c r="FA10" i="17"/>
  <c r="EA28" i="17"/>
  <c r="EV26" i="17"/>
  <c r="EU26" i="17"/>
  <c r="EZ9" i="17"/>
  <c r="FA9" i="17"/>
  <c r="EZ23" i="17"/>
  <c r="FA23" i="17"/>
  <c r="EV13" i="17"/>
  <c r="EW13" i="17"/>
  <c r="EB30" i="17"/>
  <c r="EU13" i="17"/>
  <c r="EZ11" i="17" l="1"/>
  <c r="FA11" i="17"/>
  <c r="FA26" i="17"/>
  <c r="EZ26" i="17"/>
  <c r="FA12" i="17"/>
  <c r="EZ12" i="17"/>
  <c r="EV28" i="17"/>
  <c r="EU28" i="17"/>
  <c r="EW14" i="17"/>
  <c r="EU14" i="17"/>
  <c r="EV14" i="17"/>
  <c r="FA13" i="17"/>
  <c r="EZ13" i="17"/>
  <c r="EW29" i="17"/>
  <c r="EB31" i="17"/>
  <c r="EU29" i="17"/>
  <c r="EV29" i="17"/>
  <c r="EW30" i="17"/>
  <c r="EU30" i="17"/>
  <c r="EV30" i="17"/>
  <c r="FA27" i="17"/>
  <c r="EZ27" i="17"/>
  <c r="FA14" i="17" l="1"/>
  <c r="EZ14" i="17"/>
  <c r="FA28" i="17"/>
  <c r="EZ28" i="17"/>
  <c r="H38" i="21"/>
  <c r="FA30" i="17"/>
  <c r="EZ30" i="17"/>
  <c r="EZ29" i="17"/>
  <c r="FA29" i="17"/>
  <c r="EW31" i="17"/>
  <c r="EU31" i="17"/>
  <c r="EV31" i="17"/>
  <c r="FA31" i="17" l="1"/>
  <c r="H39" i="21"/>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<sst xmlns="http://schemas.openxmlformats.org/spreadsheetml/2006/main" count="1366" uniqueCount="450">
  <si>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</si>
  <si>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</si>
  <si>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</si>
  <si>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</si>
  <si>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</si>
  <si>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</si>
  <si>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</si>
  <si>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</si>
  <si>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</si>
  <si>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</si>
  <si>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</si>
  <si>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</si>
  <si>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</si>
  <si>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</si>
  <si>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</si>
  <si>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</si>
  <si>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</si>
  <si>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</si>
  <si>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</si>
  <si>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</si>
  <si>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</si>
  <si>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</si>
  <si>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</si>
  <si>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</si>
  <si>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</si>
  <si>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</si>
  <si>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</si>
  <si>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</si>
  <si>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</si>
  <si>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</si>
  <si>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</si>
  <si>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</si>
  <si>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</si>
  <si>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</si>
  <si>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</si>
  <si>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</si>
  <si>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</si>
  <si>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</si>
  <si>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</si>
  <si>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</si>
  <si>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</si>
  <si>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</si>
  <si>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</si>
  <si>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</si>
  <si>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</si>
  <si>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</si>
  <si>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</si>
  <si>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</si>
  <si>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</si>
  <si>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</si>
  <si>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</si>
  <si>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</si>
  <si>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</si>
  <si>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</si>
  <si>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</si>
  <si>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</si>
  <si>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</si>
  <si>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</si>
  <si>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</si>
  <si>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</si>
  <si>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</si>
  <si>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</si>
  <si>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</si>
  <si>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</si>
  <si>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</si>
  <si>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</si>
  <si>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</si>
  <si>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</si>
  <si>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</si>
  <si>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</si>
  <si>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</si>
  <si>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</si>
  <si>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</si>
  <si>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</si>
  <si>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</si>
  <si>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</si>
  <si>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</si>
  <si>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</si>
  <si>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</si>
  <si>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</si>
  <si>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</si>
  <si>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</si>
  <si>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</si>
  <si>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</si>
  <si>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</si>
  <si>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</si>
  <si>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</si>
  <si>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</si>
  <si>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</si>
  <si>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</si>
  <si>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</si>
  <si>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</si>
  <si>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</si>
  <si>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</si>
  <si>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</si>
  <si>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</si>
  <si>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</si>
  <si>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</si>
  <si>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</si>
  <si>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</si>
  <si>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</si>
  <si>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</si>
  <si>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</si>
  <si>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</si>
  <si>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</si>
  <si>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</si>
  <si>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</si>
  <si>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</si>
  <si>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</si>
  <si>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</si>
  <si>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</si>
  <si>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</si>
  <si>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</si>
  <si>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</si>
  <si>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</si>
  <si>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</si>
  <si>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</si>
  <si>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</si>
  <si>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</si>
  <si>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</si>
  <si>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</si>
  <si>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</si>
  <si>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</si>
  <si>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</si>
  <si>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</si>
  <si>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</si>
  <si>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</si>
  <si>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</si>
  <si>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</si>
  <si>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</si>
  <si>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</si>
  <si>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</si>
  <si>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</si>
  <si>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</si>
  <si>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</si>
  <si>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</si>
  <si>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</si>
  <si>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</si>
  <si>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</si>
  <si>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</si>
  <si>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</si>
  <si>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</si>
  <si>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</si>
  <si>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</si>
  <si>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</si>
  <si>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</si>
  <si>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</si>
  <si>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</si>
  <si>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</si>
  <si>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</si>
  <si>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</si>
  <si>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</si>
  <si>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</si>
  <si>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</si>
  <si>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</si>
  <si>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</si>
  <si>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</si>
  <si>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</si>
  <si>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</si>
  <si>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</si>
  <si>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</si>
  <si>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</si>
  <si>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</si>
  <si>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</si>
  <si>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</si>
  <si>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</si>
  <si>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</si>
  <si>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</si>
  <si>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</si>
  <si>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</si>
  <si>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</si>
  <si>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</si>
  <si>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</si>
  <si>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</si>
  <si>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</si>
  <si>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</si>
  <si>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</si>
  <si>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</si>
  <si>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</si>
  <si>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</si>
  <si>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</si>
  <si>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</si>
  <si>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</si>
  <si>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</si>
  <si>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</si>
  <si>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</si>
  <si>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</si>
  <si>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</si>
  <si>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</si>
  <si>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</si>
  <si>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</si>
  <si>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</si>
  <si>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</si>
  <si>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</si>
  <si>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</si>
  <si>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</si>
  <si>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</si>
  <si>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</si>
  <si>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</si>
  <si>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</si>
  <si>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</si>
  <si>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</si>
  <si>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</si>
  <si>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</si>
  <si>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</si>
  <si>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</si>
  <si>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</si>
  <si>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</si>
  <si>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</si>
  <si>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</si>
  <si>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</si>
  <si>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</si>
  <si>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</si>
  <si>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</si>
  <si>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</si>
  <si>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</si>
  <si>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</si>
  <si>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</si>
  <si>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</si>
  <si>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</si>
  <si>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</si>
  <si>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</si>
  <si>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</si>
  <si>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</si>
  <si>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</si>
  <si>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</si>
  <si>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</si>
  <si>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</si>
  <si>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</si>
  <si>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</si>
  <si>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</si>
  <si>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</si>
  <si>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</si>
  <si>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</si>
  <si>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</si>
  <si>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</si>
  <si>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</si>
  <si>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</si>
  <si>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</si>
  <si>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</si>
  <si>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</si>
  <si>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</si>
  <si>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</si>
  <si>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</si>
  <si>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</si>
  <si>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</si>
  <si>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</si>
  <si>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</si>
  <si>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</si>
  <si>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</si>
  <si>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</si>
  <si>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</si>
  <si>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</si>
  <si>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</si>
  <si>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</si>
  <si>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</si>
  <si>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</si>
  <si>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</si>
  <si>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</si>
  <si>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</si>
  <si>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</si>
  <si>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</si>
  <si>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</si>
  <si>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</si>
  <si>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</si>
  <si>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</si>
  <si>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</si>
  <si>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</si>
  <si>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</si>
  <si>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</si>
  <si>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</si>
  <si>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</si>
  <si>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</si>
  <si>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</si>
  <si>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</si>
  <si>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</si>
  <si>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</si>
  <si>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</si>
  <si>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</si>
  <si>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</si>
  <si>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</si>
  <si>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</si>
  <si>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</si>
  <si>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</si>
  <si>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</si>
  <si>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</si>
  <si>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</si>
  <si>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</si>
  <si>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</si>
  <si>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</si>
  <si>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</si>
  <si>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</si>
  <si>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</si>
  <si>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</si>
  <si>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</si>
  <si>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</si>
  <si>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</si>
  <si>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</si>
  <si>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</si>
  <si>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</si>
  <si>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</si>
  <si>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</si>
  <si>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</si>
  <si>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</si>
  <si>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</si>
  <si>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</si>
  <si>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</si>
  <si>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</si>
  <si>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</si>
  <si>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</si>
  <si>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</si>
  <si>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</si>
  <si>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</si>
  <si>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</si>
  <si>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</si>
  <si>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</si>
  <si>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</si>
  <si>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</si>
  <si>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</si>
  <si>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</si>
  <si>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</si>
  <si>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</si>
  <si>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</si>
  <si>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</si>
  <si>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</si>
  <si>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</si>
  <si>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</si>
  <si>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</si>
  <si>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</si>
  <si>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</si>
  <si>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</si>
  <si>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</si>
  <si>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</si>
  <si>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</si>
  <si>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</si>
  <si>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</si>
  <si>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</si>
  <si>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</si>
  <si>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</si>
  <si>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</si>
  <si>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</si>
  <si>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</si>
  <si>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</si>
  <si>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</si>
  <si>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</si>
  <si>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</si>
  <si>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</si>
  <si>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</si>
  <si>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</si>
  <si>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</si>
  <si>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</si>
  <si>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</si>
  <si>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</si>
  <si>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</si>
  <si>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</si>
  <si>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</si>
  <si>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</si>
  <si>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</si>
  <si>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</si>
  <si>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</si>
  <si>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</si>
  <si>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</si>
  <si>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</si>
  <si>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</si>
  <si>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</si>
  <si>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</si>
  <si>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</si>
  <si>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</si>
  <si>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</si>
  <si>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</si>
  <si>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</si>
  <si>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</si>
  <si>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</si>
  <si>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</si>
  <si>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</si>
  <si>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</si>
  <si>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</si>
  <si>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</si>
  <si>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</si>
  <si>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</si>
  <si>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</si>
  <si>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</si>
  <si>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</si>
  <si>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</si>
  <si>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</si>
  <si>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</si>
  <si>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</si>
  <si>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</si>
  <si>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</si>
  <si>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</si>
  <si>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</si>
  <si>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</si>
  <si>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</si>
  <si>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</si>
  <si>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</si>
  <si>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</si>
  <si>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</si>
  <si>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</si>
  <si>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</si>
  <si>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</si>
  <si>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</si>
  <si>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</si>
  <si>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</si>
  <si>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</si>
  <si>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</si>
  <si>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</si>
  <si>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</si>
  <si>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</si>
  <si>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</si>
  <si>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</si>
  <si>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</si>
  <si>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</si>
  <si>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</si>
  <si>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</si>
  <si>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</si>
  <si>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</si>
  <si>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</si>
  <si>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</si>
  <si>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</si>
  <si>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</si>
  <si>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</si>
  <si>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</si>
  <si>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</si>
  <si>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</si>
  <si>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</si>
  <si>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</si>
  <si>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</si>
  <si>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</si>
  <si>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</si>
  <si>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</si>
  <si>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</si>
  <si>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</si>
  <si>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</si>
  <si>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</si>
  <si>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</si>
  <si>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</si>
  <si>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</si>
  <si>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</si>
  <si>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</si>
  <si>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</si>
  <si>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</si>
  <si>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</si>
  <si>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</si>
  <si>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</si>
  <si>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</si>
  <si>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45205_5</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</si>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</sst>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59">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Border="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Border="1" applyAlignment="1">
      <alignment horizontal="center" vertical="center"/>
    </xf>
    <xf numFmtId="0" fontId="10" fillId="5" borderId="0" xfId="0"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Border="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289</c:v>
                </c:pt>
                <c:pt idx="1">
                  <c:v>292</c:v>
                </c:pt>
                <c:pt idx="2">
                  <c:v>278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5263712"/>
        <c:axId val="391903576"/>
      </c:barChart>
      <c:catAx>
        <c:axId val="385263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3576"/>
        <c:crosses val="autoZero"/>
        <c:auto val="1"/>
        <c:lblAlgn val="ctr"/>
        <c:lblOffset val="100"/>
        <c:noMultiLvlLbl val="0"/>
      </c:catAx>
      <c:valAx>
        <c:axId val="391903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263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147</c:v>
                </c:pt>
                <c:pt idx="1">
                  <c:v>141</c:v>
                </c:pt>
                <c:pt idx="2">
                  <c:v>137</c:v>
                </c:pt>
                <c:pt idx="3">
                  <c:v>132</c:v>
                </c:pt>
                <c:pt idx="4">
                  <c:v>125</c:v>
                </c:pt>
                <c:pt idx="5">
                  <c:v>112</c:v>
                </c:pt>
                <c:pt idx="6">
                  <c:v>103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056136"/>
        <c:axId val="393056528"/>
      </c:barChart>
      <c:catAx>
        <c:axId val="39305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6528"/>
        <c:crosses val="autoZero"/>
        <c:auto val="1"/>
        <c:lblAlgn val="ctr"/>
        <c:lblOffset val="100"/>
        <c:noMultiLvlLbl val="0"/>
      </c:catAx>
      <c:valAx>
        <c:axId val="393056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6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0.33</c:v>
                </c:pt>
                <c:pt idx="2">
                  <c:v>0.36</c:v>
                </c:pt>
                <c:pt idx="3">
                  <c:v>0.38</c:v>
                </c:pt>
                <c:pt idx="4">
                  <c:v>0.39</c:v>
                </c:pt>
                <c:pt idx="5">
                  <c:v>0.38</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051824"/>
        <c:axId val="391904360"/>
      </c:barChart>
      <c:catAx>
        <c:axId val="393051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4360"/>
        <c:crosses val="autoZero"/>
        <c:auto val="1"/>
        <c:lblAlgn val="ctr"/>
        <c:lblOffset val="100"/>
        <c:noMultiLvlLbl val="0"/>
      </c:catAx>
      <c:valAx>
        <c:axId val="391904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1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0.19</c:v>
                </c:pt>
                <c:pt idx="2">
                  <c:v>0.19</c:v>
                </c:pt>
                <c:pt idx="3">
                  <c:v>0.22</c:v>
                </c:pt>
                <c:pt idx="4">
                  <c:v>0.24</c:v>
                </c:pt>
                <c:pt idx="5">
                  <c:v>0.25</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1908280"/>
        <c:axId val="391904752"/>
      </c:barChart>
      <c:catAx>
        <c:axId val="391908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4752"/>
        <c:crosses val="autoZero"/>
        <c:auto val="1"/>
        <c:lblAlgn val="ctr"/>
        <c:lblOffset val="100"/>
        <c:noMultiLvlLbl val="0"/>
      </c:catAx>
      <c:valAx>
        <c:axId val="391904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8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413091072833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05-4A24-AACC-846AAB1BE6B4}"/>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05-4A24-AACC-846AAB1BE6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85</c:v>
                </c:pt>
                <c:pt idx="1">
                  <c:v>94</c:v>
                </c:pt>
                <c:pt idx="2">
                  <c:v>106</c:v>
                </c:pt>
                <c:pt idx="3">
                  <c:v>100</c:v>
                </c:pt>
                <c:pt idx="4">
                  <c:v>58</c:v>
                </c:pt>
                <c:pt idx="5">
                  <c:v>81</c:v>
                </c:pt>
                <c:pt idx="6">
                  <c:v>89</c:v>
                </c:pt>
                <c:pt idx="7">
                  <c:v>98</c:v>
                </c:pt>
                <c:pt idx="8">
                  <c:v>121</c:v>
                </c:pt>
                <c:pt idx="9">
                  <c:v>151</c:v>
                </c:pt>
                <c:pt idx="10">
                  <c:v>162</c:v>
                </c:pt>
                <c:pt idx="11">
                  <c:v>154</c:v>
                </c:pt>
                <c:pt idx="12">
                  <c:v>137</c:v>
                </c:pt>
                <c:pt idx="13">
                  <c:v>150</c:v>
                </c:pt>
                <c:pt idx="14">
                  <c:v>172</c:v>
                </c:pt>
                <c:pt idx="15">
                  <c:v>181</c:v>
                </c:pt>
                <c:pt idx="16">
                  <c:v>137</c:v>
                </c:pt>
                <c:pt idx="17">
                  <c:v>70</c:v>
                </c:pt>
                <c:pt idx="18">
                  <c:v>34</c:v>
                </c:pt>
                <c:pt idx="19">
                  <c:v>12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4330248"/>
        <c:axId val="45433220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86</c:v>
                </c:pt>
                <c:pt idx="1">
                  <c:v>92</c:v>
                </c:pt>
                <c:pt idx="2">
                  <c:v>107</c:v>
                </c:pt>
                <c:pt idx="3">
                  <c:v>100</c:v>
                </c:pt>
                <c:pt idx="4">
                  <c:v>76</c:v>
                </c:pt>
                <c:pt idx="5">
                  <c:v>85</c:v>
                </c:pt>
                <c:pt idx="6">
                  <c:v>100</c:v>
                </c:pt>
                <c:pt idx="7">
                  <c:v>97</c:v>
                </c:pt>
                <c:pt idx="8">
                  <c:v>117</c:v>
                </c:pt>
                <c:pt idx="9">
                  <c:v>163</c:v>
                </c:pt>
                <c:pt idx="10">
                  <c:v>173</c:v>
                </c:pt>
                <c:pt idx="11">
                  <c:v>154</c:v>
                </c:pt>
                <c:pt idx="12">
                  <c:v>151</c:v>
                </c:pt>
                <c:pt idx="13">
                  <c:v>173</c:v>
                </c:pt>
                <c:pt idx="14">
                  <c:v>199</c:v>
                </c:pt>
                <c:pt idx="15">
                  <c:v>221</c:v>
                </c:pt>
                <c:pt idx="16">
                  <c:v>191</c:v>
                </c:pt>
                <c:pt idx="17">
                  <c:v>137</c:v>
                </c:pt>
                <c:pt idx="18">
                  <c:v>113</c:v>
                </c:pt>
                <c:pt idx="19">
                  <c:v>48</c:v>
                </c:pt>
                <c:pt idx="20">
                  <c:v>19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4325544"/>
        <c:axId val="454328288"/>
      </c:barChart>
      <c:catAx>
        <c:axId val="454330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2208"/>
        <c:crosses val="autoZero"/>
        <c:auto val="1"/>
        <c:lblAlgn val="ctr"/>
        <c:lblOffset val="100"/>
        <c:noMultiLvlLbl val="0"/>
      </c:catAx>
      <c:valAx>
        <c:axId val="4543322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0248"/>
        <c:crosses val="autoZero"/>
        <c:crossBetween val="between"/>
        <c:majorUnit val="150"/>
      </c:valAx>
      <c:valAx>
        <c:axId val="4543282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5544"/>
        <c:crosses val="max"/>
        <c:crossBetween val="between"/>
        <c:majorUnit val="150"/>
      </c:valAx>
      <c:catAx>
        <c:axId val="454325544"/>
        <c:scaling>
          <c:orientation val="minMax"/>
        </c:scaling>
        <c:delete val="1"/>
        <c:axPos val="l"/>
        <c:numFmt formatCode="General" sourceLinked="1"/>
        <c:majorTickMark val="out"/>
        <c:minorTickMark val="none"/>
        <c:tickLblPos val="nextTo"/>
        <c:crossAx val="454328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75037564596964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B98-4F3D-BFBA-2B79FF4A1AF8}"/>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B98-4F3D-BFBA-2B79FF4A1A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82</c:v>
                </c:pt>
                <c:pt idx="1">
                  <c:v>88</c:v>
                </c:pt>
                <c:pt idx="2">
                  <c:v>87</c:v>
                </c:pt>
                <c:pt idx="3">
                  <c:v>81</c:v>
                </c:pt>
                <c:pt idx="4">
                  <c:v>51</c:v>
                </c:pt>
                <c:pt idx="5">
                  <c:v>73</c:v>
                </c:pt>
                <c:pt idx="6">
                  <c:v>82</c:v>
                </c:pt>
                <c:pt idx="7">
                  <c:v>89</c:v>
                </c:pt>
                <c:pt idx="8">
                  <c:v>99</c:v>
                </c:pt>
                <c:pt idx="9">
                  <c:v>107</c:v>
                </c:pt>
                <c:pt idx="10">
                  <c:v>128</c:v>
                </c:pt>
                <c:pt idx="11">
                  <c:v>153</c:v>
                </c:pt>
                <c:pt idx="12">
                  <c:v>159</c:v>
                </c:pt>
                <c:pt idx="13">
                  <c:v>148</c:v>
                </c:pt>
                <c:pt idx="14">
                  <c:v>126</c:v>
                </c:pt>
                <c:pt idx="15">
                  <c:v>126</c:v>
                </c:pt>
                <c:pt idx="16">
                  <c:v>122</c:v>
                </c:pt>
                <c:pt idx="17">
                  <c:v>96</c:v>
                </c:pt>
                <c:pt idx="18">
                  <c:v>41</c:v>
                </c:pt>
                <c:pt idx="19">
                  <c:v>10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327896"/>
        <c:axId val="4543267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83</c:v>
                </c:pt>
                <c:pt idx="1">
                  <c:v>86</c:v>
                </c:pt>
                <c:pt idx="2">
                  <c:v>88</c:v>
                </c:pt>
                <c:pt idx="3">
                  <c:v>84</c:v>
                </c:pt>
                <c:pt idx="4">
                  <c:v>71</c:v>
                </c:pt>
                <c:pt idx="5">
                  <c:v>88</c:v>
                </c:pt>
                <c:pt idx="6">
                  <c:v>98</c:v>
                </c:pt>
                <c:pt idx="7">
                  <c:v>89</c:v>
                </c:pt>
                <c:pt idx="8">
                  <c:v>103</c:v>
                </c:pt>
                <c:pt idx="9">
                  <c:v>104</c:v>
                </c:pt>
                <c:pt idx="10">
                  <c:v>124</c:v>
                </c:pt>
                <c:pt idx="11">
                  <c:v>169</c:v>
                </c:pt>
                <c:pt idx="12">
                  <c:v>177</c:v>
                </c:pt>
                <c:pt idx="13">
                  <c:v>151</c:v>
                </c:pt>
                <c:pt idx="14">
                  <c:v>144</c:v>
                </c:pt>
                <c:pt idx="15">
                  <c:v>168</c:v>
                </c:pt>
                <c:pt idx="16">
                  <c:v>177</c:v>
                </c:pt>
                <c:pt idx="17">
                  <c:v>172</c:v>
                </c:pt>
                <c:pt idx="18">
                  <c:v>113</c:v>
                </c:pt>
                <c:pt idx="19">
                  <c:v>43</c:v>
                </c:pt>
                <c:pt idx="20">
                  <c:v>25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328680"/>
        <c:axId val="454325936"/>
      </c:barChart>
      <c:catAx>
        <c:axId val="454327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6720"/>
        <c:crosses val="autoZero"/>
        <c:auto val="1"/>
        <c:lblAlgn val="ctr"/>
        <c:lblOffset val="100"/>
        <c:noMultiLvlLbl val="0"/>
      </c:catAx>
      <c:valAx>
        <c:axId val="4543267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7896"/>
        <c:crosses val="autoZero"/>
        <c:crossBetween val="between"/>
        <c:majorUnit val="150"/>
      </c:valAx>
      <c:valAx>
        <c:axId val="4543259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8680"/>
        <c:crosses val="max"/>
        <c:crossBetween val="between"/>
        <c:majorUnit val="150"/>
      </c:valAx>
      <c:catAx>
        <c:axId val="454328680"/>
        <c:scaling>
          <c:orientation val="minMax"/>
        </c:scaling>
        <c:delete val="1"/>
        <c:axPos val="l"/>
        <c:numFmt formatCode="General" sourceLinked="1"/>
        <c:majorTickMark val="out"/>
        <c:minorTickMark val="none"/>
        <c:tickLblPos val="nextTo"/>
        <c:crossAx val="454325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5385</c:v>
                </c:pt>
                <c:pt idx="1">
                  <c:v>5536</c:v>
                </c:pt>
                <c:pt idx="2">
                  <c:v>5214</c:v>
                </c:pt>
                <c:pt idx="3">
                  <c:v>5026</c:v>
                </c:pt>
                <c:pt idx="4">
                  <c:v>4794</c:v>
                </c:pt>
                <c:pt idx="5">
                  <c:v>4554</c:v>
                </c:pt>
                <c:pt idx="6">
                  <c:v>4305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93A-4212-B363-1925B661593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93A-4212-B363-1925B661593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93A-4212-B363-1925B661593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93A-4212-B363-1925B66159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5035</c:v>
                </c:pt>
                <c:pt idx="4" formatCode="#,##0_);[Red]\(#,##0\)">
                  <c:v>4814</c:v>
                </c:pt>
                <c:pt idx="5" formatCode="#,##0_);[Red]\(#,##0\)">
                  <c:v>4584</c:v>
                </c:pt>
                <c:pt idx="6" formatCode="#,##0_);[Red]\(#,##0\)">
                  <c:v>4347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331032"/>
        <c:axId val="454331424"/>
      </c:barChart>
      <c:catAx>
        <c:axId val="454331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1424"/>
        <c:crosses val="autoZero"/>
        <c:auto val="1"/>
        <c:lblAlgn val="ctr"/>
        <c:lblOffset val="100"/>
        <c:noMultiLvlLbl val="0"/>
      </c:catAx>
      <c:valAx>
        <c:axId val="454331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10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289</c:v>
                </c:pt>
                <c:pt idx="1">
                  <c:v>292</c:v>
                </c:pt>
                <c:pt idx="2">
                  <c:v>278</c:v>
                </c:pt>
                <c:pt idx="3">
                  <c:v>263</c:v>
                </c:pt>
                <c:pt idx="4">
                  <c:v>239</c:v>
                </c:pt>
                <c:pt idx="5">
                  <c:v>216</c:v>
                </c:pt>
                <c:pt idx="6">
                  <c:v>210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264</c:v>
                </c:pt>
                <c:pt idx="4">
                  <c:v>242</c:v>
                </c:pt>
                <c:pt idx="5">
                  <c:v>221</c:v>
                </c:pt>
                <c:pt idx="6">
                  <c:v>217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330640"/>
        <c:axId val="454329856"/>
      </c:barChart>
      <c:catAx>
        <c:axId val="454330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9856"/>
        <c:crosses val="autoZero"/>
        <c:auto val="1"/>
        <c:lblAlgn val="ctr"/>
        <c:lblOffset val="100"/>
        <c:noMultiLvlLbl val="0"/>
      </c:catAx>
      <c:valAx>
        <c:axId val="454329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06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0.33</c:v>
                </c:pt>
                <c:pt idx="2">
                  <c:v>0.36</c:v>
                </c:pt>
                <c:pt idx="3">
                  <c:v>0.38</c:v>
                </c:pt>
                <c:pt idx="4">
                  <c:v>0.39</c:v>
                </c:pt>
                <c:pt idx="5">
                  <c:v>0.38</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7AC-4789-998E-E34CB8660DA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7AC-4789-998E-E34CB8660DA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7AC-4789-998E-E34CB8660DA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7AC-4789-998E-E34CB8660D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0.39</c:v>
                </c:pt>
                <c:pt idx="5" formatCode="0%">
                  <c:v>0.38</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331816"/>
        <c:axId val="454326328"/>
      </c:barChart>
      <c:catAx>
        <c:axId val="454331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6328"/>
        <c:crosses val="autoZero"/>
        <c:auto val="1"/>
        <c:lblAlgn val="ctr"/>
        <c:lblOffset val="100"/>
        <c:noMultiLvlLbl val="0"/>
      </c:catAx>
      <c:valAx>
        <c:axId val="454326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31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0.19</c:v>
                </c:pt>
                <c:pt idx="2">
                  <c:v>0.19</c:v>
                </c:pt>
                <c:pt idx="3">
                  <c:v>0.22</c:v>
                </c:pt>
                <c:pt idx="4">
                  <c:v>0.24</c:v>
                </c:pt>
                <c:pt idx="5">
                  <c:v>0.25</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507-42C9-A201-0293B1F7564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507-42C9-A201-0293B1F7564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507-42C9-A201-0293B1F7564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507-42C9-A201-0293B1F756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0.24</c:v>
                </c:pt>
                <c:pt idx="5" formatCode="0%">
                  <c:v>0.25</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324760"/>
        <c:axId val="455026040"/>
      </c:barChart>
      <c:catAx>
        <c:axId val="45432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6040"/>
        <c:crosses val="autoZero"/>
        <c:auto val="1"/>
        <c:lblAlgn val="ctr"/>
        <c:lblOffset val="100"/>
        <c:noMultiLvlLbl val="0"/>
      </c:catAx>
      <c:valAx>
        <c:axId val="455026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47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147</c:v>
                </c:pt>
                <c:pt idx="1">
                  <c:v>141</c:v>
                </c:pt>
                <c:pt idx="2">
                  <c:v>137</c:v>
                </c:pt>
                <c:pt idx="3">
                  <c:v>132</c:v>
                </c:pt>
                <c:pt idx="4">
                  <c:v>125</c:v>
                </c:pt>
                <c:pt idx="5">
                  <c:v>112</c:v>
                </c:pt>
                <c:pt idx="6">
                  <c:v>103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133</c:v>
                </c:pt>
                <c:pt idx="4">
                  <c:v>127</c:v>
                </c:pt>
                <c:pt idx="5">
                  <c:v>114</c:v>
                </c:pt>
                <c:pt idx="6">
                  <c:v>106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022512"/>
        <c:axId val="455025256"/>
      </c:barChart>
      <c:catAx>
        <c:axId val="455022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5256"/>
        <c:crosses val="autoZero"/>
        <c:auto val="1"/>
        <c:lblAlgn val="ctr"/>
        <c:lblOffset val="100"/>
        <c:noMultiLvlLbl val="0"/>
      </c:catAx>
      <c:valAx>
        <c:axId val="455025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251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147</c:v>
                </c:pt>
                <c:pt idx="1">
                  <c:v>141</c:v>
                </c:pt>
                <c:pt idx="2">
                  <c:v>137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905928"/>
        <c:axId val="391901616"/>
      </c:barChart>
      <c:catAx>
        <c:axId val="391905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1616"/>
        <c:crosses val="autoZero"/>
        <c:auto val="1"/>
        <c:lblAlgn val="ctr"/>
        <c:lblOffset val="100"/>
        <c:noMultiLvlLbl val="0"/>
      </c:catAx>
      <c:valAx>
        <c:axId val="391901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5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AD-433C-B242-6DB870F40B5F}"/>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AD-433C-B242-6DB870F40B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87</c:v>
                </c:pt>
                <c:pt idx="1">
                  <c:v>95</c:v>
                </c:pt>
                <c:pt idx="2">
                  <c:v>107</c:v>
                </c:pt>
                <c:pt idx="3">
                  <c:v>101</c:v>
                </c:pt>
                <c:pt idx="4">
                  <c:v>58</c:v>
                </c:pt>
                <c:pt idx="5">
                  <c:v>83</c:v>
                </c:pt>
                <c:pt idx="6">
                  <c:v>91</c:v>
                </c:pt>
                <c:pt idx="7">
                  <c:v>98</c:v>
                </c:pt>
                <c:pt idx="8">
                  <c:v>121</c:v>
                </c:pt>
                <c:pt idx="9">
                  <c:v>151</c:v>
                </c:pt>
                <c:pt idx="10">
                  <c:v>162</c:v>
                </c:pt>
                <c:pt idx="11">
                  <c:v>154</c:v>
                </c:pt>
                <c:pt idx="12">
                  <c:v>137</c:v>
                </c:pt>
                <c:pt idx="13">
                  <c:v>150</c:v>
                </c:pt>
                <c:pt idx="14">
                  <c:v>172</c:v>
                </c:pt>
                <c:pt idx="15">
                  <c:v>181</c:v>
                </c:pt>
                <c:pt idx="16">
                  <c:v>137</c:v>
                </c:pt>
                <c:pt idx="17">
                  <c:v>70</c:v>
                </c:pt>
                <c:pt idx="18">
                  <c:v>34</c:v>
                </c:pt>
                <c:pt idx="19">
                  <c:v>12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026824"/>
        <c:axId val="4550272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88</c:v>
                </c:pt>
                <c:pt idx="1">
                  <c:v>93</c:v>
                </c:pt>
                <c:pt idx="2">
                  <c:v>108</c:v>
                </c:pt>
                <c:pt idx="3">
                  <c:v>101</c:v>
                </c:pt>
                <c:pt idx="4">
                  <c:v>76</c:v>
                </c:pt>
                <c:pt idx="5">
                  <c:v>87</c:v>
                </c:pt>
                <c:pt idx="6">
                  <c:v>102</c:v>
                </c:pt>
                <c:pt idx="7">
                  <c:v>97</c:v>
                </c:pt>
                <c:pt idx="8">
                  <c:v>118</c:v>
                </c:pt>
                <c:pt idx="9">
                  <c:v>164</c:v>
                </c:pt>
                <c:pt idx="10">
                  <c:v>173</c:v>
                </c:pt>
                <c:pt idx="11">
                  <c:v>154</c:v>
                </c:pt>
                <c:pt idx="12">
                  <c:v>151</c:v>
                </c:pt>
                <c:pt idx="13">
                  <c:v>173</c:v>
                </c:pt>
                <c:pt idx="14">
                  <c:v>199</c:v>
                </c:pt>
                <c:pt idx="15">
                  <c:v>221</c:v>
                </c:pt>
                <c:pt idx="16">
                  <c:v>191</c:v>
                </c:pt>
                <c:pt idx="17">
                  <c:v>137</c:v>
                </c:pt>
                <c:pt idx="18">
                  <c:v>113</c:v>
                </c:pt>
                <c:pt idx="19">
                  <c:v>48</c:v>
                </c:pt>
                <c:pt idx="20">
                  <c:v>19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021728"/>
        <c:axId val="455027608"/>
      </c:barChart>
      <c:catAx>
        <c:axId val="455026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7216"/>
        <c:crosses val="autoZero"/>
        <c:auto val="1"/>
        <c:lblAlgn val="ctr"/>
        <c:lblOffset val="100"/>
        <c:noMultiLvlLbl val="0"/>
      </c:catAx>
      <c:valAx>
        <c:axId val="4550272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6824"/>
        <c:crosses val="autoZero"/>
        <c:crossBetween val="between"/>
        <c:majorUnit val="150"/>
      </c:valAx>
      <c:valAx>
        <c:axId val="4550276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1728"/>
        <c:crosses val="max"/>
        <c:crossBetween val="between"/>
        <c:majorUnit val="150"/>
      </c:valAx>
      <c:catAx>
        <c:axId val="455021728"/>
        <c:scaling>
          <c:orientation val="minMax"/>
        </c:scaling>
        <c:delete val="1"/>
        <c:axPos val="l"/>
        <c:numFmt formatCode="General" sourceLinked="1"/>
        <c:majorTickMark val="out"/>
        <c:minorTickMark val="none"/>
        <c:tickLblPos val="nextTo"/>
        <c:crossAx val="455027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C6-47CF-9C77-75CCC7B60655}"/>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C6-47CF-9C77-75CCC7B6065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85</c:v>
                </c:pt>
                <c:pt idx="1">
                  <c:v>91</c:v>
                </c:pt>
                <c:pt idx="2">
                  <c:v>90</c:v>
                </c:pt>
                <c:pt idx="3">
                  <c:v>83</c:v>
                </c:pt>
                <c:pt idx="4">
                  <c:v>51</c:v>
                </c:pt>
                <c:pt idx="5">
                  <c:v>75</c:v>
                </c:pt>
                <c:pt idx="6">
                  <c:v>84</c:v>
                </c:pt>
                <c:pt idx="7">
                  <c:v>91</c:v>
                </c:pt>
                <c:pt idx="8">
                  <c:v>101</c:v>
                </c:pt>
                <c:pt idx="9">
                  <c:v>107</c:v>
                </c:pt>
                <c:pt idx="10">
                  <c:v>128</c:v>
                </c:pt>
                <c:pt idx="11">
                  <c:v>153</c:v>
                </c:pt>
                <c:pt idx="12">
                  <c:v>159</c:v>
                </c:pt>
                <c:pt idx="13">
                  <c:v>148</c:v>
                </c:pt>
                <c:pt idx="14">
                  <c:v>126</c:v>
                </c:pt>
                <c:pt idx="15">
                  <c:v>126</c:v>
                </c:pt>
                <c:pt idx="16">
                  <c:v>122</c:v>
                </c:pt>
                <c:pt idx="17">
                  <c:v>96</c:v>
                </c:pt>
                <c:pt idx="18">
                  <c:v>41</c:v>
                </c:pt>
                <c:pt idx="19">
                  <c:v>10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028000"/>
        <c:axId val="4550221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86</c:v>
                </c:pt>
                <c:pt idx="1">
                  <c:v>89</c:v>
                </c:pt>
                <c:pt idx="2">
                  <c:v>91</c:v>
                </c:pt>
                <c:pt idx="3">
                  <c:v>85</c:v>
                </c:pt>
                <c:pt idx="4">
                  <c:v>71</c:v>
                </c:pt>
                <c:pt idx="5">
                  <c:v>91</c:v>
                </c:pt>
                <c:pt idx="6">
                  <c:v>100</c:v>
                </c:pt>
                <c:pt idx="7">
                  <c:v>91</c:v>
                </c:pt>
                <c:pt idx="8">
                  <c:v>106</c:v>
                </c:pt>
                <c:pt idx="9">
                  <c:v>105</c:v>
                </c:pt>
                <c:pt idx="10">
                  <c:v>125</c:v>
                </c:pt>
                <c:pt idx="11">
                  <c:v>170</c:v>
                </c:pt>
                <c:pt idx="12">
                  <c:v>177</c:v>
                </c:pt>
                <c:pt idx="13">
                  <c:v>151</c:v>
                </c:pt>
                <c:pt idx="14">
                  <c:v>144</c:v>
                </c:pt>
                <c:pt idx="15">
                  <c:v>168</c:v>
                </c:pt>
                <c:pt idx="16">
                  <c:v>177</c:v>
                </c:pt>
                <c:pt idx="17">
                  <c:v>172</c:v>
                </c:pt>
                <c:pt idx="18">
                  <c:v>113</c:v>
                </c:pt>
                <c:pt idx="19">
                  <c:v>43</c:v>
                </c:pt>
                <c:pt idx="20">
                  <c:v>25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024472"/>
        <c:axId val="455026432"/>
      </c:barChart>
      <c:catAx>
        <c:axId val="455028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2120"/>
        <c:crosses val="autoZero"/>
        <c:auto val="1"/>
        <c:lblAlgn val="ctr"/>
        <c:lblOffset val="100"/>
        <c:noMultiLvlLbl val="0"/>
      </c:catAx>
      <c:valAx>
        <c:axId val="4550221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8000"/>
        <c:crosses val="autoZero"/>
        <c:crossBetween val="between"/>
        <c:majorUnit val="150"/>
      </c:valAx>
      <c:valAx>
        <c:axId val="4550264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4472"/>
        <c:crosses val="max"/>
        <c:crossBetween val="between"/>
        <c:majorUnit val="150"/>
      </c:valAx>
      <c:catAx>
        <c:axId val="455024472"/>
        <c:scaling>
          <c:orientation val="minMax"/>
        </c:scaling>
        <c:delete val="1"/>
        <c:axPos val="l"/>
        <c:numFmt formatCode="General" sourceLinked="1"/>
        <c:majorTickMark val="out"/>
        <c:minorTickMark val="none"/>
        <c:tickLblPos val="nextTo"/>
        <c:crossAx val="455026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4F-411F-AB6E-006124D9793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171</c:v>
                </c:pt>
                <c:pt idx="1">
                  <c:v>186</c:v>
                </c:pt>
                <c:pt idx="2">
                  <c:v>213</c:v>
                </c:pt>
                <c:pt idx="3">
                  <c:v>200</c:v>
                </c:pt>
                <c:pt idx="4">
                  <c:v>134</c:v>
                </c:pt>
                <c:pt idx="5">
                  <c:v>166</c:v>
                </c:pt>
                <c:pt idx="6">
                  <c:v>189</c:v>
                </c:pt>
                <c:pt idx="7">
                  <c:v>195</c:v>
                </c:pt>
                <c:pt idx="8">
                  <c:v>238</c:v>
                </c:pt>
                <c:pt idx="9">
                  <c:v>314</c:v>
                </c:pt>
                <c:pt idx="10">
                  <c:v>335</c:v>
                </c:pt>
                <c:pt idx="11">
                  <c:v>308</c:v>
                </c:pt>
                <c:pt idx="12">
                  <c:v>288</c:v>
                </c:pt>
                <c:pt idx="13">
                  <c:v>323</c:v>
                </c:pt>
                <c:pt idx="14">
                  <c:v>371</c:v>
                </c:pt>
                <c:pt idx="15">
                  <c:v>402</c:v>
                </c:pt>
                <c:pt idx="16">
                  <c:v>328</c:v>
                </c:pt>
                <c:pt idx="17">
                  <c:v>207</c:v>
                </c:pt>
                <c:pt idx="18">
                  <c:v>147</c:v>
                </c:pt>
                <c:pt idx="19">
                  <c:v>60</c:v>
                </c:pt>
                <c:pt idx="20">
                  <c:v>19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020552"/>
        <c:axId val="4550209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175</c:v>
                </c:pt>
                <c:pt idx="1">
                  <c:v>188</c:v>
                </c:pt>
                <c:pt idx="2">
                  <c:v>215</c:v>
                </c:pt>
                <c:pt idx="3">
                  <c:v>202</c:v>
                </c:pt>
                <c:pt idx="4">
                  <c:v>134</c:v>
                </c:pt>
                <c:pt idx="5">
                  <c:v>170</c:v>
                </c:pt>
                <c:pt idx="6">
                  <c:v>193</c:v>
                </c:pt>
                <c:pt idx="7">
                  <c:v>195</c:v>
                </c:pt>
                <c:pt idx="8">
                  <c:v>239</c:v>
                </c:pt>
                <c:pt idx="9">
                  <c:v>315</c:v>
                </c:pt>
                <c:pt idx="10">
                  <c:v>335</c:v>
                </c:pt>
                <c:pt idx="11">
                  <c:v>308</c:v>
                </c:pt>
                <c:pt idx="12">
                  <c:v>288</c:v>
                </c:pt>
                <c:pt idx="13">
                  <c:v>323</c:v>
                </c:pt>
                <c:pt idx="14">
                  <c:v>371</c:v>
                </c:pt>
                <c:pt idx="15">
                  <c:v>402</c:v>
                </c:pt>
                <c:pt idx="16">
                  <c:v>328</c:v>
                </c:pt>
                <c:pt idx="17">
                  <c:v>207</c:v>
                </c:pt>
                <c:pt idx="18">
                  <c:v>147</c:v>
                </c:pt>
                <c:pt idx="19">
                  <c:v>60</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024864"/>
        <c:axId val="455021336"/>
      </c:barChart>
      <c:catAx>
        <c:axId val="455020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0944"/>
        <c:crosses val="autoZero"/>
        <c:auto val="1"/>
        <c:lblAlgn val="ctr"/>
        <c:lblOffset val="100"/>
        <c:noMultiLvlLbl val="0"/>
      </c:catAx>
      <c:valAx>
        <c:axId val="4550209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0552"/>
        <c:crosses val="autoZero"/>
        <c:crossBetween val="between"/>
        <c:majorUnit val="250"/>
      </c:valAx>
      <c:valAx>
        <c:axId val="4550213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24864"/>
        <c:crosses val="max"/>
        <c:crossBetween val="between"/>
        <c:majorUnit val="250"/>
      </c:valAx>
      <c:catAx>
        <c:axId val="455024864"/>
        <c:scaling>
          <c:orientation val="minMax"/>
        </c:scaling>
        <c:delete val="1"/>
        <c:axPos val="l"/>
        <c:numFmt formatCode="General" sourceLinked="1"/>
        <c:majorTickMark val="out"/>
        <c:minorTickMark val="none"/>
        <c:tickLblPos val="nextTo"/>
        <c:crossAx val="4550213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165</c:v>
                </c:pt>
                <c:pt idx="1">
                  <c:v>174</c:v>
                </c:pt>
                <c:pt idx="2">
                  <c:v>175</c:v>
                </c:pt>
                <c:pt idx="3">
                  <c:v>165</c:v>
                </c:pt>
                <c:pt idx="4">
                  <c:v>122</c:v>
                </c:pt>
                <c:pt idx="5">
                  <c:v>161</c:v>
                </c:pt>
                <c:pt idx="6">
                  <c:v>180</c:v>
                </c:pt>
                <c:pt idx="7">
                  <c:v>178</c:v>
                </c:pt>
                <c:pt idx="8">
                  <c:v>202</c:v>
                </c:pt>
                <c:pt idx="9">
                  <c:v>211</c:v>
                </c:pt>
                <c:pt idx="10">
                  <c:v>252</c:v>
                </c:pt>
                <c:pt idx="11">
                  <c:v>322</c:v>
                </c:pt>
                <c:pt idx="12">
                  <c:v>336</c:v>
                </c:pt>
                <c:pt idx="13">
                  <c:v>299</c:v>
                </c:pt>
                <c:pt idx="14">
                  <c:v>270</c:v>
                </c:pt>
                <c:pt idx="15">
                  <c:v>294</c:v>
                </c:pt>
                <c:pt idx="16">
                  <c:v>299</c:v>
                </c:pt>
                <c:pt idx="17">
                  <c:v>268</c:v>
                </c:pt>
                <c:pt idx="18">
                  <c:v>154</c:v>
                </c:pt>
                <c:pt idx="19">
                  <c:v>53</c:v>
                </c:pt>
                <c:pt idx="20">
                  <c:v>25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21064"/>
        <c:axId val="4554214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171</c:v>
                </c:pt>
                <c:pt idx="1">
                  <c:v>180</c:v>
                </c:pt>
                <c:pt idx="2">
                  <c:v>181</c:v>
                </c:pt>
                <c:pt idx="3">
                  <c:v>168</c:v>
                </c:pt>
                <c:pt idx="4">
                  <c:v>122</c:v>
                </c:pt>
                <c:pt idx="5">
                  <c:v>166</c:v>
                </c:pt>
                <c:pt idx="6">
                  <c:v>184</c:v>
                </c:pt>
                <c:pt idx="7">
                  <c:v>182</c:v>
                </c:pt>
                <c:pt idx="8">
                  <c:v>207</c:v>
                </c:pt>
                <c:pt idx="9">
                  <c:v>212</c:v>
                </c:pt>
                <c:pt idx="10">
                  <c:v>253</c:v>
                </c:pt>
                <c:pt idx="11">
                  <c:v>323</c:v>
                </c:pt>
                <c:pt idx="12">
                  <c:v>336</c:v>
                </c:pt>
                <c:pt idx="13">
                  <c:v>299</c:v>
                </c:pt>
                <c:pt idx="14">
                  <c:v>270</c:v>
                </c:pt>
                <c:pt idx="15">
                  <c:v>294</c:v>
                </c:pt>
                <c:pt idx="16">
                  <c:v>299</c:v>
                </c:pt>
                <c:pt idx="17">
                  <c:v>268</c:v>
                </c:pt>
                <c:pt idx="18">
                  <c:v>154</c:v>
                </c:pt>
                <c:pt idx="19">
                  <c:v>53</c:v>
                </c:pt>
                <c:pt idx="20">
                  <c:v>25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23416"/>
        <c:axId val="455420280"/>
      </c:barChart>
      <c:catAx>
        <c:axId val="455421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1456"/>
        <c:crosses val="autoZero"/>
        <c:auto val="1"/>
        <c:lblAlgn val="ctr"/>
        <c:lblOffset val="100"/>
        <c:noMultiLvlLbl val="0"/>
      </c:catAx>
      <c:valAx>
        <c:axId val="45542145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1064"/>
        <c:crosses val="autoZero"/>
        <c:crossBetween val="between"/>
        <c:majorUnit val="250"/>
      </c:valAx>
      <c:valAx>
        <c:axId val="4554202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3416"/>
        <c:crosses val="max"/>
        <c:crossBetween val="between"/>
        <c:majorUnit val="250"/>
      </c:valAx>
      <c:catAx>
        <c:axId val="455423416"/>
        <c:scaling>
          <c:orientation val="minMax"/>
        </c:scaling>
        <c:delete val="1"/>
        <c:axPos val="l"/>
        <c:numFmt formatCode="General" sourceLinked="1"/>
        <c:majorTickMark val="out"/>
        <c:minorTickMark val="none"/>
        <c:tickLblPos val="nextTo"/>
        <c:crossAx val="45542028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南小学校区</c:v>
                </c:pt>
              </c:strCache>
            </c:strRef>
          </c:cat>
          <c:val>
            <c:numRef>
              <c:f>管理者用地域特徴シート!$H$3:$H$5</c:f>
              <c:numCache>
                <c:formatCode>0.0%</c:formatCode>
                <c:ptCount val="3"/>
                <c:pt idx="0">
                  <c:v>0.46108733927332846</c:v>
                </c:pt>
                <c:pt idx="1">
                  <c:v>0.52369717940652194</c:v>
                </c:pt>
                <c:pt idx="2">
                  <c:v>0.50964397994731914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420672"/>
        <c:axId val="455421848"/>
      </c:barChart>
      <c:catAx>
        <c:axId val="455420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1848"/>
        <c:crosses val="autoZero"/>
        <c:auto val="1"/>
        <c:lblAlgn val="ctr"/>
        <c:lblOffset val="100"/>
        <c:noMultiLvlLbl val="0"/>
      </c:catAx>
      <c:valAx>
        <c:axId val="455421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0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南小学校区</c:v>
                </c:pt>
              </c:strCache>
            </c:strRef>
          </c:cat>
          <c:val>
            <c:numRef>
              <c:f>管理者用地域特徴シート!$J$3:$J$5</c:f>
              <c:numCache>
                <c:formatCode>0.0%</c:formatCode>
                <c:ptCount val="3"/>
                <c:pt idx="0">
                  <c:v>0.15075281438403673</c:v>
                </c:pt>
                <c:pt idx="1">
                  <c:v>0.1831812939079375</c:v>
                </c:pt>
                <c:pt idx="2">
                  <c:v>0.18438270031438522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422632"/>
        <c:axId val="455424592"/>
      </c:barChart>
      <c:catAx>
        <c:axId val="455422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4592"/>
        <c:crosses val="autoZero"/>
        <c:auto val="1"/>
        <c:lblAlgn val="ctr"/>
        <c:lblOffset val="100"/>
        <c:noMultiLvlLbl val="0"/>
      </c:catAx>
      <c:valAx>
        <c:axId val="455424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2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南小学校区</c:v>
                </c:pt>
              </c:strCache>
            </c:strRef>
          </c:cat>
          <c:val>
            <c:numRef>
              <c:f>管理者用地域特徴シート!$P$3:$P$5</c:f>
              <c:numCache>
                <c:formatCode>0.0%</c:formatCode>
                <c:ptCount val="3"/>
                <c:pt idx="0">
                  <c:v>0.34758352842621743</c:v>
                </c:pt>
                <c:pt idx="1">
                  <c:v>0.33377604762995189</c:v>
                </c:pt>
                <c:pt idx="2">
                  <c:v>0.33692649992327756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424984"/>
        <c:axId val="455425376"/>
      </c:barChart>
      <c:catAx>
        <c:axId val="455424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5376"/>
        <c:crosses val="autoZero"/>
        <c:auto val="1"/>
        <c:lblAlgn val="ctr"/>
        <c:lblOffset val="100"/>
        <c:noMultiLvlLbl val="0"/>
      </c:catAx>
      <c:valAx>
        <c:axId val="455425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24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南小学校区</c:v>
                </c:pt>
              </c:strCache>
            </c:strRef>
          </c:cat>
          <c:val>
            <c:numRef>
              <c:f>管理者用地域特徴シート!$AO$3:$AO$5</c:f>
              <c:numCache>
                <c:formatCode>0.0%</c:formatCode>
                <c:ptCount val="3"/>
                <c:pt idx="0">
                  <c:v>0.5259093009439566</c:v>
                </c:pt>
                <c:pt idx="1">
                  <c:v>0.53970016657412545</c:v>
                </c:pt>
                <c:pt idx="2">
                  <c:v>0.52666666666666662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5417928"/>
        <c:axId val="455418320"/>
      </c:barChart>
      <c:catAx>
        <c:axId val="455417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18320"/>
        <c:crosses val="autoZero"/>
        <c:auto val="1"/>
        <c:lblAlgn val="ctr"/>
        <c:lblOffset val="100"/>
        <c:noMultiLvlLbl val="0"/>
      </c:catAx>
      <c:valAx>
        <c:axId val="455418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17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0.17915284314481911</c:v>
                </c:pt>
                <c:pt idx="1">
                  <c:v>8.4869994599182162E-4</c:v>
                </c:pt>
                <c:pt idx="2">
                  <c:v>2.3146362163413317E-4</c:v>
                </c:pt>
                <c:pt idx="3">
                  <c:v>7.6382995139263957E-2</c:v>
                </c:pt>
                <c:pt idx="4">
                  <c:v>0.10500732968135175</c:v>
                </c:pt>
                <c:pt idx="5">
                  <c:v>1.311627189260088E-3</c:v>
                </c:pt>
                <c:pt idx="6">
                  <c:v>1.6973998919836435E-3</c:v>
                </c:pt>
                <c:pt idx="7">
                  <c:v>2.6386852866291187E-2</c:v>
                </c:pt>
                <c:pt idx="8">
                  <c:v>0.13332304606126072</c:v>
                </c:pt>
                <c:pt idx="9">
                  <c:v>1.1881799243885504E-2</c:v>
                </c:pt>
                <c:pt idx="10">
                  <c:v>8.8727721626417743E-3</c:v>
                </c:pt>
                <c:pt idx="11">
                  <c:v>2.1834734974153235E-2</c:v>
                </c:pt>
                <c:pt idx="12">
                  <c:v>4.8453051462078546E-2</c:v>
                </c:pt>
                <c:pt idx="13">
                  <c:v>3.2790679731502202E-2</c:v>
                </c:pt>
                <c:pt idx="14">
                  <c:v>4.305223362394877E-2</c:v>
                </c:pt>
                <c:pt idx="15">
                  <c:v>0.18038731579353448</c:v>
                </c:pt>
                <c:pt idx="16">
                  <c:v>1.95200987578119E-2</c:v>
                </c:pt>
                <c:pt idx="17">
                  <c:v>4.467247897538771E-2</c:v>
                </c:pt>
                <c:pt idx="18">
                  <c:v>5.09219967595093E-2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419104"/>
        <c:axId val="455419496"/>
      </c:barChart>
      <c:catAx>
        <c:axId val="45541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19496"/>
        <c:crosses val="autoZero"/>
        <c:auto val="1"/>
        <c:lblAlgn val="ctr"/>
        <c:lblOffset val="100"/>
        <c:noMultiLvlLbl val="0"/>
      </c:catAx>
      <c:valAx>
        <c:axId val="4554194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19104"/>
        <c:crosses val="autoZero"/>
        <c:crossBetween val="between"/>
      </c:valAx>
      <c:spPr>
        <a:noFill/>
        <a:ln>
          <a:noFill/>
        </a:ln>
        <a:effectLst/>
      </c:spPr>
    </c:plotArea>
    <c:legend>
      <c:legendPos val="b"/>
      <c:layout>
        <c:manualLayout>
          <c:xMode val="edge"/>
          <c:yMode val="edge"/>
          <c:x val="0.5476894754352889"/>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南小学校区</c:v>
                </c:pt>
              </c:strCache>
            </c:strRef>
          </c:cat>
          <c:val>
            <c:numRef>
              <c:f>管理者用地域特徴シート!$CK$3:$CK$5</c:f>
              <c:numCache>
                <c:formatCode>0.0%</c:formatCode>
                <c:ptCount val="3"/>
                <c:pt idx="0">
                  <c:v>0.82747216160708559</c:v>
                </c:pt>
                <c:pt idx="1">
                  <c:v>0.8212977744389145</c:v>
                </c:pt>
                <c:pt idx="2">
                  <c:v>0.81405755728724638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2823608"/>
        <c:axId val="392824000"/>
      </c:barChart>
      <c:catAx>
        <c:axId val="392823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24000"/>
        <c:crosses val="autoZero"/>
        <c:auto val="1"/>
        <c:lblAlgn val="ctr"/>
        <c:lblOffset val="100"/>
        <c:noMultiLvlLbl val="0"/>
      </c:catAx>
      <c:valAx>
        <c:axId val="392824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23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0.33</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907888"/>
        <c:axId val="391901224"/>
      </c:barChart>
      <c:catAx>
        <c:axId val="39190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1224"/>
        <c:crosses val="autoZero"/>
        <c:auto val="1"/>
        <c:lblAlgn val="ctr"/>
        <c:lblOffset val="100"/>
        <c:noMultiLvlLbl val="0"/>
      </c:catAx>
      <c:valAx>
        <c:axId val="391901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7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0.19</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902400"/>
        <c:axId val="391905144"/>
      </c:barChart>
      <c:catAx>
        <c:axId val="391902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5144"/>
        <c:crosses val="autoZero"/>
        <c:auto val="1"/>
        <c:lblAlgn val="ctr"/>
        <c:lblOffset val="100"/>
        <c:noMultiLvlLbl val="0"/>
      </c:catAx>
      <c:valAx>
        <c:axId val="391905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24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AD4-452B-8B49-162B518618F7}"/>
                </c:ext>
                <c:ext xmlns:c15="http://schemas.microsoft.com/office/drawing/2012/chart" uri="{CE6537A1-D6FC-4f65-9D91-7224C49458BB}"/>
              </c:extLst>
            </c:dLbl>
            <c:dLbl>
              <c:idx val="20"/>
              <c:layout>
                <c:manualLayout>
                  <c:x val="-3.699258587413915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D4-452B-8B49-162B518618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112</c:v>
                </c:pt>
                <c:pt idx="1">
                  <c:v>126</c:v>
                </c:pt>
                <c:pt idx="2">
                  <c:v>135</c:v>
                </c:pt>
                <c:pt idx="3">
                  <c:v>120</c:v>
                </c:pt>
                <c:pt idx="4">
                  <c:v>84</c:v>
                </c:pt>
                <c:pt idx="5">
                  <c:v>122</c:v>
                </c:pt>
                <c:pt idx="6">
                  <c:v>139</c:v>
                </c:pt>
                <c:pt idx="7">
                  <c:v>137</c:v>
                </c:pt>
                <c:pt idx="8">
                  <c:v>129</c:v>
                </c:pt>
                <c:pt idx="9">
                  <c:v>156</c:v>
                </c:pt>
                <c:pt idx="10">
                  <c:v>187</c:v>
                </c:pt>
                <c:pt idx="11">
                  <c:v>231</c:v>
                </c:pt>
                <c:pt idx="12">
                  <c:v>204</c:v>
                </c:pt>
                <c:pt idx="13">
                  <c:v>157</c:v>
                </c:pt>
                <c:pt idx="14">
                  <c:v>163</c:v>
                </c:pt>
                <c:pt idx="15">
                  <c:v>162</c:v>
                </c:pt>
                <c:pt idx="16">
                  <c:v>115</c:v>
                </c:pt>
                <c:pt idx="17">
                  <c:v>42</c:v>
                </c:pt>
                <c:pt idx="18">
                  <c:v>15</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900832"/>
        <c:axId val="3919063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111</c:v>
                </c:pt>
                <c:pt idx="1">
                  <c:v>106</c:v>
                </c:pt>
                <c:pt idx="2">
                  <c:v>114</c:v>
                </c:pt>
                <c:pt idx="3">
                  <c:v>118</c:v>
                </c:pt>
                <c:pt idx="4">
                  <c:v>90</c:v>
                </c:pt>
                <c:pt idx="5">
                  <c:v>131</c:v>
                </c:pt>
                <c:pt idx="6">
                  <c:v>152</c:v>
                </c:pt>
                <c:pt idx="7">
                  <c:v>139</c:v>
                </c:pt>
                <c:pt idx="8">
                  <c:v>147</c:v>
                </c:pt>
                <c:pt idx="9">
                  <c:v>165</c:v>
                </c:pt>
                <c:pt idx="10">
                  <c:v>204</c:v>
                </c:pt>
                <c:pt idx="11">
                  <c:v>229</c:v>
                </c:pt>
                <c:pt idx="12">
                  <c:v>222</c:v>
                </c:pt>
                <c:pt idx="13">
                  <c:v>185</c:v>
                </c:pt>
                <c:pt idx="14">
                  <c:v>218</c:v>
                </c:pt>
                <c:pt idx="15">
                  <c:v>195</c:v>
                </c:pt>
                <c:pt idx="16">
                  <c:v>161</c:v>
                </c:pt>
                <c:pt idx="17">
                  <c:v>97</c:v>
                </c:pt>
                <c:pt idx="18">
                  <c:v>47</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902792"/>
        <c:axId val="391907104"/>
      </c:barChart>
      <c:catAx>
        <c:axId val="391900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6320"/>
        <c:crosses val="autoZero"/>
        <c:auto val="1"/>
        <c:lblAlgn val="ctr"/>
        <c:lblOffset val="100"/>
        <c:noMultiLvlLbl val="0"/>
      </c:catAx>
      <c:valAx>
        <c:axId val="3919063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0832"/>
        <c:crosses val="autoZero"/>
        <c:crossBetween val="between"/>
        <c:majorUnit val="150"/>
      </c:valAx>
      <c:valAx>
        <c:axId val="3919071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02792"/>
        <c:crosses val="max"/>
        <c:crossBetween val="between"/>
        <c:majorUnit val="150"/>
      </c:valAx>
      <c:catAx>
        <c:axId val="391902792"/>
        <c:scaling>
          <c:orientation val="minMax"/>
        </c:scaling>
        <c:delete val="1"/>
        <c:axPos val="l"/>
        <c:numFmt formatCode="General" sourceLinked="1"/>
        <c:majorTickMark val="out"/>
        <c:minorTickMark val="none"/>
        <c:tickLblPos val="nextTo"/>
        <c:crossAx val="391907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2540</c:v>
                </c:pt>
                <c:pt idx="1">
                  <c:v>2586</c:v>
                </c:pt>
                <c:pt idx="2">
                  <c:v>2423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2845</c:v>
                </c:pt>
                <c:pt idx="1">
                  <c:v>2950</c:v>
                </c:pt>
                <c:pt idx="2">
                  <c:v>2791</c:v>
                </c:pt>
              </c:numCache>
            </c:numRef>
          </c:val>
          <c:extLst xmlns:c16r2="http://schemas.microsoft.com/office/drawing/2015/06/chart">
            <c:ext xmlns:c16="http://schemas.microsoft.com/office/drawing/2014/chart" uri="{C3380CC4-5D6E-409C-BE32-E72D297353CC}">
              <c16:uniqueId val="{00000000-657A-4453-9F60-F8FB48928DFE}"/>
            </c:ext>
          </c:extLst>
        </c:ser>
        <c:dLbls>
          <c:showLegendKey val="0"/>
          <c:showVal val="0"/>
          <c:showCatName val="0"/>
          <c:showSerName val="0"/>
          <c:showPercent val="0"/>
          <c:showBubbleSize val="0"/>
        </c:dLbls>
        <c:gapWidth val="219"/>
        <c:overlap val="100"/>
        <c:axId val="393058488"/>
        <c:axId val="3930569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57A-4453-9F60-F8FB48928DF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5385</c:v>
                </c:pt>
                <c:pt idx="1">
                  <c:v>5536</c:v>
                </c:pt>
                <c:pt idx="2">
                  <c:v>5214</c:v>
                </c:pt>
              </c:numCache>
            </c:numRef>
          </c:val>
          <c:smooth val="0"/>
          <c:extLst xmlns:c16r2="http://schemas.microsoft.com/office/drawing/2015/06/chart">
            <c:ext xmlns:c16="http://schemas.microsoft.com/office/drawing/2014/chart" uri="{C3380CC4-5D6E-409C-BE32-E72D297353CC}">
              <c16:uniqueId val="{00000002-657A-4453-9F60-F8FB48928DFE}"/>
            </c:ext>
          </c:extLst>
        </c:ser>
        <c:dLbls>
          <c:showLegendKey val="0"/>
          <c:showVal val="0"/>
          <c:showCatName val="0"/>
          <c:showSerName val="0"/>
          <c:showPercent val="0"/>
          <c:showBubbleSize val="0"/>
        </c:dLbls>
        <c:marker val="1"/>
        <c:smooth val="0"/>
        <c:axId val="393058488"/>
        <c:axId val="393056920"/>
      </c:lineChart>
      <c:catAx>
        <c:axId val="393058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6920"/>
        <c:crosses val="autoZero"/>
        <c:auto val="1"/>
        <c:lblAlgn val="ctr"/>
        <c:lblOffset val="100"/>
        <c:noMultiLvlLbl val="0"/>
      </c:catAx>
      <c:valAx>
        <c:axId val="393056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848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10A-4387-9708-A055A4F9D52A}"/>
                </c:ext>
                <c:ext xmlns:c15="http://schemas.microsoft.com/office/drawing/2012/chart" uri="{CE6537A1-D6FC-4f65-9D91-7224C49458BB}"/>
              </c:extLst>
            </c:dLbl>
            <c:dLbl>
              <c:idx val="20"/>
              <c:layout>
                <c:manualLayout>
                  <c:x val="-3.2416273855229317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10A-4387-9708-A055A4F9D5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104</c:v>
                </c:pt>
                <c:pt idx="1">
                  <c:v>115</c:v>
                </c:pt>
                <c:pt idx="2">
                  <c:v>122</c:v>
                </c:pt>
                <c:pt idx="3">
                  <c:v>112</c:v>
                </c:pt>
                <c:pt idx="4">
                  <c:v>64</c:v>
                </c:pt>
                <c:pt idx="5">
                  <c:v>90</c:v>
                </c:pt>
                <c:pt idx="6">
                  <c:v>109</c:v>
                </c:pt>
                <c:pt idx="7">
                  <c:v>138</c:v>
                </c:pt>
                <c:pt idx="8">
                  <c:v>153</c:v>
                </c:pt>
                <c:pt idx="9">
                  <c:v>153</c:v>
                </c:pt>
                <c:pt idx="10">
                  <c:v>139</c:v>
                </c:pt>
                <c:pt idx="11">
                  <c:v>156</c:v>
                </c:pt>
                <c:pt idx="12">
                  <c:v>186</c:v>
                </c:pt>
                <c:pt idx="13">
                  <c:v>216</c:v>
                </c:pt>
                <c:pt idx="14">
                  <c:v>193</c:v>
                </c:pt>
                <c:pt idx="15">
                  <c:v>131</c:v>
                </c:pt>
                <c:pt idx="16">
                  <c:v>116</c:v>
                </c:pt>
                <c:pt idx="17">
                  <c:v>81</c:v>
                </c:pt>
                <c:pt idx="18">
                  <c:v>37</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052216"/>
        <c:axId val="3930549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105</c:v>
                </c:pt>
                <c:pt idx="1">
                  <c:v>109</c:v>
                </c:pt>
                <c:pt idx="2">
                  <c:v>116</c:v>
                </c:pt>
                <c:pt idx="3">
                  <c:v>96</c:v>
                </c:pt>
                <c:pt idx="4">
                  <c:v>78</c:v>
                </c:pt>
                <c:pt idx="5">
                  <c:v>92</c:v>
                </c:pt>
                <c:pt idx="6">
                  <c:v>114</c:v>
                </c:pt>
                <c:pt idx="7">
                  <c:v>151</c:v>
                </c:pt>
                <c:pt idx="8">
                  <c:v>164</c:v>
                </c:pt>
                <c:pt idx="9">
                  <c:v>148</c:v>
                </c:pt>
                <c:pt idx="10">
                  <c:v>148</c:v>
                </c:pt>
                <c:pt idx="11">
                  <c:v>176</c:v>
                </c:pt>
                <c:pt idx="12">
                  <c:v>209</c:v>
                </c:pt>
                <c:pt idx="13">
                  <c:v>228</c:v>
                </c:pt>
                <c:pt idx="14">
                  <c:v>215</c:v>
                </c:pt>
                <c:pt idx="15">
                  <c:v>176</c:v>
                </c:pt>
                <c:pt idx="16">
                  <c:v>191</c:v>
                </c:pt>
                <c:pt idx="17">
                  <c:v>153</c:v>
                </c:pt>
                <c:pt idx="18">
                  <c:v>85</c:v>
                </c:pt>
                <c:pt idx="19">
                  <c:v>25</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053392"/>
        <c:axId val="393057312"/>
      </c:barChart>
      <c:catAx>
        <c:axId val="393052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4960"/>
        <c:crosses val="autoZero"/>
        <c:auto val="1"/>
        <c:lblAlgn val="ctr"/>
        <c:lblOffset val="100"/>
        <c:noMultiLvlLbl val="0"/>
      </c:catAx>
      <c:valAx>
        <c:axId val="3930549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2216"/>
        <c:crosses val="autoZero"/>
        <c:crossBetween val="between"/>
        <c:majorUnit val="150"/>
      </c:valAx>
      <c:valAx>
        <c:axId val="3930573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3392"/>
        <c:crosses val="max"/>
        <c:crossBetween val="between"/>
        <c:majorUnit val="150"/>
      </c:valAx>
      <c:catAx>
        <c:axId val="393053392"/>
        <c:scaling>
          <c:orientation val="minMax"/>
        </c:scaling>
        <c:delete val="1"/>
        <c:axPos val="l"/>
        <c:numFmt formatCode="General" sourceLinked="1"/>
        <c:majorTickMark val="out"/>
        <c:minorTickMark val="none"/>
        <c:tickLblPos val="nextTo"/>
        <c:crossAx val="393057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EA2-4735-8BF8-F4DF2FAB900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EA2-4735-8BF8-F4DF2FAB900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EA2-4735-8BF8-F4DF2FAB900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A2-4735-8BF8-F4DF2FAB900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EA2-4735-8BF8-F4DF2FAB900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2540</c:v>
                </c:pt>
                <c:pt idx="1">
                  <c:v>2586</c:v>
                </c:pt>
                <c:pt idx="2">
                  <c:v>2423</c:v>
                </c:pt>
                <c:pt idx="3">
                  <c:v>2314</c:v>
                </c:pt>
                <c:pt idx="4">
                  <c:v>2192</c:v>
                </c:pt>
                <c:pt idx="5">
                  <c:v>2072</c:v>
                </c:pt>
                <c:pt idx="6">
                  <c:v>1948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EA2-4735-8BF8-F4DF2FAB900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EA2-4735-8BF8-F4DF2FAB900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EA2-4735-8BF8-F4DF2FAB900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2845</c:v>
                </c:pt>
                <c:pt idx="1">
                  <c:v>2950</c:v>
                </c:pt>
                <c:pt idx="2">
                  <c:v>2791</c:v>
                </c:pt>
                <c:pt idx="3">
                  <c:v>2712</c:v>
                </c:pt>
                <c:pt idx="4">
                  <c:v>2602</c:v>
                </c:pt>
                <c:pt idx="5">
                  <c:v>2482</c:v>
                </c:pt>
                <c:pt idx="6">
                  <c:v>2357</c:v>
                </c:pt>
              </c:numCache>
            </c:numRef>
          </c:val>
          <c:extLst xmlns:c16r2="http://schemas.microsoft.com/office/drawing/2015/06/chart">
            <c:ext xmlns:c16="http://schemas.microsoft.com/office/drawing/2014/chart" uri="{C3380CC4-5D6E-409C-BE32-E72D297353CC}">
              <c16:uniqueId val="{00000010-0EA2-4735-8BF8-F4DF2FAB900C}"/>
            </c:ext>
          </c:extLst>
        </c:ser>
        <c:dLbls>
          <c:showLegendKey val="0"/>
          <c:showVal val="0"/>
          <c:showCatName val="0"/>
          <c:showSerName val="0"/>
          <c:showPercent val="0"/>
          <c:showBubbleSize val="0"/>
        </c:dLbls>
        <c:gapWidth val="219"/>
        <c:overlap val="100"/>
        <c:axId val="393054568"/>
        <c:axId val="3930526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5385</c:v>
                </c:pt>
                <c:pt idx="1">
                  <c:v>5536</c:v>
                </c:pt>
                <c:pt idx="2">
                  <c:v>5214</c:v>
                </c:pt>
                <c:pt idx="3">
                  <c:v>5026</c:v>
                </c:pt>
                <c:pt idx="4">
                  <c:v>4794</c:v>
                </c:pt>
                <c:pt idx="5">
                  <c:v>4554</c:v>
                </c:pt>
                <c:pt idx="6">
                  <c:v>4305</c:v>
                </c:pt>
              </c:numCache>
            </c:numRef>
          </c:val>
          <c:smooth val="0"/>
          <c:extLst xmlns:c16r2="http://schemas.microsoft.com/office/drawing/2015/06/chart">
            <c:ext xmlns:c16="http://schemas.microsoft.com/office/drawing/2014/chart" uri="{C3380CC4-5D6E-409C-BE32-E72D297353CC}">
              <c16:uniqueId val="{00000011-0EA2-4735-8BF8-F4DF2FAB900C}"/>
            </c:ext>
          </c:extLst>
        </c:ser>
        <c:dLbls>
          <c:showLegendKey val="0"/>
          <c:showVal val="0"/>
          <c:showCatName val="0"/>
          <c:showSerName val="0"/>
          <c:showPercent val="0"/>
          <c:showBubbleSize val="0"/>
        </c:dLbls>
        <c:marker val="1"/>
        <c:smooth val="0"/>
        <c:axId val="393054568"/>
        <c:axId val="393052608"/>
      </c:lineChart>
      <c:catAx>
        <c:axId val="393054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2608"/>
        <c:crosses val="autoZero"/>
        <c:auto val="1"/>
        <c:lblAlgn val="ctr"/>
        <c:lblOffset val="100"/>
        <c:noMultiLvlLbl val="0"/>
      </c:catAx>
      <c:valAx>
        <c:axId val="393052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45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289</c:v>
                </c:pt>
                <c:pt idx="1">
                  <c:v>292</c:v>
                </c:pt>
                <c:pt idx="2">
                  <c:v>278</c:v>
                </c:pt>
                <c:pt idx="3">
                  <c:v>263</c:v>
                </c:pt>
                <c:pt idx="4">
                  <c:v>239</c:v>
                </c:pt>
                <c:pt idx="5">
                  <c:v>216</c:v>
                </c:pt>
                <c:pt idx="6">
                  <c:v>210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053000"/>
        <c:axId val="393058096"/>
      </c:barChart>
      <c:catAx>
        <c:axId val="393053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8096"/>
        <c:crosses val="autoZero"/>
        <c:auto val="1"/>
        <c:lblAlgn val="ctr"/>
        <c:lblOffset val="100"/>
        <c:noMultiLvlLbl val="0"/>
      </c:catAx>
      <c:valAx>
        <c:axId val="393058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3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7" t="s">
        <v>322</v>
      </c>
      <c r="B8" s="267"/>
      <c r="C8" s="267"/>
      <c r="D8" s="267"/>
      <c r="E8" s="267"/>
      <c r="F8" s="267"/>
      <c r="G8" s="267"/>
      <c r="H8" s="267"/>
      <c r="I8" s="267"/>
      <c r="J8" s="267"/>
    </row>
    <row r="9" spans="1:10" x14ac:dyDescent="0.15">
      <c r="A9" s="270" t="s">
        <v>357</v>
      </c>
      <c r="B9" s="270"/>
      <c r="C9" s="270"/>
      <c r="D9" s="270"/>
      <c r="E9" s="270"/>
      <c r="F9" s="270"/>
      <c r="G9" s="270"/>
      <c r="H9" s="270"/>
      <c r="I9" s="270"/>
      <c r="J9" s="270"/>
    </row>
    <row r="10" spans="1:10" x14ac:dyDescent="0.15">
      <c r="A10" s="270"/>
      <c r="B10" s="270"/>
      <c r="C10" s="270"/>
      <c r="D10" s="270"/>
      <c r="E10" s="270"/>
      <c r="F10" s="270"/>
      <c r="G10" s="270"/>
      <c r="H10" s="270"/>
      <c r="I10" s="270"/>
      <c r="J10" s="270"/>
    </row>
    <row r="11" spans="1:10" x14ac:dyDescent="0.15">
      <c r="A11" s="270"/>
      <c r="B11" s="270"/>
      <c r="C11" s="270"/>
      <c r="D11" s="270"/>
      <c r="E11" s="270"/>
      <c r="F11" s="270"/>
      <c r="G11" s="270"/>
      <c r="H11" s="270"/>
      <c r="I11" s="270"/>
      <c r="J11" s="270"/>
    </row>
    <row r="12" spans="1:10" x14ac:dyDescent="0.15">
      <c r="A12" s="270"/>
      <c r="B12" s="270"/>
      <c r="C12" s="270"/>
      <c r="D12" s="270"/>
      <c r="E12" s="270"/>
      <c r="F12" s="270"/>
      <c r="G12" s="270"/>
      <c r="H12" s="270"/>
      <c r="I12" s="270"/>
      <c r="J12" s="270"/>
    </row>
    <row r="15" spans="1:10" ht="18.75" customHeight="1" x14ac:dyDescent="0.15">
      <c r="A15" s="268" t="str">
        <f>管理者入力シート!B4</f>
        <v>南小学校区</v>
      </c>
      <c r="B15" s="268"/>
      <c r="C15" s="268"/>
      <c r="D15" s="268"/>
      <c r="E15" s="268"/>
      <c r="F15" s="268"/>
      <c r="G15" s="268"/>
      <c r="H15" s="268"/>
      <c r="I15" s="268"/>
      <c r="J15" s="268"/>
    </row>
    <row r="16" spans="1:10" ht="18.75" customHeight="1" x14ac:dyDescent="0.15">
      <c r="A16" s="268"/>
      <c r="B16" s="268"/>
      <c r="C16" s="268"/>
      <c r="D16" s="268"/>
      <c r="E16" s="268"/>
      <c r="F16" s="268"/>
      <c r="G16" s="268"/>
      <c r="H16" s="268"/>
      <c r="I16" s="268"/>
      <c r="J16" s="268"/>
    </row>
    <row r="19" spans="1:10" ht="18.75" customHeight="1" x14ac:dyDescent="0.15">
      <c r="A19" s="269" t="s">
        <v>358</v>
      </c>
      <c r="B19" s="269"/>
      <c r="C19" s="269"/>
      <c r="D19" s="269"/>
      <c r="E19" s="269"/>
      <c r="F19" s="269"/>
      <c r="G19" s="269"/>
      <c r="H19" s="269"/>
      <c r="I19" s="269"/>
      <c r="J19" s="269"/>
    </row>
    <row r="20" spans="1:10" x14ac:dyDescent="0.15">
      <c r="A20" s="269"/>
      <c r="B20" s="269"/>
      <c r="C20" s="269"/>
      <c r="D20" s="269"/>
      <c r="E20" s="269"/>
      <c r="F20" s="269"/>
      <c r="G20" s="269"/>
      <c r="H20" s="269"/>
      <c r="I20" s="269"/>
      <c r="J20" s="269"/>
    </row>
    <row r="21" spans="1:10" x14ac:dyDescent="0.15">
      <c r="A21" s="269"/>
      <c r="B21" s="269"/>
      <c r="C21" s="269"/>
      <c r="D21" s="269"/>
      <c r="E21" s="269"/>
      <c r="F21" s="269"/>
      <c r="G21" s="269"/>
      <c r="H21" s="269"/>
      <c r="I21" s="269"/>
      <c r="J21" s="269"/>
    </row>
    <row r="22" spans="1:10" x14ac:dyDescent="0.15">
      <c r="A22" s="269"/>
      <c r="B22" s="269"/>
      <c r="C22" s="269"/>
      <c r="D22" s="269"/>
      <c r="E22" s="269"/>
      <c r="F22" s="269"/>
      <c r="G22" s="269"/>
      <c r="H22" s="269"/>
      <c r="I22" s="269"/>
      <c r="J22" s="269"/>
    </row>
    <row r="23" spans="1:10" x14ac:dyDescent="0.15">
      <c r="A23" s="269"/>
      <c r="B23" s="269"/>
      <c r="C23" s="269"/>
      <c r="D23" s="269"/>
      <c r="E23" s="269"/>
      <c r="F23" s="269"/>
      <c r="G23" s="269"/>
      <c r="H23" s="269"/>
      <c r="I23" s="269"/>
      <c r="J23" s="269"/>
    </row>
    <row r="24" spans="1:10" x14ac:dyDescent="0.15">
      <c r="A24" s="269"/>
      <c r="B24" s="269"/>
      <c r="C24" s="269"/>
      <c r="D24" s="269"/>
      <c r="E24" s="269"/>
      <c r="F24" s="269"/>
      <c r="G24" s="269"/>
      <c r="H24" s="269"/>
      <c r="I24" s="269"/>
      <c r="J24" s="269"/>
    </row>
    <row r="25" spans="1:10" x14ac:dyDescent="0.15">
      <c r="A25" s="269"/>
      <c r="B25" s="269"/>
      <c r="C25" s="269"/>
      <c r="D25" s="269"/>
      <c r="E25" s="269"/>
      <c r="F25" s="269"/>
      <c r="G25" s="269"/>
      <c r="H25" s="269"/>
      <c r="I25" s="269"/>
      <c r="J25" s="269"/>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0" t="s">
        <v>127</v>
      </c>
      <c r="B1" s="351" t="s">
        <v>128</v>
      </c>
      <c r="C1" s="353" t="s">
        <v>129</v>
      </c>
      <c r="D1" s="355" t="s">
        <v>130</v>
      </c>
      <c r="E1" s="355"/>
      <c r="F1" s="355"/>
      <c r="G1" s="355"/>
      <c r="H1" s="355"/>
      <c r="I1" s="355"/>
      <c r="J1" s="355"/>
      <c r="K1" s="323" t="s">
        <v>131</v>
      </c>
      <c r="L1" s="323"/>
      <c r="M1" s="323"/>
      <c r="N1" s="323"/>
      <c r="O1" s="323"/>
      <c r="P1" s="323"/>
      <c r="Q1" s="323"/>
      <c r="R1" s="356" t="s">
        <v>132</v>
      </c>
      <c r="S1" s="357"/>
      <c r="T1" s="357"/>
      <c r="U1" s="357"/>
      <c r="V1" s="357"/>
      <c r="W1" s="357"/>
      <c r="X1" s="357"/>
      <c r="Y1" s="357"/>
      <c r="Z1" s="357"/>
      <c r="AA1" s="357"/>
      <c r="AB1" s="357"/>
      <c r="AC1" s="357"/>
      <c r="AD1" s="357"/>
      <c r="AE1" s="357"/>
      <c r="AF1" s="357"/>
      <c r="AG1" s="357"/>
      <c r="AH1" s="357"/>
      <c r="AI1" s="357"/>
      <c r="AJ1" s="357"/>
      <c r="AK1" s="357"/>
      <c r="AL1" s="357"/>
      <c r="AM1" s="357"/>
      <c r="AN1" s="357"/>
      <c r="AO1" s="358"/>
      <c r="AP1" s="344" t="s">
        <v>133</v>
      </c>
      <c r="AQ1" s="345"/>
      <c r="AR1" s="345"/>
      <c r="AS1" s="345"/>
      <c r="AT1" s="345"/>
      <c r="AU1" s="345"/>
      <c r="AV1" s="345"/>
      <c r="AW1" s="345"/>
      <c r="AX1" s="345"/>
      <c r="AY1" s="345"/>
      <c r="AZ1" s="345"/>
      <c r="BA1" s="345"/>
      <c r="BB1" s="345"/>
      <c r="BC1" s="345"/>
      <c r="BD1" s="345"/>
      <c r="BE1" s="345"/>
      <c r="BF1" s="345"/>
      <c r="BG1" s="345"/>
      <c r="BH1" s="345"/>
      <c r="BI1" s="345"/>
      <c r="BJ1" s="345"/>
      <c r="BK1" s="345"/>
      <c r="BL1" s="345"/>
      <c r="BM1" s="345"/>
      <c r="BN1" s="345"/>
      <c r="BO1" s="345"/>
      <c r="BP1" s="345"/>
      <c r="BQ1" s="345"/>
      <c r="BR1" s="345"/>
      <c r="BS1" s="345"/>
      <c r="BT1" s="345"/>
      <c r="BU1" s="345"/>
      <c r="BV1" s="345"/>
      <c r="BW1" s="345"/>
      <c r="BX1" s="345"/>
      <c r="BY1" s="345"/>
      <c r="BZ1" s="345"/>
      <c r="CA1" s="345"/>
      <c r="CB1" s="346"/>
      <c r="CC1" s="347" t="s">
        <v>134</v>
      </c>
      <c r="CD1" s="348"/>
      <c r="CE1" s="348"/>
      <c r="CF1" s="348"/>
      <c r="CG1" s="348"/>
      <c r="CH1" s="348"/>
      <c r="CI1" s="348"/>
      <c r="CJ1" s="348"/>
      <c r="CK1" s="348"/>
      <c r="CL1" s="348"/>
      <c r="CM1" s="348"/>
      <c r="CN1" s="348"/>
      <c r="CO1" s="348"/>
      <c r="CP1" s="349"/>
    </row>
    <row r="2" spans="1:94" s="86" customFormat="1" ht="60" x14ac:dyDescent="0.15">
      <c r="A2" s="351"/>
      <c r="B2" s="352"/>
      <c r="C2" s="354"/>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2" t="str">
        <f>B5&amp;"平均"</f>
        <v>小林市平均</v>
      </c>
      <c r="C4" s="262"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45205_5</v>
      </c>
      <c r="B5" s="221" t="str">
        <f>VLOOKUP($A$5,$A$7:$CP$50,2,FALSE)</f>
        <v>小林市</v>
      </c>
      <c r="C5" s="221" t="str">
        <f>VLOOKUP($A$5,$A$7:$CP$50,3,FALSE)</f>
        <v>南小学校区</v>
      </c>
      <c r="D5" s="206">
        <f>VLOOKUP($A$5,$A$7:$CP$70,4,FALSE)</f>
        <v>2353.8000000000002</v>
      </c>
      <c r="E5" s="207">
        <f>VLOOKUP($A$5,$A$7:$CP$70,5,FALSE)</f>
        <v>1199.5999999999999</v>
      </c>
      <c r="F5" s="207">
        <f>VLOOKUP($A$5,$A$7:$CP$70,6,FALSE)</f>
        <v>403</v>
      </c>
      <c r="G5" s="208">
        <f>VLOOKUP($A$5,$A$7:$CP$70,7,FALSE)</f>
        <v>434</v>
      </c>
      <c r="H5" s="196">
        <f>VLOOKUP($A$5,$A$7:$CP$70,8,FALSE)</f>
        <v>0.50964397994731914</v>
      </c>
      <c r="I5" s="197">
        <f>VLOOKUP($A$5,$A$7:$CP$70,9,FALSE)</f>
        <v>0.17121250743478628</v>
      </c>
      <c r="J5" s="198">
        <f>VLOOKUP($A$5,$A$7:$CP$70,10,FALSE)</f>
        <v>0.18438270031438522</v>
      </c>
      <c r="K5" s="206">
        <f>VLOOKUP($A$5,$A$7:$CP$70,11,FALSE)</f>
        <v>5213.6000000000004</v>
      </c>
      <c r="L5" s="207">
        <f>VLOOKUP($A$5,$A$7:$CP$70,12,FALSE)</f>
        <v>685</v>
      </c>
      <c r="M5" s="207">
        <f>VLOOKUP($A$5,$A$7:$CP$70,13,FALSE)</f>
        <v>1756.6</v>
      </c>
      <c r="N5" s="208">
        <f>VLOOKUP($A$5,$A$7:$CP$70,14,FALSE)</f>
        <v>2728.7999999999997</v>
      </c>
      <c r="O5" s="196">
        <f>VLOOKUP($A$5,$A$7:$CP$70,15,FALSE)</f>
        <v>0.1313871413226945</v>
      </c>
      <c r="P5" s="197">
        <f>VLOOKUP($A$5,$A$7:$CP$70,16,FALSE)</f>
        <v>0.33692649992327756</v>
      </c>
      <c r="Q5" s="198">
        <f>VLOOKUP($A$5,$A$7:$CP$70,17,FALSE)</f>
        <v>0.52340033757864035</v>
      </c>
      <c r="R5" s="206">
        <f>VLOOKUP($A$5,$A$7:$CP$70,18,FALSE)</f>
        <v>5213.6000000000004</v>
      </c>
      <c r="S5" s="207">
        <f>VLOOKUP($A$5,$A$7:$CP$70,19,FALSE)</f>
        <v>589.79999999999995</v>
      </c>
      <c r="T5" s="207">
        <f>VLOOKUP($A$5,$A$7:$CP$70,20,FALSE)</f>
        <v>225</v>
      </c>
      <c r="U5" s="207">
        <f>VLOOKUP($A$5,$A$7:$CP$70,21,FALSE)</f>
        <v>225</v>
      </c>
      <c r="V5" s="207">
        <f>VLOOKUP($A$5,$A$7:$CP$70,22,FALSE)</f>
        <v>40.200000000000003</v>
      </c>
      <c r="W5" s="208">
        <f>VLOOKUP($A$5,$A$7:$CP$70,23,FALSE)</f>
        <v>1080</v>
      </c>
      <c r="X5" s="206">
        <f>VLOOKUP($A$5,$A$7:$CP$70,24,FALSE)</f>
        <v>2423</v>
      </c>
      <c r="Y5" s="207">
        <f>VLOOKUP($A$5,$A$7:$CP$70,25,FALSE)</f>
        <v>261.8</v>
      </c>
      <c r="Z5" s="207">
        <f>VLOOKUP($A$5,$A$7:$CP$70,26,FALSE)</f>
        <v>113</v>
      </c>
      <c r="AA5" s="207">
        <f>VLOOKUP($A$5,$A$7:$CP$70,27,FALSE)</f>
        <v>129.6</v>
      </c>
      <c r="AB5" s="207">
        <f>VLOOKUP($A$5,$A$7:$CP$70,28,FALSE)</f>
        <v>6.8000000000000007</v>
      </c>
      <c r="AC5" s="209">
        <f>VLOOKUP($A$5,$A$7:$CP$70,29,FALSE)</f>
        <v>511.2</v>
      </c>
      <c r="AD5" s="206">
        <f>VLOOKUP($A$5,$A$7:$CP$70,30,FALSE)</f>
        <v>2790.6</v>
      </c>
      <c r="AE5" s="207">
        <f>VLOOKUP($A$5,$A$7:$CP$70,31,FALSE)</f>
        <v>328</v>
      </c>
      <c r="AF5" s="207">
        <f>VLOOKUP($A$5,$A$7:$CP$70,32,FALSE)</f>
        <v>112</v>
      </c>
      <c r="AG5" s="207">
        <f>VLOOKUP($A$5,$A$7:$CP$70,33,FALSE)</f>
        <v>95.4</v>
      </c>
      <c r="AH5" s="207">
        <f>VLOOKUP($A$5,$A$7:$CP$70,34,FALSE)</f>
        <v>33.400000000000006</v>
      </c>
      <c r="AI5" s="209">
        <f>VLOOKUP($A$5,$A$7:$CP$70,35,FALSE)</f>
        <v>568.79999999999995</v>
      </c>
      <c r="AJ5" s="196">
        <f>VLOOKUP($A$5,$A$7:$CP$70,36,FALSE)</f>
        <v>0.2071505293846862</v>
      </c>
      <c r="AK5" s="197">
        <f>VLOOKUP($A$5,$A$7:$CP$70,37,FALSE)</f>
        <v>0.20833333333333334</v>
      </c>
      <c r="AL5" s="197">
        <f>VLOOKUP($A$5,$A$7:$CP$70,38,FALSE)</f>
        <v>0.20833333333333334</v>
      </c>
      <c r="AM5" s="197">
        <f>VLOOKUP($A$5,$A$7:$CP$70,39,FALSE)</f>
        <v>3.7222222222222226E-2</v>
      </c>
      <c r="AN5" s="200">
        <f>VLOOKUP($A$5,$A$7:$CP$70,40,FALSE)</f>
        <v>0.47333333333333333</v>
      </c>
      <c r="AO5" s="198">
        <f>VLOOKUP($A$5,$A$7:$CP$70,41,FALSE)</f>
        <v>0.52666666666666662</v>
      </c>
      <c r="AP5" s="210">
        <f>VLOOKUP($A$5,$A$7:$CP$70,42,FALSE)</f>
        <v>2592.1999999999998</v>
      </c>
      <c r="AQ5" s="207">
        <f>VLOOKUP($A$5,$A$7:$CP$70,43,FALSE)</f>
        <v>464.40000000000003</v>
      </c>
      <c r="AR5" s="207">
        <f>VLOOKUP($A$5,$A$7:$CP$70,44,FALSE)</f>
        <v>2.1999999999999997</v>
      </c>
      <c r="AS5" s="207">
        <f>VLOOKUP($A$5,$A$7:$CP$70,45,FALSE)</f>
        <v>0.6</v>
      </c>
      <c r="AT5" s="207">
        <f>VLOOKUP($A$5,$A$7:$CP$70,46,FALSE)</f>
        <v>198</v>
      </c>
      <c r="AU5" s="207">
        <f>VLOOKUP($A$5,$A$7:$CP$70,47,FALSE)</f>
        <v>272.2</v>
      </c>
      <c r="AV5" s="207">
        <f>VLOOKUP($A$5,$A$7:$CP$70,48,FALSE)</f>
        <v>3.4</v>
      </c>
      <c r="AW5" s="207">
        <f>VLOOKUP($A$5,$A$7:$CP$70,49,FALSE)</f>
        <v>4.4000000000000004</v>
      </c>
      <c r="AX5" s="207">
        <f>VLOOKUP($A$5,$A$7:$CP$70,50,FALSE)</f>
        <v>68.400000000000006</v>
      </c>
      <c r="AY5" s="207">
        <f>VLOOKUP($A$5,$A$7:$CP$70,51,FALSE)</f>
        <v>345.6</v>
      </c>
      <c r="AZ5" s="207">
        <f>VLOOKUP($A$5,$A$7:$CP$70,52,FALSE)</f>
        <v>30.8</v>
      </c>
      <c r="BA5" s="207">
        <f>VLOOKUP($A$5,$A$7:$CP$70,53,FALSE)</f>
        <v>23.000000000000004</v>
      </c>
      <c r="BB5" s="207">
        <f>VLOOKUP($A$5,$A$7:$CP$70,54,FALSE)</f>
        <v>56.600000000000009</v>
      </c>
      <c r="BC5" s="207">
        <f>VLOOKUP($A$5,$A$7:$CP$70,55,FALSE)</f>
        <v>125.6</v>
      </c>
      <c r="BD5" s="207">
        <f>VLOOKUP($A$5,$A$7:$CP$70,56,FALSE)</f>
        <v>85</v>
      </c>
      <c r="BE5" s="207">
        <f>VLOOKUP($A$5,$A$7:$CP$70,57,FALSE)</f>
        <v>111.6</v>
      </c>
      <c r="BF5" s="207">
        <f>VLOOKUP($A$5,$A$7:$CP$70,58,FALSE)</f>
        <v>467.6</v>
      </c>
      <c r="BG5" s="207">
        <f>VLOOKUP($A$5,$A$7:$CP$70,59,FALSE)</f>
        <v>50.6</v>
      </c>
      <c r="BH5" s="207">
        <f>VLOOKUP($A$5,$A$7:$CP$70,60,FALSE)</f>
        <v>115.80000000000001</v>
      </c>
      <c r="BI5" s="207">
        <f>VLOOKUP($A$5,$A$7:$CP$70,61,FALSE)</f>
        <v>132</v>
      </c>
      <c r="BJ5" s="196">
        <f>VLOOKUP($A$5,$A$7:$CP$70,62,FALSE)</f>
        <v>0.17915284314481911</v>
      </c>
      <c r="BK5" s="197">
        <f>VLOOKUP($A$5,$A$7:$CP$70,63,FALSE)</f>
        <v>8.4869994599182162E-4</v>
      </c>
      <c r="BL5" s="197">
        <f>VLOOKUP($A$5,$A$7:$CP$70,64,FALSE)</f>
        <v>2.3146362163413317E-4</v>
      </c>
      <c r="BM5" s="197">
        <f>VLOOKUP($A$5,$A$7:$CP$70,65,FALSE)</f>
        <v>7.6382995139263957E-2</v>
      </c>
      <c r="BN5" s="197">
        <f>VLOOKUP($A$5,$A$7:$CP$70,66,FALSE)</f>
        <v>0.10500732968135175</v>
      </c>
      <c r="BO5" s="197">
        <f>VLOOKUP($A$5,$A$7:$CP$70,67,FALSE)</f>
        <v>1.311627189260088E-3</v>
      </c>
      <c r="BP5" s="197">
        <f>VLOOKUP($A$5,$A$7:$CP$70,68,FALSE)</f>
        <v>1.6973998919836435E-3</v>
      </c>
      <c r="BQ5" s="197">
        <f>VLOOKUP($A$5,$A$7:$CP$70,69,FALSE)</f>
        <v>2.6386852866291187E-2</v>
      </c>
      <c r="BR5" s="197">
        <f>VLOOKUP($A$5,$A$7:$CP$70,70,FALSE)</f>
        <v>0.13332304606126072</v>
      </c>
      <c r="BS5" s="197">
        <f>VLOOKUP($A$5,$A$7:$CP$70,71,FALSE)</f>
        <v>1.1881799243885504E-2</v>
      </c>
      <c r="BT5" s="197">
        <f>VLOOKUP($A$5,$A$7:$CP$70,72,FALSE)</f>
        <v>8.8727721626417743E-3</v>
      </c>
      <c r="BU5" s="197">
        <f>VLOOKUP($A$5,$A$7:$CP$70,73,FALSE)</f>
        <v>2.1834734974153235E-2</v>
      </c>
      <c r="BV5" s="197">
        <f>VLOOKUP($A$5,$A$7:$CP$70,74,FALSE)</f>
        <v>4.8453051462078546E-2</v>
      </c>
      <c r="BW5" s="197">
        <f>VLOOKUP($A$5,$A$7:$CP$70,75,FALSE)</f>
        <v>3.2790679731502202E-2</v>
      </c>
      <c r="BX5" s="197">
        <f>VLOOKUP($A$5,$A$7:$CP$70,76,FALSE)</f>
        <v>4.305223362394877E-2</v>
      </c>
      <c r="BY5" s="197">
        <f>VLOOKUP($A$5,$A$7:$CP$70,77,FALSE)</f>
        <v>0.18038731579353448</v>
      </c>
      <c r="BZ5" s="197">
        <f>VLOOKUP($A$5,$A$7:$CP$70,78,FALSE)</f>
        <v>1.95200987578119E-2</v>
      </c>
      <c r="CA5" s="197">
        <f>VLOOKUP($A$5,$A$7:$CP$70,79,FALSE)</f>
        <v>4.467247897538771E-2</v>
      </c>
      <c r="CB5" s="198">
        <f>VLOOKUP($A$5,$A$7:$CP$70,80,FALSE)</f>
        <v>5.09219967595093E-2</v>
      </c>
      <c r="CC5" s="206">
        <f>VLOOKUP($A$5,$A$7:$CP$70,81,FALSE)</f>
        <v>2592.1999999999998</v>
      </c>
      <c r="CD5" s="208">
        <f>VLOOKUP($A$5,$A$7:$CP$70,82,FALSE)</f>
        <v>2110.1999999999998</v>
      </c>
      <c r="CE5" s="207">
        <f>VLOOKUP($A$5,$A$7:$CP$70,83,FALSE)</f>
        <v>427.6</v>
      </c>
      <c r="CF5" s="209">
        <f>VLOOKUP($A$5,$A$7:$CP$70,84,FALSE)</f>
        <v>24.6</v>
      </c>
      <c r="CG5" s="206">
        <f>VLOOKUP($A$5,$A$7:$CP$70,85,FALSE)</f>
        <v>192</v>
      </c>
      <c r="CH5" s="207">
        <f>VLOOKUP($A$5,$A$7:$CP$70,86,FALSE)</f>
        <v>135.80000000000001</v>
      </c>
      <c r="CI5" s="207">
        <f>VLOOKUP($A$5,$A$7:$CP$70,87,FALSE)</f>
        <v>47.400000000000006</v>
      </c>
      <c r="CJ5" s="209">
        <f>VLOOKUP($A$5,$A$7:$CP$70,88,FALSE)</f>
        <v>3.6</v>
      </c>
      <c r="CK5" s="196">
        <f>VLOOKUP($A$5,$A$7:$CP$70,89,FALSE)</f>
        <v>0.81405755728724638</v>
      </c>
      <c r="CL5" s="197">
        <f>VLOOKUP($A$5,$A$7:$CP$70,90,FALSE)</f>
        <v>0.16495640768459227</v>
      </c>
      <c r="CM5" s="198">
        <f>VLOOKUP($A$5,$A$7:$CP$70,91,FALSE)</f>
        <v>9.490008486999461E-3</v>
      </c>
      <c r="CN5" s="196">
        <f>VLOOKUP($A$5,$A$7:$CP$70,92,FALSE)</f>
        <v>0.70729166666666676</v>
      </c>
      <c r="CO5" s="197">
        <f>VLOOKUP($A$5,$A$7:$CP$70,93,FALSE)</f>
        <v>0.24687500000000004</v>
      </c>
      <c r="CP5" s="198">
        <f>VLOOKUP($A$5,$A$7:$CP$70,94,FALSE)</f>
        <v>1.8749999999999999E-2</v>
      </c>
    </row>
    <row r="6" spans="1:94" s="265"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v>5322.75</v>
      </c>
      <c r="E15">
        <v>2610.8000000000002</v>
      </c>
      <c r="F15">
        <v>942.15</v>
      </c>
      <c r="G15">
        <v>977.89999999999986</v>
      </c>
      <c r="H15">
        <v>0.49049833262881032</v>
      </c>
      <c r="I15">
        <v>0.17700436804283501</v>
      </c>
      <c r="J15">
        <v>0.18372082100418013</v>
      </c>
      <c r="K15">
        <v>12081.25</v>
      </c>
      <c r="L15">
        <v>1318.9</v>
      </c>
      <c r="M15">
        <v>4494.05</v>
      </c>
      <c r="N15">
        <v>6173.2</v>
      </c>
      <c r="O15">
        <v>0.10916916709777548</v>
      </c>
      <c r="P15">
        <v>0.37198551474392139</v>
      </c>
      <c r="Q15">
        <v>0.5109736161407139</v>
      </c>
      <c r="R15">
        <v>12081.25</v>
      </c>
      <c r="S15">
        <v>1653.8000000000002</v>
      </c>
      <c r="T15">
        <v>601.9</v>
      </c>
      <c r="U15">
        <v>511.5</v>
      </c>
      <c r="V15">
        <v>62.099999999999994</v>
      </c>
      <c r="W15">
        <v>2829.3</v>
      </c>
      <c r="X15">
        <v>5602.7000000000007</v>
      </c>
      <c r="Y15">
        <v>723.55</v>
      </c>
      <c r="Z15">
        <v>296.89999999999998</v>
      </c>
      <c r="AA15">
        <v>286.35000000000002</v>
      </c>
      <c r="AB15">
        <v>11.849999999999998</v>
      </c>
      <c r="AC15">
        <v>1318.6499999999999</v>
      </c>
      <c r="AD15">
        <v>6478.5499999999993</v>
      </c>
      <c r="AE15">
        <v>930.25</v>
      </c>
      <c r="AF15">
        <v>305</v>
      </c>
      <c r="AG15">
        <v>225.14999999999998</v>
      </c>
      <c r="AH15">
        <v>50.25</v>
      </c>
      <c r="AI15">
        <v>1510.65</v>
      </c>
      <c r="AJ15">
        <v>0.23418934299017075</v>
      </c>
      <c r="AK15">
        <v>0.21273813310712894</v>
      </c>
      <c r="AL15">
        <v>0.18078676704485208</v>
      </c>
      <c r="AM15">
        <v>2.1948891952072946E-2</v>
      </c>
      <c r="AN15">
        <v>0.46606934577457315</v>
      </c>
      <c r="AO15">
        <v>0.53393065422542674</v>
      </c>
      <c r="AP15">
        <v>5620.35</v>
      </c>
      <c r="AQ15">
        <v>611.94999999999993</v>
      </c>
      <c r="AR15">
        <v>1.0499999999999998</v>
      </c>
      <c r="AS15">
        <v>0</v>
      </c>
      <c r="AT15">
        <v>444.09999999999997</v>
      </c>
      <c r="AU15">
        <v>686.44999999999993</v>
      </c>
      <c r="AV15">
        <v>8.25</v>
      </c>
      <c r="AW15">
        <v>12.649999999999999</v>
      </c>
      <c r="AX15">
        <v>159</v>
      </c>
      <c r="AY15">
        <v>827.05000000000007</v>
      </c>
      <c r="AZ15">
        <v>92.149999999999991</v>
      </c>
      <c r="BA15">
        <v>44.599999999999994</v>
      </c>
      <c r="BB15">
        <v>107.94999999999999</v>
      </c>
      <c r="BC15">
        <v>284.14999999999998</v>
      </c>
      <c r="BD15">
        <v>207.35000000000002</v>
      </c>
      <c r="BE15">
        <v>264.45</v>
      </c>
      <c r="BF15">
        <v>1132.05</v>
      </c>
      <c r="BG15">
        <v>96.85</v>
      </c>
      <c r="BH15">
        <v>291.75</v>
      </c>
      <c r="BI15">
        <v>286.60000000000002</v>
      </c>
      <c r="BJ15">
        <v>0.10888111950323376</v>
      </c>
      <c r="BK15">
        <v>1.8682110544716962E-4</v>
      </c>
      <c r="BL15">
        <v>0</v>
      </c>
      <c r="BM15">
        <v>7.9016431361036227E-2</v>
      </c>
      <c r="BN15">
        <v>0.12213652174686628</v>
      </c>
      <c r="BO15">
        <v>1.4678801142277615E-3</v>
      </c>
      <c r="BP15">
        <v>2.2507495084825675E-3</v>
      </c>
      <c r="BQ15">
        <v>2.8290053110571405E-2</v>
      </c>
      <c r="BR15">
        <v>0.14715275739055397</v>
      </c>
      <c r="BS15">
        <v>1.6395776063768269E-2</v>
      </c>
      <c r="BT15">
        <v>7.9354488599464434E-3</v>
      </c>
      <c r="BU15">
        <v>1.9206988888592343E-2</v>
      </c>
      <c r="BV15">
        <v>5.0557349631250713E-2</v>
      </c>
      <c r="BW15">
        <v>3.6892720204257747E-2</v>
      </c>
      <c r="BX15">
        <v>4.7052229843337151E-2</v>
      </c>
      <c r="BY15">
        <v>0.20141984040139846</v>
      </c>
      <c r="BZ15">
        <v>1.7232022916722267E-2</v>
      </c>
      <c r="CA15">
        <v>5.1909578584963569E-2</v>
      </c>
      <c r="CB15">
        <v>5.0993265543960789E-2</v>
      </c>
      <c r="CC15">
        <v>5620.35</v>
      </c>
      <c r="CD15">
        <v>4553.25</v>
      </c>
      <c r="CE15">
        <v>960.5</v>
      </c>
      <c r="CF15">
        <v>57.349999999999994</v>
      </c>
      <c r="CG15">
        <v>567.5</v>
      </c>
      <c r="CH15">
        <v>445.29999999999995</v>
      </c>
      <c r="CI15">
        <v>103.64999999999999</v>
      </c>
      <c r="CJ15">
        <v>10.6</v>
      </c>
      <c r="CK15">
        <v>0.81013637940697636</v>
      </c>
      <c r="CL15">
        <v>0.17089683026857758</v>
      </c>
      <c r="CM15">
        <v>1.0203990854662075E-2</v>
      </c>
      <c r="CN15">
        <v>0.78466960352422899</v>
      </c>
      <c r="CO15">
        <v>0.18264317180616738</v>
      </c>
      <c r="CP15">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8" t="str">
        <f>管理者入力シート!B4</f>
        <v>南小学校区</v>
      </c>
      <c r="C2" s="278"/>
      <c r="D2" s="278"/>
      <c r="E2" s="277" t="s">
        <v>225</v>
      </c>
      <c r="F2" s="277"/>
      <c r="G2" s="277"/>
      <c r="H2" s="277"/>
      <c r="I2" s="277"/>
      <c r="J2" s="95"/>
    </row>
    <row r="3" spans="1:10" ht="22.5" customHeight="1" x14ac:dyDescent="0.15">
      <c r="B3" s="278"/>
      <c r="C3" s="278"/>
      <c r="D3" s="278"/>
      <c r="E3" s="277"/>
      <c r="F3" s="277"/>
      <c r="G3" s="277"/>
      <c r="H3" s="277"/>
      <c r="I3" s="277"/>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2">
        <f>管理者入力シート!B5</f>
        <v>2020</v>
      </c>
      <c r="B6" s="272"/>
      <c r="C6" s="21" t="s">
        <v>248</v>
      </c>
      <c r="E6" s="281">
        <f>管理者用グラフシート!E6</f>
        <v>5214</v>
      </c>
      <c r="F6" s="281"/>
      <c r="G6" s="21" t="s">
        <v>54</v>
      </c>
    </row>
    <row r="7" spans="1:10" ht="22.5" customHeight="1" x14ac:dyDescent="0.15">
      <c r="A7" s="272">
        <f>管理者用グラフシート!B4</f>
        <v>2010</v>
      </c>
      <c r="B7" s="272"/>
      <c r="C7" s="88" t="s">
        <v>226</v>
      </c>
      <c r="D7" s="274">
        <f>E6-管理者用グラフシート!E4</f>
        <v>-171</v>
      </c>
      <c r="E7" s="274"/>
      <c r="F7" s="36" t="s">
        <v>356</v>
      </c>
      <c r="G7" s="36"/>
      <c r="H7" s="36"/>
    </row>
    <row r="8" spans="1:10" ht="22.5" customHeight="1" x14ac:dyDescent="0.15">
      <c r="A8" s="271" t="s">
        <v>380</v>
      </c>
      <c r="B8" s="271"/>
      <c r="C8" s="223">
        <f>管理者用グラフシート!C6-管理者用グラフシート!C4</f>
        <v>-117</v>
      </c>
      <c r="D8" s="228" t="s">
        <v>381</v>
      </c>
      <c r="F8" s="263">
        <f>管理者用グラフシート!D6-管理者用グラフシート!D4</f>
        <v>-54</v>
      </c>
      <c r="G8" s="228"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3">
        <f>管理者用グラフシート!C12</f>
        <v>278</v>
      </c>
      <c r="G36" s="273"/>
      <c r="H36" s="36" t="s">
        <v>54</v>
      </c>
      <c r="I36" s="36"/>
    </row>
    <row r="37" spans="1:9" ht="22.5" customHeight="1" x14ac:dyDescent="0.15">
      <c r="A37" s="36" t="s">
        <v>66</v>
      </c>
      <c r="B37" s="36"/>
      <c r="C37" s="36"/>
      <c r="D37" s="36"/>
      <c r="E37" s="36"/>
      <c r="F37" s="273">
        <f>管理者用グラフシート!C16</f>
        <v>137</v>
      </c>
      <c r="G37" s="273"/>
      <c r="H37" s="36" t="s">
        <v>54</v>
      </c>
      <c r="I37" s="36"/>
    </row>
    <row r="38" spans="1:9" ht="22.5" customHeight="1" x14ac:dyDescent="0.15">
      <c r="A38" s="36"/>
      <c r="B38" s="36"/>
      <c r="C38" s="36"/>
      <c r="D38" s="275"/>
      <c r="E38" s="275"/>
      <c r="F38" s="38"/>
      <c r="G38" s="35"/>
      <c r="H38" s="36"/>
      <c r="I38" s="36"/>
    </row>
    <row r="39" spans="1:9" ht="22.5" customHeight="1" x14ac:dyDescent="0.15">
      <c r="A39" s="276">
        <f>管理者用グラフシート!B4</f>
        <v>2010</v>
      </c>
      <c r="B39" s="276"/>
      <c r="C39" s="39" t="s">
        <v>228</v>
      </c>
      <c r="D39" s="39"/>
      <c r="E39" s="40"/>
      <c r="F39" s="37"/>
      <c r="G39" s="36"/>
      <c r="H39" s="36"/>
    </row>
    <row r="40" spans="1:9" ht="22.5" customHeight="1" x14ac:dyDescent="0.15">
      <c r="B40" s="21" t="s">
        <v>67</v>
      </c>
      <c r="D40" s="274">
        <f>F36-管理者用グラフシート!C10</f>
        <v>-11</v>
      </c>
      <c r="E40" s="274"/>
      <c r="F40" s="21" t="s">
        <v>60</v>
      </c>
    </row>
    <row r="41" spans="1:9" ht="22.5" customHeight="1" x14ac:dyDescent="0.15">
      <c r="B41" s="21" t="s">
        <v>69</v>
      </c>
      <c r="D41" s="274">
        <f>F37-管理者用グラフシート!C14</f>
        <v>-10</v>
      </c>
      <c r="E41" s="274"/>
      <c r="F41" s="21" t="s">
        <v>70</v>
      </c>
    </row>
    <row r="53" spans="1:13" ht="22.5" customHeight="1" x14ac:dyDescent="0.15">
      <c r="M53" s="78"/>
    </row>
    <row r="62" spans="1:13" ht="22.5" customHeight="1" thickBot="1" x14ac:dyDescent="0.2"/>
    <row r="63" spans="1:13" ht="22.5" customHeight="1" x14ac:dyDescent="0.15">
      <c r="A63" s="266"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3">
        <f>管理者用グラフシート!C22</f>
        <v>1867</v>
      </c>
      <c r="D70" s="273"/>
      <c r="E70" s="39" t="s">
        <v>76</v>
      </c>
      <c r="F70" s="42"/>
      <c r="G70" s="279">
        <f>管理者用グラフシート!C32</f>
        <v>0.36</v>
      </c>
      <c r="H70" s="279"/>
      <c r="I70" s="36" t="s">
        <v>77</v>
      </c>
    </row>
    <row r="71" spans="1:9" ht="22.5" customHeight="1" x14ac:dyDescent="0.15">
      <c r="A71" s="39" t="s">
        <v>78</v>
      </c>
      <c r="B71" s="39"/>
      <c r="C71" s="273">
        <f>管理者用グラフシート!C26</f>
        <v>1015</v>
      </c>
      <c r="D71" s="273"/>
      <c r="E71" s="39" t="s">
        <v>76</v>
      </c>
      <c r="F71" s="42"/>
      <c r="G71" s="279">
        <f>管理者用グラフシート!C36</f>
        <v>0.19</v>
      </c>
      <c r="H71" s="279"/>
      <c r="I71" s="36" t="s">
        <v>77</v>
      </c>
    </row>
    <row r="72" spans="1:9" ht="22.5" customHeight="1" x14ac:dyDescent="0.15">
      <c r="A72" s="36"/>
      <c r="B72" s="36"/>
      <c r="C72" s="36"/>
      <c r="D72" s="275"/>
      <c r="E72" s="275"/>
      <c r="F72" s="38"/>
      <c r="G72" s="35"/>
      <c r="H72" s="36"/>
      <c r="I72" s="36"/>
    </row>
    <row r="73" spans="1:9" ht="22.5" customHeight="1" x14ac:dyDescent="0.15">
      <c r="A73" s="276">
        <f>管理者用グラフシート!B4</f>
        <v>2010</v>
      </c>
      <c r="B73" s="276"/>
      <c r="C73" s="39" t="s">
        <v>228</v>
      </c>
      <c r="D73" s="39"/>
      <c r="E73" s="40"/>
      <c r="F73" s="37"/>
      <c r="G73" s="36"/>
      <c r="H73" s="36"/>
    </row>
    <row r="74" spans="1:9" ht="22.5" customHeight="1" x14ac:dyDescent="0.15">
      <c r="B74" s="21" t="s">
        <v>81</v>
      </c>
      <c r="D74" s="42"/>
      <c r="E74" s="27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73"/>
      <c r="G74" s="273"/>
      <c r="H74" s="21" t="s">
        <v>82</v>
      </c>
    </row>
    <row r="75" spans="1:9" ht="22.5" customHeight="1" x14ac:dyDescent="0.15">
      <c r="B75" s="21" t="s">
        <v>83</v>
      </c>
      <c r="D75" s="42"/>
      <c r="E75" s="280"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80"/>
      <c r="G75" s="280"/>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2">
        <f>管理者用グラフシート!B39</f>
        <v>2010</v>
      </c>
      <c r="B104" s="272"/>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2">
        <f>管理者用グラフシート!B87</f>
        <v>2020</v>
      </c>
      <c r="B134" s="272"/>
      <c r="C134" s="42" t="s">
        <v>326</v>
      </c>
      <c r="D134" s="41"/>
      <c r="E134" s="39"/>
      <c r="F134" s="42"/>
      <c r="G134" s="119"/>
      <c r="H134" s="119"/>
      <c r="I134" s="36"/>
    </row>
    <row r="135" spans="1:9" ht="22.5" customHeight="1" x14ac:dyDescent="0.15">
      <c r="A135" s="272">
        <f>管理者用グラフシート!B4</f>
        <v>2010</v>
      </c>
      <c r="B135" s="272"/>
      <c r="C135" s="39" t="s">
        <v>385</v>
      </c>
      <c r="D135" s="41"/>
      <c r="E135" s="39"/>
      <c r="F135" s="227">
        <f>SUM(管理者用グラフシート!B93:C94)-SUM(管理者用グラフシート!B45:C46)</f>
        <v>-103</v>
      </c>
      <c r="G135" s="229" t="s">
        <v>386</v>
      </c>
      <c r="H135" s="119"/>
      <c r="I135" s="36"/>
    </row>
    <row r="136" spans="1:9" ht="22.5" customHeight="1" x14ac:dyDescent="0.15">
      <c r="A136" s="38" t="s">
        <v>387</v>
      </c>
      <c r="B136" s="36"/>
      <c r="C136" s="227">
        <f>SUM(管理者用グラフシート!B95:C96)-SUM(管理者用グラフシート!B47:C48)</f>
        <v>-55</v>
      </c>
      <c r="D136" s="39" t="s">
        <v>388</v>
      </c>
      <c r="E136" s="40"/>
      <c r="F136" s="227">
        <f>SUM(管理者用グラフシート!B97:C98)-SUM(管理者用グラフシート!B49:C50)</f>
        <v>21</v>
      </c>
      <c r="G136" s="36" t="s">
        <v>386</v>
      </c>
      <c r="H136" s="36"/>
      <c r="I136" s="36"/>
    </row>
    <row r="137" spans="1:9" ht="18.75" x14ac:dyDescent="0.15">
      <c r="A137" s="95" t="s">
        <v>389</v>
      </c>
      <c r="B137" s="95"/>
      <c r="C137" s="227">
        <f>SUM(管理者用グラフシート!B99:C100)-SUM(管理者用グラフシート!B51:C52)</f>
        <v>-232</v>
      </c>
      <c r="D137" s="39" t="s">
        <v>390</v>
      </c>
      <c r="E137" s="40"/>
      <c r="F137" s="224"/>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8" t="str">
        <f>管理者入力シート!B4</f>
        <v>南小学校区</v>
      </c>
      <c r="B2" s="278"/>
      <c r="C2" s="278"/>
      <c r="D2" s="277" t="s">
        <v>230</v>
      </c>
      <c r="E2" s="277"/>
      <c r="F2" s="277"/>
      <c r="G2" s="277"/>
      <c r="H2" s="277"/>
      <c r="I2" s="277"/>
    </row>
    <row r="3" spans="1:9" ht="27.75" customHeight="1" x14ac:dyDescent="0.15">
      <c r="A3" s="278"/>
      <c r="B3" s="278"/>
      <c r="C3" s="278"/>
      <c r="D3" s="277"/>
      <c r="E3" s="277"/>
      <c r="F3" s="277"/>
      <c r="G3" s="277"/>
      <c r="H3" s="277"/>
      <c r="I3" s="277"/>
    </row>
    <row r="4" spans="1:9" ht="27.75" customHeight="1" x14ac:dyDescent="0.15"/>
    <row r="5" spans="1:9" s="44" customFormat="1" ht="40.5" customHeight="1" x14ac:dyDescent="0.15">
      <c r="A5" s="116" t="s">
        <v>64</v>
      </c>
    </row>
    <row r="6" spans="1:9" ht="22.5" customHeight="1" x14ac:dyDescent="0.15">
      <c r="A6" s="272">
        <f>管理者入力シート!B9</f>
        <v>2030</v>
      </c>
      <c r="B6" s="272"/>
      <c r="C6" s="39" t="s">
        <v>361</v>
      </c>
      <c r="D6" s="273">
        <f>管理者用グラフシート!K8</f>
        <v>4794</v>
      </c>
      <c r="E6" s="273"/>
      <c r="F6" s="39" t="s">
        <v>231</v>
      </c>
      <c r="G6" s="39"/>
      <c r="H6" s="40"/>
      <c r="I6" s="40"/>
    </row>
    <row r="7" spans="1:9" ht="22.5" customHeight="1" x14ac:dyDescent="0.15">
      <c r="A7" s="272">
        <f>管理者入力シート!B5</f>
        <v>2020</v>
      </c>
      <c r="B7" s="272"/>
      <c r="C7" s="214" t="s">
        <v>362</v>
      </c>
      <c r="D7" s="274">
        <f>D6-現況シート!E6</f>
        <v>-420</v>
      </c>
      <c r="E7" s="274"/>
      <c r="F7" s="39" t="s">
        <v>232</v>
      </c>
      <c r="I7" s="40"/>
    </row>
    <row r="8" spans="1:9" ht="22.5" customHeight="1" x14ac:dyDescent="0.15">
      <c r="A8" s="271" t="s">
        <v>397</v>
      </c>
      <c r="B8" s="271"/>
      <c r="C8" s="227">
        <f>管理者用グラフシート!I8-管理者用グラフシート!C6</f>
        <v>-231</v>
      </c>
      <c r="D8" s="228" t="s">
        <v>398</v>
      </c>
      <c r="F8" s="285">
        <f>管理者用グラフシート!J8-管理者用グラフシート!D6</f>
        <v>-189</v>
      </c>
      <c r="G8" s="285"/>
      <c r="H8" s="21" t="s">
        <v>399</v>
      </c>
      <c r="I8" s="39"/>
    </row>
    <row r="9" spans="1:9" ht="22.5" customHeight="1" x14ac:dyDescent="0.15">
      <c r="I9" s="39"/>
    </row>
    <row r="10" spans="1:9" ht="22.5" customHeight="1" x14ac:dyDescent="0.15">
      <c r="A10" s="272">
        <f>管理者入力シート!B11</f>
        <v>2040</v>
      </c>
      <c r="B10" s="272"/>
      <c r="C10" s="39" t="s">
        <v>361</v>
      </c>
      <c r="D10" s="273">
        <f>管理者用グラフシート!K10</f>
        <v>4305</v>
      </c>
      <c r="E10" s="273"/>
      <c r="F10" s="39" t="s">
        <v>231</v>
      </c>
      <c r="G10" s="39"/>
      <c r="H10" s="40"/>
    </row>
    <row r="11" spans="1:9" ht="22.5" customHeight="1" x14ac:dyDescent="0.15">
      <c r="A11" s="272">
        <f>管理者入力シート!B5</f>
        <v>2020</v>
      </c>
      <c r="B11" s="272"/>
      <c r="C11" s="214" t="s">
        <v>362</v>
      </c>
      <c r="D11" s="274">
        <f>D10-現況シート!E6</f>
        <v>-909</v>
      </c>
      <c r="E11" s="274"/>
      <c r="F11" s="39" t="s">
        <v>232</v>
      </c>
      <c r="G11" s="39"/>
      <c r="H11" s="40"/>
    </row>
    <row r="12" spans="1:9" ht="22.5" customHeight="1" x14ac:dyDescent="0.15">
      <c r="A12" s="271" t="s">
        <v>397</v>
      </c>
      <c r="B12" s="271"/>
      <c r="C12" s="227">
        <f>管理者用グラフシート!I10-管理者用グラフシート!C6</f>
        <v>-475</v>
      </c>
      <c r="D12" s="228" t="s">
        <v>398</v>
      </c>
      <c r="F12" s="285">
        <f>管理者用グラフシート!J10-管理者用グラフシート!D6</f>
        <v>-434</v>
      </c>
      <c r="G12" s="285"/>
      <c r="H12" s="21" t="s">
        <v>399</v>
      </c>
      <c r="I12" s="39"/>
    </row>
    <row r="22" spans="7:7" ht="22.5" customHeight="1" x14ac:dyDescent="0.15">
      <c r="G22" s="21">
        <v>15</v>
      </c>
    </row>
    <row r="34" spans="1:12" s="44" customFormat="1" ht="40.5" customHeight="1" x14ac:dyDescent="0.15">
      <c r="A34" s="116" t="s">
        <v>68</v>
      </c>
    </row>
    <row r="35" spans="1:12" ht="22.5" customHeight="1" x14ac:dyDescent="0.15">
      <c r="A35" s="272">
        <f>管理者用グラフシート!H20</f>
        <v>2040</v>
      </c>
      <c r="B35" s="272"/>
      <c r="C35" s="282" t="s">
        <v>363</v>
      </c>
      <c r="D35" s="282"/>
      <c r="E35" s="39"/>
      <c r="F35" s="41"/>
      <c r="G35" s="41"/>
      <c r="H35" s="281"/>
      <c r="I35" s="275"/>
    </row>
    <row r="36" spans="1:12" ht="22.5" customHeight="1" x14ac:dyDescent="0.15">
      <c r="A36" s="39" t="s">
        <v>237</v>
      </c>
      <c r="B36" s="36"/>
      <c r="C36" s="36"/>
      <c r="D36" s="36"/>
      <c r="E36" s="36"/>
      <c r="F36" s="273">
        <f>管理者用グラフシート!I20</f>
        <v>210</v>
      </c>
      <c r="G36" s="273"/>
      <c r="H36" s="88" t="s">
        <v>233</v>
      </c>
      <c r="I36" s="40"/>
    </row>
    <row r="37" spans="1:12" ht="22.5" customHeight="1" x14ac:dyDescent="0.15">
      <c r="A37" s="39" t="s">
        <v>234</v>
      </c>
      <c r="B37" s="36"/>
      <c r="C37" s="36"/>
      <c r="D37" s="36"/>
      <c r="E37" s="36"/>
      <c r="F37" s="273">
        <f>管理者用グラフシート!I28</f>
        <v>103</v>
      </c>
      <c r="G37" s="273"/>
      <c r="H37" s="117" t="s">
        <v>235</v>
      </c>
      <c r="I37" s="92"/>
    </row>
    <row r="38" spans="1:12" ht="22.5" customHeight="1" x14ac:dyDescent="0.15">
      <c r="A38" s="36"/>
      <c r="B38" s="36"/>
      <c r="C38" s="36"/>
      <c r="D38" s="275"/>
      <c r="E38" s="275"/>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4">
        <f>F36-現況シート!F36</f>
        <v>-68</v>
      </c>
      <c r="G40" s="274"/>
      <c r="H40" s="212" t="s">
        <v>60</v>
      </c>
    </row>
    <row r="41" spans="1:12" ht="22.5" customHeight="1" x14ac:dyDescent="0.15">
      <c r="A41" s="21" t="s">
        <v>69</v>
      </c>
      <c r="B41" s="36"/>
      <c r="C41" s="219">
        <f>管理者入力シート!B5</f>
        <v>2020</v>
      </c>
      <c r="D41" s="21" t="s">
        <v>374</v>
      </c>
      <c r="F41" s="274">
        <f>F37-現況シート!F37</f>
        <v>-34</v>
      </c>
      <c r="G41" s="274"/>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2">
        <f>管理者用グラフシート!H38</f>
        <v>2040</v>
      </c>
      <c r="B69" s="272"/>
      <c r="C69" s="282" t="s">
        <v>363</v>
      </c>
      <c r="D69" s="282"/>
      <c r="E69" s="39"/>
      <c r="F69" s="40"/>
      <c r="G69" s="42"/>
      <c r="H69" s="73"/>
      <c r="I69" s="77"/>
    </row>
    <row r="70" spans="1:9" ht="22.5" customHeight="1" x14ac:dyDescent="0.15">
      <c r="A70" s="39" t="s">
        <v>238</v>
      </c>
      <c r="B70" s="36"/>
      <c r="C70" s="273">
        <f>管理者用グラフシート!I38</f>
        <v>1662</v>
      </c>
      <c r="D70" s="273"/>
      <c r="E70" s="88" t="s">
        <v>239</v>
      </c>
      <c r="F70" s="40"/>
      <c r="G70" s="279">
        <f>管理者用グラフシート!I56</f>
        <v>0.39</v>
      </c>
      <c r="H70" s="279"/>
      <c r="I70" s="118" t="s">
        <v>240</v>
      </c>
    </row>
    <row r="71" spans="1:9" ht="22.5" customHeight="1" x14ac:dyDescent="0.15">
      <c r="A71" s="39" t="s">
        <v>241</v>
      </c>
      <c r="B71" s="39"/>
      <c r="C71" s="273">
        <f>管理者用グラフシート!I46</f>
        <v>1093</v>
      </c>
      <c r="D71" s="273"/>
      <c r="E71" s="39" t="s">
        <v>239</v>
      </c>
      <c r="F71" s="39"/>
      <c r="G71" s="283">
        <f>管理者用グラフシート!I64</f>
        <v>0.25</v>
      </c>
      <c r="H71" s="275"/>
      <c r="I71" s="39" t="s">
        <v>242</v>
      </c>
    </row>
    <row r="72" spans="1:9" ht="27.75" customHeight="1" x14ac:dyDescent="0.15">
      <c r="A72" s="39"/>
      <c r="B72" s="39"/>
      <c r="C72" s="87"/>
      <c r="D72" s="87"/>
      <c r="E72" s="39"/>
      <c r="F72" s="39"/>
      <c r="G72" s="284" t="s">
        <v>236</v>
      </c>
      <c r="H72" s="284"/>
      <c r="I72" s="284"/>
    </row>
    <row r="73" spans="1:9" ht="22.5" customHeight="1" x14ac:dyDescent="0.15">
      <c r="A73" s="272">
        <f>管理者入力シート!B5</f>
        <v>2020</v>
      </c>
      <c r="B73" s="272"/>
      <c r="C73" s="21" t="s">
        <v>228</v>
      </c>
      <c r="D73" s="40"/>
      <c r="E73" s="40"/>
      <c r="F73" s="37"/>
      <c r="G73" s="36"/>
      <c r="H73" s="36"/>
    </row>
    <row r="74" spans="1:9" ht="22.5" customHeight="1" x14ac:dyDescent="0.15">
      <c r="B74" s="21" t="s">
        <v>81</v>
      </c>
      <c r="D74" s="42"/>
      <c r="E74" s="27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73"/>
      <c r="G74" s="273"/>
      <c r="H74" s="21" t="s">
        <v>82</v>
      </c>
    </row>
    <row r="75" spans="1:9" ht="22.5" customHeight="1" x14ac:dyDescent="0.15">
      <c r="B75" s="21" t="s">
        <v>83</v>
      </c>
      <c r="D75" s="42"/>
      <c r="E75" s="280"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80"/>
      <c r="G75" s="280"/>
      <c r="H75" s="21" t="s">
        <v>77</v>
      </c>
    </row>
    <row r="101" spans="1:9" s="44" customFormat="1" ht="40.5" customHeight="1" x14ac:dyDescent="0.15">
      <c r="A101" s="116" t="s">
        <v>112</v>
      </c>
    </row>
    <row r="102" spans="1:9" ht="22.5" customHeight="1" x14ac:dyDescent="0.15">
      <c r="A102" s="276">
        <f>管理者用グラフシート!H91</f>
        <v>2030</v>
      </c>
      <c r="B102" s="276"/>
      <c r="C102" s="21" t="s">
        <v>364</v>
      </c>
      <c r="D102" s="215"/>
    </row>
    <row r="103" spans="1:9" ht="27.75" customHeight="1" x14ac:dyDescent="0.15">
      <c r="A103" s="272">
        <f>管理者入力シート!B5</f>
        <v>2020</v>
      </c>
      <c r="B103" s="272"/>
      <c r="C103" s="39" t="s">
        <v>385</v>
      </c>
      <c r="D103" s="41"/>
      <c r="E103" s="39"/>
      <c r="G103" s="227">
        <f>SUM(管理者用グラフシート!H97:I98)-SUM(管理者用グラフシート!B93:C94)</f>
        <v>-24</v>
      </c>
      <c r="H103" s="229" t="s">
        <v>60</v>
      </c>
      <c r="I103" s="36"/>
    </row>
    <row r="104" spans="1:9" ht="22.5" customHeight="1" x14ac:dyDescent="0.15">
      <c r="A104" s="38" t="s">
        <v>387</v>
      </c>
      <c r="B104" s="36"/>
      <c r="C104" s="227">
        <f>SUM(管理者用グラフシート!H99:I100)-SUM(管理者用グラフシート!B95:C96)</f>
        <v>-128</v>
      </c>
      <c r="D104" s="39" t="s">
        <v>423</v>
      </c>
      <c r="E104" s="40"/>
      <c r="G104" s="227">
        <f>SUM(管理者用グラフシート!H101:I102)-SUM(管理者用グラフシート!B97:C98)</f>
        <v>-66</v>
      </c>
      <c r="H104" s="36" t="s">
        <v>60</v>
      </c>
      <c r="I104" s="36"/>
    </row>
    <row r="105" spans="1:9" ht="22.5" customHeight="1" x14ac:dyDescent="0.15">
      <c r="A105" s="95" t="s">
        <v>389</v>
      </c>
      <c r="B105" s="95"/>
      <c r="C105" s="227">
        <f>SUM(管理者用グラフシート!H103:I104)-SUM(管理者用グラフシート!B99:C100)</f>
        <v>24</v>
      </c>
      <c r="D105" s="39" t="s">
        <v>70</v>
      </c>
      <c r="E105" s="40"/>
      <c r="F105" s="225"/>
      <c r="G105" s="36"/>
      <c r="H105" s="36"/>
    </row>
    <row r="136" spans="1:9" ht="22.5" customHeight="1" x14ac:dyDescent="0.15">
      <c r="A136" s="276">
        <f>管理者用グラフシート!H139</f>
        <v>2040</v>
      </c>
      <c r="B136" s="276"/>
      <c r="C136" s="21" t="s">
        <v>364</v>
      </c>
      <c r="E136" s="95"/>
      <c r="F136" s="95"/>
      <c r="G136" s="95"/>
      <c r="H136" s="95"/>
      <c r="I136" s="95"/>
    </row>
    <row r="137" spans="1:9" ht="22.5" customHeight="1" x14ac:dyDescent="0.15">
      <c r="A137" s="272">
        <f>管理者入力シート!B5</f>
        <v>2020</v>
      </c>
      <c r="B137" s="272"/>
      <c r="C137" s="39" t="s">
        <v>385</v>
      </c>
      <c r="D137" s="41"/>
      <c r="E137" s="39"/>
      <c r="G137" s="227">
        <f>SUM(管理者用グラフシート!H145:I146)-SUM(管理者用グラフシート!B93:C94)</f>
        <v>-41</v>
      </c>
      <c r="H137" s="229" t="s">
        <v>60</v>
      </c>
      <c r="I137" s="36"/>
    </row>
    <row r="138" spans="1:9" ht="22.5" customHeight="1" x14ac:dyDescent="0.15">
      <c r="A138" s="38" t="s">
        <v>387</v>
      </c>
      <c r="B138" s="36"/>
      <c r="C138" s="227">
        <f>SUM(管理者用グラフシート!H147:I148)-SUM(管理者用グラフシート!B95:C96)</f>
        <v>-154</v>
      </c>
      <c r="D138" s="39" t="s">
        <v>423</v>
      </c>
      <c r="E138" s="40"/>
      <c r="G138" s="227">
        <f>SUM(管理者用グラフシート!H149:I150)-SUM(管理者用グラフシート!B97:C98)</f>
        <v>-205</v>
      </c>
      <c r="H138" s="36" t="s">
        <v>60</v>
      </c>
      <c r="I138" s="36"/>
    </row>
    <row r="139" spans="1:9" ht="22.5" customHeight="1" x14ac:dyDescent="0.15">
      <c r="A139" s="95" t="s">
        <v>389</v>
      </c>
      <c r="B139" s="95"/>
      <c r="C139" s="227">
        <f>SUM(管理者用グラフシート!H151:I152)-SUM(管理者用グラフシート!B99:C100)</f>
        <v>-45</v>
      </c>
      <c r="D139" s="39" t="s">
        <v>70</v>
      </c>
      <c r="E139" s="40"/>
      <c r="F139" s="225"/>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98" t="str">
        <f>管理者入力シート!B4</f>
        <v>南小学校区</v>
      </c>
      <c r="B2" s="298"/>
      <c r="C2" s="298"/>
      <c r="D2" s="277" t="s">
        <v>249</v>
      </c>
      <c r="E2" s="277"/>
      <c r="F2" s="277"/>
      <c r="G2" s="277"/>
      <c r="H2" s="277"/>
      <c r="I2" s="277"/>
    </row>
    <row r="3" spans="1:14" ht="31.5" customHeight="1" x14ac:dyDescent="0.15">
      <c r="A3" s="298"/>
      <c r="B3" s="298"/>
      <c r="C3" s="298"/>
      <c r="D3" s="277"/>
      <c r="E3" s="277"/>
      <c r="F3" s="277"/>
      <c r="G3" s="277"/>
      <c r="H3" s="277"/>
      <c r="I3" s="277"/>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302" t="s">
        <v>254</v>
      </c>
      <c r="B15" s="302"/>
      <c r="C15" s="302"/>
      <c r="D15" s="303" t="s">
        <v>258</v>
      </c>
      <c r="E15" s="304"/>
      <c r="F15" s="299" t="s">
        <v>257</v>
      </c>
      <c r="G15" s="300"/>
      <c r="H15" s="301"/>
      <c r="I15" s="89"/>
      <c r="N15" s="89"/>
    </row>
    <row r="16" spans="1:14" ht="17.25" customHeight="1" x14ac:dyDescent="0.15">
      <c r="A16" s="135" t="s">
        <v>254</v>
      </c>
      <c r="B16" s="135" t="s">
        <v>21</v>
      </c>
      <c r="C16" s="135" t="s">
        <v>22</v>
      </c>
      <c r="D16" s="303"/>
      <c r="E16" s="304"/>
      <c r="F16" s="137"/>
      <c r="G16" s="138" t="s">
        <v>21</v>
      </c>
      <c r="H16" s="139" t="s">
        <v>22</v>
      </c>
      <c r="I16" s="36"/>
      <c r="N16" s="36"/>
    </row>
    <row r="17" spans="1:14" ht="18.75" customHeight="1" x14ac:dyDescent="0.15">
      <c r="A17" s="136" t="s">
        <v>0</v>
      </c>
      <c r="B17" s="127">
        <v>1</v>
      </c>
      <c r="C17" s="127">
        <v>1</v>
      </c>
      <c r="D17" s="303"/>
      <c r="E17" s="304"/>
      <c r="F17" s="130" t="s">
        <v>0</v>
      </c>
      <c r="G17" s="127">
        <v>1</v>
      </c>
      <c r="H17" s="129">
        <v>1</v>
      </c>
      <c r="I17" s="36"/>
      <c r="N17" s="36"/>
    </row>
    <row r="18" spans="1:14" ht="18.75" customHeight="1" x14ac:dyDescent="0.15">
      <c r="A18" s="136" t="s">
        <v>1</v>
      </c>
      <c r="B18" s="127"/>
      <c r="C18" s="127"/>
      <c r="D18" s="303"/>
      <c r="E18" s="304"/>
      <c r="F18" s="130" t="s">
        <v>1</v>
      </c>
      <c r="G18" s="127"/>
      <c r="H18" s="129"/>
      <c r="I18" s="36"/>
      <c r="N18" s="36"/>
    </row>
    <row r="19" spans="1:14" ht="18.75" customHeight="1" x14ac:dyDescent="0.15">
      <c r="A19" s="136" t="s">
        <v>2</v>
      </c>
      <c r="B19" s="79">
        <v>1</v>
      </c>
      <c r="C19" s="79">
        <v>1</v>
      </c>
      <c r="D19" s="303"/>
      <c r="E19" s="304"/>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4"/>
      <c r="B30" s="255"/>
      <c r="C30" s="255"/>
      <c r="F30" s="254"/>
      <c r="G30" s="242"/>
      <c r="H30" s="242"/>
      <c r="I30" s="124"/>
    </row>
    <row r="31" spans="1:14" s="123" customFormat="1" ht="24" customHeight="1" x14ac:dyDescent="0.15">
      <c r="A31" s="184" t="s">
        <v>328</v>
      </c>
      <c r="B31" s="287">
        <f>管理者入力シート!B5</f>
        <v>2020</v>
      </c>
      <c r="C31" s="287"/>
      <c r="D31" s="126" t="s">
        <v>412</v>
      </c>
      <c r="E31" s="142"/>
      <c r="F31" s="142"/>
      <c r="G31" s="142"/>
      <c r="H31" s="142"/>
      <c r="I31" s="258"/>
    </row>
    <row r="32" spans="1:14" s="142" customFormat="1" ht="17.25" customHeight="1" x14ac:dyDescent="0.15">
      <c r="A32" s="173" t="s">
        <v>409</v>
      </c>
      <c r="B32" s="286">
        <f>管理者入力シート!B5</f>
        <v>2020</v>
      </c>
      <c r="C32" s="286"/>
      <c r="D32" s="234" t="s">
        <v>425</v>
      </c>
      <c r="E32" s="234"/>
      <c r="F32" s="234"/>
      <c r="G32" s="234"/>
      <c r="H32" s="234"/>
      <c r="I32" s="235"/>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0"/>
      <c r="H34" s="240"/>
      <c r="I34" s="241"/>
    </row>
    <row r="35" spans="1:11" s="141" customFormat="1" ht="17.25" customHeight="1" thickTop="1" x14ac:dyDescent="0.15">
      <c r="A35" s="180"/>
      <c r="B35" s="294" t="s">
        <v>257</v>
      </c>
      <c r="C35" s="295"/>
      <c r="D35" s="296"/>
      <c r="E35" s="181"/>
      <c r="F35" s="176"/>
      <c r="G35" s="261"/>
      <c r="H35" s="288" t="s">
        <v>410</v>
      </c>
      <c r="I35" s="289"/>
    </row>
    <row r="36" spans="1:11" s="143" customFormat="1" ht="17.25" customHeight="1" x14ac:dyDescent="0.15">
      <c r="A36" s="174"/>
      <c r="B36" s="236"/>
      <c r="C36" s="138" t="s">
        <v>21</v>
      </c>
      <c r="D36" s="237" t="s">
        <v>22</v>
      </c>
      <c r="E36" s="179"/>
      <c r="F36" s="176"/>
      <c r="G36" s="259">
        <f>管理者入力シート!B8</f>
        <v>2025</v>
      </c>
      <c r="H36" s="290">
        <f>管理者用人口入力シート!EU22</f>
        <v>5200</v>
      </c>
      <c r="I36" s="291"/>
    </row>
    <row r="37" spans="1:11" s="141" customFormat="1" ht="17.25" customHeight="1" x14ac:dyDescent="0.15">
      <c r="A37" s="180"/>
      <c r="B37" s="247" t="s">
        <v>5</v>
      </c>
      <c r="C37" s="248">
        <f>管理者用人口入力シート!DX1</f>
        <v>29</v>
      </c>
      <c r="D37" s="249">
        <f>C37</f>
        <v>29</v>
      </c>
      <c r="E37" s="181"/>
      <c r="F37" s="176"/>
      <c r="G37" s="259">
        <f>管理者入力シート!B9</f>
        <v>2030</v>
      </c>
      <c r="H37" s="290">
        <f>管理者用人口入力シート!EU25</f>
        <v>5221</v>
      </c>
      <c r="I37" s="291"/>
    </row>
    <row r="38" spans="1:11" s="143" customFormat="1" ht="17.25" customHeight="1" x14ac:dyDescent="0.15">
      <c r="A38" s="174"/>
      <c r="B38" s="247" t="s">
        <v>6</v>
      </c>
      <c r="C38" s="248">
        <f>C37</f>
        <v>29</v>
      </c>
      <c r="D38" s="249">
        <f>C37</f>
        <v>29</v>
      </c>
      <c r="E38" s="179"/>
      <c r="F38" s="176"/>
      <c r="G38" s="259">
        <f>管理者入力シート!B10</f>
        <v>2035</v>
      </c>
      <c r="H38" s="290">
        <f>管理者用人口入力シート!EU28</f>
        <v>5252</v>
      </c>
      <c r="I38" s="291"/>
    </row>
    <row r="39" spans="1:11" ht="17.25" customHeight="1" thickBot="1" x14ac:dyDescent="0.2">
      <c r="A39" s="182"/>
      <c r="B39" s="250" t="s">
        <v>7</v>
      </c>
      <c r="C39" s="251">
        <f>C37</f>
        <v>29</v>
      </c>
      <c r="D39" s="252">
        <f>C37</f>
        <v>29</v>
      </c>
      <c r="E39" s="36"/>
      <c r="F39" s="176"/>
      <c r="G39" s="260">
        <f>管理者入力シート!B11</f>
        <v>2040</v>
      </c>
      <c r="H39" s="292">
        <f>管理者用人口入力シート!EU31</f>
        <v>5286</v>
      </c>
      <c r="I39" s="293"/>
    </row>
    <row r="40" spans="1:11" s="143" customFormat="1" ht="17.25" customHeight="1" thickTop="1" x14ac:dyDescent="0.15">
      <c r="A40" s="174"/>
      <c r="E40" s="179"/>
      <c r="F40" s="89"/>
      <c r="G40" s="253"/>
      <c r="H40" s="238"/>
      <c r="I40" s="239"/>
    </row>
    <row r="41" spans="1:11" ht="17.25" customHeight="1" x14ac:dyDescent="0.15">
      <c r="A41" s="243"/>
      <c r="B41" s="256" t="s">
        <v>411</v>
      </c>
      <c r="C41" s="183"/>
      <c r="D41" s="244"/>
      <c r="E41" s="244"/>
      <c r="F41" s="245"/>
      <c r="G41" s="245"/>
      <c r="H41" s="245"/>
      <c r="I41" s="246"/>
    </row>
    <row r="42" spans="1:11" s="123" customFormat="1" ht="40.5" customHeight="1" x14ac:dyDescent="0.15">
      <c r="A42" s="116" t="s">
        <v>64</v>
      </c>
      <c r="I42" s="124"/>
    </row>
    <row r="43" spans="1:11" ht="22.5" customHeight="1" x14ac:dyDescent="0.15">
      <c r="A43" s="272">
        <f>管理者入力シート!B9</f>
        <v>2030</v>
      </c>
      <c r="B43" s="272"/>
      <c r="C43" s="39" t="s">
        <v>417</v>
      </c>
      <c r="D43" s="273">
        <f>管理者用グラフシート!U8</f>
        <v>4814</v>
      </c>
      <c r="E43" s="273"/>
      <c r="F43" s="39" t="s">
        <v>231</v>
      </c>
      <c r="G43" s="39"/>
      <c r="H43" s="40"/>
      <c r="I43" s="40"/>
    </row>
    <row r="44" spans="1:11" ht="22.5" customHeight="1" x14ac:dyDescent="0.15">
      <c r="A44" s="272">
        <f>管理者入力シート!B11</f>
        <v>2040</v>
      </c>
      <c r="B44" s="272"/>
      <c r="C44" s="39" t="s">
        <v>417</v>
      </c>
      <c r="D44" s="273">
        <f>管理者用グラフシート!U10</f>
        <v>4347</v>
      </c>
      <c r="E44" s="273"/>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2">
        <f>管理者入力シート!B9</f>
        <v>2030</v>
      </c>
      <c r="B46" s="272"/>
      <c r="C46" s="39" t="s">
        <v>418</v>
      </c>
      <c r="D46" s="281">
        <f>D43-将来予測シート①!D6</f>
        <v>20</v>
      </c>
      <c r="E46" s="281"/>
      <c r="F46" s="39" t="s">
        <v>122</v>
      </c>
      <c r="G46" s="39"/>
      <c r="H46" s="39"/>
      <c r="I46" s="39"/>
      <c r="J46" s="39"/>
      <c r="K46" s="39"/>
    </row>
    <row r="47" spans="1:11" ht="22.5" customHeight="1" x14ac:dyDescent="0.15">
      <c r="A47" s="272">
        <f>管理者入力シート!B11</f>
        <v>2040</v>
      </c>
      <c r="B47" s="272"/>
      <c r="C47" s="39" t="s">
        <v>418</v>
      </c>
      <c r="D47" s="281">
        <f>D44-将来予測シート①!D10</f>
        <v>42</v>
      </c>
      <c r="E47" s="281"/>
      <c r="F47" s="39" t="s">
        <v>123</v>
      </c>
    </row>
    <row r="76" spans="1:9" s="44" customFormat="1" ht="40.5" customHeight="1" x14ac:dyDescent="0.15">
      <c r="A76" s="116" t="s">
        <v>68</v>
      </c>
      <c r="I76" s="125"/>
    </row>
    <row r="77" spans="1:9" ht="22.5" customHeight="1" x14ac:dyDescent="0.15">
      <c r="A77" s="272">
        <f>管理者用グラフシート!O20</f>
        <v>2040</v>
      </c>
      <c r="B77" s="272"/>
      <c r="C77" s="39" t="s">
        <v>263</v>
      </c>
      <c r="E77" s="39"/>
      <c r="F77" s="41"/>
      <c r="G77" s="41"/>
      <c r="H77" s="73"/>
      <c r="I77" s="40"/>
    </row>
    <row r="78" spans="1:9" ht="22.5" customHeight="1" x14ac:dyDescent="0.15">
      <c r="A78" s="39" t="s">
        <v>237</v>
      </c>
      <c r="B78" s="39"/>
      <c r="C78" s="36"/>
      <c r="D78" s="36"/>
      <c r="E78" s="40"/>
      <c r="F78" s="273">
        <f>管理者用グラフシート!Q20</f>
        <v>217</v>
      </c>
      <c r="G78" s="273"/>
      <c r="H78" s="88" t="s">
        <v>264</v>
      </c>
      <c r="I78" s="40"/>
    </row>
    <row r="79" spans="1:9" ht="22.5" customHeight="1" x14ac:dyDescent="0.15">
      <c r="A79" s="39" t="s">
        <v>234</v>
      </c>
      <c r="B79" s="36"/>
      <c r="C79" s="36"/>
      <c r="D79" s="36"/>
      <c r="E79" s="36"/>
      <c r="F79" s="273">
        <f>管理者用グラフシート!Q28</f>
        <v>106</v>
      </c>
      <c r="G79" s="273"/>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4">
        <f>F78-将来予測シート①!F36</f>
        <v>7</v>
      </c>
      <c r="D82" s="274"/>
      <c r="E82" s="39" t="s">
        <v>60</v>
      </c>
      <c r="F82" s="39"/>
      <c r="G82" s="39"/>
      <c r="H82" s="39"/>
      <c r="I82" s="39"/>
      <c r="J82" s="39"/>
      <c r="K82" s="39"/>
    </row>
    <row r="83" spans="1:13" ht="22.5" customHeight="1" x14ac:dyDescent="0.15">
      <c r="A83" s="21" t="s">
        <v>69</v>
      </c>
      <c r="C83" s="274">
        <f>F79-将来予測シート①!F37</f>
        <v>3</v>
      </c>
      <c r="D83" s="274"/>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2">
        <f>管理者用グラフシート!O38</f>
        <v>2040</v>
      </c>
      <c r="B111" s="272"/>
      <c r="C111" s="39" t="s">
        <v>371</v>
      </c>
      <c r="E111" s="39"/>
      <c r="F111" s="41"/>
      <c r="G111" s="41"/>
      <c r="H111" s="73"/>
      <c r="I111" s="40"/>
    </row>
    <row r="112" spans="1:9" ht="22.5" customHeight="1" x14ac:dyDescent="0.15">
      <c r="A112" s="39" t="s">
        <v>269</v>
      </c>
      <c r="B112" s="39"/>
      <c r="C112" s="273">
        <f>管理者用グラフシート!Q38</f>
        <v>1662</v>
      </c>
      <c r="D112" s="273"/>
      <c r="E112" s="39" t="s">
        <v>270</v>
      </c>
      <c r="F112" s="41"/>
      <c r="G112" s="119">
        <f>管理者用グラフシート!Q56</f>
        <v>0.38</v>
      </c>
      <c r="H112" s="88" t="s">
        <v>271</v>
      </c>
      <c r="I112" s="40"/>
    </row>
    <row r="113" spans="1:9" ht="22.5" customHeight="1" x14ac:dyDescent="0.15">
      <c r="A113" s="39" t="s">
        <v>268</v>
      </c>
      <c r="B113" s="36"/>
      <c r="C113" s="273">
        <f>管理者用グラフシート!Q46</f>
        <v>1093</v>
      </c>
      <c r="D113" s="273"/>
      <c r="E113" s="88" t="s">
        <v>270</v>
      </c>
      <c r="F113" s="40"/>
      <c r="G113" s="119">
        <f>管理者用グラフシート!Q64</f>
        <v>0.25</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73"/>
      <c r="G116" s="273"/>
      <c r="H116" s="21" t="s">
        <v>82</v>
      </c>
    </row>
    <row r="117" spans="1:9" ht="22.5" customHeight="1" x14ac:dyDescent="0.15">
      <c r="B117" s="21" t="s">
        <v>83</v>
      </c>
      <c r="D117" s="42"/>
      <c r="E117" s="280"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80"/>
      <c r="G117" s="280"/>
      <c r="H117" s="21" t="s">
        <v>77</v>
      </c>
    </row>
    <row r="143" spans="1:9" s="123" customFormat="1" ht="46.5" customHeight="1" x14ac:dyDescent="0.15">
      <c r="A143" s="116" t="s">
        <v>112</v>
      </c>
      <c r="I143" s="124"/>
    </row>
    <row r="144" spans="1:9" ht="22.5" customHeight="1" x14ac:dyDescent="0.15">
      <c r="A144" s="276">
        <f>管理者用グラフシート!O91</f>
        <v>2030</v>
      </c>
      <c r="B144" s="276"/>
      <c r="C144" s="21" t="s">
        <v>364</v>
      </c>
    </row>
    <row r="145" spans="5:9" ht="22.5" customHeight="1" x14ac:dyDescent="0.15">
      <c r="E145" s="95"/>
      <c r="F145" s="95"/>
      <c r="G145" s="95"/>
      <c r="H145" s="95"/>
      <c r="I145" s="95"/>
    </row>
    <row r="177" spans="1:9" ht="22.5" customHeight="1" x14ac:dyDescent="0.15">
      <c r="A177" s="276">
        <f>管理者用グラフシート!O139</f>
        <v>2040</v>
      </c>
      <c r="B177" s="276"/>
      <c r="C177" s="21" t="s">
        <v>364</v>
      </c>
    </row>
    <row r="178" spans="1:9" ht="22.5" customHeight="1" x14ac:dyDescent="0.15">
      <c r="E178" s="297"/>
      <c r="F178" s="297"/>
      <c r="G178" s="297"/>
      <c r="H178" s="297"/>
      <c r="I178" s="297"/>
    </row>
    <row r="210" spans="1:13" ht="22.5" customHeight="1" x14ac:dyDescent="0.15">
      <c r="A210" s="21" t="s">
        <v>274</v>
      </c>
      <c r="B210" s="276">
        <f>管理者用グラフシート!O212</f>
        <v>2030</v>
      </c>
      <c r="C210" s="276"/>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6">
        <f>管理者用グラフシート!O236</f>
        <v>2040</v>
      </c>
      <c r="C245" s="276"/>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8" t="str">
        <f>管理者入力シート!B4</f>
        <v>南小学校区</v>
      </c>
      <c r="B1" s="278"/>
      <c r="C1" s="278"/>
      <c r="D1" s="277" t="s">
        <v>278</v>
      </c>
      <c r="E1" s="277"/>
      <c r="F1" s="277"/>
      <c r="G1" s="277"/>
      <c r="H1" s="277"/>
    </row>
    <row r="2" spans="1:8" ht="22.5" customHeight="1" x14ac:dyDescent="0.15">
      <c r="A2" s="278"/>
      <c r="B2" s="278"/>
      <c r="C2" s="278"/>
      <c r="D2" s="277"/>
      <c r="E2" s="277"/>
      <c r="F2" s="277"/>
      <c r="G2" s="277"/>
      <c r="H2" s="277"/>
    </row>
    <row r="3" spans="1:8" ht="22.5" customHeight="1" x14ac:dyDescent="0.15">
      <c r="A3" s="21" t="s">
        <v>279</v>
      </c>
    </row>
    <row r="5" spans="1:8" s="123" customFormat="1" ht="40.5" customHeight="1" x14ac:dyDescent="0.15">
      <c r="A5" s="116" t="s">
        <v>280</v>
      </c>
    </row>
    <row r="6" spans="1:8" ht="22.5" customHeight="1" x14ac:dyDescent="0.15">
      <c r="A6" s="276">
        <f>管理者用グラフシート!B6</f>
        <v>2020</v>
      </c>
      <c r="B6" s="276"/>
      <c r="C6" s="21" t="s">
        <v>419</v>
      </c>
    </row>
    <row r="7" spans="1:8" ht="22.5" customHeight="1" x14ac:dyDescent="0.15">
      <c r="A7" s="21" t="s">
        <v>281</v>
      </c>
      <c r="F7" s="305">
        <f>管理者用地域特徴シート!H5</f>
        <v>0.50964397994731914</v>
      </c>
      <c r="G7" s="305"/>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低く、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8" t="str">
        <f>地域特徴シート!A1</f>
        <v>南小学校区</v>
      </c>
      <c r="B11" s="308"/>
      <c r="C11" s="309">
        <f>管理者用地域特徴シート!D5</f>
        <v>2353.8000000000002</v>
      </c>
      <c r="D11" s="308"/>
      <c r="E11" s="21" t="s">
        <v>413</v>
      </c>
    </row>
    <row r="12" spans="1:8" ht="22.5" customHeight="1" x14ac:dyDescent="0.15">
      <c r="A12" s="308" t="str">
        <f>A8</f>
        <v>小林市</v>
      </c>
      <c r="B12" s="308"/>
      <c r="C12" s="309">
        <f>管理者用地域特徴シート!D4</f>
        <v>19074</v>
      </c>
      <c r="D12" s="308"/>
      <c r="E12" s="21" t="s">
        <v>413</v>
      </c>
    </row>
    <row r="13" spans="1:8" ht="22.5" customHeight="1" x14ac:dyDescent="0.15">
      <c r="A13" s="308" t="s">
        <v>414</v>
      </c>
      <c r="B13" s="308"/>
      <c r="C13" s="309">
        <f>管理者用地域特徴シート!D3</f>
        <v>468575.00000000006</v>
      </c>
      <c r="D13" s="308"/>
      <c r="E13" s="21" t="s">
        <v>416</v>
      </c>
    </row>
    <row r="23" spans="1:8" ht="22.5" customHeight="1" x14ac:dyDescent="0.15">
      <c r="A23" s="21" t="s">
        <v>285</v>
      </c>
      <c r="G23" s="264">
        <f>管理者用地域特徴シート!J5</f>
        <v>0.18438270031438522</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同程度で、</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6">
        <f>管理者用グラフシート!B36</f>
        <v>2020</v>
      </c>
      <c r="B36" s="276"/>
      <c r="C36" s="21" t="s">
        <v>420</v>
      </c>
    </row>
    <row r="37" spans="1:8" ht="22.5" customHeight="1" x14ac:dyDescent="0.15">
      <c r="A37" s="21" t="s">
        <v>287</v>
      </c>
      <c r="F37" s="305">
        <f>管理者用地域特徴シート!P5</f>
        <v>0.33692649992327756</v>
      </c>
      <c r="G37" s="305"/>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同程度で、</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7">
        <f>管理者用地域特徴シート!W5</f>
        <v>1080</v>
      </c>
      <c r="F70" s="307"/>
      <c r="G70" s="21" t="s">
        <v>290</v>
      </c>
    </row>
    <row r="71" spans="1:8" ht="22.5" customHeight="1" x14ac:dyDescent="0.15">
      <c r="A71" s="21" t="s">
        <v>295</v>
      </c>
      <c r="F71" s="305">
        <f>管理者用地域特徴シート!AK5</f>
        <v>0.20833333333333334</v>
      </c>
      <c r="G71" s="305"/>
      <c r="H71" s="21" t="s">
        <v>271</v>
      </c>
    </row>
    <row r="72" spans="1:8" ht="22.5" customHeight="1" x14ac:dyDescent="0.15">
      <c r="A72" s="21" t="s">
        <v>296</v>
      </c>
      <c r="F72" s="305">
        <f>管理者用地域特徴シート!AL5</f>
        <v>0.20833333333333334</v>
      </c>
      <c r="G72" s="305"/>
      <c r="H72" s="21" t="s">
        <v>297</v>
      </c>
    </row>
    <row r="73" spans="1:8" ht="22.5" customHeight="1" x14ac:dyDescent="0.15">
      <c r="A73" s="21" t="s">
        <v>298</v>
      </c>
      <c r="E73" s="305"/>
      <c r="F73" s="305"/>
    </row>
    <row r="74" spans="1:8" ht="22.5" customHeight="1" x14ac:dyDescent="0.15">
      <c r="A74" s="21" t="s">
        <v>339</v>
      </c>
      <c r="C74" s="195">
        <f>管理者用地域特徴シート!AN5</f>
        <v>0.47333333333333333</v>
      </c>
      <c r="D74" s="170" t="s">
        <v>299</v>
      </c>
      <c r="E74" s="195">
        <f>管理者用地域特徴シート!AO5</f>
        <v>0.52666666666666662</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6">
        <f>管理者入力シート!B5</f>
        <v>2020</v>
      </c>
      <c r="B104" s="276"/>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6">
        <f>管理者入力シート!B5</f>
        <v>2020</v>
      </c>
      <c r="B138" s="276"/>
      <c r="C138" s="21" t="s">
        <v>422</v>
      </c>
    </row>
    <row r="139" spans="1:8" ht="22.5" customHeight="1" x14ac:dyDescent="0.15">
      <c r="A139" s="21" t="s">
        <v>315</v>
      </c>
      <c r="C139" s="305">
        <f>管理者用地域特徴シート!CK5</f>
        <v>0.81405755728724638</v>
      </c>
      <c r="D139" s="305"/>
      <c r="E139" s="21" t="s">
        <v>316</v>
      </c>
      <c r="F139" s="171" t="str">
        <f>管理者入力シート!B3</f>
        <v>小林市</v>
      </c>
      <c r="G139" s="172" t="s">
        <v>317</v>
      </c>
    </row>
    <row r="140" spans="1:8" ht="22.5" customHeight="1" x14ac:dyDescent="0.15">
      <c r="A140" s="21" t="s">
        <v>318</v>
      </c>
    </row>
    <row r="141" spans="1:8" ht="22.5" customHeight="1" x14ac:dyDescent="0.15">
      <c r="C141" s="305">
        <f>管理者用地域特徴シート!CN5</f>
        <v>0.70729166666666676</v>
      </c>
      <c r="D141" s="305"/>
      <c r="E141" s="21" t="s">
        <v>316</v>
      </c>
      <c r="F141" s="171" t="str">
        <f>管理者入力シート!B3</f>
        <v>小林市</v>
      </c>
      <c r="G141" s="172" t="s">
        <v>317</v>
      </c>
    </row>
    <row r="142" spans="1:8" ht="22.5" customHeight="1" x14ac:dyDescent="0.15">
      <c r="A142" s="306" t="s">
        <v>319</v>
      </c>
      <c r="B142" s="306"/>
      <c r="C142" s="306"/>
      <c r="D142" s="306"/>
      <c r="E142" s="306"/>
      <c r="F142" s="306"/>
      <c r="G142" s="306"/>
      <c r="H142" s="306"/>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2" t="s">
        <v>292</v>
      </c>
      <c r="B3" s="33" t="str">
        <f>管理者用地域特徴シート!B5</f>
        <v>小林市</v>
      </c>
    </row>
    <row r="4" spans="1:3" x14ac:dyDescent="0.15">
      <c r="A4" s="167" t="s">
        <v>24</v>
      </c>
      <c r="B4" s="168" t="str">
        <f>管理者用地域特徴シート!C5</f>
        <v>南小学校区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45205_5</v>
      </c>
      <c r="B1" s="25" t="s">
        <v>44</v>
      </c>
      <c r="C1" s="26"/>
      <c r="D1" s="320" t="s">
        <v>0</v>
      </c>
      <c r="E1" s="320" t="s">
        <v>1</v>
      </c>
      <c r="F1" s="320" t="s">
        <v>2</v>
      </c>
      <c r="G1" s="320" t="s">
        <v>3</v>
      </c>
      <c r="H1" s="320" t="s">
        <v>4</v>
      </c>
      <c r="I1" s="320" t="s">
        <v>5</v>
      </c>
      <c r="J1" s="320" t="s">
        <v>6</v>
      </c>
      <c r="K1" s="320" t="s">
        <v>7</v>
      </c>
      <c r="L1" s="320" t="s">
        <v>8</v>
      </c>
      <c r="M1" s="320" t="s">
        <v>9</v>
      </c>
      <c r="N1" s="320" t="s">
        <v>10</v>
      </c>
      <c r="O1" s="320" t="s">
        <v>11</v>
      </c>
      <c r="P1" s="320" t="s">
        <v>12</v>
      </c>
      <c r="Q1" s="320" t="s">
        <v>13</v>
      </c>
      <c r="R1" s="320" t="s">
        <v>14</v>
      </c>
      <c r="S1" s="320" t="s">
        <v>15</v>
      </c>
      <c r="T1" s="320" t="s">
        <v>16</v>
      </c>
      <c r="U1" s="320" t="s">
        <v>17</v>
      </c>
      <c r="V1" s="320" t="s">
        <v>18</v>
      </c>
      <c r="W1" s="320" t="s">
        <v>19</v>
      </c>
      <c r="X1" s="320" t="s">
        <v>20</v>
      </c>
      <c r="Y1" s="320" t="s">
        <v>23</v>
      </c>
      <c r="Z1" s="321" t="s">
        <v>50</v>
      </c>
      <c r="AA1" s="321" t="s">
        <v>51</v>
      </c>
      <c r="AB1" s="324" t="s">
        <v>79</v>
      </c>
      <c r="AC1" s="324" t="s">
        <v>80</v>
      </c>
      <c r="AD1" s="321" t="s">
        <v>48</v>
      </c>
      <c r="AE1" s="321" t="s">
        <v>49</v>
      </c>
      <c r="AF1" s="321" t="s">
        <v>97</v>
      </c>
      <c r="AH1" s="60"/>
      <c r="AI1" s="47" t="s">
        <v>25</v>
      </c>
      <c r="AJ1" s="45" t="s">
        <v>90</v>
      </c>
      <c r="AK1" s="46"/>
      <c r="AL1" s="323" t="s">
        <v>89</v>
      </c>
      <c r="AM1" s="322" t="s">
        <v>27</v>
      </c>
      <c r="AN1" s="322" t="s">
        <v>28</v>
      </c>
      <c r="AO1" s="322" t="s">
        <v>26</v>
      </c>
      <c r="AP1" s="322" t="s">
        <v>29</v>
      </c>
      <c r="AQ1" s="322" t="s">
        <v>30</v>
      </c>
      <c r="AR1" s="322" t="s">
        <v>31</v>
      </c>
      <c r="AS1" s="322" t="s">
        <v>32</v>
      </c>
      <c r="AT1" s="322" t="s">
        <v>33</v>
      </c>
      <c r="AU1" s="322" t="s">
        <v>34</v>
      </c>
      <c r="AV1" s="322" t="s">
        <v>35</v>
      </c>
      <c r="AW1" s="322" t="s">
        <v>36</v>
      </c>
      <c r="AX1" s="322" t="s">
        <v>37</v>
      </c>
      <c r="AY1" s="322" t="s">
        <v>38</v>
      </c>
      <c r="AZ1" s="322" t="s">
        <v>39</v>
      </c>
      <c r="BA1" s="322" t="s">
        <v>40</v>
      </c>
      <c r="BB1" s="322" t="s">
        <v>45</v>
      </c>
      <c r="BC1" s="322" t="s">
        <v>41</v>
      </c>
      <c r="BD1" s="322" t="s">
        <v>42</v>
      </c>
      <c r="BE1" s="322" t="s">
        <v>46</v>
      </c>
      <c r="BF1" s="322" t="s">
        <v>43</v>
      </c>
      <c r="BI1" s="62" t="s">
        <v>44</v>
      </c>
      <c r="BJ1" s="63"/>
      <c r="BK1" s="326" t="s">
        <v>0</v>
      </c>
      <c r="BL1" s="326" t="s">
        <v>1</v>
      </c>
      <c r="BM1" s="326" t="s">
        <v>2</v>
      </c>
      <c r="BN1" s="326" t="s">
        <v>3</v>
      </c>
      <c r="BO1" s="326" t="s">
        <v>4</v>
      </c>
      <c r="BP1" s="326" t="s">
        <v>5</v>
      </c>
      <c r="BQ1" s="326" t="s">
        <v>6</v>
      </c>
      <c r="BR1" s="326" t="s">
        <v>7</v>
      </c>
      <c r="BS1" s="326" t="s">
        <v>8</v>
      </c>
      <c r="BT1" s="326" t="s">
        <v>9</v>
      </c>
      <c r="BU1" s="326" t="s">
        <v>10</v>
      </c>
      <c r="BV1" s="326" t="s">
        <v>11</v>
      </c>
      <c r="BW1" s="326" t="s">
        <v>12</v>
      </c>
      <c r="BX1" s="326" t="s">
        <v>13</v>
      </c>
      <c r="BY1" s="326" t="s">
        <v>14</v>
      </c>
      <c r="BZ1" s="326" t="s">
        <v>15</v>
      </c>
      <c r="CA1" s="326" t="s">
        <v>16</v>
      </c>
      <c r="CB1" s="326" t="s">
        <v>17</v>
      </c>
      <c r="CC1" s="326" t="s">
        <v>18</v>
      </c>
      <c r="CD1" s="326" t="s">
        <v>19</v>
      </c>
      <c r="CE1" s="326" t="s">
        <v>20</v>
      </c>
      <c r="CF1" s="326" t="s">
        <v>23</v>
      </c>
      <c r="CG1" s="327" t="s">
        <v>50</v>
      </c>
      <c r="CH1" s="327" t="s">
        <v>51</v>
      </c>
      <c r="CI1" s="329" t="s">
        <v>79</v>
      </c>
      <c r="CJ1" s="329" t="s">
        <v>80</v>
      </c>
      <c r="CK1" s="327" t="s">
        <v>48</v>
      </c>
      <c r="CL1" s="327" t="s">
        <v>49</v>
      </c>
      <c r="CM1" s="327" t="s">
        <v>97</v>
      </c>
      <c r="CP1" s="80" t="s">
        <v>44</v>
      </c>
      <c r="CQ1" s="81"/>
      <c r="CR1" s="328" t="s">
        <v>0</v>
      </c>
      <c r="CS1" s="328" t="s">
        <v>1</v>
      </c>
      <c r="CT1" s="328" t="s">
        <v>2</v>
      </c>
      <c r="CU1" s="328" t="s">
        <v>3</v>
      </c>
      <c r="CV1" s="328" t="s">
        <v>4</v>
      </c>
      <c r="CW1" s="328" t="s">
        <v>5</v>
      </c>
      <c r="CX1" s="328" t="s">
        <v>6</v>
      </c>
      <c r="CY1" s="328" t="s">
        <v>7</v>
      </c>
      <c r="CZ1" s="328" t="s">
        <v>8</v>
      </c>
      <c r="DA1" s="328" t="s">
        <v>9</v>
      </c>
      <c r="DB1" s="328" t="s">
        <v>10</v>
      </c>
      <c r="DC1" s="328" t="s">
        <v>11</v>
      </c>
      <c r="DD1" s="328" t="s">
        <v>12</v>
      </c>
      <c r="DE1" s="328" t="s">
        <v>13</v>
      </c>
      <c r="DF1" s="328" t="s">
        <v>14</v>
      </c>
      <c r="DG1" s="328" t="s">
        <v>15</v>
      </c>
      <c r="DH1" s="328" t="s">
        <v>16</v>
      </c>
      <c r="DI1" s="328" t="s">
        <v>17</v>
      </c>
      <c r="DJ1" s="328" t="s">
        <v>18</v>
      </c>
      <c r="DK1" s="328" t="s">
        <v>19</v>
      </c>
      <c r="DL1" s="328" t="s">
        <v>20</v>
      </c>
      <c r="DM1" s="328" t="s">
        <v>23</v>
      </c>
      <c r="DN1" s="331" t="s">
        <v>50</v>
      </c>
      <c r="DO1" s="331" t="s">
        <v>51</v>
      </c>
      <c r="DP1" s="332" t="s">
        <v>79</v>
      </c>
      <c r="DQ1" s="332" t="s">
        <v>80</v>
      </c>
      <c r="DR1" s="331" t="s">
        <v>48</v>
      </c>
      <c r="DS1" s="331" t="s">
        <v>49</v>
      </c>
      <c r="DT1" s="331" t="s">
        <v>97</v>
      </c>
      <c r="DV1" s="315" t="s">
        <v>449</v>
      </c>
      <c r="DW1" s="316"/>
      <c r="DX1" s="311">
        <f>DW17</f>
        <v>29</v>
      </c>
      <c r="DY1" s="312"/>
      <c r="DZ1" s="317" t="s">
        <v>0</v>
      </c>
      <c r="EA1" s="317" t="s">
        <v>1</v>
      </c>
      <c r="EB1" s="317" t="s">
        <v>2</v>
      </c>
      <c r="EC1" s="317" t="s">
        <v>3</v>
      </c>
      <c r="ED1" s="317" t="s">
        <v>4</v>
      </c>
      <c r="EE1" s="317" t="s">
        <v>5</v>
      </c>
      <c r="EF1" s="317" t="s">
        <v>6</v>
      </c>
      <c r="EG1" s="317" t="s">
        <v>7</v>
      </c>
      <c r="EH1" s="317" t="s">
        <v>8</v>
      </c>
      <c r="EI1" s="317" t="s">
        <v>9</v>
      </c>
      <c r="EJ1" s="317" t="s">
        <v>10</v>
      </c>
      <c r="EK1" s="317" t="s">
        <v>11</v>
      </c>
      <c r="EL1" s="317" t="s">
        <v>12</v>
      </c>
      <c r="EM1" s="317" t="s">
        <v>13</v>
      </c>
      <c r="EN1" s="317" t="s">
        <v>14</v>
      </c>
      <c r="EO1" s="317" t="s">
        <v>15</v>
      </c>
      <c r="EP1" s="317" t="s">
        <v>16</v>
      </c>
      <c r="EQ1" s="317" t="s">
        <v>17</v>
      </c>
      <c r="ER1" s="317" t="s">
        <v>18</v>
      </c>
      <c r="ES1" s="317" t="s">
        <v>19</v>
      </c>
      <c r="ET1" s="317" t="s">
        <v>20</v>
      </c>
      <c r="EU1" s="317" t="s">
        <v>23</v>
      </c>
      <c r="EV1" s="310" t="s">
        <v>50</v>
      </c>
      <c r="EW1" s="310" t="s">
        <v>51</v>
      </c>
      <c r="EX1" s="318" t="s">
        <v>79</v>
      </c>
      <c r="EY1" s="318" t="s">
        <v>80</v>
      </c>
      <c r="EZ1" s="310" t="s">
        <v>48</v>
      </c>
      <c r="FA1" s="310" t="s">
        <v>49</v>
      </c>
      <c r="FB1" s="310" t="s">
        <v>97</v>
      </c>
    </row>
    <row r="2" spans="1:158" x14ac:dyDescent="0.15">
      <c r="A2" s="60" t="s">
        <v>56</v>
      </c>
      <c r="B2" s="27"/>
      <c r="C2" s="28"/>
      <c r="D2" s="320"/>
      <c r="E2" s="320"/>
      <c r="F2" s="320"/>
      <c r="G2" s="320"/>
      <c r="H2" s="320"/>
      <c r="I2" s="320"/>
      <c r="J2" s="320"/>
      <c r="K2" s="320"/>
      <c r="L2" s="320"/>
      <c r="M2" s="320"/>
      <c r="N2" s="320"/>
      <c r="O2" s="320"/>
      <c r="P2" s="320"/>
      <c r="Q2" s="320"/>
      <c r="R2" s="320"/>
      <c r="S2" s="320"/>
      <c r="T2" s="320"/>
      <c r="U2" s="320"/>
      <c r="V2" s="320"/>
      <c r="W2" s="320"/>
      <c r="X2" s="320"/>
      <c r="Y2" s="320"/>
      <c r="Z2" s="321"/>
      <c r="AA2" s="321"/>
      <c r="AB2" s="325"/>
      <c r="AC2" s="325"/>
      <c r="AD2" s="321"/>
      <c r="AE2" s="321"/>
      <c r="AF2" s="321"/>
      <c r="AI2" s="48"/>
      <c r="AJ2" s="49"/>
      <c r="AK2" s="50"/>
      <c r="AL2" s="323"/>
      <c r="AM2" s="322"/>
      <c r="AN2" s="322"/>
      <c r="AO2" s="322"/>
      <c r="AP2" s="322"/>
      <c r="AQ2" s="322"/>
      <c r="AR2" s="322"/>
      <c r="AS2" s="322"/>
      <c r="AT2" s="322"/>
      <c r="AU2" s="322"/>
      <c r="AV2" s="322"/>
      <c r="AW2" s="322"/>
      <c r="AX2" s="322"/>
      <c r="AY2" s="322"/>
      <c r="AZ2" s="322"/>
      <c r="BA2" s="322"/>
      <c r="BB2" s="322"/>
      <c r="BC2" s="322"/>
      <c r="BD2" s="322"/>
      <c r="BE2" s="322"/>
      <c r="BF2" s="322"/>
      <c r="BH2" s="60" t="s">
        <v>56</v>
      </c>
      <c r="BI2" s="64" t="s">
        <v>116</v>
      </c>
      <c r="BJ2" s="65"/>
      <c r="BK2" s="326"/>
      <c r="BL2" s="326"/>
      <c r="BM2" s="326"/>
      <c r="BN2" s="326"/>
      <c r="BO2" s="326"/>
      <c r="BP2" s="326"/>
      <c r="BQ2" s="326"/>
      <c r="BR2" s="326"/>
      <c r="BS2" s="326"/>
      <c r="BT2" s="326"/>
      <c r="BU2" s="326"/>
      <c r="BV2" s="326"/>
      <c r="BW2" s="326"/>
      <c r="BX2" s="326"/>
      <c r="BY2" s="326"/>
      <c r="BZ2" s="326"/>
      <c r="CA2" s="326"/>
      <c r="CB2" s="326"/>
      <c r="CC2" s="326"/>
      <c r="CD2" s="326"/>
      <c r="CE2" s="326"/>
      <c r="CF2" s="326"/>
      <c r="CG2" s="327"/>
      <c r="CH2" s="327"/>
      <c r="CI2" s="330"/>
      <c r="CJ2" s="330"/>
      <c r="CK2" s="327"/>
      <c r="CL2" s="327"/>
      <c r="CM2" s="327"/>
      <c r="CO2" s="60" t="s">
        <v>56</v>
      </c>
      <c r="CP2" s="82" t="s">
        <v>117</v>
      </c>
      <c r="CQ2" s="83"/>
      <c r="CR2" s="328"/>
      <c r="CS2" s="328"/>
      <c r="CT2" s="328"/>
      <c r="CU2" s="328"/>
      <c r="CV2" s="328"/>
      <c r="CW2" s="328"/>
      <c r="CX2" s="328"/>
      <c r="CY2" s="328"/>
      <c r="CZ2" s="328"/>
      <c r="DA2" s="328"/>
      <c r="DB2" s="328"/>
      <c r="DC2" s="328"/>
      <c r="DD2" s="328"/>
      <c r="DE2" s="328"/>
      <c r="DF2" s="328"/>
      <c r="DG2" s="328"/>
      <c r="DH2" s="328"/>
      <c r="DI2" s="328"/>
      <c r="DJ2" s="328"/>
      <c r="DK2" s="328"/>
      <c r="DL2" s="328"/>
      <c r="DM2" s="328"/>
      <c r="DN2" s="331"/>
      <c r="DO2" s="331"/>
      <c r="DP2" s="333"/>
      <c r="DQ2" s="333"/>
      <c r="DR2" s="331"/>
      <c r="DS2" s="331"/>
      <c r="DT2" s="331"/>
      <c r="DV2" s="315"/>
      <c r="DW2" s="316"/>
      <c r="DX2" s="313"/>
      <c r="DY2" s="314"/>
      <c r="DZ2" s="317"/>
      <c r="EA2" s="317"/>
      <c r="EB2" s="317"/>
      <c r="EC2" s="317"/>
      <c r="ED2" s="317"/>
      <c r="EE2" s="317"/>
      <c r="EF2" s="317"/>
      <c r="EG2" s="317"/>
      <c r="EH2" s="317"/>
      <c r="EI2" s="317"/>
      <c r="EJ2" s="317"/>
      <c r="EK2" s="317"/>
      <c r="EL2" s="317"/>
      <c r="EM2" s="317"/>
      <c r="EN2" s="317"/>
      <c r="EO2" s="317"/>
      <c r="EP2" s="317"/>
      <c r="EQ2" s="317"/>
      <c r="ER2" s="317"/>
      <c r="ES2" s="317"/>
      <c r="ET2" s="317"/>
      <c r="EU2" s="317"/>
      <c r="EV2" s="310"/>
      <c r="EW2" s="310"/>
      <c r="EX2" s="319"/>
      <c r="EY2" s="319"/>
      <c r="EZ2" s="310"/>
      <c r="FA2" s="310"/>
      <c r="FB2" s="310"/>
    </row>
    <row r="3" spans="1:158" x14ac:dyDescent="0.15">
      <c r="A3" s="60" t="str">
        <f>B3&amp;"_"&amp;IF(C3="男性",1,IF(C3="女性",2,IF(C3="合計",3)))</f>
        <v>2005_1</v>
      </c>
      <c r="B3" s="29">
        <v>2005</v>
      </c>
      <c r="C3" s="4" t="s">
        <v>21</v>
      </c>
      <c r="D3" s="202">
        <v>119.2</v>
      </c>
      <c r="E3" s="10">
        <v>146.4</v>
      </c>
      <c r="F3" s="10">
        <v>144.39999999999998</v>
      </c>
      <c r="G3" s="10">
        <v>146</v>
      </c>
      <c r="H3" s="10">
        <v>112.6</v>
      </c>
      <c r="I3" s="10">
        <v>135</v>
      </c>
      <c r="J3" s="10">
        <v>136.6</v>
      </c>
      <c r="K3" s="10">
        <v>138.80000000000001</v>
      </c>
      <c r="L3" s="10">
        <v>147.80000000000001</v>
      </c>
      <c r="M3" s="10">
        <v>180.8</v>
      </c>
      <c r="N3" s="10">
        <v>230</v>
      </c>
      <c r="O3" s="10">
        <v>206.60000000000002</v>
      </c>
      <c r="P3" s="10">
        <v>163</v>
      </c>
      <c r="Q3" s="10">
        <v>168.2</v>
      </c>
      <c r="R3" s="10">
        <v>188.8</v>
      </c>
      <c r="S3" s="10">
        <v>141.19999999999999</v>
      </c>
      <c r="T3" s="10">
        <v>73.2</v>
      </c>
      <c r="U3" s="10">
        <v>34</v>
      </c>
      <c r="V3" s="10">
        <v>14</v>
      </c>
      <c r="W3" s="10">
        <v>3</v>
      </c>
      <c r="X3" s="10">
        <v>0.2</v>
      </c>
      <c r="Y3" s="10">
        <v>2629.7999999999993</v>
      </c>
      <c r="Z3" s="10">
        <f>E3*3/5+F3*3/5</f>
        <v>174.48</v>
      </c>
      <c r="AA3" s="10">
        <f>F3*2/5+G3*1/5</f>
        <v>86.96</v>
      </c>
      <c r="AB3" s="10">
        <f t="shared" ref="AB3:AB20" si="0">SUM(Q3:X3)</f>
        <v>622.6</v>
      </c>
      <c r="AC3" s="10">
        <f>SUM(S3:X3)</f>
        <v>265.59999999999997</v>
      </c>
      <c r="AD3" s="14">
        <f>AB3/Y3</f>
        <v>0.23674804167617317</v>
      </c>
      <c r="AE3" s="14">
        <f>AC3/Y3</f>
        <v>0.10099627348087309</v>
      </c>
      <c r="AF3" s="10">
        <f>SUM(H3:K3)</f>
        <v>523</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0.94293823502792029</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0.93988491403846874</v>
      </c>
      <c r="AO3" s="7">
        <f t="shared" si="1"/>
        <v>0.87984251753403242</v>
      </c>
      <c r="AP3" s="7">
        <f t="shared" si="1"/>
        <v>0.52041812246888197</v>
      </c>
      <c r="AQ3" s="7">
        <f t="shared" si="1"/>
        <v>1.3595927318161183</v>
      </c>
      <c r="AR3" s="7">
        <f t="shared" si="1"/>
        <v>0.96751253261527737</v>
      </c>
      <c r="AS3" s="7">
        <f t="shared" si="1"/>
        <v>1.016857414001201</v>
      </c>
      <c r="AT3" s="7">
        <f t="shared" si="1"/>
        <v>1.005326007107014</v>
      </c>
      <c r="AU3" s="7">
        <f t="shared" si="1"/>
        <v>1.0059561517643176</v>
      </c>
      <c r="AV3" s="7">
        <f t="shared" si="1"/>
        <v>1.0056328239143932</v>
      </c>
      <c r="AW3" s="7">
        <f t="shared" si="1"/>
        <v>0.96286330658035191</v>
      </c>
      <c r="AX3" s="7">
        <f t="shared" si="1"/>
        <v>0.98336038772849543</v>
      </c>
      <c r="AY3" s="7">
        <f t="shared" si="1"/>
        <v>0.93183915091716207</v>
      </c>
      <c r="AZ3" s="7">
        <f t="shared" si="1"/>
        <v>0.94102045949831126</v>
      </c>
      <c r="BA3" s="7">
        <f t="shared" si="1"/>
        <v>0.8694916772736897</v>
      </c>
      <c r="BB3" s="7">
        <f t="shared" si="1"/>
        <v>0.79326355083579325</v>
      </c>
      <c r="BC3" s="7">
        <f t="shared" si="1"/>
        <v>0.60803468459828758</v>
      </c>
      <c r="BD3" s="7">
        <f t="shared" si="1"/>
        <v>0.44922297701637326</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0.42912907818702167</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89.728497307647842</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108.55185613794113</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112.75534478200331</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108.6964853517543</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60.227927067647798</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85.896277781247605</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93.327701038985651</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114.90443339227986</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145.62475220209734</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158.42381116694744</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156.05757249355332</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137.38803674435894</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154.95388128813616</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180.51624120504638</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205.65786329142895</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169.84812732047951</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105.81399600784083</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76.155085323537307</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36.3268191481163</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12.181998761537212</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0.21773648440910243</v>
      </c>
      <c r="CF3" s="10">
        <f t="shared" ref="CF3:CF14" si="2">SUM(BK3:CE3)</f>
        <v>2313.2544442969956</v>
      </c>
      <c r="CG3" s="10">
        <f>BL3*3/5+BM3*3/5</f>
        <v>132.78432055196666</v>
      </c>
      <c r="CH3" s="10">
        <f>BM3*2/5+BN3*1/5</f>
        <v>66.841434983152183</v>
      </c>
      <c r="CI3" s="10">
        <f t="shared" ref="CI3:CI14" si="3">SUM(BX3:CE3)</f>
        <v>786.71786754239565</v>
      </c>
      <c r="CJ3" s="10">
        <f>SUM(BZ3:CE3)</f>
        <v>400.54376304592029</v>
      </c>
      <c r="CK3" s="14">
        <f>CI3/CF3</f>
        <v>0.34009136758904246</v>
      </c>
      <c r="CL3" s="14">
        <f>CJ3/CF3</f>
        <v>0.17315162369336617</v>
      </c>
      <c r="CM3" s="10">
        <f>SUM(BO3:BR3)</f>
        <v>354.35633928016091</v>
      </c>
      <c r="CO3" s="60" t="str">
        <f>CP3&amp;"_"&amp;IF(CQ3="男性",1,IF(CQ3="女性",2,IF(CQ3="合計",3)))</f>
        <v>2025_1</v>
      </c>
      <c r="CP3" s="29">
        <f>管理者入力シート!B8</f>
        <v>2025</v>
      </c>
      <c r="CQ3" s="4" t="s">
        <v>21</v>
      </c>
      <c r="CR3" s="10">
        <f>BK3+将来予測シート②!$G17</f>
        <v>90.728497307647842</v>
      </c>
      <c r="CS3" s="10">
        <f>BL3+将来予測シート②!$G18</f>
        <v>108.55185613794113</v>
      </c>
      <c r="CT3" s="10">
        <f>BM3+将来予測シート②!$G19</f>
        <v>113.75534478200331</v>
      </c>
      <c r="CU3" s="10">
        <f>BN3+将来予測シート②!$G20</f>
        <v>108.6964853517543</v>
      </c>
      <c r="CV3" s="10">
        <f>BO3+将来予測シート②!$G21</f>
        <v>60.227927067647798</v>
      </c>
      <c r="CW3" s="10">
        <f>BP3+将来予測シート②!$G22</f>
        <v>87.896277781247605</v>
      </c>
      <c r="CX3" s="10">
        <f>BQ3+将来予測シート②!$G23</f>
        <v>93.327701038985651</v>
      </c>
      <c r="CY3" s="10">
        <f>BR3+将来予測シート②!$G24</f>
        <v>114.90443339227986</v>
      </c>
      <c r="CZ3" s="10">
        <f>BS3+将来予測シート②!$G25</f>
        <v>145.62475220209734</v>
      </c>
      <c r="DA3" s="10">
        <f>BT3+将来予測シート②!$G26</f>
        <v>158.42381116694744</v>
      </c>
      <c r="DB3" s="10">
        <f>BU3+将来予測シート②!$G27</f>
        <v>156.05757249355332</v>
      </c>
      <c r="DC3" s="10">
        <f>BV3+将来予測シート②!$G28</f>
        <v>137.38803674435894</v>
      </c>
      <c r="DD3" s="10">
        <f>BW3+将来予測シート②!$G29</f>
        <v>154.95388128813616</v>
      </c>
      <c r="DE3" s="10">
        <f>BX3</f>
        <v>180.51624120504638</v>
      </c>
      <c r="DF3" s="10">
        <f t="shared" ref="DF3:DL3" si="4">BY3</f>
        <v>205.65786329142895</v>
      </c>
      <c r="DG3" s="10">
        <f t="shared" si="4"/>
        <v>169.84812732047951</v>
      </c>
      <c r="DH3" s="10">
        <f t="shared" si="4"/>
        <v>105.81399600784083</v>
      </c>
      <c r="DI3" s="10">
        <f t="shared" si="4"/>
        <v>76.155085323537307</v>
      </c>
      <c r="DJ3" s="10">
        <f t="shared" si="4"/>
        <v>36.3268191481163</v>
      </c>
      <c r="DK3" s="10">
        <f t="shared" si="4"/>
        <v>12.181998761537212</v>
      </c>
      <c r="DL3" s="10">
        <f t="shared" si="4"/>
        <v>0.21773648440910243</v>
      </c>
      <c r="DM3" s="10">
        <f t="shared" ref="DM3:DM4" si="5">SUM(CR3:DL3)</f>
        <v>2317.2544442969956</v>
      </c>
      <c r="DN3" s="10">
        <f>CS3*3/5+CT3*3/5</f>
        <v>133.38432055196665</v>
      </c>
      <c r="DO3" s="10">
        <f>CT3*2/5+CU3*1/5</f>
        <v>67.241434983152189</v>
      </c>
      <c r="DP3" s="10">
        <f t="shared" ref="DP3:DP14" si="6">SUM(DE3:DL3)</f>
        <v>786.71786754239565</v>
      </c>
      <c r="DQ3" s="10">
        <f>SUM(DG3:DL3)</f>
        <v>400.54376304592029</v>
      </c>
      <c r="DR3" s="14">
        <f>DP3/DM3</f>
        <v>0.33950430841921148</v>
      </c>
      <c r="DS3" s="14">
        <f>DQ3/DM3</f>
        <v>0.17285273269480619</v>
      </c>
      <c r="DT3" s="10">
        <f>SUM(CV3:CY3)</f>
        <v>356.35633928016091</v>
      </c>
      <c r="DV3" s="315"/>
      <c r="DW3" s="316"/>
      <c r="DX3" s="29">
        <f>管理者入力シート!B8</f>
        <v>2025</v>
      </c>
      <c r="DY3" s="4" t="s">
        <v>21</v>
      </c>
      <c r="DZ3" s="10">
        <f>BK$3</f>
        <v>89.728497307647842</v>
      </c>
      <c r="EA3" s="10">
        <f>BL$3</f>
        <v>108.55185613794113</v>
      </c>
      <c r="EB3" s="10">
        <f t="shared" ref="EB3:ED3" si="7">BM$3</f>
        <v>112.75534478200331</v>
      </c>
      <c r="EC3" s="10">
        <f t="shared" si="7"/>
        <v>108.6964853517543</v>
      </c>
      <c r="ED3" s="10">
        <f t="shared" si="7"/>
        <v>60.227927067647798</v>
      </c>
      <c r="EE3" s="10">
        <f>BP$3+DX1</f>
        <v>114.8962777812476</v>
      </c>
      <c r="EF3" s="10">
        <f>BQ$3+DX1</f>
        <v>122.32770103898565</v>
      </c>
      <c r="EG3" s="10">
        <f>BR$3+DX1</f>
        <v>143.90443339227986</v>
      </c>
      <c r="EH3" s="10">
        <f t="shared" ref="EH3:ET3" si="8">BS$3</f>
        <v>145.62475220209734</v>
      </c>
      <c r="EI3" s="10">
        <f t="shared" si="8"/>
        <v>158.42381116694744</v>
      </c>
      <c r="EJ3" s="10">
        <f t="shared" si="8"/>
        <v>156.05757249355332</v>
      </c>
      <c r="EK3" s="10">
        <f t="shared" si="8"/>
        <v>137.38803674435894</v>
      </c>
      <c r="EL3" s="10">
        <f t="shared" si="8"/>
        <v>154.95388128813616</v>
      </c>
      <c r="EM3" s="10">
        <f t="shared" si="8"/>
        <v>180.51624120504638</v>
      </c>
      <c r="EN3" s="10">
        <f t="shared" si="8"/>
        <v>205.65786329142895</v>
      </c>
      <c r="EO3" s="10">
        <f t="shared" si="8"/>
        <v>169.84812732047951</v>
      </c>
      <c r="EP3" s="10">
        <f t="shared" si="8"/>
        <v>105.81399600784083</v>
      </c>
      <c r="EQ3" s="10">
        <f t="shared" si="8"/>
        <v>76.155085323537307</v>
      </c>
      <c r="ER3" s="10">
        <f t="shared" si="8"/>
        <v>36.3268191481163</v>
      </c>
      <c r="ES3" s="10">
        <f t="shared" si="8"/>
        <v>12.181998761537212</v>
      </c>
      <c r="ET3" s="10">
        <f t="shared" si="8"/>
        <v>0.21773648440910243</v>
      </c>
      <c r="EU3" s="10">
        <f t="shared" ref="EU3:EU4" si="9">SUM(DZ3:ET3)</f>
        <v>2400.2544442969956</v>
      </c>
      <c r="EV3" s="10">
        <f>EA3*3/5+EB3*3/5</f>
        <v>132.78432055196666</v>
      </c>
      <c r="EW3" s="10">
        <f>EB3*2/5+EC3*1/5</f>
        <v>66.841434983152183</v>
      </c>
      <c r="EX3" s="10">
        <f t="shared" ref="EX3:EX14" si="10">SUM(EM3:ET3)</f>
        <v>786.71786754239565</v>
      </c>
      <c r="EY3" s="10">
        <f>SUM(EO3:ET3)</f>
        <v>400.54376304592029</v>
      </c>
      <c r="EZ3" s="14">
        <f>EX3/EU3</f>
        <v>0.3277643624040098</v>
      </c>
      <c r="FA3" s="14">
        <f>EY3/EU3</f>
        <v>0.16687554271490351</v>
      </c>
      <c r="FB3" s="10">
        <f>SUM(ED3:EG3)</f>
        <v>441.35633928016091</v>
      </c>
    </row>
    <row r="4" spans="1:158" x14ac:dyDescent="0.15">
      <c r="A4" s="60" t="str">
        <f t="shared" ref="A4:A14" si="11">B4&amp;"_"&amp;IF(C4="男性",1,IF(C4="女性",2,IF(C4="合計",3)))</f>
        <v>2005_2</v>
      </c>
      <c r="B4" s="30">
        <v>2005</v>
      </c>
      <c r="C4" s="5" t="s">
        <v>22</v>
      </c>
      <c r="D4" s="11">
        <v>103.4</v>
      </c>
      <c r="E4" s="11">
        <v>129.4</v>
      </c>
      <c r="F4" s="11">
        <v>140.60000000000002</v>
      </c>
      <c r="G4" s="11">
        <v>148</v>
      </c>
      <c r="H4" s="11">
        <v>122.80000000000001</v>
      </c>
      <c r="I4" s="11">
        <v>145.19999999999999</v>
      </c>
      <c r="J4" s="11">
        <v>135.60000000000002</v>
      </c>
      <c r="K4" s="11">
        <v>153.80000000000001</v>
      </c>
      <c r="L4" s="11">
        <v>171.60000000000002</v>
      </c>
      <c r="M4" s="11">
        <v>205.8</v>
      </c>
      <c r="N4" s="11">
        <v>233</v>
      </c>
      <c r="O4" s="11">
        <v>220.8</v>
      </c>
      <c r="P4" s="11">
        <v>180</v>
      </c>
      <c r="Q4" s="11">
        <v>226</v>
      </c>
      <c r="R4" s="11">
        <v>206.2</v>
      </c>
      <c r="S4" s="11">
        <v>186.8</v>
      </c>
      <c r="T4" s="11">
        <v>135.19999999999999</v>
      </c>
      <c r="U4" s="11">
        <v>84.8</v>
      </c>
      <c r="V4" s="11">
        <v>39</v>
      </c>
      <c r="W4" s="11">
        <v>5.6</v>
      </c>
      <c r="X4" s="11">
        <v>1.2000000000000002</v>
      </c>
      <c r="Y4" s="11">
        <v>2974.7999999999997</v>
      </c>
      <c r="Z4" s="11">
        <f t="shared" ref="Z4:Z11" si="12">E4*3/5+F4*3/5</f>
        <v>162.00000000000003</v>
      </c>
      <c r="AA4" s="11">
        <f t="shared" ref="AA4:AA11" si="13">F4*2/5+G4*1/5</f>
        <v>85.84</v>
      </c>
      <c r="AB4" s="11">
        <f t="shared" si="0"/>
        <v>884.80000000000007</v>
      </c>
      <c r="AC4" s="11">
        <f t="shared" ref="AC4:AC11" si="14">SUM(S4:X4)</f>
        <v>452.6</v>
      </c>
      <c r="AD4" s="15">
        <f t="shared" ref="AD4:AD11" si="15">AB4/Y4</f>
        <v>0.29743176011832734</v>
      </c>
      <c r="AE4" s="15">
        <f t="shared" ref="AE4:AE11" si="16">AC4/Y4</f>
        <v>0.1521446819954283</v>
      </c>
      <c r="AF4" s="11">
        <f t="shared" ref="AF4:AF20" si="17">SUM(H4:K4)</f>
        <v>557.40000000000009</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0.96883918920687973</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0.98237179502063587</v>
      </c>
      <c r="AO4" s="211">
        <f t="shared" si="18"/>
        <v>0.87231419987792969</v>
      </c>
      <c r="AP4" s="211">
        <f t="shared" si="18"/>
        <v>0.73146012669762961</v>
      </c>
      <c r="AQ4" s="211">
        <f t="shared" si="18"/>
        <v>1.0770469257065023</v>
      </c>
      <c r="AR4" s="211">
        <f t="shared" si="18"/>
        <v>0.93380454408822988</v>
      </c>
      <c r="AS4" s="211">
        <f t="shared" si="18"/>
        <v>0.95790756591900417</v>
      </c>
      <c r="AT4" s="211">
        <f t="shared" si="18"/>
        <v>1.0434281509083541</v>
      </c>
      <c r="AU4" s="211">
        <f t="shared" si="18"/>
        <v>1.0363020420792723</v>
      </c>
      <c r="AV4" s="211">
        <f t="shared" si="18"/>
        <v>0.96719726550762364</v>
      </c>
      <c r="AW4" s="211">
        <f t="shared" si="18"/>
        <v>0.9997534843681376</v>
      </c>
      <c r="AX4" s="211">
        <f t="shared" si="18"/>
        <v>0.97580630089472786</v>
      </c>
      <c r="AY4" s="211">
        <f t="shared" si="18"/>
        <v>0.97065878642979475</v>
      </c>
      <c r="AZ4" s="211">
        <f t="shared" si="18"/>
        <v>0.97406983991879237</v>
      </c>
      <c r="BA4" s="211">
        <f t="shared" si="18"/>
        <v>0.98076332290980339</v>
      </c>
      <c r="BB4" s="211">
        <f t="shared" si="18"/>
        <v>0.86616133899908376</v>
      </c>
      <c r="BC4" s="211">
        <f t="shared" si="18"/>
        <v>0.85432565163906748</v>
      </c>
      <c r="BD4" s="211">
        <f t="shared" si="18"/>
        <v>0.59074999550789764</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0.3366229239804639</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0.3823692212830137</v>
      </c>
      <c r="BH4" s="60" t="str">
        <f t="shared" ref="BH4:BH20" si="19">BI4&amp;"_"&amp;IF(BJ4="男性",1,IF(BJ4="女性",2,IF(BJ4="合計",3)))</f>
        <v>2025_2</v>
      </c>
      <c r="BI4" s="30">
        <f>BI3</f>
        <v>2025</v>
      </c>
      <c r="BJ4" s="5" t="s">
        <v>22</v>
      </c>
      <c r="BK4" s="11">
        <f>CM4*AK$14</f>
        <v>90.189463077110574</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106.35504697877454</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110.59608797751173</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104.55667833394115</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70.129299309154021</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94.252942057579119</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97.794601316960936</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113.47160068784572</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156.63601257834213</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169.90535000827776</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150.55235641525672</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150.88144405107809</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176.31861874778761</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204.81223383235161</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221.66361984606706</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214.17188598348886</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156.73345216170657</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166.73798826027971</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103.27841712298164</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39.885831180193726</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11.908094904770222</v>
      </c>
      <c r="CF4" s="11">
        <f t="shared" si="2"/>
        <v>2710.8310248314597</v>
      </c>
      <c r="CG4" s="11">
        <f t="shared" ref="CG4:CG14" si="20">BL4*3/5+BM4*3/5</f>
        <v>130.17068097377177</v>
      </c>
      <c r="CH4" s="11">
        <f t="shared" ref="CH4:CH14" si="21">BM4*2/5+BN4*1/5</f>
        <v>65.149770857792916</v>
      </c>
      <c r="CI4" s="11">
        <f t="shared" si="3"/>
        <v>1119.1915232918393</v>
      </c>
      <c r="CJ4" s="11">
        <f t="shared" ref="CJ4:CJ14" si="22">SUM(BZ4:CE4)</f>
        <v>692.71566961342069</v>
      </c>
      <c r="CK4" s="15">
        <f t="shared" ref="CK4:CK14" si="23">CI4/CF4</f>
        <v>0.4128591981720523</v>
      </c>
      <c r="CL4" s="15">
        <f t="shared" ref="CL4:CL14" si="24">CJ4/CF4</f>
        <v>0.25553627772003562</v>
      </c>
      <c r="CM4" s="11">
        <f t="shared" ref="CM4:CM14" si="25">SUM(BO4:BR4)</f>
        <v>375.64844337153977</v>
      </c>
      <c r="CO4" s="60" t="str">
        <f t="shared" ref="CO4:CO20" si="26">CP4&amp;"_"&amp;IF(CQ4="男性",1,IF(CQ4="女性",2,IF(CQ4="合計",3)))</f>
        <v>2025_2</v>
      </c>
      <c r="CP4" s="30">
        <f>CP3</f>
        <v>2025</v>
      </c>
      <c r="CQ4" s="5" t="s">
        <v>22</v>
      </c>
      <c r="CR4" s="11">
        <f>BK4+将来予測シート②!$H17</f>
        <v>91.189463077110574</v>
      </c>
      <c r="CS4" s="11">
        <f>BL4+将来予測シート②!$H18</f>
        <v>106.35504697877454</v>
      </c>
      <c r="CT4" s="11">
        <f>BM4+将来予測シート②!$H19</f>
        <v>111.59608797751173</v>
      </c>
      <c r="CU4" s="11">
        <f>BN4+将来予測シート②!$H20</f>
        <v>104.55667833394115</v>
      </c>
      <c r="CV4" s="11">
        <f>BO4+将来予測シート②!$H21</f>
        <v>70.129299309154021</v>
      </c>
      <c r="CW4" s="11">
        <f>BP4+将来予測シート②!$H22</f>
        <v>96.252942057579119</v>
      </c>
      <c r="CX4" s="11">
        <f>BQ4+将来予測シート②!$H23</f>
        <v>97.794601316960936</v>
      </c>
      <c r="CY4" s="11">
        <f>BR4+将来予測シート②!$H24</f>
        <v>113.47160068784572</v>
      </c>
      <c r="CZ4" s="11">
        <f>BS4+将来予測シート②!$H25</f>
        <v>157.63601257834213</v>
      </c>
      <c r="DA4" s="11">
        <f>BT4+将来予測シート②!$H26</f>
        <v>169.90535000827776</v>
      </c>
      <c r="DB4" s="11">
        <f>BU4+将来予測シート②!$H27</f>
        <v>150.55235641525672</v>
      </c>
      <c r="DC4" s="11">
        <f>BV4+将来予測シート②!$H28</f>
        <v>150.88144405107809</v>
      </c>
      <c r="DD4" s="11">
        <f>BW4+将来予測シート②!$H29</f>
        <v>176.31861874778761</v>
      </c>
      <c r="DE4" s="11">
        <f>BX4</f>
        <v>204.81223383235161</v>
      </c>
      <c r="DF4" s="11">
        <f t="shared" ref="DF4" si="27">BY4</f>
        <v>221.66361984606706</v>
      </c>
      <c r="DG4" s="11">
        <f t="shared" ref="DG4" si="28">BZ4</f>
        <v>214.17188598348886</v>
      </c>
      <c r="DH4" s="11">
        <f t="shared" ref="DH4" si="29">CA4</f>
        <v>156.73345216170657</v>
      </c>
      <c r="DI4" s="11">
        <f t="shared" ref="DI4" si="30">CB4</f>
        <v>166.73798826027971</v>
      </c>
      <c r="DJ4" s="11">
        <f t="shared" ref="DJ4" si="31">CC4</f>
        <v>103.27841712298164</v>
      </c>
      <c r="DK4" s="11">
        <f t="shared" ref="DK4" si="32">CD4</f>
        <v>39.885831180193726</v>
      </c>
      <c r="DL4" s="11">
        <f t="shared" ref="DL4" si="33">CE4</f>
        <v>11.908094904770222</v>
      </c>
      <c r="DM4" s="11">
        <f t="shared" si="5"/>
        <v>2715.8310248314597</v>
      </c>
      <c r="DN4" s="11">
        <f t="shared" ref="DN4:DN14" si="34">CS4*3/5+CT4*3/5</f>
        <v>130.77068097377176</v>
      </c>
      <c r="DO4" s="11">
        <f t="shared" ref="DO4:DO14" si="35">CT4*2/5+CU4*1/5</f>
        <v>65.549770857792922</v>
      </c>
      <c r="DP4" s="11">
        <f t="shared" si="6"/>
        <v>1119.1915232918393</v>
      </c>
      <c r="DQ4" s="11">
        <f t="shared" ref="DQ4:DQ14" si="36">SUM(DG4:DL4)</f>
        <v>692.71566961342069</v>
      </c>
      <c r="DR4" s="15">
        <f t="shared" ref="DR4:DR14" si="37">DP4/DM4</f>
        <v>0.41209910081253842</v>
      </c>
      <c r="DS4" s="15">
        <f t="shared" ref="DS4:DS14" si="38">DQ4/DM4</f>
        <v>0.25506582084075335</v>
      </c>
      <c r="DT4" s="11">
        <f>SUM(CV4:CY4)</f>
        <v>377.64844337153977</v>
      </c>
      <c r="DV4" s="315"/>
      <c r="DW4" s="316"/>
      <c r="DX4" s="30">
        <f>DX3</f>
        <v>2025</v>
      </c>
      <c r="DY4" s="5" t="s">
        <v>22</v>
      </c>
      <c r="DZ4" s="11">
        <f>BK$4</f>
        <v>90.189463077110574</v>
      </c>
      <c r="EA4" s="11">
        <f>BL$4</f>
        <v>106.35504697877454</v>
      </c>
      <c r="EB4" s="11">
        <f t="shared" ref="EB4:ED4" si="39">BM$4</f>
        <v>110.59608797751173</v>
      </c>
      <c r="EC4" s="11">
        <f t="shared" si="39"/>
        <v>104.55667833394115</v>
      </c>
      <c r="ED4" s="11">
        <f t="shared" si="39"/>
        <v>70.129299309154021</v>
      </c>
      <c r="EE4" s="11">
        <f>BP$4+DX1</f>
        <v>123.25294205757912</v>
      </c>
      <c r="EF4" s="11">
        <f>BQ$4+DX1</f>
        <v>126.79460131696094</v>
      </c>
      <c r="EG4" s="11">
        <f>BR$4+DX1</f>
        <v>142.47160068784572</v>
      </c>
      <c r="EH4" s="11">
        <f t="shared" ref="EH4:ET4" si="40">BS$4</f>
        <v>156.63601257834213</v>
      </c>
      <c r="EI4" s="11">
        <f t="shared" si="40"/>
        <v>169.90535000827776</v>
      </c>
      <c r="EJ4" s="11">
        <f t="shared" si="40"/>
        <v>150.55235641525672</v>
      </c>
      <c r="EK4" s="11">
        <f t="shared" si="40"/>
        <v>150.88144405107809</v>
      </c>
      <c r="EL4" s="11">
        <f t="shared" si="40"/>
        <v>176.31861874778761</v>
      </c>
      <c r="EM4" s="11">
        <f t="shared" si="40"/>
        <v>204.81223383235161</v>
      </c>
      <c r="EN4" s="11">
        <f t="shared" si="40"/>
        <v>221.66361984606706</v>
      </c>
      <c r="EO4" s="11">
        <f t="shared" si="40"/>
        <v>214.17188598348886</v>
      </c>
      <c r="EP4" s="11">
        <f t="shared" si="40"/>
        <v>156.73345216170657</v>
      </c>
      <c r="EQ4" s="11">
        <f t="shared" si="40"/>
        <v>166.73798826027971</v>
      </c>
      <c r="ER4" s="11">
        <f t="shared" si="40"/>
        <v>103.27841712298164</v>
      </c>
      <c r="ES4" s="11">
        <f t="shared" si="40"/>
        <v>39.885831180193726</v>
      </c>
      <c r="ET4" s="11">
        <f t="shared" si="40"/>
        <v>11.908094904770222</v>
      </c>
      <c r="EU4" s="11">
        <f t="shared" si="9"/>
        <v>2797.8310248314597</v>
      </c>
      <c r="EV4" s="11">
        <f t="shared" ref="EV4:EV14" si="41">EA4*3/5+EB4*3/5</f>
        <v>130.17068097377177</v>
      </c>
      <c r="EW4" s="11">
        <f t="shared" ref="EW4:EW14" si="42">EB4*2/5+EC4*1/5</f>
        <v>65.149770857792916</v>
      </c>
      <c r="EX4" s="11">
        <f t="shared" si="10"/>
        <v>1119.1915232918393</v>
      </c>
      <c r="EY4" s="11">
        <f t="shared" ref="EY4:EY14" si="43">SUM(EO4:ET4)</f>
        <v>692.71566961342069</v>
      </c>
      <c r="EZ4" s="15">
        <f t="shared" ref="EZ4:EZ14" si="44">EX4/EU4</f>
        <v>0.40002112828070413</v>
      </c>
      <c r="FA4" s="15">
        <f t="shared" ref="FA4:FA14" si="45">EY4/EU4</f>
        <v>0.24759024525262371</v>
      </c>
      <c r="FB4" s="11">
        <f>SUM(ED4:EG4)</f>
        <v>462.64844337153977</v>
      </c>
    </row>
    <row r="5" spans="1:158" x14ac:dyDescent="0.15">
      <c r="A5" s="60" t="str">
        <f t="shared" si="11"/>
        <v>2005_3</v>
      </c>
      <c r="B5" s="31">
        <v>2005</v>
      </c>
      <c r="C5" s="6" t="s">
        <v>23</v>
      </c>
      <c r="D5" s="12">
        <v>222.60000000000002</v>
      </c>
      <c r="E5" s="12">
        <v>275.8</v>
      </c>
      <c r="F5" s="12">
        <v>285</v>
      </c>
      <c r="G5" s="12">
        <v>294</v>
      </c>
      <c r="H5" s="12">
        <v>235.4</v>
      </c>
      <c r="I5" s="12">
        <v>280.2</v>
      </c>
      <c r="J5" s="12">
        <v>272.20000000000005</v>
      </c>
      <c r="K5" s="12">
        <v>292.60000000000002</v>
      </c>
      <c r="L5" s="12">
        <v>319.40000000000003</v>
      </c>
      <c r="M5" s="12">
        <v>386.6</v>
      </c>
      <c r="N5" s="12">
        <v>463</v>
      </c>
      <c r="O5" s="12">
        <v>427.40000000000003</v>
      </c>
      <c r="P5" s="12">
        <v>343</v>
      </c>
      <c r="Q5" s="12">
        <v>394.2</v>
      </c>
      <c r="R5" s="12">
        <v>395</v>
      </c>
      <c r="S5" s="12">
        <v>328</v>
      </c>
      <c r="T5" s="12">
        <v>208.39999999999998</v>
      </c>
      <c r="U5" s="12">
        <v>118.8</v>
      </c>
      <c r="V5" s="12">
        <v>53</v>
      </c>
      <c r="W5" s="12">
        <v>8.6</v>
      </c>
      <c r="X5" s="12">
        <v>1.4000000000000001</v>
      </c>
      <c r="Y5" s="12">
        <v>5604.6</v>
      </c>
      <c r="Z5" s="12">
        <f t="shared" si="12"/>
        <v>336.48</v>
      </c>
      <c r="AA5" s="12">
        <f t="shared" si="13"/>
        <v>172.8</v>
      </c>
      <c r="AB5" s="12">
        <f t="shared" si="0"/>
        <v>1507.3999999999999</v>
      </c>
      <c r="AC5" s="12">
        <f t="shared" si="14"/>
        <v>718.19999999999993</v>
      </c>
      <c r="AD5" s="16">
        <f t="shared" si="15"/>
        <v>0.2689576419369803</v>
      </c>
      <c r="AE5" s="16">
        <f t="shared" si="16"/>
        <v>0.12814473825072259</v>
      </c>
      <c r="AF5" s="12">
        <f t="shared" si="17"/>
        <v>1080.4000000000001</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1.15353859700263</v>
      </c>
      <c r="AN5" s="7">
        <f t="shared" si="1"/>
        <v>1.0157136374618958</v>
      </c>
      <c r="AO5" s="7">
        <f t="shared" si="1"/>
        <v>0.90271553877161204</v>
      </c>
      <c r="AP5" s="7">
        <f t="shared" si="1"/>
        <v>0.55204223332496194</v>
      </c>
      <c r="AQ5" s="7">
        <f t="shared" si="1"/>
        <v>1.3456489952301445</v>
      </c>
      <c r="AR5" s="7">
        <f t="shared" si="1"/>
        <v>1.1139067172865325</v>
      </c>
      <c r="AS5" s="7">
        <f t="shared" si="1"/>
        <v>1.0911677128057524</v>
      </c>
      <c r="AT5" s="7">
        <f t="shared" si="1"/>
        <v>1.1053876411030725</v>
      </c>
      <c r="AU5" s="7">
        <f t="shared" si="1"/>
        <v>1.0696360469337729</v>
      </c>
      <c r="AV5" s="7">
        <f t="shared" si="1"/>
        <v>1.0399103380497428</v>
      </c>
      <c r="AW5" s="7">
        <f t="shared" si="1"/>
        <v>1.0125906218861367</v>
      </c>
      <c r="AX5" s="7">
        <f t="shared" si="1"/>
        <v>1.0048849848034842</v>
      </c>
      <c r="AY5" s="7">
        <f t="shared" si="1"/>
        <v>1.0065894055954847</v>
      </c>
      <c r="AZ5" s="7">
        <f t="shared" si="1"/>
        <v>0.96275944485199449</v>
      </c>
      <c r="BA5" s="7">
        <f t="shared" si="1"/>
        <v>0.89153324528258682</v>
      </c>
      <c r="BB5" s="7">
        <f t="shared" si="1"/>
        <v>0.81812551908775644</v>
      </c>
      <c r="BC5" s="7">
        <f t="shared" si="1"/>
        <v>0.71376344091247856</v>
      </c>
      <c r="BD5" s="7">
        <f t="shared" si="1"/>
        <v>0.44974148231534128</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0.2530790013121646</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0.7217592289127186</v>
      </c>
      <c r="BH5" s="60" t="str">
        <f t="shared" si="19"/>
        <v>2025_3</v>
      </c>
      <c r="BI5" s="31">
        <f>BI4</f>
        <v>2025</v>
      </c>
      <c r="BJ5" s="6" t="s">
        <v>23</v>
      </c>
      <c r="BK5" s="17">
        <f>BK3+BK4</f>
        <v>179.91796038475843</v>
      </c>
      <c r="BL5" s="17">
        <f t="shared" ref="BL5:CE5" si="46">BL3+BL4</f>
        <v>214.90690311671568</v>
      </c>
      <c r="BM5" s="17">
        <f t="shared" si="46"/>
        <v>223.35143275951503</v>
      </c>
      <c r="BN5" s="17">
        <f t="shared" si="46"/>
        <v>213.25316368569545</v>
      </c>
      <c r="BO5" s="17">
        <f t="shared" si="46"/>
        <v>130.3572263768018</v>
      </c>
      <c r="BP5" s="17">
        <f t="shared" si="46"/>
        <v>180.14921983882672</v>
      </c>
      <c r="BQ5" s="17">
        <f t="shared" si="46"/>
        <v>191.1223023559466</v>
      </c>
      <c r="BR5" s="17">
        <f t="shared" si="46"/>
        <v>228.37603408012558</v>
      </c>
      <c r="BS5" s="17">
        <f t="shared" si="46"/>
        <v>302.26076478043944</v>
      </c>
      <c r="BT5" s="17">
        <f t="shared" si="46"/>
        <v>328.32916117522518</v>
      </c>
      <c r="BU5" s="17">
        <f t="shared" si="46"/>
        <v>306.60992890881005</v>
      </c>
      <c r="BV5" s="17">
        <f t="shared" si="46"/>
        <v>288.26948079543706</v>
      </c>
      <c r="BW5" s="17">
        <f t="shared" si="46"/>
        <v>331.27250003592377</v>
      </c>
      <c r="BX5" s="17">
        <f t="shared" si="46"/>
        <v>385.32847503739799</v>
      </c>
      <c r="BY5" s="17">
        <f t="shared" si="46"/>
        <v>427.32148313749599</v>
      </c>
      <c r="BZ5" s="17">
        <f t="shared" si="46"/>
        <v>384.02001330396837</v>
      </c>
      <c r="CA5" s="17">
        <f t="shared" si="46"/>
        <v>262.54744816954741</v>
      </c>
      <c r="CB5" s="17">
        <f t="shared" si="46"/>
        <v>242.893073583817</v>
      </c>
      <c r="CC5" s="17">
        <f t="shared" si="46"/>
        <v>139.60523627109794</v>
      </c>
      <c r="CD5" s="17">
        <f t="shared" si="46"/>
        <v>52.067829941730935</v>
      </c>
      <c r="CE5" s="17">
        <f t="shared" si="46"/>
        <v>12.125831389179323</v>
      </c>
      <c r="CF5" s="12">
        <f>SUM(BK5:CE5)</f>
        <v>5024.0854691284558</v>
      </c>
      <c r="CG5" s="12">
        <f t="shared" si="20"/>
        <v>262.9550015257384</v>
      </c>
      <c r="CH5" s="12">
        <f t="shared" si="21"/>
        <v>131.9912058409451</v>
      </c>
      <c r="CI5" s="12">
        <f t="shared" si="3"/>
        <v>1905.909390834235</v>
      </c>
      <c r="CJ5" s="12">
        <f t="shared" si="22"/>
        <v>1093.2594326593407</v>
      </c>
      <c r="CK5" s="16">
        <f t="shared" si="23"/>
        <v>0.37935449198575422</v>
      </c>
      <c r="CL5" s="16">
        <f t="shared" si="24"/>
        <v>0.21760366924032284</v>
      </c>
      <c r="CM5" s="12">
        <f t="shared" si="25"/>
        <v>730.00478265170068</v>
      </c>
      <c r="CO5" s="60" t="str">
        <f t="shared" si="26"/>
        <v>2025_3</v>
      </c>
      <c r="CP5" s="31">
        <f>CP4</f>
        <v>2025</v>
      </c>
      <c r="CQ5" s="6" t="s">
        <v>23</v>
      </c>
      <c r="CR5" s="17">
        <f>CR3+CR4</f>
        <v>181.91796038475843</v>
      </c>
      <c r="CS5" s="17">
        <f t="shared" ref="CS5" si="47">CS3+CS4</f>
        <v>214.90690311671568</v>
      </c>
      <c r="CT5" s="17">
        <f t="shared" ref="CT5" si="48">CT3+CT4</f>
        <v>225.35143275951503</v>
      </c>
      <c r="CU5" s="17">
        <f t="shared" ref="CU5" si="49">CU3+CU4</f>
        <v>213.25316368569545</v>
      </c>
      <c r="CV5" s="17">
        <f t="shared" ref="CV5" si="50">CV3+CV4</f>
        <v>130.3572263768018</v>
      </c>
      <c r="CW5" s="17">
        <f t="shared" ref="CW5" si="51">CW3+CW4</f>
        <v>184.14921983882672</v>
      </c>
      <c r="CX5" s="17">
        <f t="shared" ref="CX5" si="52">CX3+CX4</f>
        <v>191.1223023559466</v>
      </c>
      <c r="CY5" s="17">
        <f t="shared" ref="CY5" si="53">CY3+CY4</f>
        <v>228.37603408012558</v>
      </c>
      <c r="CZ5" s="17">
        <f t="shared" ref="CZ5" si="54">CZ3+CZ4</f>
        <v>303.26076478043944</v>
      </c>
      <c r="DA5" s="17">
        <f t="shared" ref="DA5" si="55">DA3+DA4</f>
        <v>328.32916117522518</v>
      </c>
      <c r="DB5" s="17">
        <f t="shared" ref="DB5" si="56">DB3+DB4</f>
        <v>306.60992890881005</v>
      </c>
      <c r="DC5" s="17">
        <f t="shared" ref="DC5" si="57">DC3+DC4</f>
        <v>288.26948079543706</v>
      </c>
      <c r="DD5" s="17">
        <f t="shared" ref="DD5" si="58">DD3+DD4</f>
        <v>331.27250003592377</v>
      </c>
      <c r="DE5" s="17">
        <f t="shared" ref="DE5" si="59">DE3+DE4</f>
        <v>385.32847503739799</v>
      </c>
      <c r="DF5" s="17">
        <f t="shared" ref="DF5" si="60">DF3+DF4</f>
        <v>427.32148313749599</v>
      </c>
      <c r="DG5" s="17">
        <f t="shared" ref="DG5" si="61">DG3+DG4</f>
        <v>384.02001330396837</v>
      </c>
      <c r="DH5" s="17">
        <f t="shared" ref="DH5" si="62">DH3+DH4</f>
        <v>262.54744816954741</v>
      </c>
      <c r="DI5" s="17">
        <f t="shared" ref="DI5" si="63">DI3+DI4</f>
        <v>242.893073583817</v>
      </c>
      <c r="DJ5" s="17">
        <f t="shared" ref="DJ5" si="64">DJ3+DJ4</f>
        <v>139.60523627109794</v>
      </c>
      <c r="DK5" s="17">
        <f t="shared" ref="DK5" si="65">DK3+DK4</f>
        <v>52.067829941730935</v>
      </c>
      <c r="DL5" s="17">
        <f t="shared" ref="DL5" si="66">DL3+DL4</f>
        <v>12.125831389179323</v>
      </c>
      <c r="DM5" s="12">
        <f>SUM(CR5:DL5)</f>
        <v>5033.0854691284558</v>
      </c>
      <c r="DN5" s="12">
        <f t="shared" si="34"/>
        <v>264.15500152573838</v>
      </c>
      <c r="DO5" s="12">
        <f t="shared" si="35"/>
        <v>132.79120584094511</v>
      </c>
      <c r="DP5" s="12">
        <f t="shared" si="6"/>
        <v>1905.909390834235</v>
      </c>
      <c r="DQ5" s="12">
        <f t="shared" si="36"/>
        <v>1093.2594326593407</v>
      </c>
      <c r="DR5" s="16">
        <f t="shared" si="37"/>
        <v>0.37867614260170074</v>
      </c>
      <c r="DS5" s="16">
        <f t="shared" si="38"/>
        <v>0.21721455742508042</v>
      </c>
      <c r="DT5" s="12">
        <f>SUM(CV5:CY5)</f>
        <v>734.00478265170068</v>
      </c>
      <c r="DV5" s="315"/>
      <c r="DW5" s="316"/>
      <c r="DX5" s="31">
        <f>DX4</f>
        <v>2025</v>
      </c>
      <c r="DY5" s="6" t="s">
        <v>23</v>
      </c>
      <c r="DZ5" s="17">
        <f>DZ3+DZ4</f>
        <v>179.91796038475843</v>
      </c>
      <c r="EA5" s="17">
        <f t="shared" ref="EA5:ET5" si="67">EA3+EA4</f>
        <v>214.90690311671568</v>
      </c>
      <c r="EB5" s="17">
        <f t="shared" si="67"/>
        <v>223.35143275951503</v>
      </c>
      <c r="EC5" s="17">
        <f t="shared" si="67"/>
        <v>213.25316368569545</v>
      </c>
      <c r="ED5" s="17">
        <f t="shared" si="67"/>
        <v>130.3572263768018</v>
      </c>
      <c r="EE5" s="17">
        <f t="shared" si="67"/>
        <v>238.14921983882672</v>
      </c>
      <c r="EF5" s="17">
        <f t="shared" si="67"/>
        <v>249.1223023559466</v>
      </c>
      <c r="EG5" s="17">
        <f t="shared" si="67"/>
        <v>286.37603408012558</v>
      </c>
      <c r="EH5" s="17">
        <f t="shared" si="67"/>
        <v>302.26076478043944</v>
      </c>
      <c r="EI5" s="17">
        <f t="shared" si="67"/>
        <v>328.32916117522518</v>
      </c>
      <c r="EJ5" s="17">
        <f t="shared" si="67"/>
        <v>306.60992890881005</v>
      </c>
      <c r="EK5" s="17">
        <f t="shared" si="67"/>
        <v>288.26948079543706</v>
      </c>
      <c r="EL5" s="17">
        <f t="shared" si="67"/>
        <v>331.27250003592377</v>
      </c>
      <c r="EM5" s="17">
        <f t="shared" si="67"/>
        <v>385.32847503739799</v>
      </c>
      <c r="EN5" s="17">
        <f t="shared" si="67"/>
        <v>427.32148313749599</v>
      </c>
      <c r="EO5" s="17">
        <f t="shared" si="67"/>
        <v>384.02001330396837</v>
      </c>
      <c r="EP5" s="17">
        <f t="shared" si="67"/>
        <v>262.54744816954741</v>
      </c>
      <c r="EQ5" s="17">
        <f t="shared" si="67"/>
        <v>242.893073583817</v>
      </c>
      <c r="ER5" s="17">
        <f t="shared" si="67"/>
        <v>139.60523627109794</v>
      </c>
      <c r="ES5" s="17">
        <f t="shared" si="67"/>
        <v>52.067829941730935</v>
      </c>
      <c r="ET5" s="17">
        <f t="shared" si="67"/>
        <v>12.125831389179323</v>
      </c>
      <c r="EU5" s="12">
        <f>SUM(DZ5:ET5)</f>
        <v>5198.0854691284558</v>
      </c>
      <c r="EV5" s="12">
        <f t="shared" si="41"/>
        <v>262.9550015257384</v>
      </c>
      <c r="EW5" s="12">
        <f t="shared" si="42"/>
        <v>131.9912058409451</v>
      </c>
      <c r="EX5" s="12">
        <f t="shared" si="10"/>
        <v>1905.909390834235</v>
      </c>
      <c r="EY5" s="12">
        <f t="shared" si="43"/>
        <v>1093.2594326593407</v>
      </c>
      <c r="EZ5" s="16">
        <f t="shared" si="44"/>
        <v>0.36665603175505151</v>
      </c>
      <c r="FA5" s="16">
        <f t="shared" si="45"/>
        <v>0.21031963386370475</v>
      </c>
      <c r="FB5" s="12">
        <f>SUM(ED5:EG5)</f>
        <v>904.00478265170079</v>
      </c>
    </row>
    <row r="6" spans="1:158" x14ac:dyDescent="0.15">
      <c r="A6" s="60" t="str">
        <f t="shared" si="11"/>
        <v>2010_1</v>
      </c>
      <c r="B6" s="29">
        <v>2010</v>
      </c>
      <c r="C6" s="4" t="s">
        <v>21</v>
      </c>
      <c r="D6" s="10">
        <v>112.49436296311006</v>
      </c>
      <c r="E6" s="10">
        <v>125.73591003528722</v>
      </c>
      <c r="F6" s="10">
        <v>135.17634577922152</v>
      </c>
      <c r="G6" s="10">
        <v>119.77790655841918</v>
      </c>
      <c r="H6" s="10">
        <v>83.786222663907964</v>
      </c>
      <c r="I6" s="10">
        <v>121.95947772482222</v>
      </c>
      <c r="J6" s="10">
        <v>139.22412327362366</v>
      </c>
      <c r="K6" s="10">
        <v>137.23772928352599</v>
      </c>
      <c r="L6" s="10">
        <v>129.35230683376025</v>
      </c>
      <c r="M6" s="10">
        <v>155.67805364662755</v>
      </c>
      <c r="N6" s="10">
        <v>187.18585049041869</v>
      </c>
      <c r="O6" s="10">
        <v>230.74355653535349</v>
      </c>
      <c r="P6" s="10">
        <v>203.66099250225685</v>
      </c>
      <c r="Q6" s="10">
        <v>156.90658811682647</v>
      </c>
      <c r="R6" s="10">
        <v>163.45662973947469</v>
      </c>
      <c r="S6" s="10">
        <v>162.46754734396455</v>
      </c>
      <c r="T6" s="10">
        <v>115.2869797931366</v>
      </c>
      <c r="U6" s="10">
        <v>41.993700151493094</v>
      </c>
      <c r="V6" s="10">
        <v>15.060000802400278</v>
      </c>
      <c r="W6" s="10">
        <v>3.6157157623697236</v>
      </c>
      <c r="X6" s="10">
        <v>0</v>
      </c>
      <c r="Y6" s="10">
        <v>2540.8000000000006</v>
      </c>
      <c r="Z6" s="10">
        <f t="shared" si="12"/>
        <v>156.54735348870526</v>
      </c>
      <c r="AA6" s="10">
        <f t="shared" si="13"/>
        <v>78.026119623372438</v>
      </c>
      <c r="AB6" s="10">
        <f t="shared" si="0"/>
        <v>658.78716170966538</v>
      </c>
      <c r="AC6" s="10">
        <f t="shared" si="14"/>
        <v>338.42394385336428</v>
      </c>
      <c r="AD6" s="14">
        <f t="shared" si="15"/>
        <v>0.25928336024467302</v>
      </c>
      <c r="AE6" s="14">
        <f t="shared" si="16"/>
        <v>0.13319582173070063</v>
      </c>
      <c r="AF6" s="10">
        <f t="shared" si="17"/>
        <v>482.20755294587985</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1.0667301379009824</v>
      </c>
      <c r="AN6" s="211">
        <f t="shared" si="18"/>
        <v>1.0389114485767306</v>
      </c>
      <c r="AO6" s="211">
        <f t="shared" si="18"/>
        <v>0.93308025608331568</v>
      </c>
      <c r="AP6" s="211">
        <f t="shared" si="18"/>
        <v>0.72339088879496705</v>
      </c>
      <c r="AQ6" s="211">
        <f t="shared" si="18"/>
        <v>1.3581084224876325</v>
      </c>
      <c r="AR6" s="211">
        <f t="shared" si="18"/>
        <v>1.203738633204519</v>
      </c>
      <c r="AS6" s="211">
        <f t="shared" si="18"/>
        <v>1.0290523004723202</v>
      </c>
      <c r="AT6" s="211">
        <f t="shared" si="18"/>
        <v>1.0274099345184129</v>
      </c>
      <c r="AU6" s="211">
        <f t="shared" si="18"/>
        <v>1.0395154563177018</v>
      </c>
      <c r="AV6" s="211">
        <f t="shared" si="18"/>
        <v>1.0694131721677789</v>
      </c>
      <c r="AW6" s="211">
        <f t="shared" si="18"/>
        <v>1.0450258243100323</v>
      </c>
      <c r="AX6" s="211">
        <f t="shared" si="18"/>
        <v>1.028017574741156</v>
      </c>
      <c r="AY6" s="211">
        <f t="shared" si="18"/>
        <v>0.99390552839744828</v>
      </c>
      <c r="AZ6" s="211">
        <f t="shared" si="18"/>
        <v>0.96988799502330525</v>
      </c>
      <c r="BA6" s="211">
        <f t="shared" si="18"/>
        <v>1.0112039109591475</v>
      </c>
      <c r="BB6" s="211">
        <f t="shared" si="18"/>
        <v>0.9189859572552006</v>
      </c>
      <c r="BC6" s="211">
        <f t="shared" si="18"/>
        <v>0.89665101142472814</v>
      </c>
      <c r="BD6" s="211">
        <f t="shared" si="18"/>
        <v>0.77278314317804553</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0.64786902037760252</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0.57802264534261305</v>
      </c>
      <c r="BH6" s="60" t="str">
        <f t="shared" si="19"/>
        <v>2030_1</v>
      </c>
      <c r="BI6" s="29">
        <f>管理者入力シート!B9</f>
        <v>2030</v>
      </c>
      <c r="BJ6" s="4" t="s">
        <v>21</v>
      </c>
      <c r="BK6" s="10">
        <f>CM7*$AK$13</f>
        <v>85.488176304480263</v>
      </c>
      <c r="BL6" s="10">
        <f>IF(管理者入力シート!$B$14=1,BK3*管理者用人口入力シート!AM$3,IF(管理者入力シート!$B$14=2,BK3*管理者用人口入力シート!AM$7))</f>
        <v>93.581086460338</v>
      </c>
      <c r="BM6" s="10">
        <f>IF(管理者入力シート!$B$14=1,BL3*管理者用人口入力シート!AN$3,IF(管理者入力シート!$B$14=2,BL3*管理者用人口入力シート!AN$7))</f>
        <v>106.06210325173014</v>
      </c>
      <c r="BN6" s="10">
        <f>IF(管理者入力シート!$B$14=1,BM3*管理者用人口入力シート!AO$3,IF(管理者入力シート!$B$14=2,BM3*管理者用人口入力シート!AO$7))</f>
        <v>100.48820044230338</v>
      </c>
      <c r="BO6" s="10">
        <f>IF(管理者入力シート!$B$14=1,BN3*管理者用人口入力シート!AP$3,IF(管理者入力シート!$B$14=2,BN3*管理者用人口入力シート!AP$7))</f>
        <v>58.260989915253774</v>
      </c>
      <c r="BP6" s="10">
        <f>IF(管理者入力シート!$B$14=1,BO3*管理者用人口入力シート!AQ$3,IF(管理者入力シート!$B$14=2,BO3*管理者用人口入力シート!AQ$7))</f>
        <v>81.464468554477847</v>
      </c>
      <c r="BQ6" s="10">
        <f>IF(管理者入力シート!$B$14=1,BP3*管理者用人口入力シート!AR$3,IF(管理者入力シート!$B$14=2,BP3*管理者用人口入力シート!AR$7))</f>
        <v>89.171701938402862</v>
      </c>
      <c r="BR6" s="10">
        <f>IF(管理者入力シート!$B$14=1,BQ3*管理者用人口入力シート!AS$3,IF(管理者入力シート!$B$14=2,BQ3*管理者用人口入力シート!AS$7))</f>
        <v>98.307431892608818</v>
      </c>
      <c r="BS6" s="10">
        <f>IF(管理者入力シート!$B$14=1,BR3*管理者用人口入力シート!AT$3,IF(管理者入力シート!$B$14=2,BR3*管理者用人口入力シート!AT$7))</f>
        <v>121.12883677675029</v>
      </c>
      <c r="BT6" s="10">
        <f>IF(管理者入力シート!$B$14=1,BS3*管理者用人口入力シート!AU$3,IF(管理者入力シート!$B$14=2,BS3*管理者用人口入力シート!AU$7))</f>
        <v>151.05765550695941</v>
      </c>
      <c r="BU6" s="10">
        <f>IF(管理者入力シート!$B$14=1,BT3*管理者用人口入力シート!AV$3,IF(管理者入力シート!$B$14=2,BT3*管理者用人口入力シート!AV$7))</f>
        <v>162.00862078856298</v>
      </c>
      <c r="BV6" s="10">
        <f>IF(管理者入力シート!$B$14=1,BU3*管理者用人口入力シート!AW$3,IF(管理者入力シート!$B$14=2,BU3*管理者用人口入力シート!AW$7))</f>
        <v>154.09342769834839</v>
      </c>
      <c r="BW6" s="10">
        <f>IF(管理者入力シート!$B$14=1,BV3*管理者用人口入力シート!AX$3,IF(管理者入力シート!$B$14=2,BV3*管理者用人口入力シート!AX$7))</f>
        <v>136.57256024766704</v>
      </c>
      <c r="BX6" s="10">
        <f>IF(管理者入力シート!$B$14=1,BW3*管理者用人口入力シート!AY$3,IF(管理者入力シート!$B$14=2,BW3*管理者用人口入力シート!AY$7))</f>
        <v>150.07180742717068</v>
      </c>
      <c r="BY6" s="10">
        <f>IF(管理者入力シート!$B$14=1,BX3*管理者用人口入力シート!AZ$3,IF(管理者入力シート!$B$14=2,BX3*管理者用人口入力シート!AZ$7))</f>
        <v>171.82039326132431</v>
      </c>
      <c r="BZ6" s="10">
        <f>IF(管理者入力シート!$B$14=1,BY3*管理者用人口入力シート!BA$3,IF(管理者入力シート!$B$14=2,BY3*管理者用人口入力シート!BA$7))</f>
        <v>181.07012663393394</v>
      </c>
      <c r="CA6" s="10">
        <f>IF(管理者入力シート!$B$14=1,BZ3*管理者用人口入力シート!BB$3,IF(管理者入力シート!$B$14=2,BZ3*管理者用人口入力シート!BB$7))</f>
        <v>136.82941885065017</v>
      </c>
      <c r="CB6" s="10">
        <f>IF(管理者入力シート!$B$14=1,CA3*管理者用人口入力シート!BC$3,IF(管理者入力シート!$B$14=2,CA3*管理者用人口入力シート!BC$7))</f>
        <v>69.708292083264837</v>
      </c>
      <c r="CC6" s="10">
        <f>IF(管理者入力シート!$B$14=1,CB3*管理者用人口入力シート!BD$3,IF(管理者入力シート!$B$14=2,CB3*管理者用人口入力シート!BD$7))</f>
        <v>34.230351857809005</v>
      </c>
      <c r="CD6" s="10">
        <f>IF(管理者入力シート!$B$14=1,CC3*管理者用人口入力シート!BE$3,IF(管理者入力シート!$B$14=2,CC3*管理者用人口入力シート!BE$7))</f>
        <v>11.971522873759724</v>
      </c>
      <c r="CE6" s="10">
        <f>IF(管理者入力シート!$B$14=1,CD3*管理者用人口入力シート!BF$3,IF(管理者入力シート!$B$14=2,CD3*管理者用人口入力シート!BF$7))</f>
        <v>0.32727642605254315</v>
      </c>
      <c r="CF6" s="10">
        <f t="shared" si="2"/>
        <v>2193.7144491918484</v>
      </c>
      <c r="CG6" s="10">
        <f t="shared" si="20"/>
        <v>119.78591382724088</v>
      </c>
      <c r="CH6" s="10">
        <f t="shared" si="21"/>
        <v>62.52248138915273</v>
      </c>
      <c r="CI6" s="10">
        <f t="shared" si="3"/>
        <v>756.02918941396513</v>
      </c>
      <c r="CJ6" s="10">
        <f t="shared" si="22"/>
        <v>434.13698872547025</v>
      </c>
      <c r="CK6" s="14">
        <f t="shared" si="23"/>
        <v>0.34463427530072654</v>
      </c>
      <c r="CL6" s="14">
        <f t="shared" si="24"/>
        <v>0.19790040991223984</v>
      </c>
      <c r="CM6" s="10">
        <f t="shared" si="25"/>
        <v>327.20459230074329</v>
      </c>
      <c r="CO6" s="60" t="str">
        <f t="shared" si="26"/>
        <v>2030_1</v>
      </c>
      <c r="CP6" s="29">
        <f>管理者入力シート!B9</f>
        <v>2030</v>
      </c>
      <c r="CQ6" s="4" t="s">
        <v>21</v>
      </c>
      <c r="CR6" s="10">
        <f>DT7*$AK$13+将来予測シート②!$G17</f>
        <v>87.472394562139201</v>
      </c>
      <c r="CS6" s="10">
        <f>IF(管理者入力シート!$B$14=1,CR3*管理者用人口入力シート!AM$3,IF(管理者入力シート!$B$14=2,CR3*管理者用人口入力シート!AM$7))+将来予測シート②!$G18</f>
        <v>94.624022531578348</v>
      </c>
      <c r="CT6" s="10">
        <f>IF(管理者入力シート!$B$14=1,CS3*管理者用人口入力シート!AN$3,IF(管理者入力シート!$B$14=2,CS3*管理者用人口入力シート!AN$7))+将来予測シート②!$G19</f>
        <v>107.06210325173014</v>
      </c>
      <c r="CU6" s="10">
        <f>IF(管理者入力シート!$B$14=1,CT3*管理者用人口入力シート!AO$3,IF(管理者入力シート!$B$14=2,CT3*管理者用人口入力シート!AO$7))+将来予測シート②!$G20</f>
        <v>101.37940609323357</v>
      </c>
      <c r="CV6" s="10">
        <f>IF(管理者入力シート!$B$14=1,CU3*管理者用人口入力シート!AP$3,IF(管理者入力シート!$B$14=2,CU3*管理者用人口入力シート!AP$7))+将来予測シート②!$G21</f>
        <v>58.260989915253774</v>
      </c>
      <c r="CW6" s="10">
        <f>IF(管理者入力シート!$B$14=1,CV3*管理者用人口入力シート!AQ$3,IF(管理者入力シート!$B$14=2,CV3*管理者用人口入力シート!AQ$7))+将来予測シート②!$G22</f>
        <v>83.464468554477847</v>
      </c>
      <c r="CX6" s="10">
        <f>IF(管理者入力シート!$B$14=1,CW3*管理者用人口入力シート!AR$3,IF(管理者入力シート!$B$14=2,CW3*管理者用人口入力シート!AR$7))+将来予測シート②!$G23</f>
        <v>91.247966573885606</v>
      </c>
      <c r="CY6" s="10">
        <f>IF(管理者入力シート!$B$14=1,CX3*管理者用人口入力シート!AS$3,IF(管理者入力シート!$B$14=2,CX3*管理者用人口入力シート!AS$7))+将来予測シート②!$G24</f>
        <v>98.307431892608818</v>
      </c>
      <c r="CZ6" s="10">
        <f>IF(管理者入力シート!$B$14=1,CY3*管理者用人口入力シート!AT$3,IF(管理者入力シート!$B$14=2,CY3*管理者用人口入力シート!AT$7))+将来予測シート②!$G25</f>
        <v>121.12883677675029</v>
      </c>
      <c r="DA6" s="10">
        <f>IF(管理者入力シート!$B$14=1,CZ3*管理者用人口入力シート!AU$3,IF(管理者入力シート!$B$14=2,CZ3*管理者用人口入力シート!AU$7))+将来予測シート②!$G26</f>
        <v>151.05765550695941</v>
      </c>
      <c r="DB6" s="10">
        <f>IF(管理者入力シート!$B$14=1,DA3*管理者用人口入力シート!AV$3,IF(管理者入力シート!$B$14=2,DA3*管理者用人口入力シート!AV$7))+将来予測シート②!$G27</f>
        <v>162.00862078856298</v>
      </c>
      <c r="DC6" s="10">
        <f>IF(管理者入力シート!$B$14=1,DB3*管理者用人口入力シート!AW$3,IF(管理者入力シート!$B$14=2,DB3*管理者用人口入力シート!AW$7))+将来予測シート②!$G28</f>
        <v>154.09342769834839</v>
      </c>
      <c r="DD6" s="10">
        <f>IF(管理者入力シート!$B$14=1,DC3*管理者用人口入力シート!AX$3,IF(管理者入力シート!$B$14=2,DC3*管理者用人口入力シート!AX$7))+将来予測シート②!$G29</f>
        <v>136.57256024766704</v>
      </c>
      <c r="DE6" s="10">
        <f>IF(管理者入力シート!$B$14=1,DD3*管理者用人口入力シート!AY$3,IF(管理者入力シート!$B$14=2,DD3*管理者用人口入力シート!AY$7))</f>
        <v>150.07180742717068</v>
      </c>
      <c r="DF6" s="10">
        <f>IF(管理者入力シート!$B$14=1,DE3*管理者用人口入力シート!AZ$3,IF(管理者入力シート!$B$14=2,DE3*管理者用人口入力シート!AZ$7))</f>
        <v>171.82039326132431</v>
      </c>
      <c r="DG6" s="10">
        <f>IF(管理者入力シート!$B$14=1,DF3*管理者用人口入力シート!BA$3,IF(管理者入力シート!$B$14=2,DF3*管理者用人口入力シート!BA$7))</f>
        <v>181.07012663393394</v>
      </c>
      <c r="DH6" s="10">
        <f>IF(管理者入力シート!$B$14=1,DG3*管理者用人口入力シート!BB$3,IF(管理者入力シート!$B$14=2,DG3*管理者用人口入力シート!BB$7))</f>
        <v>136.82941885065017</v>
      </c>
      <c r="DI6" s="10">
        <f>IF(管理者入力シート!$B$14=1,DH3*管理者用人口入力シート!BC$3,IF(管理者入力シート!$B$14=2,DH3*管理者用人口入力シート!BC$7))</f>
        <v>69.708292083264837</v>
      </c>
      <c r="DJ6" s="10">
        <f>IF(管理者入力シート!$B$14=1,DI3*管理者用人口入力シート!BD$3,IF(管理者入力シート!$B$14=2,DI3*管理者用人口入力シート!BD$7))</f>
        <v>34.230351857809005</v>
      </c>
      <c r="DK6" s="10">
        <f>IF(管理者入力シート!$B$14=1,DJ3*管理者用人口入力シート!BE$3,IF(管理者入力シート!$B$14=2,DJ3*管理者用人口入力シート!BE$7))</f>
        <v>11.971522873759724</v>
      </c>
      <c r="DL6" s="10">
        <f>IF(管理者入力シート!$B$14=1,DK3*管理者用人口入力シート!BF$3,IF(管理者入力シート!$B$14=2,DK3*管理者用人口入力シート!BF$7))</f>
        <v>0.32727642605254315</v>
      </c>
      <c r="DM6" s="10">
        <f t="shared" ref="DM6:DM14" si="68">SUM(CR6:DL6)</f>
        <v>2202.7090738071606</v>
      </c>
      <c r="DN6" s="10">
        <f t="shared" si="34"/>
        <v>121.01167546998508</v>
      </c>
      <c r="DO6" s="10">
        <f t="shared" si="35"/>
        <v>63.100722519338774</v>
      </c>
      <c r="DP6" s="10">
        <f t="shared" si="6"/>
        <v>756.02918941396513</v>
      </c>
      <c r="DQ6" s="10">
        <f t="shared" si="36"/>
        <v>434.13698872547025</v>
      </c>
      <c r="DR6" s="14">
        <f t="shared" si="37"/>
        <v>0.34322698281132735</v>
      </c>
      <c r="DS6" s="14">
        <f t="shared" si="38"/>
        <v>0.19709229597674841</v>
      </c>
      <c r="DT6" s="10">
        <f t="shared" ref="DT6:DT14" si="69">SUM(CV6:CY6)</f>
        <v>331.28085693622603</v>
      </c>
      <c r="DV6" s="60" t="s">
        <v>400</v>
      </c>
      <c r="DX6" s="29">
        <f>管理者入力シート!B9</f>
        <v>2030</v>
      </c>
      <c r="DY6" s="4" t="s">
        <v>21</v>
      </c>
      <c r="DZ6" s="10">
        <f>FB7*$AK$13</f>
        <v>120.49084059045423</v>
      </c>
      <c r="EA6" s="140">
        <f>IF(管理者入力シート!$B$14=1,DZ3*管理者用人口入力シート!AM$3,IF(管理者入力シート!$B$14=2,DZ3*管理者用人口入力シート!AM$7))</f>
        <v>93.581086460338</v>
      </c>
      <c r="EB6" s="10">
        <f>IF(管理者入力シート!$B$14=1,EA3*管理者用人口入力シート!AN$3,IF(管理者入力シート!$B$14=2,EA3*管理者用人口入力シート!AN$7))</f>
        <v>106.06210325173014</v>
      </c>
      <c r="EC6" s="10">
        <f>IF(管理者入力シート!$B$14=1,EB3*管理者用人口入力シート!AO$3,IF(管理者入力シート!$B$14=2,EB3*管理者用人口入力シート!AO$7))</f>
        <v>100.48820044230338</v>
      </c>
      <c r="ED6" s="10">
        <f>IF(管理者入力シート!$B$14=1,EC3*管理者用人口入力シート!AP$3,IF(管理者入力シート!$B$14=2,EC3*管理者用人口入力シート!AP$7))</f>
        <v>58.260989915253774</v>
      </c>
      <c r="EE6" s="10">
        <f>IF(管理者入力シート!$B$14=1,ED3*管理者用人口入力シート!AQ$3,IF(管理者入力シート!$B$14=2,ED3*管理者用人口入力シート!AQ$7))+DX1</f>
        <v>110.46446855447785</v>
      </c>
      <c r="EF6" s="10">
        <f>IF(管理者入力シート!$B$14=1,EE3*管理者用人口入力シート!AR$3,IF(管理者入力シート!$B$14=2,EE3*管理者用人口入力シート!AR$7))+DX1</f>
        <v>148.27753915290251</v>
      </c>
      <c r="EG6" s="10">
        <f>IF(管理者入力シート!$B$14=1,EF3*管理者用人口入力シート!AS$3,IF(管理者入力シート!$B$14=2,EF3*管理者用人口入力シート!AS$7))+DX1</f>
        <v>157.85479878526104</v>
      </c>
      <c r="EH6" s="10">
        <f>IF(管理者入力シート!$B$14=1,EG3*管理者用人口入力シート!AT$3,IF(管理者入力シート!$B$14=2,EG3*管理者用人口入力シート!AT$7))</f>
        <v>151.69977440570491</v>
      </c>
      <c r="EI6" s="10">
        <f>IF(管理者入力シート!$B$14=1,EH3*管理者用人口入力シート!AU$3,IF(管理者入力シート!$B$14=2,EH3*管理者用人口入力シート!AU$7))</f>
        <v>151.05765550695941</v>
      </c>
      <c r="EJ6" s="10">
        <f>IF(管理者入力シート!$B$14=1,EI3*管理者用人口入力シート!AV$3,IF(管理者入力シート!$B$14=2,EI3*管理者用人口入力シート!AV$7))</f>
        <v>162.00862078856298</v>
      </c>
      <c r="EK6" s="10">
        <f>IF(管理者入力シート!$B$14=1,EJ3*管理者用人口入力シート!AW$3,IF(管理者入力シート!$B$14=2,EJ3*管理者用人口入力シート!AW$7))</f>
        <v>154.09342769834839</v>
      </c>
      <c r="EL6" s="10">
        <f>IF(管理者入力シート!$B$14=1,EK3*管理者用人口入力シート!AX$3,IF(管理者入力シート!$B$14=2,EK3*管理者用人口入力シート!AX$7))</f>
        <v>136.57256024766704</v>
      </c>
      <c r="EM6" s="10">
        <f>IF(管理者入力シート!$B$14=1,EL3*管理者用人口入力シート!AY$3,IF(管理者入力シート!$B$14=2,EL3*管理者用人口入力シート!AY$7))</f>
        <v>150.07180742717068</v>
      </c>
      <c r="EN6" s="10">
        <f>IF(管理者入力シート!$B$14=1,EM3*管理者用人口入力シート!AZ$3,IF(管理者入力シート!$B$14=2,EM3*管理者用人口入力シート!AZ$7))</f>
        <v>171.82039326132431</v>
      </c>
      <c r="EO6" s="10">
        <f>IF(管理者入力シート!$B$14=1,EN3*管理者用人口入力シート!BA$3,IF(管理者入力シート!$B$14=2,EN3*管理者用人口入力シート!BA$7))</f>
        <v>181.07012663393394</v>
      </c>
      <c r="EP6" s="10">
        <f>IF(管理者入力シート!$B$14=1,EO3*管理者用人口入力シート!BB$3,IF(管理者入力シート!$B$14=2,EO3*管理者用人口入力シート!BB$7))</f>
        <v>136.82941885065017</v>
      </c>
      <c r="EQ6" s="10">
        <f>IF(管理者入力シート!$B$14=1,EP3*管理者用人口入力シート!BC$3,IF(管理者入力シート!$B$14=2,EP3*管理者用人口入力シート!BC$7))</f>
        <v>69.708292083264837</v>
      </c>
      <c r="ER6" s="10">
        <f>IF(管理者入力シート!$B$14=1,EQ3*管理者用人口入力シート!BD$3,IF(管理者入力シート!$B$14=2,EQ3*管理者用人口入力シート!BD$7))</f>
        <v>34.230351857809005</v>
      </c>
      <c r="ES6" s="10">
        <f>IF(管理者入力シート!$B$14=1,ER3*管理者用人口入力シート!BE$3,IF(管理者入力シート!$B$14=2,ER3*管理者用人口入力シート!BE$7))</f>
        <v>11.971522873759724</v>
      </c>
      <c r="ET6" s="10">
        <f>IF(管理者入力シート!$B$14=1,ES3*管理者用人口入力シート!BF$3,IF(管理者入力シート!$B$14=2,ES3*管理者用人口入力シート!BF$7))</f>
        <v>0.32727642605254315</v>
      </c>
      <c r="EU6" s="10">
        <f t="shared" ref="EU6:EU14" si="70">SUM(DZ6:ET6)</f>
        <v>2406.9412552139288</v>
      </c>
      <c r="EV6" s="10">
        <f t="shared" si="41"/>
        <v>119.78591382724088</v>
      </c>
      <c r="EW6" s="10">
        <f t="shared" si="42"/>
        <v>62.52248138915273</v>
      </c>
      <c r="EX6" s="10">
        <f t="shared" si="10"/>
        <v>756.02918941396513</v>
      </c>
      <c r="EY6" s="10">
        <f t="shared" si="43"/>
        <v>434.13698872547025</v>
      </c>
      <c r="EZ6" s="14">
        <f t="shared" si="44"/>
        <v>0.31410371473597487</v>
      </c>
      <c r="FA6" s="14">
        <f t="shared" si="45"/>
        <v>0.18036875132911551</v>
      </c>
      <c r="FB6" s="10">
        <f t="shared" ref="FB6:FB14" si="71">SUM(ED6:EG6)</f>
        <v>474.85779640789514</v>
      </c>
    </row>
    <row r="7" spans="1:158" x14ac:dyDescent="0.15">
      <c r="A7" s="60" t="str">
        <f t="shared" si="11"/>
        <v>2010_2</v>
      </c>
      <c r="B7" s="30">
        <v>2010</v>
      </c>
      <c r="C7" s="5" t="s">
        <v>22</v>
      </c>
      <c r="D7" s="11">
        <v>110.59241874593519</v>
      </c>
      <c r="E7" s="11">
        <v>106.38151716926598</v>
      </c>
      <c r="F7" s="11">
        <v>114.18280946845728</v>
      </c>
      <c r="G7" s="11">
        <v>118.38948451338069</v>
      </c>
      <c r="H7" s="11">
        <v>90.11897221871709</v>
      </c>
      <c r="I7" s="11">
        <v>131.19964536764539</v>
      </c>
      <c r="J7" s="11">
        <v>152.45736323049124</v>
      </c>
      <c r="K7" s="11">
        <v>139.03596262296861</v>
      </c>
      <c r="L7" s="11">
        <v>146.81818341529146</v>
      </c>
      <c r="M7" s="11">
        <v>164.6560303037721</v>
      </c>
      <c r="N7" s="11">
        <v>204.48403453537395</v>
      </c>
      <c r="O7" s="11">
        <v>228.54485638125789</v>
      </c>
      <c r="P7" s="11">
        <v>222.13949475625179</v>
      </c>
      <c r="Q7" s="11">
        <v>184.68093473651305</v>
      </c>
      <c r="R7" s="11">
        <v>217.50716956295133</v>
      </c>
      <c r="S7" s="11">
        <v>194.6913102846986</v>
      </c>
      <c r="T7" s="11">
        <v>161.24120172397474</v>
      </c>
      <c r="U7" s="11">
        <v>97.370425777856823</v>
      </c>
      <c r="V7" s="11">
        <v>47.086172640779452</v>
      </c>
      <c r="W7" s="11">
        <v>11.818404812311513</v>
      </c>
      <c r="X7" s="11">
        <v>1.6036077321059212</v>
      </c>
      <c r="Y7" s="11">
        <v>2845</v>
      </c>
      <c r="Z7" s="11">
        <f t="shared" si="12"/>
        <v>132.33859598263396</v>
      </c>
      <c r="AA7" s="11">
        <f t="shared" si="13"/>
        <v>69.351020690059045</v>
      </c>
      <c r="AB7" s="11">
        <f t="shared" si="0"/>
        <v>915.99922727119144</v>
      </c>
      <c r="AC7" s="11">
        <f t="shared" si="14"/>
        <v>513.81112297172717</v>
      </c>
      <c r="AD7" s="15">
        <f t="shared" si="15"/>
        <v>0.32196809394417975</v>
      </c>
      <c r="AE7" s="15">
        <f t="shared" si="16"/>
        <v>0.18060144919920113</v>
      </c>
      <c r="AF7" s="11">
        <f t="shared" si="17"/>
        <v>512.81194343982224</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1.0429360712403437</v>
      </c>
      <c r="AN7" s="53">
        <f t="shared" si="72"/>
        <v>0.97706393078118192</v>
      </c>
      <c r="AO7" s="53">
        <f t="shared" si="72"/>
        <v>0.89120565093019111</v>
      </c>
      <c r="AP7" s="53">
        <f t="shared" si="72"/>
        <v>0.53599699867676975</v>
      </c>
      <c r="AQ7" s="53">
        <f t="shared" si="72"/>
        <v>1.3526028957127687</v>
      </c>
      <c r="AR7" s="53">
        <f t="shared" si="72"/>
        <v>1.038132317741367</v>
      </c>
      <c r="AS7" s="53">
        <f t="shared" si="72"/>
        <v>1.0533574790569735</v>
      </c>
      <c r="AT7" s="53">
        <f t="shared" si="72"/>
        <v>1.0541702630674008</v>
      </c>
      <c r="AU7" s="53">
        <f t="shared" si="72"/>
        <v>1.0373075539886401</v>
      </c>
      <c r="AV7" s="53">
        <f t="shared" si="72"/>
        <v>1.0226279723686098</v>
      </c>
      <c r="AW7" s="53">
        <f t="shared" si="72"/>
        <v>0.98741397316502488</v>
      </c>
      <c r="AX7" s="53">
        <f t="shared" si="72"/>
        <v>0.99406442863573863</v>
      </c>
      <c r="AY7" s="53">
        <f t="shared" si="72"/>
        <v>0.9684933748004203</v>
      </c>
      <c r="AZ7" s="53">
        <f t="shared" si="72"/>
        <v>0.951827891575448</v>
      </c>
      <c r="BA7" s="53">
        <f t="shared" si="72"/>
        <v>0.88044348869533484</v>
      </c>
      <c r="BB7" s="53">
        <f t="shared" si="72"/>
        <v>0.80559863101977169</v>
      </c>
      <c r="BC7" s="53">
        <f t="shared" si="72"/>
        <v>0.65878139672656766</v>
      </c>
      <c r="BD7" s="53">
        <f t="shared" si="72"/>
        <v>0.44948215489989612</v>
      </c>
      <c r="BE7" s="53">
        <f t="shared" si="72"/>
        <v>0.32955054019312613</v>
      </c>
      <c r="BF7" s="53">
        <f t="shared" si="72"/>
        <v>2.6865577025493397E-2</v>
      </c>
      <c r="BH7" s="60" t="str">
        <f t="shared" si="19"/>
        <v>2030_2</v>
      </c>
      <c r="BI7" s="30">
        <f>BI6</f>
        <v>2030</v>
      </c>
      <c r="BJ7" s="5" t="s">
        <v>22</v>
      </c>
      <c r="BK7" s="11">
        <f>CM7*$AK$14</f>
        <v>85.927358104606114</v>
      </c>
      <c r="BL7" s="11">
        <f>IF(管理者入力シート!$B$14=1,BK4*管理者用人口入力シート!AM$4,IF(管理者入力シート!$B$14=2,BK4*管理者用人口入力シート!AM$8))</f>
        <v>91.687247007242036</v>
      </c>
      <c r="BM7" s="11">
        <f>IF(管理者入力シート!$B$14=1,BL4*管理者用人口入力シート!AN$4,IF(管理者入力シート!$B$14=2,BL4*管理者用人口入力シート!AN$8))</f>
        <v>107.44477784961964</v>
      </c>
      <c r="BN7" s="11">
        <f>IF(管理者入力シート!$B$14=1,BM4*管理者用人口入力シート!AO$4,IF(管理者入力シート!$B$14=2,BM4*管理者用人口入力シート!AO$8))</f>
        <v>99.778216387467367</v>
      </c>
      <c r="BO7" s="11">
        <f>IF(管理者入力シート!$B$14=1,BN4*管理者用人口入力シート!AP$4,IF(管理者入力シート!$B$14=2,BN4*管理者用人口入力シート!AP$8))</f>
        <v>76.056024944449732</v>
      </c>
      <c r="BP7" s="11">
        <f>IF(管理者入力シート!$B$14=1,BO4*管理者用人口入力シート!AQ$4,IF(管理者入力シート!$B$14=2,BO4*管理者用人口入力シート!AQ$8))</f>
        <v>84.817219986877163</v>
      </c>
      <c r="BQ7" s="11">
        <f>IF(管理者入力シート!$B$14=1,BP4*管理者用人口入力シート!AR$4,IF(管理者入力シート!$B$14=2,BP4*管理者用人口入力シート!AR$8))</f>
        <v>99.928416716880463</v>
      </c>
      <c r="BR7" s="11">
        <f>IF(管理者入力シート!$B$14=1,BQ4*管理者用人口入力シート!AS$4,IF(管理者入力シート!$B$14=2,BQ4*管理者用人口入力シート!AS$8))</f>
        <v>97.094673619101599</v>
      </c>
      <c r="BS7" s="11">
        <f>IF(管理者入力シート!$B$14=1,BR4*管理者用人口入力シート!AT$4,IF(管理者入力シート!$B$14=2,BR4*管理者用人口入力シート!AT$8))</f>
        <v>117.48714123604373</v>
      </c>
      <c r="BT7" s="11">
        <f>IF(管理者入力シート!$B$14=1,BS4*管理者用人口入力シート!AU$4,IF(管理者入力シート!$B$14=2,BS4*管理者用人口入力シート!AU$8))</f>
        <v>162.57369310036952</v>
      </c>
      <c r="BU7" s="11">
        <f>IF(管理者入力シート!$B$14=1,BT4*管理者用人口入力シート!AV$4,IF(管理者入力シート!$B$14=2,BT4*管理者用人口入力シート!AV$8))</f>
        <v>172.79745777076337</v>
      </c>
      <c r="BV7" s="11">
        <f>IF(管理者入力シート!$B$14=1,BU4*管理者用人口入力シート!AW$4,IF(管理者入力シート!$B$14=2,BU4*管理者用人口入力シート!AW$8))</f>
        <v>153.885440468079</v>
      </c>
      <c r="BW7" s="11">
        <f>IF(管理者入力シート!$B$14=1,BV4*管理者用人口入力シート!AX$4,IF(管理者入力シート!$B$14=2,BV4*管理者用人口入力シート!AX$8))</f>
        <v>151.11859621383147</v>
      </c>
      <c r="BX7" s="11">
        <f>IF(管理者入力シート!$B$14=1,BW4*管理者用人口入力シート!AY$4,IF(管理者入力シート!$B$14=2,BW4*管理者用人口入力シート!AY$8))</f>
        <v>173.18250738993174</v>
      </c>
      <c r="BY7" s="11">
        <f>IF(管理者入力シート!$B$14=1,BX4*管理者用人口入力シート!AZ$4,IF(管理者入力シート!$B$14=2,BX4*管理者用人口入力シート!AZ$8))</f>
        <v>199.07271270242251</v>
      </c>
      <c r="BZ7" s="11">
        <f>IF(管理者入力シート!$B$14=1,BY4*管理者用人口入力シート!BA$4,IF(管理者入力シート!$B$14=2,BY4*管理者用人口入力シート!BA$8))</f>
        <v>220.74755379199104</v>
      </c>
      <c r="CA7" s="11">
        <f>IF(管理者入力シート!$B$14=1,BZ4*管理者用人口入力シート!BB$4,IF(管理者入力シート!$B$14=2,BZ4*管理者用人口入力シート!BB$8))</f>
        <v>191.08046795391843</v>
      </c>
      <c r="CB7" s="11">
        <f>IF(管理者入力シート!$B$14=1,CA4*管理者用人口入力シート!BC$4,IF(管理者入力シート!$B$14=2,CA4*管理者用人口入力シート!BC$8))</f>
        <v>137.17821390648297</v>
      </c>
      <c r="CC7" s="11">
        <f>IF(管理者入力シート!$B$14=1,CB4*管理者用人口入力シート!BD$4,IF(管理者入力シート!$B$14=2,CB4*管理者用人口入力シート!BD$8))</f>
        <v>112.65883110945413</v>
      </c>
      <c r="CD7" s="11">
        <f>IF(管理者入力シート!$B$14=1,CC4*管理者用人口入力シート!BE$4,IF(管理者入力シート!$B$14=2,CC4*管理者用人口入力シート!BE$8))</f>
        <v>48.230862007912144</v>
      </c>
      <c r="CE7" s="11">
        <f>IF(管理者入力シート!$B$14=1,CD4*管理者用人口入力シート!BF$4,IF(管理者入力シート!$B$14=2,CD4*管理者用人口入力シート!BF$8))</f>
        <v>18.751349848812541</v>
      </c>
      <c r="CF7" s="11">
        <f t="shared" si="2"/>
        <v>2601.4987621162568</v>
      </c>
      <c r="CG7" s="11">
        <f t="shared" si="20"/>
        <v>119.47921491411699</v>
      </c>
      <c r="CH7" s="11">
        <f t="shared" si="21"/>
        <v>62.933554417341327</v>
      </c>
      <c r="CI7" s="11">
        <f t="shared" si="3"/>
        <v>1100.9024987109253</v>
      </c>
      <c r="CJ7" s="11">
        <f t="shared" si="22"/>
        <v>728.64727861857125</v>
      </c>
      <c r="CK7" s="15">
        <f t="shared" si="23"/>
        <v>0.42318009708194809</v>
      </c>
      <c r="CL7" s="15">
        <f t="shared" si="24"/>
        <v>0.28008749772605473</v>
      </c>
      <c r="CM7" s="11">
        <f t="shared" si="25"/>
        <v>357.89633526730893</v>
      </c>
      <c r="CO7" s="60" t="str">
        <f t="shared" si="26"/>
        <v>2030_2</v>
      </c>
      <c r="CP7" s="30">
        <f>CP6</f>
        <v>2030</v>
      </c>
      <c r="CQ7" s="5" t="s">
        <v>22</v>
      </c>
      <c r="CR7" s="11">
        <f>DT7*$AK$14+将来予測シート②!$H17</f>
        <v>87.916632625771896</v>
      </c>
      <c r="CS7" s="11">
        <f>IF(管理者入力シート!$B$14=1,CR4*管理者用人口入力シート!AM$4,IF(管理者入力シート!$B$14=2,CR4*管理者用人口入力シート!AM$8))+将来予測シート②!$H18</f>
        <v>92.703854090586688</v>
      </c>
      <c r="CT7" s="11">
        <f>IF(管理者入力シート!$B$14=1,CS4*管理者用人口入力シート!AN$4,IF(管理者入力シート!$B$14=2,CS4*管理者用人口入力シート!AN$8))+将来予測シート②!$H19</f>
        <v>108.44477784961964</v>
      </c>
      <c r="CU7" s="11">
        <f>IF(管理者入力シート!$B$14=1,CT4*管理者用人口入力シート!AO$4,IF(管理者入力シート!$B$14=2,CT4*管理者用人口入力シート!AO$8))+将来予測シート②!$H20</f>
        <v>100.68040215381885</v>
      </c>
      <c r="CV7" s="11">
        <f>IF(管理者入力シート!$B$14=1,CU4*管理者用人口入力シート!AP$4,IF(管理者入力シート!$B$14=2,CU4*管理者用人口入力シート!AP$8))+将来予測シート②!$H21</f>
        <v>76.056024944449732</v>
      </c>
      <c r="CW7" s="11">
        <f>IF(管理者入力シート!$B$14=1,CV4*管理者用人口入力シート!AQ$4,IF(管理者入力シート!$B$14=2,CV4*管理者用人口入力シート!AQ$8))+将来予測シート②!$H22</f>
        <v>86.817219986877163</v>
      </c>
      <c r="CX7" s="11">
        <f>IF(管理者入力シート!$B$14=1,CW4*管理者用人口入力シート!AR$4,IF(管理者入力シート!$B$14=2,CW4*管理者用人口入力シート!AR$8))+将来予測シート②!$H23</f>
        <v>102.04884743310859</v>
      </c>
      <c r="CY7" s="11">
        <f>IF(管理者入力シート!$B$14=1,CX4*管理者用人口入力シート!AS$4,IF(管理者入力シート!$B$14=2,CX4*管理者用人口入力シート!AS$8))+将来予測シート②!$H24</f>
        <v>97.094673619101599</v>
      </c>
      <c r="CZ7" s="11">
        <f>IF(管理者入力シート!$B$14=1,CY4*管理者用人口入力シート!AT$4,IF(管理者入力シート!$B$14=2,CY4*管理者用人口入力シート!AT$8))+将来予測シート②!$H25</f>
        <v>118.48714123604373</v>
      </c>
      <c r="DA7" s="11">
        <f>IF(管理者入力シート!$B$14=1,CZ4*管理者用人口入力シート!AU$4,IF(管理者入力シート!$B$14=2,CZ4*管理者用人口入力シート!AU$8))+将来予測シート②!$H26</f>
        <v>163.61160060595708</v>
      </c>
      <c r="DB7" s="11">
        <f>IF(管理者入力シート!$B$14=1,DA4*管理者用人口入力シート!AV$4,IF(管理者入力シート!$B$14=2,DA4*管理者用人口入力シート!AV$8))+将来予測シート②!$H27</f>
        <v>172.79745777076337</v>
      </c>
      <c r="DC7" s="11">
        <f>IF(管理者入力シート!$B$14=1,DB4*管理者用人口入力シート!AW$4,IF(管理者入力シート!$B$14=2,DB4*管理者用人口入力シート!AW$8))+将来予測シート②!$H28</f>
        <v>153.885440468079</v>
      </c>
      <c r="DD7" s="11">
        <f>IF(管理者入力シート!$B$14=1,DC4*管理者用人口入力シート!AX$4,IF(管理者入力シート!$B$14=2,DC4*管理者用人口入力シート!AX$8))+将来予測シート②!$H29</f>
        <v>151.11859621383147</v>
      </c>
      <c r="DE7" s="11">
        <f>IF(管理者入力シート!$B$14=1,DD4*管理者用人口入力シート!AY$4,IF(管理者入力シート!$B$14=2,DD4*管理者用人口入力シート!AY$8))</f>
        <v>173.18250738993174</v>
      </c>
      <c r="DF7" s="11">
        <f>IF(管理者入力シート!$B$14=1,DE4*管理者用人口入力シート!AZ$4,IF(管理者入力シート!$B$14=2,DE4*管理者用人口入力シート!AZ$8))</f>
        <v>199.07271270242251</v>
      </c>
      <c r="DG7" s="11">
        <f>IF(管理者入力シート!$B$14=1,DF4*管理者用人口入力シート!BA$4,IF(管理者入力シート!$B$14=2,DF4*管理者用人口入力シート!BA$8))</f>
        <v>220.74755379199104</v>
      </c>
      <c r="DH7" s="11">
        <f>IF(管理者入力シート!$B$14=1,DG4*管理者用人口入力シート!BB$4,IF(管理者入力シート!$B$14=2,DG4*管理者用人口入力シート!BB$8))</f>
        <v>191.08046795391843</v>
      </c>
      <c r="DI7" s="11">
        <f>IF(管理者入力シート!$B$14=1,DH4*管理者用人口入力シート!BC$4,IF(管理者入力シート!$B$14=2,DH4*管理者用人口入力シート!BC$8))</f>
        <v>137.17821390648297</v>
      </c>
      <c r="DJ7" s="11">
        <f>IF(管理者入力シート!$B$14=1,DI4*管理者用人口入力シート!BD$4,IF(管理者入力シート!$B$14=2,DI4*管理者用人口入力シート!BD$8))</f>
        <v>112.65883110945413</v>
      </c>
      <c r="DK7" s="11">
        <f>IF(管理者入力シート!$B$14=1,DJ4*管理者用人口入力シート!BE$4,IF(管理者入力シート!$B$14=2,DJ4*管理者用人口入力シート!BE$8))</f>
        <v>48.230862007912144</v>
      </c>
      <c r="DL7" s="11">
        <f>IF(管理者入力シート!$B$14=1,DK4*管理者用人口入力シート!BF$4,IF(管理者入力シート!$B$14=2,DK4*管理者用人口入力シート!BF$8))</f>
        <v>18.751349848812541</v>
      </c>
      <c r="DM7" s="11">
        <f t="shared" si="68"/>
        <v>2612.565167708934</v>
      </c>
      <c r="DN7" s="11">
        <f t="shared" si="34"/>
        <v>120.6891791641238</v>
      </c>
      <c r="DO7" s="11">
        <f t="shared" si="35"/>
        <v>63.513991570611623</v>
      </c>
      <c r="DP7" s="11">
        <f t="shared" si="6"/>
        <v>1100.9024987109253</v>
      </c>
      <c r="DQ7" s="11">
        <f t="shared" si="36"/>
        <v>728.64727861857125</v>
      </c>
      <c r="DR7" s="15">
        <f t="shared" si="37"/>
        <v>0.42138757429593693</v>
      </c>
      <c r="DS7" s="15">
        <f t="shared" si="38"/>
        <v>0.27890109216205772</v>
      </c>
      <c r="DT7" s="11">
        <f t="shared" si="69"/>
        <v>362.01676598353708</v>
      </c>
      <c r="DV7" s="60" t="s">
        <v>401</v>
      </c>
      <c r="DW7" s="231">
        <f>(SUM(BK12:BW12)-SUM(D12:P12))/4</f>
        <v>-90.267210550962432</v>
      </c>
      <c r="DX7" s="30">
        <f>DX6</f>
        <v>2030</v>
      </c>
      <c r="DY7" s="5" t="s">
        <v>22</v>
      </c>
      <c r="DZ7" s="11">
        <f>FB7*$AK$14</f>
        <v>121.10984296665089</v>
      </c>
      <c r="EA7" s="11">
        <f>IF(管理者入力シート!$B$14=1,DZ4*管理者用人口入力シート!AM$4,IF(管理者入力シート!$B$14=2,DZ4*管理者用人口入力シート!AM$8))</f>
        <v>91.687247007242036</v>
      </c>
      <c r="EB7" s="11">
        <f>IF(管理者入力シート!$B$14=1,EA4*管理者用人口入力シート!AN$4,IF(管理者入力シート!$B$14=2,EA4*管理者用人口入力シート!AN$8))</f>
        <v>107.44477784961964</v>
      </c>
      <c r="EC7" s="11">
        <f>IF(管理者入力シート!$B$14=1,EB4*管理者用人口入力シート!AO$4,IF(管理者入力シート!$B$14=2,EB4*管理者用人口入力シート!AO$8))</f>
        <v>99.778216387467367</v>
      </c>
      <c r="ED7" s="11">
        <f>IF(管理者入力シート!$B$14=1,EC4*管理者用人口入力シート!AP$4,IF(管理者入力シート!$B$14=2,EC4*管理者用人口入力シート!AP$8))</f>
        <v>76.056024944449732</v>
      </c>
      <c r="EE7" s="11">
        <f>IF(管理者入力シート!$B$14=1,ED4*管理者用人口入力シート!AQ$4,IF(管理者入力シート!$B$14=2,ED4*管理者用人口入力シート!AQ$8))+DX1</f>
        <v>113.81721998687716</v>
      </c>
      <c r="EF7" s="11">
        <f>IF(管理者入力シート!$B$14=1,EE4*管理者用人口入力シート!AR$4,IF(管理者入力シート!$B$14=2,EE4*管理者用人口入力シート!AR$8))+DX1</f>
        <v>159.67466210218834</v>
      </c>
      <c r="EG7" s="11">
        <f>IF(管理者入力シート!$B$14=1,EF4*管理者用人口入力シート!AS$4,IF(管理者入力シート!$B$14=2,EF4*管理者用人口入力シート!AS$8))+DX1</f>
        <v>154.88711713884015</v>
      </c>
      <c r="EH7" s="11">
        <f>IF(管理者入力シート!$B$14=1,EG4*管理者用人口入力シート!AT$4,IF(管理者入力シート!$B$14=2,EG4*管理者用人口入力シート!AT$8))</f>
        <v>147.51339516382686</v>
      </c>
      <c r="EI7" s="11">
        <f>IF(管理者入力シート!$B$14=1,EH4*管理者用人口入力シート!AU$4,IF(管理者入力シート!$B$14=2,EH4*管理者用人口入力シート!AU$8))</f>
        <v>162.57369310036952</v>
      </c>
      <c r="EJ7" s="11">
        <f>IF(管理者入力シート!$B$14=1,EI4*管理者用人口入力シート!AV$4,IF(管理者入力シート!$B$14=2,EI4*管理者用人口入力シート!AV$8))</f>
        <v>172.79745777076337</v>
      </c>
      <c r="EK7" s="11">
        <f>IF(管理者入力シート!$B$14=1,EJ4*管理者用人口入力シート!AW$4,IF(管理者入力シート!$B$14=2,EJ4*管理者用人口入力シート!AW$8))</f>
        <v>153.885440468079</v>
      </c>
      <c r="EL7" s="11">
        <f>IF(管理者入力シート!$B$14=1,EK4*管理者用人口入力シート!AX$4,IF(管理者入力シート!$B$14=2,EK4*管理者用人口入力シート!AX$8))</f>
        <v>151.11859621383147</v>
      </c>
      <c r="EM7" s="11">
        <f>IF(管理者入力シート!$B$14=1,EL4*管理者用人口入力シート!AY$4,IF(管理者入力シート!$B$14=2,EL4*管理者用人口入力シート!AY$8))</f>
        <v>173.18250738993174</v>
      </c>
      <c r="EN7" s="11">
        <f>IF(管理者入力シート!$B$14=1,EM4*管理者用人口入力シート!AZ$4,IF(管理者入力シート!$B$14=2,EM4*管理者用人口入力シート!AZ$8))</f>
        <v>199.07271270242251</v>
      </c>
      <c r="EO7" s="11">
        <f>IF(管理者入力シート!$B$14=1,EN4*管理者用人口入力シート!BA$4,IF(管理者入力シート!$B$14=2,EN4*管理者用人口入力シート!BA$8))</f>
        <v>220.74755379199104</v>
      </c>
      <c r="EP7" s="11">
        <f>IF(管理者入力シート!$B$14=1,EO4*管理者用人口入力シート!BB$4,IF(管理者入力シート!$B$14=2,EO4*管理者用人口入力シート!BB$8))</f>
        <v>191.08046795391843</v>
      </c>
      <c r="EQ7" s="11">
        <f>IF(管理者入力シート!$B$14=1,EP4*管理者用人口入力シート!BC$4,IF(管理者入力シート!$B$14=2,EP4*管理者用人口入力シート!BC$8))</f>
        <v>137.17821390648297</v>
      </c>
      <c r="ER7" s="11">
        <f>IF(管理者入力シート!$B$14=1,EQ4*管理者用人口入力シート!BD$4,IF(管理者入力シート!$B$14=2,EQ4*管理者用人口入力シート!BD$8))</f>
        <v>112.65883110945413</v>
      </c>
      <c r="ES7" s="11">
        <f>IF(管理者入力シート!$B$14=1,ER4*管理者用人口入力シート!BE$4,IF(管理者入力シート!$B$14=2,ER4*管理者用人口入力シート!BE$8))</f>
        <v>48.230862007912144</v>
      </c>
      <c r="ET7" s="11">
        <f>IF(管理者入力シート!$B$14=1,ES4*管理者用人口入力シート!BF$4,IF(管理者入力シート!$B$14=2,ES4*管理者用人口入力シート!BF$8))</f>
        <v>18.751349848812541</v>
      </c>
      <c r="EU7" s="11">
        <f t="shared" si="70"/>
        <v>2813.246189811131</v>
      </c>
      <c r="EV7" s="11">
        <f t="shared" si="41"/>
        <v>119.47921491411699</v>
      </c>
      <c r="EW7" s="11">
        <f t="shared" si="42"/>
        <v>62.933554417341327</v>
      </c>
      <c r="EX7" s="11">
        <f t="shared" si="10"/>
        <v>1100.9024987109253</v>
      </c>
      <c r="EY7" s="11">
        <f t="shared" si="43"/>
        <v>728.64727861857125</v>
      </c>
      <c r="EZ7" s="15">
        <f t="shared" si="44"/>
        <v>0.39132817550704124</v>
      </c>
      <c r="FA7" s="15">
        <f t="shared" si="45"/>
        <v>0.25900587060512092</v>
      </c>
      <c r="FB7" s="11">
        <f t="shared" si="71"/>
        <v>504.43502417235538</v>
      </c>
    </row>
    <row r="8" spans="1:158" x14ac:dyDescent="0.15">
      <c r="A8" s="60" t="str">
        <f t="shared" si="11"/>
        <v>2010_3</v>
      </c>
      <c r="B8" s="31">
        <v>2010</v>
      </c>
      <c r="C8" s="6" t="s">
        <v>23</v>
      </c>
      <c r="D8" s="12">
        <v>223.08678170904525</v>
      </c>
      <c r="E8" s="12">
        <v>232.11742720455319</v>
      </c>
      <c r="F8" s="12">
        <v>249.35915524767881</v>
      </c>
      <c r="G8" s="12">
        <v>238.16739107179987</v>
      </c>
      <c r="H8" s="12">
        <v>173.90519488262504</v>
      </c>
      <c r="I8" s="12">
        <v>253.15912309246761</v>
      </c>
      <c r="J8" s="12">
        <v>291.6814865041149</v>
      </c>
      <c r="K8" s="12">
        <v>276.27369190649461</v>
      </c>
      <c r="L8" s="12">
        <v>276.17049024905168</v>
      </c>
      <c r="M8" s="12">
        <v>320.33408395039964</v>
      </c>
      <c r="N8" s="12">
        <v>391.66988502579261</v>
      </c>
      <c r="O8" s="12">
        <v>459.28841291661138</v>
      </c>
      <c r="P8" s="12">
        <v>425.80048725850861</v>
      </c>
      <c r="Q8" s="12">
        <v>341.58752285333952</v>
      </c>
      <c r="R8" s="12">
        <v>380.96379930242603</v>
      </c>
      <c r="S8" s="12">
        <v>357.15885762866316</v>
      </c>
      <c r="T8" s="12">
        <v>276.52818151711131</v>
      </c>
      <c r="U8" s="12">
        <v>139.36412592934991</v>
      </c>
      <c r="V8" s="12">
        <v>62.146173443179734</v>
      </c>
      <c r="W8" s="12">
        <v>15.434120574681238</v>
      </c>
      <c r="X8" s="12">
        <v>1.6036077321059212</v>
      </c>
      <c r="Y8" s="12">
        <v>5385.8</v>
      </c>
      <c r="Z8" s="12">
        <f t="shared" si="12"/>
        <v>288.88594947133925</v>
      </c>
      <c r="AA8" s="12">
        <f t="shared" si="13"/>
        <v>147.37714031343151</v>
      </c>
      <c r="AB8" s="12">
        <f t="shared" si="0"/>
        <v>1574.7863889808568</v>
      </c>
      <c r="AC8" s="12">
        <f t="shared" si="14"/>
        <v>852.23506682509128</v>
      </c>
      <c r="AD8" s="16">
        <f t="shared" si="15"/>
        <v>0.29239600226166157</v>
      </c>
      <c r="AE8" s="16">
        <f t="shared" si="16"/>
        <v>0.15823741446490611</v>
      </c>
      <c r="AF8" s="12">
        <f t="shared" si="17"/>
        <v>995.01949638570215</v>
      </c>
      <c r="AH8" s="60"/>
      <c r="AI8" s="31" t="s">
        <v>88</v>
      </c>
      <c r="AJ8" s="6">
        <f>AJ7</f>
        <v>2010</v>
      </c>
      <c r="AK8" s="6">
        <f>AK7</f>
        <v>2020</v>
      </c>
      <c r="AL8" s="34" t="s">
        <v>22</v>
      </c>
      <c r="AM8" s="52">
        <f t="shared" si="72"/>
        <v>1.0166070833446572</v>
      </c>
      <c r="AN8" s="52">
        <f t="shared" si="72"/>
        <v>1.0102461604014201</v>
      </c>
      <c r="AO8" s="52">
        <f t="shared" si="72"/>
        <v>0.90218576635148218</v>
      </c>
      <c r="AP8" s="52">
        <f t="shared" si="72"/>
        <v>0.72741431878254736</v>
      </c>
      <c r="AQ8" s="52">
        <f t="shared" si="72"/>
        <v>1.2094405736605716</v>
      </c>
      <c r="AR8" s="52">
        <f t="shared" si="72"/>
        <v>1.060215358114065</v>
      </c>
      <c r="AS8" s="52">
        <f t="shared" si="72"/>
        <v>0.99284287999098431</v>
      </c>
      <c r="AT8" s="52">
        <f t="shared" si="72"/>
        <v>1.0353880664752808</v>
      </c>
      <c r="AU8" s="52">
        <f t="shared" si="72"/>
        <v>1.0379075055875648</v>
      </c>
      <c r="AV8" s="52">
        <f t="shared" si="72"/>
        <v>1.0170218757816909</v>
      </c>
      <c r="AW8" s="52">
        <f t="shared" si="72"/>
        <v>1.0221390360947185</v>
      </c>
      <c r="AX8" s="52">
        <f t="shared" si="72"/>
        <v>1.0015717781881321</v>
      </c>
      <c r="AY8" s="52">
        <f t="shared" si="72"/>
        <v>0.98221338517662804</v>
      </c>
      <c r="AZ8" s="52">
        <f t="shared" si="72"/>
        <v>0.9719766684707557</v>
      </c>
      <c r="BA8" s="52">
        <f t="shared" si="72"/>
        <v>0.99586731438062692</v>
      </c>
      <c r="BB8" s="52">
        <f t="shared" si="72"/>
        <v>0.89218277682183444</v>
      </c>
      <c r="BC8" s="52">
        <f t="shared" si="72"/>
        <v>0.87523251746507902</v>
      </c>
      <c r="BD8" s="52">
        <f t="shared" si="72"/>
        <v>0.67566385012150043</v>
      </c>
      <c r="BE8" s="52">
        <f t="shared" si="72"/>
        <v>0.46699846251981098</v>
      </c>
      <c r="BF8" s="52">
        <f t="shared" si="72"/>
        <v>0.47012558830976492</v>
      </c>
      <c r="BH8" s="60" t="str">
        <f t="shared" si="19"/>
        <v>2030_3</v>
      </c>
      <c r="BI8" s="31">
        <f>BI7</f>
        <v>2030</v>
      </c>
      <c r="BJ8" s="6" t="s">
        <v>23</v>
      </c>
      <c r="BK8" s="17">
        <f>BK6+BK7</f>
        <v>171.41553440908638</v>
      </c>
      <c r="BL8" s="17">
        <f t="shared" ref="BL8" si="73">BL6+BL7</f>
        <v>185.26833346758002</v>
      </c>
      <c r="BM8" s="17">
        <f t="shared" ref="BM8" si="74">BM6+BM7</f>
        <v>213.50688110134979</v>
      </c>
      <c r="BN8" s="17">
        <f t="shared" ref="BN8" si="75">BN6+BN7</f>
        <v>200.26641682977075</v>
      </c>
      <c r="BO8" s="17">
        <f t="shared" ref="BO8" si="76">BO6+BO7</f>
        <v>134.31701485970351</v>
      </c>
      <c r="BP8" s="17">
        <f t="shared" ref="BP8" si="77">BP6+BP7</f>
        <v>166.28168854135501</v>
      </c>
      <c r="BQ8" s="17">
        <f t="shared" ref="BQ8" si="78">BQ6+BQ7</f>
        <v>189.10011865528332</v>
      </c>
      <c r="BR8" s="17">
        <f t="shared" ref="BR8" si="79">BR6+BR7</f>
        <v>195.40210551171043</v>
      </c>
      <c r="BS8" s="17">
        <f t="shared" ref="BS8" si="80">BS6+BS7</f>
        <v>238.61597801279402</v>
      </c>
      <c r="BT8" s="17">
        <f t="shared" ref="BT8" si="81">BT6+BT7</f>
        <v>313.63134860732896</v>
      </c>
      <c r="BU8" s="17">
        <f t="shared" ref="BU8" si="82">BU6+BU7</f>
        <v>334.80607855932635</v>
      </c>
      <c r="BV8" s="17">
        <f t="shared" ref="BV8" si="83">BV6+BV7</f>
        <v>307.97886816642739</v>
      </c>
      <c r="BW8" s="17">
        <f t="shared" ref="BW8" si="84">BW6+BW7</f>
        <v>287.69115646149851</v>
      </c>
      <c r="BX8" s="17">
        <f t="shared" ref="BX8" si="85">BX6+BX7</f>
        <v>323.25431481710245</v>
      </c>
      <c r="BY8" s="17">
        <f t="shared" ref="BY8" si="86">BY6+BY7</f>
        <v>370.89310596374685</v>
      </c>
      <c r="BZ8" s="17">
        <f t="shared" ref="BZ8" si="87">BZ6+BZ7</f>
        <v>401.817680425925</v>
      </c>
      <c r="CA8" s="17">
        <f t="shared" ref="CA8" si="88">CA6+CA7</f>
        <v>327.9098868045686</v>
      </c>
      <c r="CB8" s="17">
        <f t="shared" ref="CB8" si="89">CB6+CB7</f>
        <v>206.8865059897478</v>
      </c>
      <c r="CC8" s="17">
        <f t="shared" ref="CC8" si="90">CC6+CC7</f>
        <v>146.88918296726314</v>
      </c>
      <c r="CD8" s="17">
        <f t="shared" ref="CD8" si="91">CD6+CD7</f>
        <v>60.202384881671868</v>
      </c>
      <c r="CE8" s="17">
        <f t="shared" ref="CE8" si="92">CE6+CE7</f>
        <v>19.078626274865083</v>
      </c>
      <c r="CF8" s="12">
        <f t="shared" si="2"/>
        <v>4795.2132113081052</v>
      </c>
      <c r="CG8" s="12">
        <f t="shared" si="20"/>
        <v>239.26512874135787</v>
      </c>
      <c r="CH8" s="12">
        <f t="shared" si="21"/>
        <v>125.45603580649407</v>
      </c>
      <c r="CI8" s="12">
        <f t="shared" si="3"/>
        <v>1856.9316881248906</v>
      </c>
      <c r="CJ8" s="12">
        <f t="shared" si="22"/>
        <v>1162.7842673440414</v>
      </c>
      <c r="CK8" s="16">
        <f t="shared" si="23"/>
        <v>0.38724694946741084</v>
      </c>
      <c r="CL8" s="16">
        <f t="shared" si="24"/>
        <v>0.24248854349207152</v>
      </c>
      <c r="CM8" s="12">
        <f t="shared" si="25"/>
        <v>685.10092756805227</v>
      </c>
      <c r="CO8" s="60" t="str">
        <f t="shared" si="26"/>
        <v>2030_3</v>
      </c>
      <c r="CP8" s="31">
        <f>CP7</f>
        <v>2030</v>
      </c>
      <c r="CQ8" s="6" t="s">
        <v>23</v>
      </c>
      <c r="CR8" s="17">
        <f>CR6+CR7</f>
        <v>175.3890271879111</v>
      </c>
      <c r="CS8" s="17">
        <f t="shared" ref="CS8" si="93">CS6+CS7</f>
        <v>187.32787662216504</v>
      </c>
      <c r="CT8" s="17">
        <f t="shared" ref="CT8" si="94">CT6+CT7</f>
        <v>215.50688110134979</v>
      </c>
      <c r="CU8" s="17">
        <f t="shared" ref="CU8" si="95">CU6+CU7</f>
        <v>202.05980824705242</v>
      </c>
      <c r="CV8" s="17">
        <f t="shared" ref="CV8" si="96">CV6+CV7</f>
        <v>134.31701485970351</v>
      </c>
      <c r="CW8" s="17">
        <f t="shared" ref="CW8" si="97">CW6+CW7</f>
        <v>170.28168854135501</v>
      </c>
      <c r="CX8" s="17">
        <f t="shared" ref="CX8" si="98">CX6+CX7</f>
        <v>193.2968140069942</v>
      </c>
      <c r="CY8" s="17">
        <f t="shared" ref="CY8" si="99">CY6+CY7</f>
        <v>195.40210551171043</v>
      </c>
      <c r="CZ8" s="17">
        <f t="shared" ref="CZ8" si="100">CZ6+CZ7</f>
        <v>239.61597801279402</v>
      </c>
      <c r="DA8" s="17">
        <f t="shared" ref="DA8" si="101">DA6+DA7</f>
        <v>314.66925611291651</v>
      </c>
      <c r="DB8" s="17">
        <f t="shared" ref="DB8" si="102">DB6+DB7</f>
        <v>334.80607855932635</v>
      </c>
      <c r="DC8" s="17">
        <f t="shared" ref="DC8" si="103">DC6+DC7</f>
        <v>307.97886816642739</v>
      </c>
      <c r="DD8" s="17">
        <f t="shared" ref="DD8" si="104">DD6+DD7</f>
        <v>287.69115646149851</v>
      </c>
      <c r="DE8" s="17">
        <f t="shared" ref="DE8" si="105">DE6+DE7</f>
        <v>323.25431481710245</v>
      </c>
      <c r="DF8" s="17">
        <f t="shared" ref="DF8" si="106">DF6+DF7</f>
        <v>370.89310596374685</v>
      </c>
      <c r="DG8" s="17">
        <f t="shared" ref="DG8" si="107">DG6+DG7</f>
        <v>401.817680425925</v>
      </c>
      <c r="DH8" s="17">
        <f t="shared" ref="DH8" si="108">DH6+DH7</f>
        <v>327.9098868045686</v>
      </c>
      <c r="DI8" s="17">
        <f t="shared" ref="DI8" si="109">DI6+DI7</f>
        <v>206.8865059897478</v>
      </c>
      <c r="DJ8" s="17">
        <f t="shared" ref="DJ8" si="110">DJ6+DJ7</f>
        <v>146.88918296726314</v>
      </c>
      <c r="DK8" s="17">
        <f t="shared" ref="DK8" si="111">DK6+DK7</f>
        <v>60.202384881671868</v>
      </c>
      <c r="DL8" s="17">
        <f t="shared" ref="DL8" si="112">DL6+DL7</f>
        <v>19.078626274865083</v>
      </c>
      <c r="DM8" s="12">
        <f t="shared" si="68"/>
        <v>4815.2742415160956</v>
      </c>
      <c r="DN8" s="12">
        <f t="shared" si="34"/>
        <v>241.70085463410891</v>
      </c>
      <c r="DO8" s="12">
        <f t="shared" si="35"/>
        <v>126.6147140899504</v>
      </c>
      <c r="DP8" s="12">
        <f t="shared" si="6"/>
        <v>1856.9316881248906</v>
      </c>
      <c r="DQ8" s="12">
        <f t="shared" si="36"/>
        <v>1162.7842673440414</v>
      </c>
      <c r="DR8" s="16">
        <f t="shared" si="37"/>
        <v>0.38563363060713923</v>
      </c>
      <c r="DS8" s="16">
        <f t="shared" si="38"/>
        <v>0.24147830611988927</v>
      </c>
      <c r="DT8" s="12">
        <f t="shared" si="69"/>
        <v>693.29762291976317</v>
      </c>
      <c r="DV8" s="60" t="s">
        <v>402</v>
      </c>
      <c r="DW8" s="231">
        <f>(SUM(BK13:BW13)-SUM(D13:P13))/4</f>
        <v>-85.740442280400828</v>
      </c>
      <c r="DX8" s="31">
        <f>DX7</f>
        <v>2030</v>
      </c>
      <c r="DY8" s="6" t="s">
        <v>23</v>
      </c>
      <c r="DZ8" s="17">
        <f>DZ6+DZ7</f>
        <v>241.60068355710513</v>
      </c>
      <c r="EA8" s="17">
        <f t="shared" ref="EA8:ET8" si="113">EA6+EA7</f>
        <v>185.26833346758002</v>
      </c>
      <c r="EB8" s="17">
        <f t="shared" si="113"/>
        <v>213.50688110134979</v>
      </c>
      <c r="EC8" s="17">
        <f t="shared" si="113"/>
        <v>200.26641682977075</v>
      </c>
      <c r="ED8" s="17">
        <f t="shared" si="113"/>
        <v>134.31701485970351</v>
      </c>
      <c r="EE8" s="17">
        <f t="shared" si="113"/>
        <v>224.28168854135501</v>
      </c>
      <c r="EF8" s="17">
        <f t="shared" si="113"/>
        <v>307.95220125509081</v>
      </c>
      <c r="EG8" s="17">
        <f t="shared" si="113"/>
        <v>312.74191592410119</v>
      </c>
      <c r="EH8" s="17">
        <f t="shared" si="113"/>
        <v>299.21316956953177</v>
      </c>
      <c r="EI8" s="17">
        <f t="shared" si="113"/>
        <v>313.63134860732896</v>
      </c>
      <c r="EJ8" s="17">
        <f t="shared" si="113"/>
        <v>334.80607855932635</v>
      </c>
      <c r="EK8" s="17">
        <f t="shared" si="113"/>
        <v>307.97886816642739</v>
      </c>
      <c r="EL8" s="17">
        <f t="shared" si="113"/>
        <v>287.69115646149851</v>
      </c>
      <c r="EM8" s="17">
        <f t="shared" si="113"/>
        <v>323.25431481710245</v>
      </c>
      <c r="EN8" s="17">
        <f t="shared" si="113"/>
        <v>370.89310596374685</v>
      </c>
      <c r="EO8" s="17">
        <f t="shared" si="113"/>
        <v>401.817680425925</v>
      </c>
      <c r="EP8" s="17">
        <f t="shared" si="113"/>
        <v>327.9098868045686</v>
      </c>
      <c r="EQ8" s="17">
        <f t="shared" si="113"/>
        <v>206.8865059897478</v>
      </c>
      <c r="ER8" s="17">
        <f t="shared" si="113"/>
        <v>146.88918296726314</v>
      </c>
      <c r="ES8" s="17">
        <f t="shared" si="113"/>
        <v>60.202384881671868</v>
      </c>
      <c r="ET8" s="17">
        <f t="shared" si="113"/>
        <v>19.078626274865083</v>
      </c>
      <c r="EU8" s="12">
        <f t="shared" si="70"/>
        <v>5220.1874450250589</v>
      </c>
      <c r="EV8" s="12">
        <f t="shared" si="41"/>
        <v>239.26512874135787</v>
      </c>
      <c r="EW8" s="12">
        <f t="shared" si="42"/>
        <v>125.45603580649407</v>
      </c>
      <c r="EX8" s="12">
        <f t="shared" si="10"/>
        <v>1856.9316881248906</v>
      </c>
      <c r="EY8" s="12">
        <f t="shared" si="43"/>
        <v>1162.7842673440414</v>
      </c>
      <c r="EZ8" s="16">
        <f t="shared" si="44"/>
        <v>0.35572126627264755</v>
      </c>
      <c r="FA8" s="16">
        <f t="shared" si="45"/>
        <v>0.22274760812510624</v>
      </c>
      <c r="FB8" s="12">
        <f t="shared" si="71"/>
        <v>979.29282058025046</v>
      </c>
    </row>
    <row r="9" spans="1:158" x14ac:dyDescent="0.15">
      <c r="A9" s="60" t="str">
        <f t="shared" si="11"/>
        <v>2015_1</v>
      </c>
      <c r="B9" s="29">
        <v>2015</v>
      </c>
      <c r="C9" s="4" t="s">
        <v>21</v>
      </c>
      <c r="D9" s="10">
        <v>122.38576584989858</v>
      </c>
      <c r="E9" s="10">
        <v>129.7665896231706</v>
      </c>
      <c r="F9" s="10">
        <v>127.71167854152327</v>
      </c>
      <c r="G9" s="10">
        <v>122.02578780926768</v>
      </c>
      <c r="H9" s="10">
        <v>66.122463039498328</v>
      </c>
      <c r="I9" s="10">
        <v>112.74684634181692</v>
      </c>
      <c r="J9" s="10">
        <v>135.8514814744367</v>
      </c>
      <c r="K9" s="10">
        <v>151.91686815986606</v>
      </c>
      <c r="L9" s="10">
        <v>151.70088984305886</v>
      </c>
      <c r="M9" s="10">
        <v>138.35989014342778</v>
      </c>
      <c r="N9" s="10">
        <v>161.89121739459046</v>
      </c>
      <c r="O9" s="10">
        <v>189.54263675637844</v>
      </c>
      <c r="P9" s="10">
        <v>231.87073530253059</v>
      </c>
      <c r="Q9" s="10">
        <v>205.00299738583317</v>
      </c>
      <c r="R9" s="10">
        <v>151.06329966897641</v>
      </c>
      <c r="S9" s="10">
        <v>145.72701957458807</v>
      </c>
      <c r="T9" s="10">
        <v>132.91884650569565</v>
      </c>
      <c r="U9" s="10">
        <v>82.287631389556566</v>
      </c>
      <c r="V9" s="10">
        <v>18.886308954038476</v>
      </c>
      <c r="W9" s="10">
        <v>3.81136996283186</v>
      </c>
      <c r="X9" s="10">
        <v>2.6096762206155342</v>
      </c>
      <c r="Y9" s="10">
        <v>2584.1999999416007</v>
      </c>
      <c r="Z9" s="10">
        <f t="shared" si="12"/>
        <v>154.48696089881633</v>
      </c>
      <c r="AA9" s="10">
        <f t="shared" si="13"/>
        <v>75.489828978462839</v>
      </c>
      <c r="AB9" s="10">
        <f t="shared" si="0"/>
        <v>742.30714966213554</v>
      </c>
      <c r="AC9" s="10">
        <f t="shared" si="14"/>
        <v>386.24085260732619</v>
      </c>
      <c r="AD9" s="14">
        <f t="shared" si="15"/>
        <v>0.28724833591785104</v>
      </c>
      <c r="AE9" s="14">
        <f t="shared" si="16"/>
        <v>0.14946244586953591</v>
      </c>
      <c r="AF9" s="10">
        <f t="shared" si="17"/>
        <v>466.637659015618</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84.486563449183024</v>
      </c>
      <c r="BL9" s="10">
        <f>IF(管理者入力シート!$B$14=1,BK6*管理者用人口入力シート!AM$3,IF(管理者入力シート!$B$14=2,BK6*管理者用人口入力シート!AM$7))</f>
        <v>89.158702732496494</v>
      </c>
      <c r="BM9" s="10">
        <f>IF(管理者入力シート!$B$14=1,BL6*管理者用人口入力シート!AN$3,IF(管理者入力シート!$B$14=2,BL6*管理者用人口入力シート!AN$7))</f>
        <v>91.434704183711489</v>
      </c>
      <c r="BN9" s="10">
        <f>IF(管理者入力シート!$B$14=1,BM6*管理者用人口入力シート!AO$3,IF(管理者入力シート!$B$14=2,BM6*管理者用人口入力シート!AO$7))</f>
        <v>94.5231457674833</v>
      </c>
      <c r="BO9" s="10">
        <f>IF(管理者入力シート!$B$14=1,BN6*管理者用人口入力シート!AP$3,IF(管理者入力シート!$B$14=2,BN6*管理者用人口入力シート!AP$7))</f>
        <v>53.86137383950426</v>
      </c>
      <c r="BP9" s="10">
        <f>IF(管理者入力シート!$B$14=1,BO6*管理者用人口入力シート!AQ$3,IF(管理者入力シート!$B$14=2,BO6*管理者用人口入力シート!AQ$7))</f>
        <v>78.803983666464674</v>
      </c>
      <c r="BQ9" s="10">
        <f>IF(管理者入力シート!$B$14=1,BP6*管理者用人口入力シート!AR$3,IF(管理者入力シート!$B$14=2,BP6*管理者用人口入力シート!AR$7))</f>
        <v>84.570897554028804</v>
      </c>
      <c r="BR9" s="10">
        <f>IF(管理者入力シート!$B$14=1,BQ6*管理者用人口入力シート!AS$3,IF(管理者入力シート!$B$14=2,BQ6*管理者用人口入力シート!AS$7))</f>
        <v>93.929679157055872</v>
      </c>
      <c r="BS9" s="10">
        <f>IF(管理者入力シート!$B$14=1,BR6*管理者用人口入力シート!AT$3,IF(管理者入力シート!$B$14=2,BR6*管理者用人口入力シート!AT$7))</f>
        <v>103.63277133971202</v>
      </c>
      <c r="BT9" s="10">
        <f>IF(管理者入力シート!$B$14=1,BS6*管理者用人口入力シート!AU$3,IF(管理者入力シート!$B$14=2,BS6*管理者用人口入力シート!AU$7))</f>
        <v>125.64785739438007</v>
      </c>
      <c r="BU9" s="10">
        <f>IF(管理者入力シート!$B$14=1,BT6*管理者用人口入力シート!AV$3,IF(管理者入力シート!$B$14=2,BT6*管理者用人口入力シート!AV$7))</f>
        <v>154.47578396183786</v>
      </c>
      <c r="BV9" s="10">
        <f>IF(管理者入力シート!$B$14=1,BU6*管理者用人口入力シート!AW$3,IF(管理者入力シート!$B$14=2,BU6*管理者用人口入力シート!AW$7))</f>
        <v>159.96957593982083</v>
      </c>
      <c r="BW9" s="10">
        <f>IF(管理者入力シート!$B$14=1,BV6*管理者用人口入力シート!AX$3,IF(管理者入力シート!$B$14=2,BV6*管理者用人口入力シート!AX$7))</f>
        <v>153.17879516148119</v>
      </c>
      <c r="BX9" s="10">
        <f>IF(管理者入力シート!$B$14=1,BW6*管理者用人口入力シート!AY$3,IF(管理者入力シート!$B$14=2,BW6*管理者用人口入力シート!AY$7))</f>
        <v>132.26961977939678</v>
      </c>
      <c r="BY9" s="10">
        <f>IF(管理者入力シート!$B$14=1,BX6*管理者用人口入力シート!AZ$3,IF(管理者入力シート!$B$14=2,BX6*管理者用人口入力シート!AZ$7))</f>
        <v>142.84253204832052</v>
      </c>
      <c r="BZ9" s="10">
        <f>IF(管理者入力シート!$B$14=1,BY6*管理者用人口入力シート!BA$3,IF(管理者入力シート!$B$14=2,BY6*管理者用人口入力シート!BA$7))</f>
        <v>151.27814647200478</v>
      </c>
      <c r="CA9" s="10">
        <f>IF(管理者入力シート!$B$14=1,BZ6*管理者用人口入力シート!BB$3,IF(管理者入力シート!$B$14=2,BZ6*管理者用人口入力シート!BB$7))</f>
        <v>145.86984613487388</v>
      </c>
      <c r="CB9" s="10">
        <f>IF(管理者入力シート!$B$14=1,CA6*管理者用人口入力シート!BC$3,IF(管理者入力シート!$B$14=2,CA6*管理者用人口入力シート!BC$7))</f>
        <v>90.140675663715868</v>
      </c>
      <c r="CC9" s="10">
        <f>IF(管理者入力シート!$B$14=1,CB6*管理者用人口入力シート!BD$3,IF(管理者入力シート!$B$14=2,CB6*管理者用人口入力シート!BD$7))</f>
        <v>31.332633339977249</v>
      </c>
      <c r="CD9" s="10">
        <f>IF(管理者入力シート!$B$14=1,CC6*管理者用人口入力シート!BE$3,IF(管理者入力シート!$B$14=2,CC6*管理者用人口入力シート!BE$7))</f>
        <v>11.280630945741736</v>
      </c>
      <c r="CE9" s="10">
        <f>IF(管理者入力シート!$B$14=1,CD6*管理者用人口入力シート!BF$3,IF(管理者入力シート!$B$14=2,CD6*管理者用人口入力シート!BF$7))</f>
        <v>0.32162186987744795</v>
      </c>
      <c r="CF9" s="10">
        <f t="shared" si="2"/>
        <v>2073.0095404010685</v>
      </c>
      <c r="CG9" s="10">
        <f t="shared" si="20"/>
        <v>108.3560441497248</v>
      </c>
      <c r="CH9" s="10">
        <f t="shared" si="21"/>
        <v>55.47851082698125</v>
      </c>
      <c r="CI9" s="10">
        <f t="shared" si="3"/>
        <v>705.33570625390848</v>
      </c>
      <c r="CJ9" s="10">
        <f t="shared" si="22"/>
        <v>430.22355442619096</v>
      </c>
      <c r="CK9" s="14">
        <f t="shared" si="23"/>
        <v>0.34024720702319877</v>
      </c>
      <c r="CL9" s="14">
        <f t="shared" si="24"/>
        <v>0.20753573297253369</v>
      </c>
      <c r="CM9" s="10">
        <f t="shared" si="25"/>
        <v>311.16593421705363</v>
      </c>
      <c r="CO9" s="60" t="str">
        <f t="shared" si="26"/>
        <v>2035_1</v>
      </c>
      <c r="CP9" s="29">
        <f>管理者入力シート!B10</f>
        <v>2035</v>
      </c>
      <c r="CQ9" s="4" t="s">
        <v>21</v>
      </c>
      <c r="CR9" s="10">
        <f>DT10*$AK$13+将来予測シート②!$G17</f>
        <v>87.130405910020926</v>
      </c>
      <c r="CS9" s="10">
        <f>IF(管理者入力シート!$B$14=1,CR6*管理者用人口入力シート!AM$3,IF(管理者入力シート!$B$14=2,CR6*管理者用人口入力シート!AM$7))+将来予測シート②!$G18</f>
        <v>91.228115526622659</v>
      </c>
      <c r="CT9" s="10">
        <f>IF(管理者入力シート!$B$14=1,CS6*管理者用人口入力シート!AN$3,IF(管理者入力シート!$B$14=2,CS6*管理者用人口入力シート!AN$7))+将来予測シート②!$G19</f>
        <v>93.453719401031066</v>
      </c>
      <c r="CU9" s="10">
        <f>IF(管理者入力シート!$B$14=1,CT6*管理者用人口入力シート!AO$3,IF(管理者入力シート!$B$14=2,CT6*管理者用人口入力シート!AO$7))+将来予測シート②!$G20</f>
        <v>95.414351418413489</v>
      </c>
      <c r="CV9" s="10">
        <f>IF(管理者入力シート!$B$14=1,CU6*管理者用人口入力シート!AP$3,IF(管理者入力シート!$B$14=2,CU6*管理者用人口入力シート!AP$7))+将来予測シート②!$G21</f>
        <v>54.339057393606616</v>
      </c>
      <c r="CW9" s="10">
        <f>IF(管理者入力シート!$B$14=1,CV6*管理者用人口入力シート!AQ$3,IF(管理者入力シート!$B$14=2,CV6*管理者用人口入力シート!AQ$7))+将来予測シート②!$G22</f>
        <v>80.803983666464674</v>
      </c>
      <c r="CX9" s="10">
        <f>IF(管理者入力シート!$B$14=1,CW6*管理者用人口入力シート!AR$3,IF(管理者入力シート!$B$14=2,CW6*管理者用人口入力シート!AR$7))+将来予測シート②!$G23</f>
        <v>86.647162189511533</v>
      </c>
      <c r="CY9" s="10">
        <f>IF(管理者入力シート!$B$14=1,CX6*管理者用人口入力シート!AS$3,IF(管理者入力シート!$B$14=2,CX6*管理者用人口入力シート!AS$7))+将来予測シート②!$G24</f>
        <v>96.11672803934313</v>
      </c>
      <c r="CZ9" s="10">
        <f>IF(管理者入力シート!$B$14=1,CY6*管理者用人口入力シート!AT$3,IF(管理者入力シート!$B$14=2,CY6*管理者用人口入力シート!AT$7))+将来予測シート②!$G25</f>
        <v>103.63277133971202</v>
      </c>
      <c r="DA9" s="10">
        <f>IF(管理者入力シート!$B$14=1,CZ6*管理者用人口入力シート!AU$3,IF(管理者入力シート!$B$14=2,CZ6*管理者用人口入力シート!AU$7))+将来予測シート②!$G26</f>
        <v>125.64785739438007</v>
      </c>
      <c r="DB9" s="10">
        <f>IF(管理者入力シート!$B$14=1,DA6*管理者用人口入力シート!AV$3,IF(管理者入力シート!$B$14=2,DA6*管理者用人口入力シート!AV$7))+将来予測シート②!$G27</f>
        <v>154.47578396183786</v>
      </c>
      <c r="DC9" s="10">
        <f>IF(管理者入力シート!$B$14=1,DB6*管理者用人口入力シート!AW$3,IF(管理者入力シート!$B$14=2,DB6*管理者用人口入力シート!AW$7))+将来予測シート②!$G28</f>
        <v>159.96957593982083</v>
      </c>
      <c r="DD9" s="10">
        <f>IF(管理者入力シート!$B$14=1,DC6*管理者用人口入力シート!AX$3,IF(管理者入力シート!$B$14=2,DC6*管理者用人口入力シート!AX$7))+将来予測シート②!$G29</f>
        <v>153.17879516148119</v>
      </c>
      <c r="DE9" s="10">
        <f>IF(管理者入力シート!$B$14=1,DD6*管理者用人口入力シート!AY$3,IF(管理者入力シート!$B$14=2,DD6*管理者用人口入力シート!AY$7))</f>
        <v>132.26961977939678</v>
      </c>
      <c r="DF9" s="10">
        <f>IF(管理者入力シート!$B$14=1,DE6*管理者用人口入力シート!AZ$3,IF(管理者入力シート!$B$14=2,DE6*管理者用人口入力シート!AZ$7))</f>
        <v>142.84253204832052</v>
      </c>
      <c r="DG9" s="10">
        <f>IF(管理者入力シート!$B$14=1,DF6*管理者用人口入力シート!BA$3,IF(管理者入力シート!$B$14=2,DF6*管理者用人口入力シート!BA$7))</f>
        <v>151.27814647200478</v>
      </c>
      <c r="DH9" s="10">
        <f>IF(管理者入力シート!$B$14=1,DG6*管理者用人口入力シート!BB$3,IF(管理者入力シート!$B$14=2,DG6*管理者用人口入力シート!BB$7))</f>
        <v>145.86984613487388</v>
      </c>
      <c r="DI9" s="10">
        <f>IF(管理者入力シート!$B$14=1,DH6*管理者用人口入力シート!BC$3,IF(管理者入力シート!$B$14=2,DH6*管理者用人口入力シート!BC$7))</f>
        <v>90.140675663715868</v>
      </c>
      <c r="DJ9" s="10">
        <f>IF(管理者入力シート!$B$14=1,DI6*管理者用人口入力シート!BD$3,IF(管理者入力シート!$B$14=2,DI6*管理者用人口入力シート!BD$7))</f>
        <v>31.332633339977249</v>
      </c>
      <c r="DK9" s="10">
        <f>IF(管理者入力シート!$B$14=1,DJ6*管理者用人口入力シート!BE$3,IF(管理者入力シート!$B$14=2,DJ6*管理者用人口入力シート!BE$7))</f>
        <v>11.280630945741736</v>
      </c>
      <c r="DL9" s="10">
        <f>IF(管理者入力シート!$B$14=1,DK6*管理者用人口入力シート!BF$3,IF(管理者入力シート!$B$14=2,DK6*管理者用人口入力シート!BF$7))</f>
        <v>0.32162186987744795</v>
      </c>
      <c r="DM9" s="10">
        <f t="shared" si="68"/>
        <v>2087.3740135961543</v>
      </c>
      <c r="DN9" s="10">
        <f t="shared" si="34"/>
        <v>110.80910095659223</v>
      </c>
      <c r="DO9" s="10">
        <f t="shared" si="35"/>
        <v>56.464358044095121</v>
      </c>
      <c r="DP9" s="10">
        <f t="shared" si="6"/>
        <v>705.33570625390848</v>
      </c>
      <c r="DQ9" s="10">
        <f t="shared" si="36"/>
        <v>430.22355442619096</v>
      </c>
      <c r="DR9" s="14">
        <f t="shared" si="37"/>
        <v>0.33790576181349852</v>
      </c>
      <c r="DS9" s="14">
        <f t="shared" si="38"/>
        <v>0.20610755505430309</v>
      </c>
      <c r="DT9" s="10">
        <f t="shared" si="69"/>
        <v>317.90693128892593</v>
      </c>
      <c r="DV9" s="60" t="s">
        <v>403</v>
      </c>
      <c r="DW9" s="231">
        <f>DW7+DW8</f>
        <v>-176.00765283136326</v>
      </c>
      <c r="DX9" s="29">
        <f>管理者入力シート!B10</f>
        <v>2035</v>
      </c>
      <c r="DY9" s="4" t="s">
        <v>21</v>
      </c>
      <c r="DZ9" s="10">
        <f>FB10*$AK$13</f>
        <v>126.78080388538747</v>
      </c>
      <c r="EA9" s="140">
        <f>IF(管理者入力シート!$B$14=1,DZ6*管理者用人口入力シート!AM$3,IF(管理者入力シート!$B$14=2,DZ6*管理者用人口入力シート!AM$7))</f>
        <v>125.66424390585486</v>
      </c>
      <c r="EB9" s="10">
        <f>IF(管理者入力シート!$B$14=1,EA6*管理者用人口入力シート!AN$3,IF(管理者入力シート!$B$14=2,EA6*管理者用人口入力シート!AN$7))</f>
        <v>91.434704183711489</v>
      </c>
      <c r="EC9" s="10">
        <f>IF(管理者入力シート!$B$14=1,EB6*管理者用人口入力シート!AO$3,IF(管理者入力シート!$B$14=2,EB6*管理者用人口入力シート!AO$7))</f>
        <v>94.5231457674833</v>
      </c>
      <c r="ED9" s="10">
        <f>IF(管理者入力シート!$B$14=1,EC6*管理者用人口入力シート!AP$3,IF(管理者入力シート!$B$14=2,EC6*管理者用人口入力シート!AP$7))</f>
        <v>53.86137383950426</v>
      </c>
      <c r="EE9" s="10">
        <f>IF(管理者入力シート!$B$14=1,ED6*管理者用人口入力シート!AQ$3,IF(管理者入力シート!$B$14=2,ED6*管理者用人口入力シート!AQ$7))+DX1</f>
        <v>107.80398366646467</v>
      </c>
      <c r="EF9" s="10">
        <f>IF(管理者入力シート!$B$14=1,EE6*管理者用人口入力シート!AR$3,IF(管理者入力シート!$B$14=2,EE6*管理者用人口入力シート!AR$7))+DX1</f>
        <v>143.67673476852843</v>
      </c>
      <c r="EG9" s="10">
        <f>IF(管理者入力シート!$B$14=1,EF6*管理者用人口入力シート!AS$3,IF(管理者入力シート!$B$14=2,EF6*管理者用人口入力シート!AS$7))+DX1</f>
        <v>185.18925484287308</v>
      </c>
      <c r="EH9" s="10">
        <f>IF(管理者入力シート!$B$14=1,EG6*管理者用人口入力シート!AT$3,IF(管理者入力シート!$B$14=2,EG6*管理者用人口入力シート!AT$7))</f>
        <v>166.40583476191026</v>
      </c>
      <c r="EI9" s="10">
        <f>IF(管理者入力シート!$B$14=1,EH6*管理者用人口入力シート!AU$3,IF(管理者入力シート!$B$14=2,EH6*管理者用人口入力シート!AU$7))</f>
        <v>157.35932192941027</v>
      </c>
      <c r="EJ9" s="10">
        <f>IF(管理者入力シート!$B$14=1,EI6*管理者用人口入力シート!AV$3,IF(管理者入力シート!$B$14=2,EI6*管理者用人口入力シート!AV$7))</f>
        <v>154.47578396183786</v>
      </c>
      <c r="EK9" s="10">
        <f>IF(管理者入力シート!$B$14=1,EJ6*管理者用人口入力シート!AW$3,IF(管理者入力シート!$B$14=2,EJ6*管理者用人口入力シート!AW$7))</f>
        <v>159.96957593982083</v>
      </c>
      <c r="EL9" s="10">
        <f>IF(管理者入力シート!$B$14=1,EK6*管理者用人口入力シート!AX$3,IF(管理者入力シート!$B$14=2,EK6*管理者用人口入力シート!AX$7))</f>
        <v>153.17879516148119</v>
      </c>
      <c r="EM9" s="10">
        <f>IF(管理者入力シート!$B$14=1,EL6*管理者用人口入力シート!AY$3,IF(管理者入力シート!$B$14=2,EL6*管理者用人口入力シート!AY$7))</f>
        <v>132.26961977939678</v>
      </c>
      <c r="EN9" s="10">
        <f>IF(管理者入力シート!$B$14=1,EM6*管理者用人口入力シート!AZ$3,IF(管理者入力シート!$B$14=2,EM6*管理者用人口入力シート!AZ$7))</f>
        <v>142.84253204832052</v>
      </c>
      <c r="EO9" s="10">
        <f>IF(管理者入力シート!$B$14=1,EN6*管理者用人口入力シート!BA$3,IF(管理者入力シート!$B$14=2,EN6*管理者用人口入力シート!BA$7))</f>
        <v>151.27814647200478</v>
      </c>
      <c r="EP9" s="10">
        <f>IF(管理者入力シート!$B$14=1,EO6*管理者用人口入力シート!BB$3,IF(管理者入力シート!$B$14=2,EO6*管理者用人口入力シート!BB$7))</f>
        <v>145.86984613487388</v>
      </c>
      <c r="EQ9" s="10">
        <f>IF(管理者入力シート!$B$14=1,EP6*管理者用人口入力シート!BC$3,IF(管理者入力シート!$B$14=2,EP6*管理者用人口入力シート!BC$7))</f>
        <v>90.140675663715868</v>
      </c>
      <c r="ER9" s="10">
        <f>IF(管理者入力シート!$B$14=1,EQ6*管理者用人口入力シート!BD$3,IF(管理者入力シート!$B$14=2,EQ6*管理者用人口入力シート!BD$7))</f>
        <v>31.332633339977249</v>
      </c>
      <c r="ES9" s="10">
        <f>IF(管理者入力シート!$B$14=1,ER6*管理者用人口入力シート!BE$3,IF(管理者入力シート!$B$14=2,ER6*管理者用人口入力シート!BE$7))</f>
        <v>11.280630945741736</v>
      </c>
      <c r="ET9" s="10">
        <f>IF(管理者入力シート!$B$14=1,ES6*管理者用人口入力シート!BF$3,IF(管理者入力シート!$B$14=2,ES6*管理者用人口入力シート!BF$7))</f>
        <v>0.32162186987744795</v>
      </c>
      <c r="EU9" s="10">
        <f t="shared" si="70"/>
        <v>2425.6592628681765</v>
      </c>
      <c r="EV9" s="10">
        <f t="shared" si="41"/>
        <v>130.25936885373983</v>
      </c>
      <c r="EW9" s="10">
        <f t="shared" si="42"/>
        <v>55.47851082698125</v>
      </c>
      <c r="EX9" s="10">
        <f t="shared" si="10"/>
        <v>705.33570625390848</v>
      </c>
      <c r="EY9" s="10">
        <f t="shared" si="43"/>
        <v>430.22355442619096</v>
      </c>
      <c r="EZ9" s="14">
        <f t="shared" si="44"/>
        <v>0.29078103303754921</v>
      </c>
      <c r="FA9" s="14">
        <f t="shared" si="45"/>
        <v>0.17736355679135288</v>
      </c>
      <c r="FB9" s="10">
        <f t="shared" si="71"/>
        <v>490.53134711737044</v>
      </c>
    </row>
    <row r="10" spans="1:158" x14ac:dyDescent="0.15">
      <c r="A10" s="60" t="str">
        <f t="shared" si="11"/>
        <v>2015_2</v>
      </c>
      <c r="B10" s="30">
        <v>2015</v>
      </c>
      <c r="C10" s="5" t="s">
        <v>22</v>
      </c>
      <c r="D10" s="11">
        <v>112.99542481176707</v>
      </c>
      <c r="E10" s="11">
        <v>117.97226609965463</v>
      </c>
      <c r="F10" s="11">
        <v>110.52097610411245</v>
      </c>
      <c r="G10" s="11">
        <v>106.54172509914056</v>
      </c>
      <c r="H10" s="11">
        <v>85.641874426112452</v>
      </c>
      <c r="I10" s="11">
        <v>122.39133519616865</v>
      </c>
      <c r="J10" s="11">
        <v>157.93008179176707</v>
      </c>
      <c r="K10" s="11">
        <v>156.88660035628112</v>
      </c>
      <c r="L10" s="11">
        <v>142.84692925416869</v>
      </c>
      <c r="M10" s="11">
        <v>152.61977092868273</v>
      </c>
      <c r="N10" s="11">
        <v>176.08532768371083</v>
      </c>
      <c r="O10" s="11">
        <v>213.69109674857029</v>
      </c>
      <c r="P10" s="11">
        <v>234.94812897662652</v>
      </c>
      <c r="Q10" s="11">
        <v>220.78567191365462</v>
      </c>
      <c r="R10" s="11">
        <v>179.11982151062654</v>
      </c>
      <c r="S10" s="11">
        <v>219.94410052371086</v>
      </c>
      <c r="T10" s="11">
        <v>178.91858015125302</v>
      </c>
      <c r="U10" s="11">
        <v>144.57708660914057</v>
      </c>
      <c r="V10" s="11">
        <v>75.246223685196782</v>
      </c>
      <c r="W10" s="11">
        <v>30.505672542112453</v>
      </c>
      <c r="X10" s="11">
        <v>6.8313056133421686</v>
      </c>
      <c r="Y10" s="11">
        <v>2947.0000000258001</v>
      </c>
      <c r="Z10" s="11">
        <f t="shared" si="12"/>
        <v>137.09594532226026</v>
      </c>
      <c r="AA10" s="11">
        <f t="shared" si="13"/>
        <v>65.51673546147309</v>
      </c>
      <c r="AB10" s="11">
        <f t="shared" si="0"/>
        <v>1055.928462549037</v>
      </c>
      <c r="AC10" s="11">
        <f t="shared" si="14"/>
        <v>656.02296912475583</v>
      </c>
      <c r="AD10" s="15">
        <f t="shared" si="15"/>
        <v>0.35830623092629543</v>
      </c>
      <c r="AE10" s="15">
        <f t="shared" si="16"/>
        <v>0.22260704754632255</v>
      </c>
      <c r="AF10" s="11">
        <f t="shared" si="17"/>
        <v>522.84989177032935</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84.920599623845391</v>
      </c>
      <c r="BL10" s="11">
        <f>IF(管理者入力シート!$B$14=1,BK7*管理者用人口入力シート!AM$4,IF(管理者入力シート!$B$14=2,BK7*管理者用人口入力シート!AM$8))</f>
        <v>87.354360902235513</v>
      </c>
      <c r="BM10" s="11">
        <f>IF(管理者入力シート!$B$14=1,BL7*管理者用人口入力シート!AN$4,IF(管理者入力シート!$B$14=2,BL7*管理者用人口入力シート!AN$8))</f>
        <v>92.626689246842858</v>
      </c>
      <c r="BN10" s="11">
        <f>IF(管理者入力シート!$B$14=1,BM7*管理者用人口入力シート!AO$4,IF(管理者入力シート!$B$14=2,BM7*管理者用人口入力シート!AO$8))</f>
        <v>96.935149244723846</v>
      </c>
      <c r="BO10" s="11">
        <f>IF(管理者入力シート!$B$14=1,BN7*管理者用人口入力シート!AP$4,IF(管理者入力シート!$B$14=2,BN7*管理者用人口入力シート!AP$8))</f>
        <v>72.580103302827183</v>
      </c>
      <c r="BP10" s="11">
        <f>IF(管理者入力シート!$B$14=1,BO7*管理者用人口入力シート!AQ$4,IF(管理者入力シート!$B$14=2,BO7*管理者用人口入力シート!AQ$8))</f>
        <v>91.985242439158029</v>
      </c>
      <c r="BQ10" s="11">
        <f>IF(管理者入力シート!$B$14=1,BP7*管理者用人口入力シート!AR$4,IF(管理者入力シート!$B$14=2,BP7*管理者用人口入力シート!AR$8))</f>
        <v>89.924519262626404</v>
      </c>
      <c r="BR10" s="11">
        <f>IF(管理者入力シート!$B$14=1,BQ7*管理者用人口入力シート!AS$4,IF(管理者入力シート!$B$14=2,BQ7*管理者用人口入力シート!AS$8))</f>
        <v>99.213217046126815</v>
      </c>
      <c r="BS10" s="11">
        <f>IF(管理者入力シート!$B$14=1,BR7*管理者用人口入力シート!AT$4,IF(管理者入力シート!$B$14=2,BR7*管理者用人口入力シート!AT$8))</f>
        <v>100.53066638353006</v>
      </c>
      <c r="BT10" s="11">
        <f>IF(管理者入力シート!$B$14=1,BS7*管理者用人口入力シート!AU$4,IF(管理者入力シート!$B$14=2,BS7*管理者用人口入力シート!AU$8))</f>
        <v>121.94078569891607</v>
      </c>
      <c r="BU10" s="11">
        <f>IF(管理者入力シート!$B$14=1,BT7*管理者用人口入力シート!AV$4,IF(管理者入力シート!$B$14=2,BT7*管理者用人口入力シート!AV$8))</f>
        <v>165.34100230969474</v>
      </c>
      <c r="BV10" s="11">
        <f>IF(管理者入力シート!$B$14=1,BU7*管理者用人口入力シート!AW$4,IF(管理者入力シート!$B$14=2,BU7*管理者用人口入力シート!AW$8))</f>
        <v>176.6230269254259</v>
      </c>
      <c r="BW10" s="11">
        <f>IF(管理者入力シート!$B$14=1,BV7*管理者用人口入力シート!AX$4,IF(管理者入力シート!$B$14=2,BV7*管理者用人口入力シート!AX$8))</f>
        <v>154.12731424687783</v>
      </c>
      <c r="BX10" s="11">
        <f>IF(管理者入力シート!$B$14=1,BW7*管理者用人口入力シート!AY$4,IF(管理者入力シート!$B$14=2,BW7*管理者用人口入力シート!AY$8))</f>
        <v>148.43070795032736</v>
      </c>
      <c r="BY10" s="11">
        <f>IF(管理者入力シート!$B$14=1,BX7*管理者用人口入力シート!AZ$4,IF(管理者入力シート!$B$14=2,BX7*管理者用人口入力シート!AZ$8))</f>
        <v>168.32935657027789</v>
      </c>
      <c r="BZ10" s="11">
        <f>IF(管理者入力シート!$B$14=1,BY7*管理者用人口入力シート!BA$4,IF(管理者入力シート!$B$14=2,BY7*管理者用人口入力シート!BA$8))</f>
        <v>198.25000776542763</v>
      </c>
      <c r="CA10" s="11">
        <f>IF(管理者入力シート!$B$14=1,BZ7*管理者用人口入力シート!BB$4,IF(管理者入力シート!$B$14=2,BZ7*管理者用人口入力シート!BB$8))</f>
        <v>196.94716551876584</v>
      </c>
      <c r="CB10" s="11">
        <f>IF(管理者入力シート!$B$14=1,CA7*管理者用人口入力シート!BC$4,IF(管理者入力シート!$B$14=2,CA7*管理者用人口入力シート!BC$8))</f>
        <v>167.23983900571338</v>
      </c>
      <c r="CC10" s="11">
        <f>IF(管理者入力シート!$B$14=1,CB7*管理者用人口入力シート!BD$4,IF(管理者入力シート!$B$14=2,CB7*管理者用人口入力シート!BD$8))</f>
        <v>92.686360160845027</v>
      </c>
      <c r="CD10" s="11">
        <f>IF(管理者入力シート!$B$14=1,CC7*管理者用人口入力シート!BE$4,IF(管理者入力シート!$B$14=2,CC7*管理者用人口入力シート!BE$8))</f>
        <v>52.611500917394125</v>
      </c>
      <c r="CE10" s="11">
        <f>IF(管理者入力シート!$B$14=1,CD7*管理者用人口入力シート!BF$4,IF(管理者入力シート!$B$14=2,CD7*管理者用人口入力シート!BF$8))</f>
        <v>22.674562376156786</v>
      </c>
      <c r="CF10" s="11">
        <f t="shared" si="2"/>
        <v>2481.272176897739</v>
      </c>
      <c r="CG10" s="11">
        <f t="shared" si="20"/>
        <v>107.98863008944703</v>
      </c>
      <c r="CH10" s="11">
        <f t="shared" si="21"/>
        <v>56.437705547681915</v>
      </c>
      <c r="CI10" s="11">
        <f t="shared" si="3"/>
        <v>1047.169500264908</v>
      </c>
      <c r="CJ10" s="11">
        <f t="shared" si="22"/>
        <v>730.40943574430287</v>
      </c>
      <c r="CK10" s="15">
        <f t="shared" si="23"/>
        <v>0.42202927595559186</v>
      </c>
      <c r="CL10" s="15">
        <f t="shared" si="24"/>
        <v>0.29436892999683417</v>
      </c>
      <c r="CM10" s="11">
        <f t="shared" si="25"/>
        <v>353.70308205073843</v>
      </c>
      <c r="CO10" s="60" t="str">
        <f t="shared" si="26"/>
        <v>2035_2</v>
      </c>
      <c r="CP10" s="30">
        <f>CP9</f>
        <v>2035</v>
      </c>
      <c r="CQ10" s="5" t="s">
        <v>22</v>
      </c>
      <c r="CR10" s="11">
        <f>DT10*$AK$14+将来予測シート②!$H17</f>
        <v>87.572887061781685</v>
      </c>
      <c r="CS10" s="11">
        <f>IF(管理者入力シート!$B$14=1,CR7*管理者用人口入力シート!AM$4,IF(管理者入力シート!$B$14=2,CR7*管理者用人口入力シート!AM$8))+将来予測シート②!$H18</f>
        <v>89.376671471169701</v>
      </c>
      <c r="CT10" s="11">
        <f>IF(管理者入力シート!$B$14=1,CS7*管理者用人口入力シート!AN$4,IF(管理者入力シート!$B$14=2,CS7*管理者用人口入力シート!AN$8))+将来予測シート②!$H19</f>
        <v>94.653712649428684</v>
      </c>
      <c r="CU10" s="11">
        <f>IF(管理者入力シート!$B$14=1,CT7*管理者用人口入力シート!AO$4,IF(管理者入力シート!$B$14=2,CT7*管理者用人口入力シート!AO$8))+将来予測シート②!$H20</f>
        <v>97.837335011075339</v>
      </c>
      <c r="CV10" s="11">
        <f>IF(管理者入力シート!$B$14=1,CU7*管理者用人口入力シート!AP$4,IF(管理者入力シート!$B$14=2,CU7*管理者用人口入力シート!AP$8))+将来予測シート②!$H21</f>
        <v>73.236366147473049</v>
      </c>
      <c r="CW10" s="11">
        <f>IF(管理者入力シート!$B$14=1,CV7*管理者用人口入力シート!AQ$4,IF(管理者入力シート!$B$14=2,CV7*管理者用人口入力シート!AQ$8))+将来予測シート②!$H22</f>
        <v>93.985242439158029</v>
      </c>
      <c r="CX10" s="11">
        <f>IF(管理者入力シート!$B$14=1,CW7*管理者用人口入力シート!AR$4,IF(管理者入力シート!$B$14=2,CW7*管理者用人口入力シート!AR$8))+将来予測シート②!$H23</f>
        <v>92.044949978854532</v>
      </c>
      <c r="CY10" s="11">
        <f>IF(管理者入力シート!$B$14=1,CX7*管理者用人口入力シート!AS$4,IF(管理者入力シート!$B$14=2,CX7*管理者用人口入力シート!AS$8))+将来予測シート②!$H24</f>
        <v>101.3184715852481</v>
      </c>
      <c r="CZ10" s="11">
        <f>IF(管理者入力シート!$B$14=1,CY7*管理者用人口入力シート!AT$4,IF(管理者入力シート!$B$14=2,CY7*管理者用人口入力シート!AT$8))+将来予測シート②!$H25</f>
        <v>101.53066638353006</v>
      </c>
      <c r="DA10" s="11">
        <f>IF(管理者入力シート!$B$14=1,CZ7*管理者用人口入力シート!AU$4,IF(管理者入力シート!$B$14=2,CZ7*管理者用人口入力シート!AU$8))+将来予測シート②!$H26</f>
        <v>122.97869320450364</v>
      </c>
      <c r="DB10" s="11">
        <f>IF(管理者入力シート!$B$14=1,DA7*管理者用人口入力シート!AV$4,IF(管理者入力シート!$B$14=2,DA7*管理者用人口入力シート!AV$8))+将来予測シート②!$H27</f>
        <v>166.39657694791529</v>
      </c>
      <c r="DC10" s="11">
        <f>IF(管理者入力シート!$B$14=1,DB7*管理者用人口入力シート!AW$4,IF(管理者入力シート!$B$14=2,DB7*管理者用人口入力シート!AW$8))+将来予測シート②!$H28</f>
        <v>176.6230269254259</v>
      </c>
      <c r="DD10" s="11">
        <f>IF(管理者入力シート!$B$14=1,DC7*管理者用人口入力シート!AX$4,IF(管理者入力シート!$B$14=2,DC7*管理者用人口入力シート!AX$8))+将来予測シート②!$H29</f>
        <v>154.12731424687783</v>
      </c>
      <c r="DE10" s="11">
        <f>IF(管理者入力シート!$B$14=1,DD7*管理者用人口入力シート!AY$4,IF(管理者入力シート!$B$14=2,DD7*管理者用人口入力シート!AY$8))</f>
        <v>148.43070795032736</v>
      </c>
      <c r="DF10" s="11">
        <f>IF(管理者入力シート!$B$14=1,DE7*管理者用人口入力シート!AZ$4,IF(管理者入力シート!$B$14=2,DE7*管理者用人口入力シート!AZ$8))</f>
        <v>168.32935657027789</v>
      </c>
      <c r="DG10" s="11">
        <f>IF(管理者入力シート!$B$14=1,DF7*管理者用人口入力シート!BA$4,IF(管理者入力シート!$B$14=2,DF7*管理者用人口入力シート!BA$8))</f>
        <v>198.25000776542763</v>
      </c>
      <c r="DH10" s="11">
        <f>IF(管理者入力シート!$B$14=1,DG7*管理者用人口入力シート!BB$4,IF(管理者入力シート!$B$14=2,DG7*管理者用人口入力シート!BB$8))</f>
        <v>196.94716551876584</v>
      </c>
      <c r="DI10" s="11">
        <f>IF(管理者入力シート!$B$14=1,DH7*管理者用人口入力シート!BC$4,IF(管理者入力シート!$B$14=2,DH7*管理者用人口入力シート!BC$8))</f>
        <v>167.23983900571338</v>
      </c>
      <c r="DJ10" s="11">
        <f>IF(管理者入力シート!$B$14=1,DI7*管理者用人口入力シート!BD$4,IF(管理者入力シート!$B$14=2,DI7*管理者用人口入力シート!BD$8))</f>
        <v>92.686360160845027</v>
      </c>
      <c r="DK10" s="11">
        <f>IF(管理者入力シート!$B$14=1,DJ7*管理者用人口入力シート!BE$4,IF(管理者入力シート!$B$14=2,DJ7*管理者用人口入力シート!BE$8))</f>
        <v>52.611500917394125</v>
      </c>
      <c r="DL10" s="11">
        <f>IF(管理者入力シート!$B$14=1,DK7*管理者用人口入力シート!BF$4,IF(管理者入力シート!$B$14=2,DK7*管理者用人口入力シート!BF$8))</f>
        <v>22.674562376156786</v>
      </c>
      <c r="DM10" s="11">
        <f t="shared" si="68"/>
        <v>2498.8514143173502</v>
      </c>
      <c r="DN10" s="11">
        <f t="shared" si="34"/>
        <v>110.41823047235903</v>
      </c>
      <c r="DO10" s="11">
        <f t="shared" si="35"/>
        <v>57.428952061986543</v>
      </c>
      <c r="DP10" s="11">
        <f t="shared" si="6"/>
        <v>1047.169500264908</v>
      </c>
      <c r="DQ10" s="11">
        <f t="shared" si="36"/>
        <v>730.40943574430287</v>
      </c>
      <c r="DR10" s="15">
        <f t="shared" si="37"/>
        <v>0.41906033078440541</v>
      </c>
      <c r="DS10" s="15">
        <f t="shared" si="38"/>
        <v>0.29229806604721237</v>
      </c>
      <c r="DT10" s="11">
        <f t="shared" si="69"/>
        <v>360.58503015073376</v>
      </c>
      <c r="DV10" s="68" t="s">
        <v>405</v>
      </c>
      <c r="DW10" s="231">
        <f>((SUM(BL12:BL13)*3/5+SUM(BM12:BM13)+SUM(BN12:BN13)*1/5)-(SUM(E12:E13)*3/5+SUM(F12:F13)+SUM(G12:G13)*1/5))/4</f>
        <v>-25.374607341361951</v>
      </c>
      <c r="DX10" s="30">
        <f>DX9</f>
        <v>2035</v>
      </c>
      <c r="DY10" s="5" t="s">
        <v>22</v>
      </c>
      <c r="DZ10" s="11">
        <f>FB10*$AK$14</f>
        <v>127.43211993959214</v>
      </c>
      <c r="EA10" s="11">
        <f>IF(管理者入力シート!$B$14=1,DZ7*管理者用人口入力シート!AM$4,IF(管理者入力シート!$B$14=2,DZ7*管理者用人口入力シート!AM$8))</f>
        <v>123.12112422265641</v>
      </c>
      <c r="EB10" s="11">
        <f>IF(管理者入力シート!$B$14=1,EA7*管理者用人口入力シート!AN$4,IF(管理者入力シート!$B$14=2,EA7*管理者用人口入力シート!AN$8))</f>
        <v>92.626689246842858</v>
      </c>
      <c r="EC10" s="11">
        <f>IF(管理者入力シート!$B$14=1,EB7*管理者用人口入力シート!AO$4,IF(管理者入力シート!$B$14=2,EB7*管理者用人口入力シート!AO$8))</f>
        <v>96.935149244723846</v>
      </c>
      <c r="ED10" s="11">
        <f>IF(管理者入力シート!$B$14=1,EC7*管理者用人口入力シート!AP$4,IF(管理者入力シート!$B$14=2,EC7*管理者用人口入力シート!AP$8))</f>
        <v>72.580103302827183</v>
      </c>
      <c r="EE10" s="11">
        <f>IF(管理者入力シート!$B$14=1,ED7*管理者用人口入力シート!AQ$4,IF(管理者入力シート!$B$14=2,ED7*管理者用人口入力シート!AQ$8))+DX1</f>
        <v>120.98524243915803</v>
      </c>
      <c r="EF10" s="11">
        <f>IF(管理者入力シート!$B$14=1,EE7*管理者用人口入力シート!AR$4,IF(管理者入力シート!$B$14=2,EE7*管理者用人口入力シート!AR$8))+DX1</f>
        <v>149.67076464793428</v>
      </c>
      <c r="EG10" s="11">
        <f>IF(管理者入力シート!$B$14=1,EF7*管理者用人口入力シート!AS$4,IF(管理者入力シート!$B$14=2,EF7*管理者用人口入力シート!AS$8))+DX1</f>
        <v>187.53185138312395</v>
      </c>
      <c r="EH10" s="11">
        <f>IF(管理者入力シート!$B$14=1,EG7*管理者用人口入力シート!AT$4,IF(管理者入力シート!$B$14=2,EG7*管理者用人口入力シート!AT$8))</f>
        <v>160.36827273631403</v>
      </c>
      <c r="EI10" s="11">
        <f>IF(管理者入力シート!$B$14=1,EH7*管理者用人口入力シート!AU$4,IF(管理者入力シート!$B$14=2,EH7*管理者用人口入力シート!AU$8))</f>
        <v>153.10526001524028</v>
      </c>
      <c r="EJ10" s="11">
        <f>IF(管理者入力シート!$B$14=1,EI7*管理者用人口入力シート!AV$4,IF(管理者入力シート!$B$14=2,EI7*管理者用人口入力シート!AV$8))</f>
        <v>165.34100230969474</v>
      </c>
      <c r="EK10" s="11">
        <f>IF(管理者入力シート!$B$14=1,EJ7*管理者用人口入力シート!AW$4,IF(管理者入力シート!$B$14=2,EJ7*管理者用人口入力シート!AW$8))</f>
        <v>176.6230269254259</v>
      </c>
      <c r="EL10" s="11">
        <f>IF(管理者入力シート!$B$14=1,EK7*管理者用人口入力シート!AX$4,IF(管理者入力シート!$B$14=2,EK7*管理者用人口入力シート!AX$8))</f>
        <v>154.12731424687783</v>
      </c>
      <c r="EM10" s="11">
        <f>IF(管理者入力シート!$B$14=1,EL7*管理者用人口入力シート!AY$4,IF(管理者入力シート!$B$14=2,EL7*管理者用人口入力シート!AY$8))</f>
        <v>148.43070795032736</v>
      </c>
      <c r="EN10" s="11">
        <f>IF(管理者入力シート!$B$14=1,EM7*管理者用人口入力シート!AZ$4,IF(管理者入力シート!$B$14=2,EM7*管理者用人口入力シート!AZ$8))</f>
        <v>168.32935657027789</v>
      </c>
      <c r="EO10" s="11">
        <f>IF(管理者入力シート!$B$14=1,EN7*管理者用人口入力シート!BA$4,IF(管理者入力シート!$B$14=2,EN7*管理者用人口入力シート!BA$8))</f>
        <v>198.25000776542763</v>
      </c>
      <c r="EP10" s="11">
        <f>IF(管理者入力シート!$B$14=1,EO7*管理者用人口入力シート!BB$4,IF(管理者入力シート!$B$14=2,EO7*管理者用人口入力シート!BB$8))</f>
        <v>196.94716551876584</v>
      </c>
      <c r="EQ10" s="11">
        <f>IF(管理者入力シート!$B$14=1,EP7*管理者用人口入力シート!BC$4,IF(管理者入力シート!$B$14=2,EP7*管理者用人口入力シート!BC$8))</f>
        <v>167.23983900571338</v>
      </c>
      <c r="ER10" s="11">
        <f>IF(管理者入力シート!$B$14=1,EQ7*管理者用人口入力シート!BD$4,IF(管理者入力シート!$B$14=2,EQ7*管理者用人口入力シート!BD$8))</f>
        <v>92.686360160845027</v>
      </c>
      <c r="ES10" s="11">
        <f>IF(管理者入力シート!$B$14=1,ER7*管理者用人口入力シート!BE$4,IF(管理者入力シート!$B$14=2,ER7*管理者用人口入力シート!BE$8))</f>
        <v>52.611500917394125</v>
      </c>
      <c r="ET10" s="11">
        <f>IF(管理者入力シート!$B$14=1,ES7*管理者用人口入力シート!BF$4,IF(管理者入力シート!$B$14=2,ES7*管理者用人口入力シート!BF$8))</f>
        <v>22.674562376156786</v>
      </c>
      <c r="EU10" s="11">
        <f t="shared" si="70"/>
        <v>2827.6174209253195</v>
      </c>
      <c r="EV10" s="11">
        <f t="shared" si="41"/>
        <v>129.44868808169957</v>
      </c>
      <c r="EW10" s="11">
        <f t="shared" si="42"/>
        <v>56.437705547681915</v>
      </c>
      <c r="EX10" s="11">
        <f t="shared" si="10"/>
        <v>1047.169500264908</v>
      </c>
      <c r="EY10" s="11">
        <f t="shared" si="43"/>
        <v>730.40943574430287</v>
      </c>
      <c r="EZ10" s="15">
        <f t="shared" si="44"/>
        <v>0.37033634483770744</v>
      </c>
      <c r="FA10" s="15">
        <f t="shared" si="45"/>
        <v>0.25831268061196239</v>
      </c>
      <c r="FB10" s="11">
        <f t="shared" si="71"/>
        <v>530.76796177304345</v>
      </c>
    </row>
    <row r="11" spans="1:158" x14ac:dyDescent="0.15">
      <c r="A11" s="60" t="str">
        <f t="shared" si="11"/>
        <v>2015_3</v>
      </c>
      <c r="B11" s="31">
        <v>2015</v>
      </c>
      <c r="C11" s="6" t="s">
        <v>23</v>
      </c>
      <c r="D11" s="12">
        <v>235.38119066166564</v>
      </c>
      <c r="E11" s="12">
        <v>247.73885572282524</v>
      </c>
      <c r="F11" s="12">
        <v>238.23265464563571</v>
      </c>
      <c r="G11" s="12">
        <v>228.56751290840825</v>
      </c>
      <c r="H11" s="12">
        <v>151.76433746561077</v>
      </c>
      <c r="I11" s="12">
        <v>235.13818153798559</v>
      </c>
      <c r="J11" s="12">
        <v>293.78156326620376</v>
      </c>
      <c r="K11" s="12">
        <v>308.80346851614718</v>
      </c>
      <c r="L11" s="12">
        <v>294.54781909722755</v>
      </c>
      <c r="M11" s="12">
        <v>290.9796610721105</v>
      </c>
      <c r="N11" s="12">
        <v>337.97654507830129</v>
      </c>
      <c r="O11" s="12">
        <v>403.23373350494876</v>
      </c>
      <c r="P11" s="12">
        <v>466.81886427915708</v>
      </c>
      <c r="Q11" s="12">
        <v>425.78866929948776</v>
      </c>
      <c r="R11" s="12">
        <v>330.18312117960295</v>
      </c>
      <c r="S11" s="12">
        <v>365.67112009829896</v>
      </c>
      <c r="T11" s="12">
        <v>311.83742665694865</v>
      </c>
      <c r="U11" s="12">
        <v>226.86471799869713</v>
      </c>
      <c r="V11" s="12">
        <v>94.132532639235251</v>
      </c>
      <c r="W11" s="12">
        <v>34.317042504944311</v>
      </c>
      <c r="X11" s="12">
        <v>9.4409818339577036</v>
      </c>
      <c r="Y11" s="12">
        <v>5531.199999967399</v>
      </c>
      <c r="Z11" s="12">
        <f t="shared" si="12"/>
        <v>291.58290622107654</v>
      </c>
      <c r="AA11" s="12">
        <f t="shared" si="13"/>
        <v>141.00656443993591</v>
      </c>
      <c r="AB11" s="12">
        <f t="shared" si="0"/>
        <v>1798.2356122111726</v>
      </c>
      <c r="AC11" s="12">
        <f t="shared" si="14"/>
        <v>1042.2638217320821</v>
      </c>
      <c r="AD11" s="16">
        <f t="shared" si="15"/>
        <v>0.32510768227903014</v>
      </c>
      <c r="AE11" s="16">
        <f t="shared" si="16"/>
        <v>0.18843358073080438</v>
      </c>
      <c r="AF11" s="12">
        <f t="shared" si="17"/>
        <v>989.48755078594729</v>
      </c>
      <c r="BH11" s="60" t="str">
        <f t="shared" si="19"/>
        <v>2035_3</v>
      </c>
      <c r="BI11" s="31">
        <f>BI10</f>
        <v>2035</v>
      </c>
      <c r="BJ11" s="6" t="s">
        <v>23</v>
      </c>
      <c r="BK11" s="17">
        <f>BK9+BK10</f>
        <v>169.40716307302841</v>
      </c>
      <c r="BL11" s="17">
        <f t="shared" ref="BL11" si="116">BL9+BL10</f>
        <v>176.51306363473202</v>
      </c>
      <c r="BM11" s="17">
        <f t="shared" ref="BM11" si="117">BM9+BM10</f>
        <v>184.06139343055435</v>
      </c>
      <c r="BN11" s="17">
        <f t="shared" ref="BN11" si="118">BN9+BN10</f>
        <v>191.45829501220715</v>
      </c>
      <c r="BO11" s="17">
        <f t="shared" ref="BO11" si="119">BO9+BO10</f>
        <v>126.44147714233145</v>
      </c>
      <c r="BP11" s="17">
        <f t="shared" ref="BP11" si="120">BP9+BP10</f>
        <v>170.7892261056227</v>
      </c>
      <c r="BQ11" s="17">
        <f t="shared" ref="BQ11" si="121">BQ9+BQ10</f>
        <v>174.49541681665522</v>
      </c>
      <c r="BR11" s="17">
        <f t="shared" ref="BR11" si="122">BR9+BR10</f>
        <v>193.14289620318269</v>
      </c>
      <c r="BS11" s="17">
        <f t="shared" ref="BS11" si="123">BS9+BS10</f>
        <v>204.16343772324208</v>
      </c>
      <c r="BT11" s="17">
        <f t="shared" ref="BT11" si="124">BT9+BT10</f>
        <v>247.58864309329613</v>
      </c>
      <c r="BU11" s="17">
        <f t="shared" ref="BU11" si="125">BU9+BU10</f>
        <v>319.81678627153258</v>
      </c>
      <c r="BV11" s="17">
        <f t="shared" ref="BV11" si="126">BV9+BV10</f>
        <v>336.5926028652467</v>
      </c>
      <c r="BW11" s="17">
        <f t="shared" ref="BW11" si="127">BW9+BW10</f>
        <v>307.30610940835902</v>
      </c>
      <c r="BX11" s="17">
        <f t="shared" ref="BX11" si="128">BX9+BX10</f>
        <v>280.70032772972411</v>
      </c>
      <c r="BY11" s="17">
        <f t="shared" ref="BY11" si="129">BY9+BY10</f>
        <v>311.17188861859842</v>
      </c>
      <c r="BZ11" s="17">
        <f t="shared" ref="BZ11" si="130">BZ9+BZ10</f>
        <v>349.52815423743243</v>
      </c>
      <c r="CA11" s="17">
        <f t="shared" ref="CA11" si="131">CA9+CA10</f>
        <v>342.81701165363972</v>
      </c>
      <c r="CB11" s="17">
        <f t="shared" ref="CB11" si="132">CB9+CB10</f>
        <v>257.38051466942926</v>
      </c>
      <c r="CC11" s="17">
        <f t="shared" ref="CC11" si="133">CC9+CC10</f>
        <v>124.01899350082228</v>
      </c>
      <c r="CD11" s="17">
        <f t="shared" ref="CD11" si="134">CD9+CD10</f>
        <v>63.892131863135859</v>
      </c>
      <c r="CE11" s="17">
        <f t="shared" ref="CE11" si="135">CE9+CE10</f>
        <v>22.996184246034233</v>
      </c>
      <c r="CF11" s="12">
        <f t="shared" si="2"/>
        <v>4554.2817172988071</v>
      </c>
      <c r="CG11" s="12">
        <f t="shared" si="20"/>
        <v>216.34467423917181</v>
      </c>
      <c r="CH11" s="12">
        <f t="shared" si="21"/>
        <v>111.91621637466318</v>
      </c>
      <c r="CI11" s="12">
        <f t="shared" si="3"/>
        <v>1752.5052065188163</v>
      </c>
      <c r="CJ11" s="12">
        <f t="shared" si="22"/>
        <v>1160.6329901704937</v>
      </c>
      <c r="CK11" s="16">
        <f t="shared" si="23"/>
        <v>0.38480386486900198</v>
      </c>
      <c r="CL11" s="16">
        <f t="shared" si="24"/>
        <v>0.25484435575471548</v>
      </c>
      <c r="CM11" s="12">
        <f t="shared" si="25"/>
        <v>664.86901626779206</v>
      </c>
      <c r="CO11" s="60" t="str">
        <f t="shared" si="26"/>
        <v>2035_3</v>
      </c>
      <c r="CP11" s="31">
        <f>CP10</f>
        <v>2035</v>
      </c>
      <c r="CQ11" s="6" t="s">
        <v>23</v>
      </c>
      <c r="CR11" s="17">
        <f>CR9+CR10</f>
        <v>174.70329297180263</v>
      </c>
      <c r="CS11" s="17">
        <f t="shared" ref="CS11" si="136">CS9+CS10</f>
        <v>180.60478699779236</v>
      </c>
      <c r="CT11" s="17">
        <f t="shared" ref="CT11" si="137">CT9+CT10</f>
        <v>188.10743205045975</v>
      </c>
      <c r="CU11" s="17">
        <f t="shared" ref="CU11" si="138">CU9+CU10</f>
        <v>193.25168642948881</v>
      </c>
      <c r="CV11" s="17">
        <f t="shared" ref="CV11" si="139">CV9+CV10</f>
        <v>127.57542354107966</v>
      </c>
      <c r="CW11" s="17">
        <f t="shared" ref="CW11" si="140">CW9+CW10</f>
        <v>174.7892261056227</v>
      </c>
      <c r="CX11" s="17">
        <f t="shared" ref="CX11" si="141">CX9+CX10</f>
        <v>178.69211216836607</v>
      </c>
      <c r="CY11" s="17">
        <f t="shared" ref="CY11" si="142">CY9+CY10</f>
        <v>197.43519962459123</v>
      </c>
      <c r="CZ11" s="17">
        <f t="shared" ref="CZ11" si="143">CZ9+CZ10</f>
        <v>205.16343772324208</v>
      </c>
      <c r="DA11" s="17">
        <f t="shared" ref="DA11" si="144">DA9+DA10</f>
        <v>248.62655059888371</v>
      </c>
      <c r="DB11" s="17">
        <f t="shared" ref="DB11" si="145">DB9+DB10</f>
        <v>320.87236090975318</v>
      </c>
      <c r="DC11" s="17">
        <f t="shared" ref="DC11" si="146">DC9+DC10</f>
        <v>336.5926028652467</v>
      </c>
      <c r="DD11" s="17">
        <f t="shared" ref="DD11" si="147">DD9+DD10</f>
        <v>307.30610940835902</v>
      </c>
      <c r="DE11" s="17">
        <f t="shared" ref="DE11" si="148">DE9+DE10</f>
        <v>280.70032772972411</v>
      </c>
      <c r="DF11" s="17">
        <f t="shared" ref="DF11" si="149">DF9+DF10</f>
        <v>311.17188861859842</v>
      </c>
      <c r="DG11" s="17">
        <f t="shared" ref="DG11" si="150">DG9+DG10</f>
        <v>349.52815423743243</v>
      </c>
      <c r="DH11" s="17">
        <f t="shared" ref="DH11" si="151">DH9+DH10</f>
        <v>342.81701165363972</v>
      </c>
      <c r="DI11" s="17">
        <f t="shared" ref="DI11" si="152">DI9+DI10</f>
        <v>257.38051466942926</v>
      </c>
      <c r="DJ11" s="17">
        <f t="shared" ref="DJ11" si="153">DJ9+DJ10</f>
        <v>124.01899350082228</v>
      </c>
      <c r="DK11" s="17">
        <f t="shared" ref="DK11" si="154">DK9+DK10</f>
        <v>63.892131863135859</v>
      </c>
      <c r="DL11" s="17">
        <f t="shared" ref="DL11" si="155">DL9+DL10</f>
        <v>22.996184246034233</v>
      </c>
      <c r="DM11" s="12">
        <f t="shared" si="68"/>
        <v>4586.2254279135041</v>
      </c>
      <c r="DN11" s="12">
        <f t="shared" si="34"/>
        <v>221.22733142895126</v>
      </c>
      <c r="DO11" s="12">
        <f t="shared" si="35"/>
        <v>113.89331010608166</v>
      </c>
      <c r="DP11" s="12">
        <f t="shared" si="6"/>
        <v>1752.5052065188163</v>
      </c>
      <c r="DQ11" s="12">
        <f t="shared" si="36"/>
        <v>1160.6329901704937</v>
      </c>
      <c r="DR11" s="16">
        <f t="shared" si="37"/>
        <v>0.38212365136968762</v>
      </c>
      <c r="DS11" s="16">
        <f t="shared" si="38"/>
        <v>0.25306932866981241</v>
      </c>
      <c r="DT11" s="12">
        <f t="shared" si="69"/>
        <v>678.49196143965969</v>
      </c>
      <c r="DW11" s="232"/>
      <c r="DX11" s="31">
        <f>DX10</f>
        <v>2035</v>
      </c>
      <c r="DY11" s="6" t="s">
        <v>23</v>
      </c>
      <c r="DZ11" s="17">
        <f>DZ9+DZ10</f>
        <v>254.21292382497961</v>
      </c>
      <c r="EA11" s="17">
        <f t="shared" ref="EA11" si="156">EA9+EA10</f>
        <v>248.78536812851127</v>
      </c>
      <c r="EB11" s="17">
        <f t="shared" ref="EB11" si="157">EB9+EB10</f>
        <v>184.06139343055435</v>
      </c>
      <c r="EC11" s="17">
        <f t="shared" ref="EC11" si="158">EC9+EC10</f>
        <v>191.45829501220715</v>
      </c>
      <c r="ED11" s="17">
        <f t="shared" ref="ED11" si="159">ED9+ED10</f>
        <v>126.44147714233145</v>
      </c>
      <c r="EE11" s="17">
        <f t="shared" ref="EE11" si="160">EE9+EE10</f>
        <v>228.7892261056227</v>
      </c>
      <c r="EF11" s="17">
        <f t="shared" ref="EF11" si="161">EF9+EF10</f>
        <v>293.34749941646271</v>
      </c>
      <c r="EG11" s="17">
        <f t="shared" ref="EG11" si="162">EG9+EG10</f>
        <v>372.721106225997</v>
      </c>
      <c r="EH11" s="17">
        <f t="shared" ref="EH11" si="163">EH9+EH10</f>
        <v>326.77410749822428</v>
      </c>
      <c r="EI11" s="17">
        <f t="shared" ref="EI11" si="164">EI9+EI10</f>
        <v>310.46458194465055</v>
      </c>
      <c r="EJ11" s="17">
        <f t="shared" ref="EJ11" si="165">EJ9+EJ10</f>
        <v>319.81678627153258</v>
      </c>
      <c r="EK11" s="17">
        <f t="shared" ref="EK11" si="166">EK9+EK10</f>
        <v>336.5926028652467</v>
      </c>
      <c r="EL11" s="17">
        <f t="shared" ref="EL11" si="167">EL9+EL10</f>
        <v>307.30610940835902</v>
      </c>
      <c r="EM11" s="17">
        <f t="shared" ref="EM11" si="168">EM9+EM10</f>
        <v>280.70032772972411</v>
      </c>
      <c r="EN11" s="17">
        <f t="shared" ref="EN11" si="169">EN9+EN10</f>
        <v>311.17188861859842</v>
      </c>
      <c r="EO11" s="17">
        <f t="shared" ref="EO11" si="170">EO9+EO10</f>
        <v>349.52815423743243</v>
      </c>
      <c r="EP11" s="17">
        <f t="shared" ref="EP11" si="171">EP9+EP10</f>
        <v>342.81701165363972</v>
      </c>
      <c r="EQ11" s="17">
        <f t="shared" ref="EQ11" si="172">EQ9+EQ10</f>
        <v>257.38051466942926</v>
      </c>
      <c r="ER11" s="17">
        <f t="shared" ref="ER11" si="173">ER9+ER10</f>
        <v>124.01899350082228</v>
      </c>
      <c r="ES11" s="17">
        <f t="shared" ref="ES11" si="174">ES9+ES10</f>
        <v>63.892131863135859</v>
      </c>
      <c r="ET11" s="17">
        <f t="shared" ref="ET11" si="175">ET9+ET10</f>
        <v>22.996184246034233</v>
      </c>
      <c r="EU11" s="12">
        <f t="shared" si="70"/>
        <v>5253.2766837934951</v>
      </c>
      <c r="EV11" s="12">
        <f t="shared" si="41"/>
        <v>259.7080569354394</v>
      </c>
      <c r="EW11" s="12">
        <f t="shared" si="42"/>
        <v>111.91621637466318</v>
      </c>
      <c r="EX11" s="12">
        <f t="shared" si="10"/>
        <v>1752.5052065188163</v>
      </c>
      <c r="EY11" s="12">
        <f t="shared" si="43"/>
        <v>1160.6329901704937</v>
      </c>
      <c r="EZ11" s="16">
        <f t="shared" si="44"/>
        <v>0.3336023042390559</v>
      </c>
      <c r="FA11" s="16">
        <f t="shared" si="45"/>
        <v>0.22093505825632198</v>
      </c>
      <c r="FB11" s="12">
        <f t="shared" si="71"/>
        <v>1021.2993088904138</v>
      </c>
    </row>
    <row r="12" spans="1:158" x14ac:dyDescent="0.15">
      <c r="A12" s="60" t="str">
        <f t="shared" si="11"/>
        <v>2020_1</v>
      </c>
      <c r="B12" s="29">
        <v>2020</v>
      </c>
      <c r="C12" s="4" t="s">
        <v>21</v>
      </c>
      <c r="D12" s="10">
        <v>104.0829434625293</v>
      </c>
      <c r="E12" s="10">
        <v>115.40221804304369</v>
      </c>
      <c r="F12" s="10">
        <v>121.96565993303895</v>
      </c>
      <c r="G12" s="10">
        <v>112.3661647664709</v>
      </c>
      <c r="H12" s="10">
        <v>63.504431384485272</v>
      </c>
      <c r="I12" s="10">
        <v>89.899620158281849</v>
      </c>
      <c r="J12" s="10">
        <v>109.0839868485568</v>
      </c>
      <c r="K12" s="10">
        <v>138.14158614032777</v>
      </c>
      <c r="L12" s="10">
        <v>152.7259784793608</v>
      </c>
      <c r="M12" s="10">
        <v>152.60444336574614</v>
      </c>
      <c r="N12" s="10">
        <v>139.1392470414205</v>
      </c>
      <c r="O12" s="10">
        <v>155.87911288687394</v>
      </c>
      <c r="P12" s="10">
        <v>186.38872077183368</v>
      </c>
      <c r="Q12" s="10">
        <v>216.06622910684814</v>
      </c>
      <c r="R12" s="10">
        <v>192.91201479854783</v>
      </c>
      <c r="S12" s="10">
        <v>131.34828180367631</v>
      </c>
      <c r="T12" s="10">
        <v>115.59993300045488</v>
      </c>
      <c r="U12" s="10">
        <v>80.819268912258863</v>
      </c>
      <c r="V12" s="10">
        <v>36.965494744442566</v>
      </c>
      <c r="W12" s="10">
        <v>8.1046643518018247</v>
      </c>
      <c r="X12" s="10">
        <v>0</v>
      </c>
      <c r="Y12" s="10">
        <v>2422.9999999999995</v>
      </c>
      <c r="Z12" s="10">
        <f>E12*3/5+F12*3/5</f>
        <v>142.42072678564958</v>
      </c>
      <c r="AA12" s="10">
        <f>F12*2/5+G12*1/5</f>
        <v>71.259496926509769</v>
      </c>
      <c r="AB12" s="10">
        <f t="shared" ref="AB12:AB14" si="176">SUM(Q12:X12)</f>
        <v>781.81588671803047</v>
      </c>
      <c r="AC12" s="10">
        <f>SUM(S12:X12)</f>
        <v>372.8376428126345</v>
      </c>
      <c r="AD12" s="14">
        <f>AB12/Y12</f>
        <v>0.32266441878581537</v>
      </c>
      <c r="AE12" s="14">
        <f>AC12/Y12</f>
        <v>0.15387438828420741</v>
      </c>
      <c r="AF12" s="10">
        <f>SUM(H12:K12)</f>
        <v>400.6296245316517</v>
      </c>
      <c r="AK12" s="67">
        <f>管理者入力シート!B5</f>
        <v>2020</v>
      </c>
      <c r="AL12" s="68"/>
      <c r="BH12" s="60" t="str">
        <f t="shared" si="19"/>
        <v>2040_1</v>
      </c>
      <c r="BI12" s="29">
        <f>管理者入力シート!B11</f>
        <v>2040</v>
      </c>
      <c r="BJ12" s="4" t="s">
        <v>21</v>
      </c>
      <c r="BK12" s="10">
        <f>CM13*$AK$13</f>
        <v>82.43122910453107</v>
      </c>
      <c r="BL12" s="10">
        <f>IF(管理者入力シート!$B$14=1,BK9*管理者用人口入力シート!AM$3,IF(管理者入力シート!$B$14=2,BK9*管理者用人口入力シート!AM$7))</f>
        <v>88.114084556288958</v>
      </c>
      <c r="BM12" s="10">
        <f>IF(管理者入力シート!$B$14=1,BL9*管理者用人口入力シート!AN$3,IF(管理者入力シート!$B$14=2,BL9*管理者用人口入力シート!AN$7))</f>
        <v>87.113752555163927</v>
      </c>
      <c r="BN12" s="10">
        <f>IF(管理者入力シート!$B$14=1,BM9*管理者用人口入力シート!AO$3,IF(管理者入力シート!$B$14=2,BM9*管理者用人口入力シート!AO$7))</f>
        <v>81.487125059654062</v>
      </c>
      <c r="BO12" s="10">
        <f>IF(管理者入力シート!$B$14=1,BN9*管理者用人口入力シート!AP$3,IF(管理者入力シート!$B$14=2,BN9*管理者用人口入力シート!AP$7))</f>
        <v>50.664122436857859</v>
      </c>
      <c r="BP12" s="10">
        <f>IF(管理者入力シート!$B$14=1,BO9*管理者用人口入力シート!AQ$3,IF(管理者入力シート!$B$14=2,BO9*管理者用人口入力シート!AQ$7))</f>
        <v>72.853050222381427</v>
      </c>
      <c r="BQ12" s="10">
        <f>IF(管理者入力シート!$B$14=1,BP9*管理者用人口入力シート!AR$3,IF(管理者入力シート!$B$14=2,BP9*管理者用人口入力シート!AR$7))</f>
        <v>81.808962210919802</v>
      </c>
      <c r="BR12" s="10">
        <f>IF(管理者入力シート!$B$14=1,BQ9*管理者用人口入力シート!AS$3,IF(管理者入力シート!$B$14=2,BQ9*管理者用人口入力シート!AS$7))</f>
        <v>89.083387449097344</v>
      </c>
      <c r="BS12" s="10">
        <f>IF(管理者入力シート!$B$14=1,BR9*管理者用人口入力シート!AT$3,IF(管理者入力シート!$B$14=2,BR9*管理者用人口入力シート!AT$7))</f>
        <v>99.017874586830146</v>
      </c>
      <c r="BT12" s="10">
        <f>IF(管理者入力シート!$B$14=1,BS9*管理者用人口入力シート!AU$3,IF(管理者入力シート!$B$14=2,BS9*管理者用人口入力シート!AU$7))</f>
        <v>107.49905655146071</v>
      </c>
      <c r="BU12" s="10">
        <f>IF(管理者入力シート!$B$14=1,BT9*管理者用人口入力シート!AV$3,IF(管理者入力シート!$B$14=2,BT9*管理者用人口入力シート!AV$7))</f>
        <v>128.49101363967512</v>
      </c>
      <c r="BV12" s="10">
        <f>IF(管理者入力シート!$B$14=1,BU9*管理者用人口入力シート!AW$3,IF(管理者入力シート!$B$14=2,BU9*管理者用人口入力シート!AW$7))</f>
        <v>152.53154759954035</v>
      </c>
      <c r="BW12" s="10">
        <f>IF(管理者入力シート!$B$14=1,BV9*管理者用人口入力シート!AX$3,IF(管理者入力シート!$B$14=2,BV9*管理者用人口入力シート!AX$7))</f>
        <v>159.0200651057194</v>
      </c>
      <c r="BX12" s="10">
        <f>IF(管理者入力シート!$B$14=1,BW9*管理者用人口入力シート!AY$3,IF(管理者入力シート!$B$14=2,BW9*管理者用人口入力シート!AY$7))</f>
        <v>148.35264827380522</v>
      </c>
      <c r="BY12" s="10">
        <f>IF(管理者入力シート!$B$14=1,BX9*管理者用人口入力シート!AZ$3,IF(管理者入力シート!$B$14=2,BX9*管理者用人口入力シート!AZ$7))</f>
        <v>125.8979133141094</v>
      </c>
      <c r="BZ12" s="10">
        <f>IF(管理者入力シート!$B$14=1,BY9*管理者用人口入力シート!BA$3,IF(管理者入力シート!$B$14=2,BY9*管理者用人口入力シート!BA$7))</f>
        <v>125.7647772506985</v>
      </c>
      <c r="CA12" s="10">
        <f>IF(管理者入力シート!$B$14=1,BZ9*管理者用人口入力シート!BB$3,IF(管理者入力シート!$B$14=2,BZ9*管理者用人口入力シート!BB$7))</f>
        <v>121.86946770105556</v>
      </c>
      <c r="CB12" s="10">
        <f>IF(管理者入力シート!$B$14=1,CA9*管理者用人口入力シート!BC$3,IF(管理者入力シート!$B$14=2,CA9*管理者用人口入力シート!BC$7))</f>
        <v>96.09634097702174</v>
      </c>
      <c r="CC12" s="10">
        <f>IF(管理者入力シート!$B$14=1,CB9*管理者用人口入力シート!BD$3,IF(管理者入力シート!$B$14=2,CB9*管理者用人口入力シート!BD$7))</f>
        <v>40.516625141459635</v>
      </c>
      <c r="CD12" s="10">
        <f>IF(管理者入力シート!$B$14=1,CC9*管理者用人口入力シート!BE$3,IF(管理者入力シート!$B$14=2,CC9*管理者用人口入力シート!BE$7))</f>
        <v>10.325686242862655</v>
      </c>
      <c r="CE12" s="10">
        <f>IF(管理者入力シート!$B$14=1,CD9*管理者用人口入力シート!BF$3,IF(管理者入力シート!$B$14=2,CD9*管理者用人口入力シート!BF$7))</f>
        <v>0.30306065956898903</v>
      </c>
      <c r="CF12" s="10">
        <f t="shared" si="2"/>
        <v>1949.2417906387018</v>
      </c>
      <c r="CG12" s="10">
        <f t="shared" si="20"/>
        <v>105.13670226687172</v>
      </c>
      <c r="CH12" s="10">
        <f t="shared" si="21"/>
        <v>51.142926033996382</v>
      </c>
      <c r="CI12" s="10">
        <f t="shared" si="3"/>
        <v>669.12651956058176</v>
      </c>
      <c r="CJ12" s="10">
        <f t="shared" si="22"/>
        <v>394.87595797266709</v>
      </c>
      <c r="CK12" s="14">
        <f t="shared" si="23"/>
        <v>0.34327527902083982</v>
      </c>
      <c r="CL12" s="14">
        <f t="shared" si="24"/>
        <v>0.20257925921200334</v>
      </c>
      <c r="CM12" s="10">
        <f t="shared" si="25"/>
        <v>294.40952231925644</v>
      </c>
      <c r="CO12" s="60" t="str">
        <f t="shared" si="26"/>
        <v>2040_1</v>
      </c>
      <c r="CP12" s="29">
        <f>管理者入力シート!B11</f>
        <v>2040</v>
      </c>
      <c r="CQ12" s="4" t="s">
        <v>21</v>
      </c>
      <c r="CR12" s="10">
        <f>DT13*$AK$13+将来予測シート②!$G17</f>
        <v>85.264659699232851</v>
      </c>
      <c r="CS12" s="10">
        <f>IF(管理者入力シート!$B$14=1,CR9*管理者用人口入力シート!AM$3,IF(管理者入力シート!$B$14=2,CR9*管理者用人口入力シート!AM$7))+将来予測シート②!$G18</f>
        <v>90.871443225373653</v>
      </c>
      <c r="CT12" s="10">
        <f>IF(管理者入力シート!$B$14=1,CS9*管理者用人口入力シート!AN$3,IF(管理者入力シート!$B$14=2,CS9*管理者用人口入力シート!AN$7))+将来予測シート②!$G19</f>
        <v>90.135701154201712</v>
      </c>
      <c r="CU12" s="10">
        <f>IF(管理者入力シート!$B$14=1,CT9*管理者用人口入力シート!AO$3,IF(管理者入力シート!$B$14=2,CT9*管理者用人口入力シート!AO$7))+将来予測シート②!$G20</f>
        <v>83.286482830643322</v>
      </c>
      <c r="CV12" s="10">
        <f>IF(管理者入力シート!$B$14=1,CU9*管理者用人口入力シート!AP$3,IF(管理者入力シート!$B$14=2,CU9*管理者用人口入力シート!AP$7))+将来予測シート②!$G21</f>
        <v>51.141805990960222</v>
      </c>
      <c r="CW12" s="10">
        <f>IF(管理者入力シート!$B$14=1,CV9*管理者用人口入力シート!AQ$3,IF(管理者入力シート!$B$14=2,CV9*管理者用人口入力シート!AQ$7))+将来予測シート②!$G22</f>
        <v>75.49916638089465</v>
      </c>
      <c r="CX12" s="10">
        <f>IF(管理者入力シート!$B$14=1,CW9*管理者用人口入力シート!AR$3,IF(管理者入力シート!$B$14=2,CW9*管理者用人口入力シート!AR$7))+将来予測シート②!$G23</f>
        <v>83.885226846402531</v>
      </c>
      <c r="CY12" s="10">
        <f>IF(管理者入力シート!$B$14=1,CX9*管理者用人口入力シート!AS$3,IF(管理者入力シート!$B$14=2,CX9*管理者用人口入力シート!AS$7))+将来予測シート②!$G24</f>
        <v>91.270436331384587</v>
      </c>
      <c r="CZ12" s="10">
        <f>IF(管理者入力シート!$B$14=1,CY9*管理者用人口入力シート!AT$3,IF(管理者入力シート!$B$14=2,CY9*管理者用人口入力シート!AT$7))+将来予測シート②!$G25</f>
        <v>101.32339648241216</v>
      </c>
      <c r="DA12" s="10">
        <f>IF(管理者入力シート!$B$14=1,CZ9*管理者用人口入力シート!AU$3,IF(管理者入力シート!$B$14=2,CZ9*管理者用人口入力シート!AU$7))+将来予測シート②!$G26</f>
        <v>107.49905655146071</v>
      </c>
      <c r="DB12" s="10">
        <f>IF(管理者入力シート!$B$14=1,DA9*管理者用人口入力シート!AV$3,IF(管理者入力シート!$B$14=2,DA9*管理者用人口入力シート!AV$7))+将来予測シート②!$G27</f>
        <v>128.49101363967512</v>
      </c>
      <c r="DC12" s="10">
        <f>IF(管理者入力シート!$B$14=1,DB9*管理者用人口入力シート!AW$3,IF(管理者入力シート!$B$14=2,DB9*管理者用人口入力シート!AW$7))+将来予測シート②!$G28</f>
        <v>152.53154759954035</v>
      </c>
      <c r="DD12" s="10">
        <f>IF(管理者入力シート!$B$14=1,DC9*管理者用人口入力シート!AX$3,IF(管理者入力シート!$B$14=2,DC9*管理者用人口入力シート!AX$7))+将来予測シート②!$G29</f>
        <v>159.0200651057194</v>
      </c>
      <c r="DE12" s="10">
        <f>IF(管理者入力シート!$B$14=1,DD9*管理者用人口入力シート!AY$3,IF(管理者入力シート!$B$14=2,DD9*管理者用人口入力シート!AY$7))</f>
        <v>148.35264827380522</v>
      </c>
      <c r="DF12" s="10">
        <f>IF(管理者入力シート!$B$14=1,DE9*管理者用人口入力シート!AZ$3,IF(管理者入力シート!$B$14=2,DE9*管理者用人口入力シート!AZ$7))</f>
        <v>125.8979133141094</v>
      </c>
      <c r="DG12" s="10">
        <f>IF(管理者入力シート!$B$14=1,DF9*管理者用人口入力シート!BA$3,IF(管理者入力シート!$B$14=2,DF9*管理者用人口入力シート!BA$7))</f>
        <v>125.7647772506985</v>
      </c>
      <c r="DH12" s="10">
        <f>IF(管理者入力シート!$B$14=1,DG9*管理者用人口入力シート!BB$3,IF(管理者入力シート!$B$14=2,DG9*管理者用人口入力シート!BB$7))</f>
        <v>121.86946770105556</v>
      </c>
      <c r="DI12" s="10">
        <f>IF(管理者入力シート!$B$14=1,DH9*管理者用人口入力シート!BC$3,IF(管理者入力シート!$B$14=2,DH9*管理者用人口入力シート!BC$7))</f>
        <v>96.09634097702174</v>
      </c>
      <c r="DJ12" s="10">
        <f>IF(管理者入力シート!$B$14=1,DI9*管理者用人口入力シート!BD$3,IF(管理者入力シート!$B$14=2,DI9*管理者用人口入力シート!BD$7))</f>
        <v>40.516625141459635</v>
      </c>
      <c r="DK12" s="10">
        <f>IF(管理者入力シート!$B$14=1,DJ9*管理者用人口入力シート!BE$3,IF(管理者入力シート!$B$14=2,DJ9*管理者用人口入力シート!BE$7))</f>
        <v>10.325686242862655</v>
      </c>
      <c r="DL12" s="10">
        <f>IF(管理者入力シート!$B$14=1,DK9*管理者用人口入力シート!BF$3,IF(管理者入力シート!$B$14=2,DK9*管理者用人口入力シート!BF$7))</f>
        <v>0.30306065956898903</v>
      </c>
      <c r="DM12" s="10">
        <f t="shared" si="68"/>
        <v>1969.346521398483</v>
      </c>
      <c r="DN12" s="10">
        <f t="shared" si="34"/>
        <v>108.60428662774524</v>
      </c>
      <c r="DO12" s="10">
        <f t="shared" si="35"/>
        <v>52.711577027809348</v>
      </c>
      <c r="DP12" s="10">
        <f t="shared" si="6"/>
        <v>669.12651956058176</v>
      </c>
      <c r="DQ12" s="10">
        <f t="shared" si="36"/>
        <v>394.87595797266709</v>
      </c>
      <c r="DR12" s="14">
        <f t="shared" si="37"/>
        <v>0.33977083884933468</v>
      </c>
      <c r="DS12" s="14">
        <f t="shared" si="38"/>
        <v>0.20051116128219815</v>
      </c>
      <c r="DT12" s="10">
        <f t="shared" si="69"/>
        <v>301.79663554964202</v>
      </c>
      <c r="DV12" s="233"/>
      <c r="DX12" s="29">
        <f>管理者入力シート!B11</f>
        <v>2040</v>
      </c>
      <c r="DY12" s="4" t="s">
        <v>21</v>
      </c>
      <c r="DZ12" s="10">
        <f>FB13*$AK$13</f>
        <v>124.72546954073552</v>
      </c>
      <c r="EA12" s="140">
        <f>IF(管理者入力シート!$B$14=1,DZ9*管理者用人口入力シート!AM$3,IF(管理者入力シート!$B$14=2,DZ9*管理者用人口入力シート!AM$7))</f>
        <v>132.2242735129185</v>
      </c>
      <c r="EB12" s="10">
        <f>IF(管理者入力シート!$B$14=1,EA9*管理者用人口入力シート!AN$3,IF(管理者入力シート!$B$14=2,EA9*管理者用人口入力シート!AN$7))</f>
        <v>122.78200010929973</v>
      </c>
      <c r="EC12" s="10">
        <f>IF(管理者入力シート!$B$14=1,EB9*管理者用人口入力シート!AO$3,IF(管理者入力シート!$B$14=2,EB9*管理者用人口入力シート!AO$7))</f>
        <v>81.487125059654062</v>
      </c>
      <c r="ED12" s="10">
        <f>IF(管理者入力シート!$B$14=1,EC9*管理者用人口入力シート!AP$3,IF(管理者入力シート!$B$14=2,EC9*管理者用人口入力シート!AP$7))</f>
        <v>50.664122436857859</v>
      </c>
      <c r="EE12" s="10">
        <f>IF(管理者入力シート!$B$14=1,ED9*管理者用人口入力シート!AQ$3,IF(管理者入力シート!$B$14=2,ED9*管理者用人口入力シート!AQ$7))+DX1</f>
        <v>101.85305022238143</v>
      </c>
      <c r="EF12" s="10">
        <f>IF(管理者入力シート!$B$14=1,EE9*管理者用人口入力シート!AR$3,IF(管理者入力シート!$B$14=2,EE9*管理者用人口入力シート!AR$7))+DX1</f>
        <v>140.91479942541946</v>
      </c>
      <c r="EG12" s="10">
        <f>IF(管理者入力シート!$B$14=1,EF9*管理者用人口入力シート!AS$3,IF(管理者入力シート!$B$14=2,EF9*管理者用人口入力シート!AS$7))+DX1</f>
        <v>180.34296313491453</v>
      </c>
      <c r="EH12" s="10">
        <f>IF(管理者入力シート!$B$14=1,EG9*管理者用人口入力シート!AT$3,IF(管理者入力シート!$B$14=2,EG9*管理者用人口入力シート!AT$7))</f>
        <v>195.22100549496744</v>
      </c>
      <c r="EI12" s="10">
        <f>IF(管理者入力シート!$B$14=1,EH9*管理者用人口入力シート!AU$3,IF(管理者入力シート!$B$14=2,EH9*管理者用人口入力シート!AU$7))</f>
        <v>172.61402942631494</v>
      </c>
      <c r="EJ12" s="10">
        <f>IF(管理者入力シート!$B$14=1,EI9*管理者用人口入力シート!AV$3,IF(管理者入力シート!$B$14=2,EI9*管理者用人口入力シート!AV$7))</f>
        <v>160.92004431797213</v>
      </c>
      <c r="EK12" s="10">
        <f>IF(管理者入力シート!$B$14=1,EJ9*管理者用人口入力シート!AW$3,IF(管理者入力シート!$B$14=2,EJ9*管理者用人口入力シート!AW$7))</f>
        <v>152.53154759954035</v>
      </c>
      <c r="EL12" s="10">
        <f>IF(管理者入力シート!$B$14=1,EK9*管理者用人口入力シート!AX$3,IF(管理者入力シート!$B$14=2,EK9*管理者用人口入力シート!AX$7))</f>
        <v>159.0200651057194</v>
      </c>
      <c r="EM12" s="10">
        <f>IF(管理者入力シート!$B$14=1,EL9*管理者用人口入力シート!AY$3,IF(管理者入力シート!$B$14=2,EL9*管理者用人口入力シート!AY$7))</f>
        <v>148.35264827380522</v>
      </c>
      <c r="EN12" s="10">
        <f>IF(管理者入力シート!$B$14=1,EM9*管理者用人口入力シート!AZ$3,IF(管理者入力シート!$B$14=2,EM9*管理者用人口入力シート!AZ$7))</f>
        <v>125.8979133141094</v>
      </c>
      <c r="EO12" s="10">
        <f>IF(管理者入力シート!$B$14=1,EN9*管理者用人口入力シート!BA$3,IF(管理者入力シート!$B$14=2,EN9*管理者用人口入力シート!BA$7))</f>
        <v>125.7647772506985</v>
      </c>
      <c r="EP12" s="10">
        <f>IF(管理者入力シート!$B$14=1,EO9*管理者用人口入力シート!BB$3,IF(管理者入力シート!$B$14=2,EO9*管理者用人口入力シート!BB$7))</f>
        <v>121.86946770105556</v>
      </c>
      <c r="EQ12" s="10">
        <f>IF(管理者入力シート!$B$14=1,EP9*管理者用人口入力シート!BC$3,IF(管理者入力シート!$B$14=2,EP9*管理者用人口入力シート!BC$7))</f>
        <v>96.09634097702174</v>
      </c>
      <c r="ER12" s="10">
        <f>IF(管理者入力シート!$B$14=1,EQ9*管理者用人口入力シート!BD$3,IF(管理者入力シート!$B$14=2,EQ9*管理者用人口入力シート!BD$7))</f>
        <v>40.516625141459635</v>
      </c>
      <c r="ES12" s="10">
        <f>IF(管理者入力シート!$B$14=1,ER9*管理者用人口入力シート!BE$3,IF(管理者入力シート!$B$14=2,ER9*管理者用人口入力シート!BE$7))</f>
        <v>10.325686242862655</v>
      </c>
      <c r="ET12" s="10">
        <f>IF(管理者入力シート!$B$14=1,ES9*管理者用人口入力シート!BF$3,IF(管理者入力シート!$B$14=2,ES9*管理者用人口入力シート!BF$7))</f>
        <v>0.30306065956898903</v>
      </c>
      <c r="EU12" s="10">
        <f t="shared" si="70"/>
        <v>2444.4270149472763</v>
      </c>
      <c r="EV12" s="10">
        <f t="shared" si="41"/>
        <v>153.00376417333095</v>
      </c>
      <c r="EW12" s="10">
        <f t="shared" si="42"/>
        <v>65.410225055650699</v>
      </c>
      <c r="EX12" s="10">
        <f t="shared" si="10"/>
        <v>669.12651956058176</v>
      </c>
      <c r="EY12" s="10">
        <f t="shared" si="43"/>
        <v>394.87595797266709</v>
      </c>
      <c r="EZ12" s="14">
        <f t="shared" si="44"/>
        <v>0.27373552798630568</v>
      </c>
      <c r="FA12" s="14">
        <f t="shared" si="45"/>
        <v>0.1615413164549665</v>
      </c>
      <c r="FB12" s="10">
        <f t="shared" si="71"/>
        <v>473.77493521957331</v>
      </c>
    </row>
    <row r="13" spans="1:158" x14ac:dyDescent="0.15">
      <c r="A13" s="60" t="str">
        <f t="shared" si="11"/>
        <v>2020_2</v>
      </c>
      <c r="B13" s="30">
        <v>2020</v>
      </c>
      <c r="C13" s="5" t="s">
        <v>22</v>
      </c>
      <c r="D13" s="11">
        <v>104.61765289777871</v>
      </c>
      <c r="E13" s="11">
        <v>109.47439575871934</v>
      </c>
      <c r="F13" s="11">
        <v>115.89262681096983</v>
      </c>
      <c r="G13" s="11">
        <v>96.409016839986634</v>
      </c>
      <c r="H13" s="11">
        <v>77.931023739601386</v>
      </c>
      <c r="I13" s="11">
        <v>92.240317562386736</v>
      </c>
      <c r="J13" s="11">
        <v>114.289584963208</v>
      </c>
      <c r="K13" s="11">
        <v>151.28242023454084</v>
      </c>
      <c r="L13" s="11">
        <v>163.69989531205235</v>
      </c>
      <c r="M13" s="11">
        <v>148.03256449084836</v>
      </c>
      <c r="N13" s="11">
        <v>147.61342510462185</v>
      </c>
      <c r="O13" s="11">
        <v>176.04191989789518</v>
      </c>
      <c r="P13" s="11">
        <v>208.52111865235977</v>
      </c>
      <c r="Q13" s="11">
        <v>228.0544657464032</v>
      </c>
      <c r="R13" s="11">
        <v>215.06066409729658</v>
      </c>
      <c r="S13" s="11">
        <v>175.67415134377296</v>
      </c>
      <c r="T13" s="11">
        <v>190.50707661456647</v>
      </c>
      <c r="U13" s="11">
        <v>152.85473257805597</v>
      </c>
      <c r="V13" s="11">
        <v>85.408913264894721</v>
      </c>
      <c r="W13" s="11">
        <v>25.329603835398977</v>
      </c>
      <c r="X13" s="11">
        <v>11.664430254642152</v>
      </c>
      <c r="Y13" s="11">
        <v>2790.5999999999995</v>
      </c>
      <c r="Z13" s="11">
        <f t="shared" ref="Z13:Z14" si="177">E13*3/5+F13*3/5</f>
        <v>135.22021354181351</v>
      </c>
      <c r="AA13" s="11">
        <f t="shared" ref="AA13:AA14" si="178">F13*2/5+G13*1/5</f>
        <v>65.638854092385259</v>
      </c>
      <c r="AB13" s="11">
        <f t="shared" si="176"/>
        <v>1084.554037735031</v>
      </c>
      <c r="AC13" s="11">
        <f t="shared" ref="AC13:AC14" si="179">SUM(S13:X13)</f>
        <v>641.43890789133127</v>
      </c>
      <c r="AD13" s="15">
        <f t="shared" ref="AD13:AD14" si="180">AB13/Y13</f>
        <v>0.38864546611303347</v>
      </c>
      <c r="AE13" s="15">
        <f t="shared" ref="AE13:AE14" si="181">AC13/Y13</f>
        <v>0.22985698698893836</v>
      </c>
      <c r="AF13" s="11">
        <f t="shared" ref="AF13:AF14" si="182">SUM(H13:K13)</f>
        <v>435.74334649973696</v>
      </c>
      <c r="AI13" s="66" t="s">
        <v>47</v>
      </c>
      <c r="AJ13" s="1" t="s">
        <v>21</v>
      </c>
      <c r="AK13" s="9">
        <f>VLOOKUP(AK12&amp;"_1",A:D,4,FALSE)/VLOOKUP(AK12&amp;"_2",A:AF,32,FALSE)</f>
        <v>0.23886295522034351</v>
      </c>
      <c r="AL13" s="69"/>
      <c r="BH13" s="60" t="str">
        <f t="shared" si="19"/>
        <v>2040_2</v>
      </c>
      <c r="BI13" s="30">
        <f>BI12</f>
        <v>2040</v>
      </c>
      <c r="BJ13" s="5" t="s">
        <v>22</v>
      </c>
      <c r="BK13" s="11">
        <f>CM13*$AK$14</f>
        <v>82.854706328513174</v>
      </c>
      <c r="BL13" s="11">
        <f>IF(管理者入力シート!$B$14=1,BK10*管理者用人口入力シート!AM$4,IF(管理者入力シート!$B$14=2,BK10*管理者用人口入力シート!AM$8))</f>
        <v>86.330883099476864</v>
      </c>
      <c r="BM13" s="11">
        <f>IF(管理者入力シート!$B$14=1,BL10*管理者用人口入力シート!AN$4,IF(管理者入力シート!$B$14=2,BL10*管理者用人口入力シート!AN$8))</f>
        <v>88.249407695803356</v>
      </c>
      <c r="BN13" s="11">
        <f>IF(管理者入力シート!$B$14=1,BM10*管理者用人口入力シート!AO$4,IF(管理者入力シート!$B$14=2,BM10*管理者用人口入力シート!AO$8))</f>
        <v>83.566480622763521</v>
      </c>
      <c r="BO13" s="11">
        <f>IF(管理者入力シート!$B$14=1,BN10*管理者用人口入力シート!AP$4,IF(管理者入力シート!$B$14=2,BN10*管理者用人口入力シート!AP$8))</f>
        <v>70.512015553935356</v>
      </c>
      <c r="BP13" s="11">
        <f>IF(管理者入力シート!$B$14=1,BO10*管理者用人口入力シート!AQ$4,IF(管理者入力シート!$B$14=2,BO10*管理者用人口入力シート!AQ$8))</f>
        <v>87.781321774914858</v>
      </c>
      <c r="BQ13" s="11">
        <f>IF(管理者入力シート!$B$14=1,BP10*管理者用人口入力シート!AR$4,IF(管理者入力シート!$B$14=2,BP10*管理者用人口入力シート!AR$8))</f>
        <v>97.524166753841016</v>
      </c>
      <c r="BR13" s="11">
        <f>IF(管理者入力シート!$B$14=1,BQ10*管理者用人口入力シート!AS$4,IF(管理者入力シート!$B$14=2,BQ10*管理者用人口入力シート!AS$8))</f>
        <v>89.280918686510745</v>
      </c>
      <c r="BS13" s="11">
        <f>IF(管理者入力シート!$B$14=1,BR10*管理者用人口入力シート!AT$4,IF(管理者入力シート!$B$14=2,BR10*管理者用人口入力シート!AT$8))</f>
        <v>102.72418096618162</v>
      </c>
      <c r="BT13" s="11">
        <f>IF(管理者入力シート!$B$14=1,BS10*管理者用人口入力シート!AU$4,IF(管理者入力シート!$B$14=2,BS10*管理者用人口入力シート!AU$8))</f>
        <v>104.34153318118534</v>
      </c>
      <c r="BU13" s="11">
        <f>IF(管理者入力シート!$B$14=1,BT10*管理者用人口入力シート!AV$4,IF(管理者入力シート!$B$14=2,BT10*管理者用人口入力シート!AV$8))</f>
        <v>124.01644660580482</v>
      </c>
      <c r="BV13" s="11">
        <f>IF(管理者入力シート!$B$14=1,BU10*管理者用人口入力シート!AW$4,IF(管理者入力シート!$B$14=2,BU10*管理者用人口入力シート!AW$8))</f>
        <v>169.00149272776599</v>
      </c>
      <c r="BW13" s="11">
        <f>IF(管理者入力シート!$B$14=1,BV10*管理者用人口入力シート!AX$4,IF(管理者入力シート!$B$14=2,BV10*管理者用人口入力シート!AX$8))</f>
        <v>176.90063914666916</v>
      </c>
      <c r="BX13" s="11">
        <f>IF(管理者入力シート!$B$14=1,BW10*管理者用人口入力シート!AY$4,IF(管理者入力シート!$B$14=2,BW10*管理者用人口入力シート!AY$8))</f>
        <v>151.3859110746078</v>
      </c>
      <c r="BY13" s="11">
        <f>IF(管理者入力シート!$B$14=1,BX10*管理者用人口入力シート!AZ$4,IF(管理者入力シート!$B$14=2,BX10*管理者用人口入力シート!AZ$8))</f>
        <v>144.2711850123149</v>
      </c>
      <c r="BZ13" s="11">
        <f>IF(管理者入力シート!$B$14=1,BY10*管理者用人口入力シート!BA$4,IF(管理者入力シート!$B$14=2,BY10*管理者用人口入力シート!BA$8))</f>
        <v>167.63370425906157</v>
      </c>
      <c r="CA13" s="11">
        <f>IF(管理者入力シート!$B$14=1,BZ10*管理者用人口入力シート!BB$4,IF(管理者入力シート!$B$14=2,BZ10*管理者用人口入力シート!BB$8))</f>
        <v>176.87524243310946</v>
      </c>
      <c r="CB13" s="11">
        <f>IF(管理者入力シート!$B$14=1,CA10*管理者用人口入力シート!BC$4,IF(管理者入力シート!$B$14=2,CA10*管理者用人口入力シート!BC$8))</f>
        <v>172.37456348460103</v>
      </c>
      <c r="CC13" s="11">
        <f>IF(管理者入力シート!$B$14=1,CB10*管理者用人口入力シート!BD$4,IF(管理者入力シート!$B$14=2,CB10*管理者用人口入力シート!BD$8))</f>
        <v>112.99791351630019</v>
      </c>
      <c r="CD13" s="11">
        <f>IF(管理者入力シート!$B$14=1,CC10*管理者用人口入力シート!BE$4,IF(管理者入力シート!$B$14=2,CC10*管理者用人口入力シート!BE$8))</f>
        <v>43.284387691672087</v>
      </c>
      <c r="CE13" s="11">
        <f>IF(管理者入力シート!$B$14=1,CD10*管理者用人口入力シート!BF$4,IF(管理者入力シート!$B$14=2,CD10*管理者用人口入力シート!BF$8))</f>
        <v>24.734012820649649</v>
      </c>
      <c r="CF13" s="11">
        <f t="shared" si="2"/>
        <v>2356.6411134356827</v>
      </c>
      <c r="CG13" s="11">
        <f t="shared" si="20"/>
        <v>104.74817447716813</v>
      </c>
      <c r="CH13" s="11">
        <f t="shared" si="21"/>
        <v>52.013059202874047</v>
      </c>
      <c r="CI13" s="11">
        <f t="shared" si="3"/>
        <v>993.5569202923167</v>
      </c>
      <c r="CJ13" s="11">
        <f t="shared" si="22"/>
        <v>697.899824205394</v>
      </c>
      <c r="CK13" s="15">
        <f t="shared" si="23"/>
        <v>0.42159873840265699</v>
      </c>
      <c r="CL13" s="15">
        <f t="shared" si="24"/>
        <v>0.2961417503185052</v>
      </c>
      <c r="CM13" s="11">
        <f t="shared" si="25"/>
        <v>345.09842276920199</v>
      </c>
      <c r="CO13" s="60" t="str">
        <f t="shared" si="26"/>
        <v>2040_2</v>
      </c>
      <c r="CP13" s="30">
        <f>CP12</f>
        <v>2040</v>
      </c>
      <c r="CQ13" s="5" t="s">
        <v>22</v>
      </c>
      <c r="CR13" s="11">
        <f>DT13*$AK$14+将来予測シート②!$H17</f>
        <v>85.697555878955924</v>
      </c>
      <c r="CS13" s="11">
        <f>IF(管理者入力シート!$B$14=1,CR10*管理者用人口入力シート!AM$4,IF(管理者入力シート!$B$14=2,CR10*管理者用人口入力シート!AM$8))+将来予測シート②!$H18</f>
        <v>89.027217295948944</v>
      </c>
      <c r="CT13" s="11">
        <f>IF(管理者入力シート!$B$14=1,CS10*管理者用人口入力シート!AN$4,IF(管理者入力シート!$B$14=2,CS10*管理者用人口入力シート!AN$8))+将来予測シート②!$H19</f>
        <v>91.29243918320833</v>
      </c>
      <c r="CU13" s="11">
        <f>IF(管理者入力シート!$B$14=1,CT10*管理者用人口入力シート!AO$4,IF(管理者入力シート!$B$14=2,CT10*管理者用人口入力シート!AO$8))+将来予測シート②!$H20</f>
        <v>85.3952322846378</v>
      </c>
      <c r="CV13" s="11">
        <f>IF(管理者入力シート!$B$14=1,CU10*管理者用人口入力シート!AP$4,IF(管理者入力シート!$B$14=2,CU10*管理者用人口入力シート!AP$8))+将来予測シート②!$H21</f>
        <v>71.168278398581236</v>
      </c>
      <c r="CW13" s="11">
        <f>IF(管理者入力シート!$B$14=1,CV10*管理者用人口入力シート!AQ$4,IF(管理者入力シート!$B$14=2,CV10*管理者用人口入力シート!AQ$8))+将来予測シート②!$H22</f>
        <v>90.575032686215465</v>
      </c>
      <c r="CX13" s="11">
        <f>IF(管理者入力シート!$B$14=1,CW10*管理者用人口入力シート!AR$4,IF(管理者入力シート!$B$14=2,CW10*管理者用人口入力シート!AR$8))+将来予測シート②!$H23</f>
        <v>99.644597470069144</v>
      </c>
      <c r="CY13" s="11">
        <f>IF(管理者入力シート!$B$14=1,CX10*管理者用人口入力シート!AS$4,IF(管理者入力シート!$B$14=2,CX10*管理者用人口入力シート!AS$8))+将来予測シート②!$H24</f>
        <v>91.386173225632021</v>
      </c>
      <c r="CZ13" s="11">
        <f>IF(管理者入力シート!$B$14=1,CY10*管理者用人口入力シート!AT$4,IF(管理者入力シート!$B$14=2,CY10*管理者用人口入力シート!AT$8))+将来予測シート②!$H25</f>
        <v>105.90393639288071</v>
      </c>
      <c r="DA13" s="11">
        <f>IF(管理者入力シート!$B$14=1,CZ10*管理者用人口入力シート!AU$4,IF(管理者入力シート!$B$14=2,CZ10*管理者用人口入力シート!AU$8))+将来予測シート②!$H26</f>
        <v>105.37944068677291</v>
      </c>
      <c r="DB13" s="11">
        <f>IF(管理者入力シート!$B$14=1,DA10*管理者用人口入力シート!AV$4,IF(管理者入力シート!$B$14=2,DA10*管理者用人口入力シート!AV$8))+将来予測シート②!$H27</f>
        <v>125.07202124402538</v>
      </c>
      <c r="DC13" s="11">
        <f>IF(管理者入力シート!$B$14=1,DB10*管理者用人口入力シート!AW$4,IF(管理者入力シート!$B$14=2,DB10*管理者用人口入力シート!AW$8))+将来予測シート②!$H28</f>
        <v>170.08043677100278</v>
      </c>
      <c r="DD13" s="11">
        <f>IF(管理者入力シート!$B$14=1,DC10*管理者用人口入力シート!AX$4,IF(管理者入力シート!$B$14=2,DC10*管理者用人口入力シート!AX$8))+将来予測シート②!$H29</f>
        <v>176.90063914666916</v>
      </c>
      <c r="DE13" s="11">
        <f>IF(管理者入力シート!$B$14=1,DD10*管理者用人口入力シート!AY$4,IF(管理者入力シート!$B$14=2,DD10*管理者用人口入力シート!AY$8))</f>
        <v>151.3859110746078</v>
      </c>
      <c r="DF13" s="11">
        <f>IF(管理者入力シート!$B$14=1,DE10*管理者用人口入力シート!AZ$4,IF(管理者入力シート!$B$14=2,DE10*管理者用人口入力シート!AZ$8))</f>
        <v>144.2711850123149</v>
      </c>
      <c r="DG13" s="11">
        <f>IF(管理者入力シート!$B$14=1,DF10*管理者用人口入力シート!BA$4,IF(管理者入力シート!$B$14=2,DF10*管理者用人口入力シート!BA$8))</f>
        <v>167.63370425906157</v>
      </c>
      <c r="DH13" s="11">
        <f>IF(管理者入力シート!$B$14=1,DG10*管理者用人口入力シート!BB$4,IF(管理者入力シート!$B$14=2,DG10*管理者用人口入力シート!BB$8))</f>
        <v>176.87524243310946</v>
      </c>
      <c r="DI13" s="11">
        <f>IF(管理者入力シート!$B$14=1,DH10*管理者用人口入力シート!BC$4,IF(管理者入力シート!$B$14=2,DH10*管理者用人口入力シート!BC$8))</f>
        <v>172.37456348460103</v>
      </c>
      <c r="DJ13" s="11">
        <f>IF(管理者入力シート!$B$14=1,DI10*管理者用人口入力シート!BD$4,IF(管理者入力シート!$B$14=2,DI10*管理者用人口入力シート!BD$8))</f>
        <v>112.99791351630019</v>
      </c>
      <c r="DK13" s="11">
        <f>IF(管理者入力シート!$B$14=1,DJ10*管理者用人口入力シート!BE$4,IF(管理者入力シート!$B$14=2,DJ10*管理者用人口入力シート!BE$8))</f>
        <v>43.284387691672087</v>
      </c>
      <c r="DL13" s="11">
        <f>IF(管理者入力シート!$B$14=1,DK10*管理者用人口入力シート!BF$4,IF(管理者入力シート!$B$14=2,DK10*管理者用人口入力シート!BF$8))</f>
        <v>24.734012820649649</v>
      </c>
      <c r="DM13" s="11">
        <f t="shared" si="68"/>
        <v>2381.0799209569168</v>
      </c>
      <c r="DN13" s="11">
        <f t="shared" si="34"/>
        <v>108.19179388749436</v>
      </c>
      <c r="DO13" s="11">
        <f t="shared" si="35"/>
        <v>53.596022130210898</v>
      </c>
      <c r="DP13" s="11">
        <f t="shared" si="6"/>
        <v>993.5569202923167</v>
      </c>
      <c r="DQ13" s="11">
        <f t="shared" si="36"/>
        <v>697.899824205394</v>
      </c>
      <c r="DR13" s="15">
        <f t="shared" si="37"/>
        <v>0.41727155462006604</v>
      </c>
      <c r="DS13" s="15">
        <f t="shared" si="38"/>
        <v>0.2931022256174079</v>
      </c>
      <c r="DT13" s="11">
        <f t="shared" si="69"/>
        <v>352.77408178049785</v>
      </c>
      <c r="DV13" s="68"/>
      <c r="DX13" s="30">
        <f>DX12</f>
        <v>2040</v>
      </c>
      <c r="DY13" s="5" t="s">
        <v>22</v>
      </c>
      <c r="DZ13" s="11">
        <f>FB13*$AK$14</f>
        <v>125.36622664425992</v>
      </c>
      <c r="EA13" s="11">
        <f>IF(管理者入力シート!$B$14=1,DZ10*管理者用人口入力シート!AM$4,IF(管理者入力シート!$B$14=2,DZ10*管理者用人口入力シート!AM$8))</f>
        <v>129.5483957762153</v>
      </c>
      <c r="EB13" s="11">
        <f>IF(管理者入力シート!$B$14=1,EA10*管理者用人口入力シート!AN$4,IF(管理者入力シート!$B$14=2,EA10*管理者用人口入力シート!AN$8))</f>
        <v>124.38264301024492</v>
      </c>
      <c r="EC13" s="11">
        <f>IF(管理者入力シート!$B$14=1,EB10*管理者用人口入力シート!AO$4,IF(管理者入力シート!$B$14=2,EB10*管理者用人口入力シート!AO$8))</f>
        <v>83.566480622763521</v>
      </c>
      <c r="ED13" s="11">
        <f>IF(管理者入力シート!$B$14=1,EC10*管理者用人口入力シート!AP$4,IF(管理者入力シート!$B$14=2,EC10*管理者用人口入力シート!AP$8))</f>
        <v>70.512015553935356</v>
      </c>
      <c r="EE13" s="11">
        <f>IF(管理者入力シート!$B$14=1,ED10*管理者用人口入力シート!AQ$4,IF(管理者入力シート!$B$14=2,ED10*管理者用人口入力シート!AQ$8))+DX1</f>
        <v>116.78132177491486</v>
      </c>
      <c r="EF13" s="11">
        <f>IF(管理者入力シート!$B$14=1,EE10*管理者用人口入力シート!AR$4,IF(管理者入力シート!$B$14=2,EE10*管理者用人口入力シート!AR$8))+DX1</f>
        <v>157.2704121391489</v>
      </c>
      <c r="EG13" s="11">
        <f>IF(管理者入力シート!$B$14=1,EF10*管理者用人口入力シート!AS$4,IF(管理者入力シート!$B$14=2,EF10*管理者用人口入力シート!AS$8))+DX1</f>
        <v>177.59955302350787</v>
      </c>
      <c r="EH13" s="11">
        <f>IF(管理者入力シート!$B$14=1,EG10*管理者用人口入力シート!AT$4,IF(管理者入力シート!$B$14=2,EG10*管理者用人口入力シート!AT$8))</f>
        <v>194.16824100610242</v>
      </c>
      <c r="EI13" s="11">
        <f>IF(管理者入力シート!$B$14=1,EH10*管理者用人口入力シート!AU$4,IF(管理者入力シート!$B$14=2,EH10*管理者用人口入力シート!AU$8))</f>
        <v>166.44743393113396</v>
      </c>
      <c r="EJ13" s="11">
        <f>IF(管理者入力シート!$B$14=1,EI10*管理者用人口入力シート!AV$4,IF(管理者入力シート!$B$14=2,EI10*管理者用人口入力シート!AV$8))</f>
        <v>155.71139873274319</v>
      </c>
      <c r="EK13" s="11">
        <f>IF(管理者入力シート!$B$14=1,EJ10*管理者用人口入力シート!AW$4,IF(管理者入力シート!$B$14=2,EJ10*管理者用人口入力シート!AW$8))</f>
        <v>169.00149272776599</v>
      </c>
      <c r="EL13" s="11">
        <f>IF(管理者入力シート!$B$14=1,EK10*管理者用人口入力シート!AX$4,IF(管理者入力シート!$B$14=2,EK10*管理者用人口入力シート!AX$8))</f>
        <v>176.90063914666916</v>
      </c>
      <c r="EM13" s="11">
        <f>IF(管理者入力シート!$B$14=1,EL10*管理者用人口入力シート!AY$4,IF(管理者入力シート!$B$14=2,EL10*管理者用人口入力シート!AY$8))</f>
        <v>151.3859110746078</v>
      </c>
      <c r="EN13" s="11">
        <f>IF(管理者入力シート!$B$14=1,EM10*管理者用人口入力シート!AZ$4,IF(管理者入力シート!$B$14=2,EM10*管理者用人口入力シート!AZ$8))</f>
        <v>144.2711850123149</v>
      </c>
      <c r="EO13" s="11">
        <f>IF(管理者入力シート!$B$14=1,EN10*管理者用人口入力シート!BA$4,IF(管理者入力シート!$B$14=2,EN10*管理者用人口入力シート!BA$8))</f>
        <v>167.63370425906157</v>
      </c>
      <c r="EP13" s="11">
        <f>IF(管理者入力シート!$B$14=1,EO10*管理者用人口入力シート!BB$4,IF(管理者入力シート!$B$14=2,EO10*管理者用人口入力シート!BB$8))</f>
        <v>176.87524243310946</v>
      </c>
      <c r="EQ13" s="11">
        <f>IF(管理者入力シート!$B$14=1,EP10*管理者用人口入力シート!BC$4,IF(管理者入力シート!$B$14=2,EP10*管理者用人口入力シート!BC$8))</f>
        <v>172.37456348460103</v>
      </c>
      <c r="ER13" s="11">
        <f>IF(管理者入力シート!$B$14=1,EQ10*管理者用人口入力シート!BD$4,IF(管理者入力シート!$B$14=2,EQ10*管理者用人口入力シート!BD$8))</f>
        <v>112.99791351630019</v>
      </c>
      <c r="ES13" s="11">
        <f>IF(管理者入力シート!$B$14=1,ER10*管理者用人口入力シート!BE$4,IF(管理者入力シート!$B$14=2,ER10*管理者用人口入力シート!BE$8))</f>
        <v>43.284387691672087</v>
      </c>
      <c r="ET13" s="11">
        <f>IF(管理者入力シート!$B$14=1,ES10*管理者用人口入力シート!BF$4,IF(管理者入力シート!$B$14=2,ES10*管理者用人口入力シート!BF$8))</f>
        <v>24.734012820649649</v>
      </c>
      <c r="EU13" s="11">
        <f t="shared" si="70"/>
        <v>2840.8131743817225</v>
      </c>
      <c r="EV13" s="11">
        <f t="shared" si="41"/>
        <v>152.35862327187613</v>
      </c>
      <c r="EW13" s="11">
        <f t="shared" si="42"/>
        <v>66.466353328650683</v>
      </c>
      <c r="EX13" s="11">
        <f t="shared" si="10"/>
        <v>993.5569202923167</v>
      </c>
      <c r="EY13" s="11">
        <f t="shared" si="43"/>
        <v>697.899824205394</v>
      </c>
      <c r="EZ13" s="15">
        <f t="shared" si="44"/>
        <v>0.3497438442105773</v>
      </c>
      <c r="FA13" s="15">
        <f t="shared" si="45"/>
        <v>0.2456690325499091</v>
      </c>
      <c r="FB13" s="11">
        <f t="shared" si="71"/>
        <v>522.16330249150701</v>
      </c>
    </row>
    <row r="14" spans="1:158" x14ac:dyDescent="0.15">
      <c r="A14" s="60" t="str">
        <f t="shared" si="11"/>
        <v>2020_3</v>
      </c>
      <c r="B14" s="31">
        <v>2020</v>
      </c>
      <c r="C14" s="6" t="s">
        <v>23</v>
      </c>
      <c r="D14" s="12">
        <v>208.700596360308</v>
      </c>
      <c r="E14" s="12">
        <v>224.87661380176303</v>
      </c>
      <c r="F14" s="12">
        <v>237.85828674400878</v>
      </c>
      <c r="G14" s="12">
        <v>208.77518160645752</v>
      </c>
      <c r="H14" s="12">
        <v>141.43545512408667</v>
      </c>
      <c r="I14" s="12">
        <v>182.13993772066857</v>
      </c>
      <c r="J14" s="12">
        <v>223.3735718117648</v>
      </c>
      <c r="K14" s="12">
        <v>289.42400637486861</v>
      </c>
      <c r="L14" s="12">
        <v>316.42587379141315</v>
      </c>
      <c r="M14" s="12">
        <v>300.63700785659449</v>
      </c>
      <c r="N14" s="12">
        <v>286.75267214604236</v>
      </c>
      <c r="O14" s="12">
        <v>331.92103278476912</v>
      </c>
      <c r="P14" s="12">
        <v>394.90983942419348</v>
      </c>
      <c r="Q14" s="12">
        <v>444.12069485325134</v>
      </c>
      <c r="R14" s="12">
        <v>407.97267889584441</v>
      </c>
      <c r="S14" s="12">
        <v>307.02243314744931</v>
      </c>
      <c r="T14" s="12">
        <v>306.10700961502135</v>
      </c>
      <c r="U14" s="12">
        <v>233.67400149031482</v>
      </c>
      <c r="V14" s="12">
        <v>122.37440800933729</v>
      </c>
      <c r="W14" s="12">
        <v>33.4342681872008</v>
      </c>
      <c r="X14" s="12">
        <v>11.664430254642152</v>
      </c>
      <c r="Y14" s="12">
        <v>5213.6000000000004</v>
      </c>
      <c r="Z14" s="12">
        <f t="shared" si="177"/>
        <v>277.64094032746311</v>
      </c>
      <c r="AA14" s="12">
        <f t="shared" si="178"/>
        <v>136.89835101889503</v>
      </c>
      <c r="AB14" s="12">
        <f t="shared" si="176"/>
        <v>1866.3699244530615</v>
      </c>
      <c r="AC14" s="12">
        <f t="shared" si="179"/>
        <v>1014.2765507039658</v>
      </c>
      <c r="AD14" s="16">
        <f t="shared" si="180"/>
        <v>0.35798103507232265</v>
      </c>
      <c r="AE14" s="16">
        <f t="shared" si="181"/>
        <v>0.19454437446370371</v>
      </c>
      <c r="AF14" s="12">
        <f t="shared" si="182"/>
        <v>836.37297103138872</v>
      </c>
      <c r="AI14" s="48"/>
      <c r="AJ14" s="1" t="s">
        <v>22</v>
      </c>
      <c r="AK14" s="9">
        <f>VLOOKUP(AK12&amp;"_2",A:D,4,FALSE)/VLOOKUP(AK12&amp;"_2",A:AF,32,FALSE)</f>
        <v>0.24009007535779289</v>
      </c>
      <c r="AL14" s="69"/>
      <c r="BH14" s="60" t="str">
        <f t="shared" si="19"/>
        <v>2040_3</v>
      </c>
      <c r="BI14" s="31">
        <f>BI13</f>
        <v>2040</v>
      </c>
      <c r="BJ14" s="6" t="s">
        <v>23</v>
      </c>
      <c r="BK14" s="17">
        <f>BK12+BK13</f>
        <v>165.28593543304424</v>
      </c>
      <c r="BL14" s="17">
        <f t="shared" ref="BL14" si="183">BL12+BL13</f>
        <v>174.44496765576582</v>
      </c>
      <c r="BM14" s="17">
        <f t="shared" ref="BM14" si="184">BM12+BM13</f>
        <v>175.36316025096727</v>
      </c>
      <c r="BN14" s="17">
        <f t="shared" ref="BN14" si="185">BN12+BN13</f>
        <v>165.05360568241758</v>
      </c>
      <c r="BO14" s="17">
        <f t="shared" ref="BO14" si="186">BO12+BO13</f>
        <v>121.17613799079322</v>
      </c>
      <c r="BP14" s="17">
        <f t="shared" ref="BP14" si="187">BP12+BP13</f>
        <v>160.63437199729628</v>
      </c>
      <c r="BQ14" s="17">
        <f t="shared" ref="BQ14" si="188">BQ12+BQ13</f>
        <v>179.33312896476082</v>
      </c>
      <c r="BR14" s="17">
        <f t="shared" ref="BR14" si="189">BR12+BR13</f>
        <v>178.3643061356081</v>
      </c>
      <c r="BS14" s="17">
        <f t="shared" ref="BS14" si="190">BS12+BS13</f>
        <v>201.74205555301177</v>
      </c>
      <c r="BT14" s="17">
        <f t="shared" ref="BT14" si="191">BT12+BT13</f>
        <v>211.84058973264604</v>
      </c>
      <c r="BU14" s="17">
        <f t="shared" ref="BU14" si="192">BU12+BU13</f>
        <v>252.50746024547993</v>
      </c>
      <c r="BV14" s="17">
        <f t="shared" ref="BV14" si="193">BV12+BV13</f>
        <v>321.53304032730637</v>
      </c>
      <c r="BW14" s="17">
        <f t="shared" ref="BW14" si="194">BW12+BW13</f>
        <v>335.92070425238853</v>
      </c>
      <c r="BX14" s="17">
        <f t="shared" ref="BX14" si="195">BX12+BX13</f>
        <v>299.73855934841299</v>
      </c>
      <c r="BY14" s="17">
        <f t="shared" ref="BY14" si="196">BY12+BY13</f>
        <v>270.16909832642432</v>
      </c>
      <c r="BZ14" s="17">
        <f t="shared" ref="BZ14" si="197">BZ12+BZ13</f>
        <v>293.39848150976007</v>
      </c>
      <c r="CA14" s="17">
        <f t="shared" ref="CA14" si="198">CA12+CA13</f>
        <v>298.74471013416502</v>
      </c>
      <c r="CB14" s="17">
        <f t="shared" ref="CB14" si="199">CB12+CB13</f>
        <v>268.47090446162275</v>
      </c>
      <c r="CC14" s="17">
        <f t="shared" ref="CC14" si="200">CC12+CC13</f>
        <v>153.51453865775983</v>
      </c>
      <c r="CD14" s="17">
        <f t="shared" ref="CD14" si="201">CD12+CD13</f>
        <v>53.610073934534739</v>
      </c>
      <c r="CE14" s="17">
        <f t="shared" ref="CE14" si="202">CE12+CE13</f>
        <v>25.037073480218638</v>
      </c>
      <c r="CF14" s="12">
        <f t="shared" si="2"/>
        <v>4305.8829040743849</v>
      </c>
      <c r="CG14" s="12">
        <f t="shared" si="20"/>
        <v>209.88487674403987</v>
      </c>
      <c r="CH14" s="12">
        <f t="shared" si="21"/>
        <v>103.15598523687044</v>
      </c>
      <c r="CI14" s="12">
        <f t="shared" si="3"/>
        <v>1662.6834398528983</v>
      </c>
      <c r="CJ14" s="12">
        <f t="shared" si="22"/>
        <v>1092.775782178061</v>
      </c>
      <c r="CK14" s="16">
        <f t="shared" si="23"/>
        <v>0.3861422795031435</v>
      </c>
      <c r="CL14" s="16">
        <f t="shared" si="24"/>
        <v>0.25378669288568817</v>
      </c>
      <c r="CM14" s="12">
        <f t="shared" si="25"/>
        <v>639.50794508845843</v>
      </c>
      <c r="CO14" s="60" t="str">
        <f t="shared" si="26"/>
        <v>2040_3</v>
      </c>
      <c r="CP14" s="31">
        <f>CP13</f>
        <v>2040</v>
      </c>
      <c r="CQ14" s="6" t="s">
        <v>23</v>
      </c>
      <c r="CR14" s="17">
        <f>CR12+CR13</f>
        <v>170.96221557818876</v>
      </c>
      <c r="CS14" s="17">
        <f t="shared" ref="CS14" si="203">CS12+CS13</f>
        <v>179.8986605213226</v>
      </c>
      <c r="CT14" s="17">
        <f t="shared" ref="CT14" si="204">CT12+CT13</f>
        <v>181.42814033741004</v>
      </c>
      <c r="CU14" s="17">
        <f t="shared" ref="CU14" si="205">CU12+CU13</f>
        <v>168.68171511528112</v>
      </c>
      <c r="CV14" s="17">
        <f t="shared" ref="CV14" si="206">CV12+CV13</f>
        <v>122.31008438954146</v>
      </c>
      <c r="CW14" s="17">
        <f t="shared" ref="CW14" si="207">CW12+CW13</f>
        <v>166.0741990671101</v>
      </c>
      <c r="CX14" s="17">
        <f t="shared" ref="CX14" si="208">CX12+CX13</f>
        <v>183.52982431647166</v>
      </c>
      <c r="CY14" s="17">
        <f t="shared" ref="CY14" si="209">CY12+CY13</f>
        <v>182.65660955701662</v>
      </c>
      <c r="CZ14" s="17">
        <f t="shared" ref="CZ14" si="210">CZ12+CZ13</f>
        <v>207.22733287529286</v>
      </c>
      <c r="DA14" s="17">
        <f t="shared" ref="DA14" si="211">DA12+DA13</f>
        <v>212.87849723823362</v>
      </c>
      <c r="DB14" s="17">
        <f t="shared" ref="DB14" si="212">DB12+DB13</f>
        <v>253.56303488370048</v>
      </c>
      <c r="DC14" s="17">
        <f t="shared" ref="DC14" si="213">DC12+DC13</f>
        <v>322.61198437054315</v>
      </c>
      <c r="DD14" s="17">
        <f t="shared" ref="DD14" si="214">DD12+DD13</f>
        <v>335.92070425238853</v>
      </c>
      <c r="DE14" s="17">
        <f t="shared" ref="DE14" si="215">DE12+DE13</f>
        <v>299.73855934841299</v>
      </c>
      <c r="DF14" s="17">
        <f t="shared" ref="DF14" si="216">DF12+DF13</f>
        <v>270.16909832642432</v>
      </c>
      <c r="DG14" s="17">
        <f t="shared" ref="DG14" si="217">DG12+DG13</f>
        <v>293.39848150976007</v>
      </c>
      <c r="DH14" s="17">
        <f t="shared" ref="DH14" si="218">DH12+DH13</f>
        <v>298.74471013416502</v>
      </c>
      <c r="DI14" s="17">
        <f t="shared" ref="DI14" si="219">DI12+DI13</f>
        <v>268.47090446162275</v>
      </c>
      <c r="DJ14" s="17">
        <f t="shared" ref="DJ14" si="220">DJ12+DJ13</f>
        <v>153.51453865775983</v>
      </c>
      <c r="DK14" s="17">
        <f t="shared" ref="DK14" si="221">DK12+DK13</f>
        <v>53.610073934534739</v>
      </c>
      <c r="DL14" s="17">
        <f t="shared" ref="DL14" si="222">DL12+DL13</f>
        <v>25.037073480218638</v>
      </c>
      <c r="DM14" s="12">
        <f t="shared" si="68"/>
        <v>4350.4264423553996</v>
      </c>
      <c r="DN14" s="12">
        <f t="shared" si="34"/>
        <v>216.79608051523957</v>
      </c>
      <c r="DO14" s="12">
        <f t="shared" si="35"/>
        <v>106.30759915802024</v>
      </c>
      <c r="DP14" s="12">
        <f t="shared" si="6"/>
        <v>1662.6834398528983</v>
      </c>
      <c r="DQ14" s="12">
        <f t="shared" si="36"/>
        <v>1092.775782178061</v>
      </c>
      <c r="DR14" s="16">
        <f t="shared" si="37"/>
        <v>0.38218861113594449</v>
      </c>
      <c r="DS14" s="16">
        <f t="shared" si="38"/>
        <v>0.25118819882549548</v>
      </c>
      <c r="DT14" s="12">
        <f t="shared" si="69"/>
        <v>654.57071733013981</v>
      </c>
      <c r="DX14" s="31">
        <f>DX13</f>
        <v>2040</v>
      </c>
      <c r="DY14" s="6" t="s">
        <v>23</v>
      </c>
      <c r="DZ14" s="17">
        <f>DZ12+DZ13</f>
        <v>250.09169618499544</v>
      </c>
      <c r="EA14" s="17">
        <f t="shared" ref="EA14" si="223">EA12+EA13</f>
        <v>261.77266928913377</v>
      </c>
      <c r="EB14" s="17">
        <f t="shared" ref="EB14" si="224">EB12+EB13</f>
        <v>247.16464311954465</v>
      </c>
      <c r="EC14" s="17">
        <f t="shared" ref="EC14" si="225">EC12+EC13</f>
        <v>165.05360568241758</v>
      </c>
      <c r="ED14" s="17">
        <f t="shared" ref="ED14" si="226">ED12+ED13</f>
        <v>121.17613799079322</v>
      </c>
      <c r="EE14" s="17">
        <f t="shared" ref="EE14" si="227">EE12+EE13</f>
        <v>218.63437199729628</v>
      </c>
      <c r="EF14" s="17">
        <f t="shared" ref="EF14" si="228">EF12+EF13</f>
        <v>298.18521156456836</v>
      </c>
      <c r="EG14" s="17">
        <f t="shared" ref="EG14" si="229">EG12+EG13</f>
        <v>357.94251615842239</v>
      </c>
      <c r="EH14" s="17">
        <f t="shared" ref="EH14" si="230">EH12+EH13</f>
        <v>389.38924650106986</v>
      </c>
      <c r="EI14" s="17">
        <f t="shared" ref="EI14" si="231">EI12+EI13</f>
        <v>339.06146335744893</v>
      </c>
      <c r="EJ14" s="17">
        <f t="shared" ref="EJ14" si="232">EJ12+EJ13</f>
        <v>316.63144305071535</v>
      </c>
      <c r="EK14" s="17">
        <f t="shared" ref="EK14" si="233">EK12+EK13</f>
        <v>321.53304032730637</v>
      </c>
      <c r="EL14" s="17">
        <f t="shared" ref="EL14" si="234">EL12+EL13</f>
        <v>335.92070425238853</v>
      </c>
      <c r="EM14" s="17">
        <f t="shared" ref="EM14" si="235">EM12+EM13</f>
        <v>299.73855934841299</v>
      </c>
      <c r="EN14" s="17">
        <f t="shared" ref="EN14" si="236">EN12+EN13</f>
        <v>270.16909832642432</v>
      </c>
      <c r="EO14" s="17">
        <f t="shared" ref="EO14" si="237">EO12+EO13</f>
        <v>293.39848150976007</v>
      </c>
      <c r="EP14" s="17">
        <f t="shared" ref="EP14" si="238">EP12+EP13</f>
        <v>298.74471013416502</v>
      </c>
      <c r="EQ14" s="17">
        <f t="shared" ref="EQ14" si="239">EQ12+EQ13</f>
        <v>268.47090446162275</v>
      </c>
      <c r="ER14" s="17">
        <f t="shared" ref="ER14" si="240">ER12+ER13</f>
        <v>153.51453865775983</v>
      </c>
      <c r="ES14" s="17">
        <f t="shared" ref="ES14" si="241">ES12+ES13</f>
        <v>53.610073934534739</v>
      </c>
      <c r="ET14" s="17">
        <f t="shared" ref="ET14" si="242">ET12+ET13</f>
        <v>25.037073480218638</v>
      </c>
      <c r="EU14" s="12">
        <f t="shared" si="70"/>
        <v>5285.2401893289998</v>
      </c>
      <c r="EV14" s="12">
        <f t="shared" si="41"/>
        <v>305.3623874452071</v>
      </c>
      <c r="EW14" s="12">
        <f t="shared" si="42"/>
        <v>131.87657838430138</v>
      </c>
      <c r="EX14" s="12">
        <f t="shared" si="10"/>
        <v>1662.6834398528983</v>
      </c>
      <c r="EY14" s="12">
        <f t="shared" si="43"/>
        <v>1092.775782178061</v>
      </c>
      <c r="EZ14" s="16">
        <f t="shared" si="44"/>
        <v>0.31458994866683404</v>
      </c>
      <c r="FA14" s="16">
        <f t="shared" si="45"/>
        <v>0.20675990930069671</v>
      </c>
      <c r="FB14" s="12">
        <f t="shared" si="71"/>
        <v>995.93823771108032</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80.248596024863318</v>
      </c>
      <c r="BL15" s="10">
        <f>IF(管理者入力シート!$B$14=1,BK12*管理者用人口入力シート!AM$3,IF(管理者入力シート!$B$14=2,BK12*管理者用人口入力シート!AM$7))</f>
        <v>85.970502229792316</v>
      </c>
      <c r="BM15" s="10">
        <f>IF(管理者入力シート!$B$14=1,BL12*管理者用人口入力シート!AN$3,IF(管理者入力シート!$B$14=2,BL12*管理者用人口入力シート!AN$7))</f>
        <v>86.093093813753129</v>
      </c>
      <c r="BN15" s="10">
        <f>IF(管理者入力シート!$B$14=1,BM12*管理者用人口入力シート!AO$3,IF(管理者入力シート!$B$14=2,BM12*管理者用人口入力シート!AO$7))</f>
        <v>77.63626855089646</v>
      </c>
      <c r="BO15" s="10">
        <f>IF(管理者入力シート!$B$14=1,BN12*管理者用人口入力シート!AP$3,IF(管理者入力シート!$B$14=2,BN12*管理者用人口入力シート!AP$7))</f>
        <v>43.676854462773171</v>
      </c>
      <c r="BP15" s="10">
        <f>IF(管理者入力シート!$B$14=1,BO12*管理者用人口入力シート!AQ$3,IF(管理者入力シート!$B$14=2,BO12*管理者用人口入力シート!AQ$7))</f>
        <v>68.528438716840199</v>
      </c>
      <c r="BQ15" s="10">
        <f>IF(管理者入力シート!$B$14=1,BP12*管理者用人口入力シート!AR$3,IF(管理者入力シート!$B$14=2,BP12*管理者用人口入力シート!AR$7))</f>
        <v>75.631105881889042</v>
      </c>
      <c r="BR15" s="10">
        <f>IF(管理者入力シート!$B$14=1,BQ12*管理者用人口入力シート!AS$3,IF(管理者入力シート!$B$14=2,BQ12*管理者用人口入力シート!AS$7))</f>
        <v>86.174082198761695</v>
      </c>
      <c r="BS15" s="10">
        <f>IF(管理者入力シート!$B$14=1,BR12*管理者用人口入力シート!AT$3,IF(管理者入力シート!$B$14=2,BR12*管理者用人口入力シート!AT$7))</f>
        <v>93.909057982150145</v>
      </c>
      <c r="BT15" s="10">
        <f>IF(管理者入力シート!$B$14=1,BS12*管理者用人口入力シート!AU$3,IF(管理者入力シート!$B$14=2,BS12*管理者用人口入力シート!AU$7))</f>
        <v>102.7119892888187</v>
      </c>
      <c r="BU15" s="10">
        <f>IF(管理者入力シート!$B$14=1,BT12*管理者用人口入力シート!AV$3,IF(管理者入力シート!$B$14=2,BT12*管理者用人口入力シート!AV$7))</f>
        <v>109.93154223275879</v>
      </c>
      <c r="BV15" s="10">
        <f>IF(管理者入力シート!$B$14=1,BU12*管理者用人口入力シート!AW$3,IF(管理者入力シート!$B$14=2,BU12*管理者用人口入力シート!AW$7))</f>
        <v>126.87382229395301</v>
      </c>
      <c r="BW15" s="10">
        <f>IF(管理者入力シート!$B$14=1,BV12*管理者用人口入力シート!AX$3,IF(管理者入力シート!$B$14=2,BV12*管理者用人口入力シート!AX$7))</f>
        <v>151.62618571346204</v>
      </c>
      <c r="BX15" s="10">
        <f>IF(管理者入力シート!$B$14=1,BW12*管理者用人口入力シート!AY$3,IF(管理者入力シート!$B$14=2,BW12*管理者用人口入力シート!AY$7))</f>
        <v>154.00987951522075</v>
      </c>
      <c r="BY15" s="10">
        <f>IF(管理者入力シート!$B$14=1,BX12*管理者用人口入力シート!AZ$3,IF(管理者入力シート!$B$14=2,BX12*管理者用人口入力シート!AZ$7))</f>
        <v>141.20618841609004</v>
      </c>
      <c r="BZ15" s="10">
        <f>IF(管理者入力シート!$B$14=1,BY12*管理者用人口入力シート!BA$3,IF(管理者入力シート!$B$14=2,BY12*管理者用人口入力シート!BA$7))</f>
        <v>110.84599801773733</v>
      </c>
      <c r="CA15" s="10">
        <f>IF(管理者入力シート!$B$14=1,BZ12*管理者用人口入力シート!BB$3,IF(管理者入力シート!$B$14=2,BZ12*管理者用人口入力シート!BB$7))</f>
        <v>101.31593238366924</v>
      </c>
      <c r="CB15" s="10">
        <f>IF(管理者入力シート!$B$14=1,CA12*管理者用人口入力シート!BC$3,IF(管理者入力シート!$B$14=2,CA12*管理者用人口入力シート!BC$7))</f>
        <v>80.285338150424707</v>
      </c>
      <c r="CC15" s="10">
        <f>IF(管理者入力シート!$B$14=1,CB12*管理者用人口入力シート!BD$3,IF(管理者入力シート!$B$14=2,CB12*管理者用人口入力シート!BD$7))</f>
        <v>43.193590420346922</v>
      </c>
      <c r="CD15" s="10">
        <f>IF(管理者入力シート!$B$14=1,CC12*管理者用人口入力シート!BE$3,IF(管理者入力シート!$B$14=2,CC12*管理者用人口入力シート!BE$7))</f>
        <v>13.352275702170418</v>
      </c>
      <c r="CE15" s="10">
        <f>IF(管理者入力シート!$B$14=1,CD12*管理者用人口入力シート!BF$3,IF(管理者入力シート!$B$14=2,CD12*管理者用人口入力シート!BF$7))</f>
        <v>0.2774055190987042</v>
      </c>
      <c r="CF15" s="10">
        <f t="shared" ref="CF15:CF20" si="250">SUM(BK15:CE15)</f>
        <v>1833.49814751547</v>
      </c>
      <c r="CG15" s="10">
        <f t="shared" ref="CG15:CG20" si="251">BL15*3/5+BM15*3/5</f>
        <v>103.23815762612728</v>
      </c>
      <c r="CH15" s="10">
        <f t="shared" ref="CH15:CH20" si="252">BM15*2/5+BN15*1/5</f>
        <v>49.964491235680541</v>
      </c>
      <c r="CI15" s="10">
        <f t="shared" ref="CI15:CI20" si="253">SUM(BX15:CE15)</f>
        <v>644.48660812475816</v>
      </c>
      <c r="CJ15" s="10">
        <f t="shared" ref="CJ15:CJ20" si="254">SUM(BZ15:CE15)</f>
        <v>349.27054019344729</v>
      </c>
      <c r="CK15" s="14">
        <f t="shared" ref="CK15:CK20" si="255">CI15/CF15</f>
        <v>0.35150654992375463</v>
      </c>
      <c r="CL15" s="14">
        <f t="shared" ref="CL15:CL20" si="256">CJ15/CF15</f>
        <v>0.19049407858237302</v>
      </c>
      <c r="CM15" s="10">
        <f t="shared" ref="CM15:CM20" si="257">SUM(BO15:BR15)</f>
        <v>274.0104812602641</v>
      </c>
      <c r="CO15" s="60" t="str">
        <f t="shared" si="26"/>
        <v>2045_1</v>
      </c>
      <c r="CP15" s="29">
        <f>管理者入力シート!B12</f>
        <v>2045</v>
      </c>
      <c r="CQ15" s="4" t="s">
        <v>21</v>
      </c>
      <c r="CR15" s="10">
        <f>DT16*$AK$13+将来予測シート②!$G17</f>
        <v>83.444023857620408</v>
      </c>
      <c r="CS15" s="10">
        <f>IF(管理者入力シート!$B$14=1,CR12*管理者用人口入力シート!AM$3,IF(管理者入力シート!$B$14=2,CR12*管理者用人口入力シート!AM$7))+将来予測シート②!$G18</f>
        <v>88.925589202362772</v>
      </c>
      <c r="CT15" s="10">
        <f>IF(管理者入力シート!$B$14=1,CS12*管理者用人口入力シート!AN$3,IF(管理者入力シート!$B$14=2,CS12*管理者用人口入力シート!AN$7))+将来予測シート②!$G19</f>
        <v>89.787209513542592</v>
      </c>
      <c r="CU15" s="10">
        <f>IF(管理者入力シート!$B$14=1,CT12*管理者用人口入力シート!AO$3,IF(管理者入力シート!$B$14=2,CT12*管理者用人口入力シート!AO$7))+将来予測シート②!$G20</f>
        <v>80.329446219179516</v>
      </c>
      <c r="CV15" s="10">
        <f>IF(管理者入力シート!$B$14=1,CU12*管理者用人口入力シート!AP$3,IF(管理者入力シート!$B$14=2,CU12*管理者用人口入力シート!AP$7))+将来予測シート②!$G21</f>
        <v>44.641304827569137</v>
      </c>
      <c r="CW15" s="10">
        <f>IF(管理者入力シート!$B$14=1,CV12*管理者用人口入力シート!AQ$3,IF(管理者入力シート!$B$14=2,CV12*管理者用人口入力シート!AQ$7))+将来予測シート②!$G22</f>
        <v>71.174554875353422</v>
      </c>
      <c r="CX15" s="10">
        <f>IF(管理者入力シート!$B$14=1,CW12*管理者用人口入力シート!AR$3,IF(管理者入力シート!$B$14=2,CW12*管理者用人口入力シート!AR$7))+将来予測シート②!$G23</f>
        <v>78.378124582539257</v>
      </c>
      <c r="CY15" s="10">
        <f>IF(管理者入力シート!$B$14=1,CX12*管理者用人口入力シート!AS$3,IF(管理者入力シート!$B$14=2,CX12*管理者用人口入力シート!AS$7))+将来予測シート②!$G24</f>
        <v>88.361131081048924</v>
      </c>
      <c r="CZ15" s="10">
        <f>IF(管理者入力シート!$B$14=1,CY12*管理者用人口入力シート!AT$3,IF(管理者入力シート!$B$14=2,CY12*管理者用人口入力シート!AT$7))+将来予測シート②!$G25</f>
        <v>96.214579877732149</v>
      </c>
      <c r="DA15" s="10">
        <f>IF(管理者入力シート!$B$14=1,CZ12*管理者用人口入力シート!AU$3,IF(管理者入力シート!$B$14=2,CZ12*管理者用人口入力シート!AU$7))+将来予測シート②!$G26</f>
        <v>105.10352456699214</v>
      </c>
      <c r="DB15" s="10">
        <f>IF(管理者入力シート!$B$14=1,DA12*管理者用人口入力シート!AV$3,IF(管理者入力シート!$B$14=2,DA12*管理者用人口入力シート!AV$7))+将来予測シート②!$G27</f>
        <v>109.93154223275879</v>
      </c>
      <c r="DC15" s="10">
        <f>IF(管理者入力シート!$B$14=1,DB12*管理者用人口入力シート!AW$3,IF(管理者入力シート!$B$14=2,DB12*管理者用人口入力シート!AW$7))+将来予測シート②!$G28</f>
        <v>126.87382229395301</v>
      </c>
      <c r="DD15" s="10">
        <f>IF(管理者入力シート!$B$14=1,DC12*管理者用人口入力シート!AX$3,IF(管理者入力シート!$B$14=2,DC12*管理者用人口入力シート!AX$7))+将来予測シート②!$G29</f>
        <v>151.62618571346204</v>
      </c>
      <c r="DE15" s="10">
        <f>IF(管理者入力シート!$B$14=1,DD12*管理者用人口入力シート!AY$3,IF(管理者入力シート!$B$14=2,DD12*管理者用人口入力シート!AY$7))</f>
        <v>154.00987951522075</v>
      </c>
      <c r="DF15" s="10">
        <f>IF(管理者入力シート!$B$14=1,DE12*管理者用人口入力シート!AZ$3,IF(管理者入力シート!$B$14=2,DE12*管理者用人口入力シート!AZ$7))</f>
        <v>141.20618841609004</v>
      </c>
      <c r="DG15" s="10">
        <f>IF(管理者入力シート!$B$14=1,DF12*管理者用人口入力シート!BA$3,IF(管理者入力シート!$B$14=2,DF12*管理者用人口入力シート!BA$7))</f>
        <v>110.84599801773733</v>
      </c>
      <c r="DH15" s="10">
        <f>IF(管理者入力シート!$B$14=1,DG12*管理者用人口入力シート!BB$3,IF(管理者入力シート!$B$14=2,DG12*管理者用人口入力シート!BB$7))</f>
        <v>101.31593238366924</v>
      </c>
      <c r="DI15" s="10">
        <f>IF(管理者入力シート!$B$14=1,DH12*管理者用人口入力シート!BC$3,IF(管理者入力シート!$B$14=2,DH12*管理者用人口入力シート!BC$7))</f>
        <v>80.285338150424707</v>
      </c>
      <c r="DJ15" s="10">
        <f>IF(管理者入力シート!$B$14=1,DI12*管理者用人口入力シート!BD$3,IF(管理者入力シート!$B$14=2,DI12*管理者用人口入力シート!BD$7))</f>
        <v>43.193590420346922</v>
      </c>
      <c r="DK15" s="10">
        <f>IF(管理者入力シート!$B$14=1,DJ12*管理者用人口入力シート!BE$3,IF(管理者入力シート!$B$14=2,DJ12*管理者用人口入力シート!BE$7))</f>
        <v>13.352275702170418</v>
      </c>
      <c r="DL15" s="10">
        <f>IF(管理者入力シート!$B$14=1,DK12*管理者用人口入力シート!BF$3,IF(管理者入力シート!$B$14=2,DK12*管理者用人口入力シート!BF$7))</f>
        <v>0.2774055190987042</v>
      </c>
      <c r="DM15" s="10">
        <f t="shared" ref="DM15:DM20" si="258">SUM(CR15:DL15)</f>
        <v>1859.2776469688722</v>
      </c>
      <c r="DN15" s="10">
        <f t="shared" ref="DN15:DN20" si="259">CS15*3/5+CT15*3/5</f>
        <v>107.22767922954321</v>
      </c>
      <c r="DO15" s="10">
        <f t="shared" ref="DO15:DO20" si="260">CT15*2/5+CU15*1/5</f>
        <v>51.980773049252939</v>
      </c>
      <c r="DP15" s="10">
        <f t="shared" ref="DP15:DP20" si="261">SUM(DE15:DL15)</f>
        <v>644.48660812475816</v>
      </c>
      <c r="DQ15" s="10">
        <f t="shared" ref="DQ15:DQ20" si="262">SUM(DG15:DL15)</f>
        <v>349.27054019344729</v>
      </c>
      <c r="DR15" s="14">
        <f t="shared" ref="DR15:DR20" si="263">DP15/DM15</f>
        <v>0.34663279536299835</v>
      </c>
      <c r="DS15" s="14">
        <f t="shared" ref="DS15:DS20" si="264">DQ15/DM15</f>
        <v>0.18785281518489355</v>
      </c>
      <c r="DT15" s="10">
        <f t="shared" ref="DT15:DT20" si="265">SUM(CV15:CY15)</f>
        <v>282.55511536651073</v>
      </c>
      <c r="DV15" s="68" t="s">
        <v>404</v>
      </c>
      <c r="DW15" s="232">
        <f>AK13+AK14</f>
        <v>0.47895303057813643</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80.660860321322815</v>
      </c>
      <c r="BL16" s="11">
        <f>IF(管理者入力シート!$B$14=1,BK13*管理者用人口入力シート!AM$4,IF(管理者入力シート!$B$14=2,BK13*管理者用人口入力シート!AM$8))</f>
        <v>84.230681342007884</v>
      </c>
      <c r="BM16" s="11">
        <f>IF(管理者入力シート!$B$14=1,BL13*管理者用人口入力シート!AN$4,IF(管理者入力シート!$B$14=2,BL13*管理者用人口入力シート!AN$8))</f>
        <v>87.215443175310355</v>
      </c>
      <c r="BN16" s="11">
        <f>IF(管理者入力シート!$B$14=1,BM13*管理者用人口入力シート!AO$4,IF(管理者入力シート!$B$14=2,BM13*管理者用人口入力シート!AO$8))</f>
        <v>79.617359512102738</v>
      </c>
      <c r="BO16" s="11">
        <f>IF(管理者入力シート!$B$14=1,BN13*管理者用人口入力シート!AP$4,IF(管理者入力シート!$B$14=2,BN13*管理者用人口入力シート!AP$8))</f>
        <v>60.787454575262473</v>
      </c>
      <c r="BP16" s="11">
        <f>IF(管理者入力シート!$B$14=1,BO13*管理者用人口入力シート!AQ$4,IF(管理者入力シート!$B$14=2,BO13*管理者用人口入力シート!AQ$8))</f>
        <v>85.280092541514719</v>
      </c>
      <c r="BQ16" s="11">
        <f>IF(管理者入力シート!$B$14=1,BP13*管理者用人口入力シート!AR$4,IF(管理者入力シート!$B$14=2,BP13*管理者用人口入力シート!AR$8))</f>
        <v>93.067105501317329</v>
      </c>
      <c r="BR16" s="11">
        <f>IF(管理者入力シート!$B$14=1,BQ13*管理者用人口入力シート!AS$4,IF(管理者入力シート!$B$14=2,BQ13*管理者用人口入力シート!AS$8))</f>
        <v>96.826174588604516</v>
      </c>
      <c r="BS16" s="11">
        <f>IF(管理者入力シート!$B$14=1,BR13*管理者用人口入力シート!AT$4,IF(管理者入力シート!$B$14=2,BR13*管理者用人口入力シート!AT$8))</f>
        <v>92.440397771963134</v>
      </c>
      <c r="BT16" s="11">
        <f>IF(管理者入力シート!$B$14=1,BS13*管理者用人口入力シート!AU$4,IF(管理者入力シート!$B$14=2,BS13*管理者用人口入力シート!AU$8))</f>
        <v>106.61819843013517</v>
      </c>
      <c r="BU16" s="11">
        <f>IF(管理者入力シート!$B$14=1,BT13*管理者用人口入力シート!AV$4,IF(管理者入力シート!$B$14=2,BT13*管理者用人口入力シート!AV$8))</f>
        <v>106.11762179786666</v>
      </c>
      <c r="BV16" s="11">
        <f>IF(管理者入力シート!$B$14=1,BU13*管理者用人口入力シート!AW$4,IF(管理者入力シート!$B$14=2,BU13*管理者用人口入力シート!AW$8))</f>
        <v>126.76205119354945</v>
      </c>
      <c r="BW16" s="11">
        <f>IF(管理者入力シート!$B$14=1,BV13*管理者用人口入力シート!AX$4,IF(管理者入力シート!$B$14=2,BV13*管理者用人口入力シート!AX$8))</f>
        <v>169.26712558779727</v>
      </c>
      <c r="BX16" s="11">
        <f>IF(管理者入力シート!$B$14=1,BW13*管理者用人口入力シート!AY$4,IF(管理者入力シート!$B$14=2,BW13*管理者用人口入力シート!AY$8))</f>
        <v>173.75417561615905</v>
      </c>
      <c r="BY16" s="11">
        <f>IF(管理者入力シート!$B$14=1,BX13*管理者用人口入力シート!AZ$4,IF(管理者入力シート!$B$14=2,BX13*管理者用人口入力シート!AZ$8))</f>
        <v>147.14357349970737</v>
      </c>
      <c r="BZ16" s="11">
        <f>IF(管理者入力シート!$B$14=1,BY13*管理者用人口入力シート!BA$4,IF(管理者入力シート!$B$14=2,BY13*管理者用人口入力シート!BA$8))</f>
        <v>143.67495756072461</v>
      </c>
      <c r="CA16" s="11">
        <f>IF(管理者入力シート!$B$14=1,BZ13*管理者用人口入力シート!BB$4,IF(管理者入力シート!$B$14=2,BZ13*管理者用人口入力シート!BB$8))</f>
        <v>149.55990375477973</v>
      </c>
      <c r="CB16" s="11">
        <f>IF(管理者入力シート!$B$14=1,CA13*管理者用人口入力シート!BC$4,IF(管理者入力シート!$B$14=2,CA13*管理者用人口入力シート!BC$8))</f>
        <v>154.80696371197655</v>
      </c>
      <c r="CC16" s="11">
        <f>IF(管理者入力シート!$B$14=1,CB13*管理者用人口入力シート!BD$4,IF(管理者入力シート!$B$14=2,CB13*管理者用人口入力シート!BD$8))</f>
        <v>116.46726122701853</v>
      </c>
      <c r="CD16" s="11">
        <f>IF(管理者入力シート!$B$14=1,CC13*管理者用人口入力シート!BE$4,IF(管理者入力シート!$B$14=2,CC13*管理者用人口入力シート!BE$8))</f>
        <v>52.769851880058752</v>
      </c>
      <c r="CE16" s="11">
        <f>IF(管理者入力シート!$B$14=1,CD13*管理者用人口入力シート!BF$4,IF(管理者入力シート!$B$14=2,CD13*管理者用人口入力シート!BF$8))</f>
        <v>20.349098228175286</v>
      </c>
      <c r="CF16" s="11">
        <f t="shared" si="250"/>
        <v>2227.4163518173541</v>
      </c>
      <c r="CG16" s="11">
        <f t="shared" si="251"/>
        <v>102.86767471039093</v>
      </c>
      <c r="CH16" s="11">
        <f t="shared" si="252"/>
        <v>50.809649172544695</v>
      </c>
      <c r="CI16" s="11">
        <f t="shared" si="253"/>
        <v>958.5257854785998</v>
      </c>
      <c r="CJ16" s="11">
        <f t="shared" si="254"/>
        <v>637.62803636273338</v>
      </c>
      <c r="CK16" s="15">
        <f t="shared" si="255"/>
        <v>0.43033076626942079</v>
      </c>
      <c r="CL16" s="15">
        <f t="shared" si="256"/>
        <v>0.2862635159531316</v>
      </c>
      <c r="CM16" s="11">
        <f t="shared" si="257"/>
        <v>335.96082720669904</v>
      </c>
      <c r="CO16" s="60" t="str">
        <f t="shared" si="26"/>
        <v>2045_2</v>
      </c>
      <c r="CP16" s="30">
        <f>CP15</f>
        <v>2045</v>
      </c>
      <c r="CQ16" s="5" t="s">
        <v>22</v>
      </c>
      <c r="CR16" s="11">
        <f>DT16*$AK$14+将来予測シート②!$H17</f>
        <v>83.867566812595228</v>
      </c>
      <c r="CS16" s="11">
        <f>IF(管理者入力シート!$B$14=1,CR13*管理者用人口入力シート!AM$4,IF(管理者入力シート!$B$14=2,CR13*管理者用人口入力シート!AM$8))+将来予測シート②!$H18</f>
        <v>87.12074233187117</v>
      </c>
      <c r="CT16" s="11">
        <f>IF(管理者入力シート!$B$14=1,CS13*管理者用人口入力シート!AN$4,IF(管理者入力シート!$B$14=2,CS13*管理者用人口入力シート!AN$8))+将来予測シート②!$H19</f>
        <v>90.93940444445532</v>
      </c>
      <c r="CU16" s="11">
        <f>IF(管理者入力シート!$B$14=1,CT13*管理者用人口入力シート!AO$4,IF(管理者入力シート!$B$14=2,CT13*管理者用人口入力シート!AO$8))+将来予測シート②!$H20</f>
        <v>82.362739206598889</v>
      </c>
      <c r="CV16" s="11">
        <f>IF(管理者入力シート!$B$14=1,CU13*管理者用人口入力シート!AP$4,IF(管理者入力シート!$B$14=2,CU13*管理者用人口入力シート!AP$8))+将来予測シート②!$H21</f>
        <v>62.1177147196072</v>
      </c>
      <c r="CW16" s="11">
        <f>IF(管理者入力シート!$B$14=1,CV13*管理者用人口入力シート!AQ$4,IF(管理者入力シート!$B$14=2,CV13*管理者用人口入力シート!AQ$8))+将来予測シート②!$H22</f>
        <v>88.073803452815355</v>
      </c>
      <c r="CX16" s="11">
        <f>IF(管理者入力シート!$B$14=1,CW13*管理者用人口入力シート!AR$4,IF(管理者入力シート!$B$14=2,CW13*管理者用人口入力シート!AR$8))+将来予測シート②!$H23</f>
        <v>96.029040715609071</v>
      </c>
      <c r="CY16" s="11">
        <f>IF(管理者入力シート!$B$14=1,CX13*管理者用人口入力シート!AS$4,IF(管理者入力シート!$B$14=2,CX13*管理者用人口入力シート!AS$8))+将来予測シート②!$H24</f>
        <v>98.931429127725792</v>
      </c>
      <c r="CZ16" s="11">
        <f>IF(管理者入力シート!$B$14=1,CY13*管理者用人口入力シート!AT$4,IF(管理者入力シート!$B$14=2,CY13*管理者用人口入力シート!AT$8))+将来予測シート②!$H25</f>
        <v>95.620153198662209</v>
      </c>
      <c r="DA16" s="11">
        <f>IF(管理者入力シート!$B$14=1,CZ13*管理者用人口入力シート!AU$4,IF(管理者入力シート!$B$14=2,CZ13*管理者用人口入力シート!AU$8))+将来予測シート②!$H26</f>
        <v>109.91849045343895</v>
      </c>
      <c r="DB16" s="11">
        <f>IF(管理者入力シート!$B$14=1,DA13*管理者用人口入力シート!AV$4,IF(管理者入力シート!$B$14=2,DA13*管理者用人口入力シート!AV$8))+将来予測シート②!$H27</f>
        <v>107.17319643608722</v>
      </c>
      <c r="DC16" s="11">
        <f>IF(管理者入力シート!$B$14=1,DB13*管理者用人口入力シート!AW$4,IF(管理者入力シート!$B$14=2,DB13*管理者用人口入力シート!AW$8))+将来予測シート②!$H28</f>
        <v>127.84099523678626</v>
      </c>
      <c r="DD16" s="11">
        <f>IF(管理者入力シート!$B$14=1,DC13*管理者用人口入力シート!AX$4,IF(管理者入力シート!$B$14=2,DC13*管理者用人口入力シート!AX$8))+将来予測シート②!$H29</f>
        <v>170.34776549174742</v>
      </c>
      <c r="DE16" s="11">
        <f>IF(管理者入力シート!$B$14=1,DD13*管理者用人口入力シート!AY$4,IF(管理者入力シート!$B$14=2,DD13*管理者用人口入力シート!AY$8))</f>
        <v>173.75417561615905</v>
      </c>
      <c r="DF16" s="11">
        <f>IF(管理者入力シート!$B$14=1,DE13*管理者用人口入力シート!AZ$4,IF(管理者入力シート!$B$14=2,DE13*管理者用人口入力シート!AZ$8))</f>
        <v>147.14357349970737</v>
      </c>
      <c r="DG16" s="11">
        <f>IF(管理者入力シート!$B$14=1,DF13*管理者用人口入力シート!BA$4,IF(管理者入力シート!$B$14=2,DF13*管理者用人口入力シート!BA$8))</f>
        <v>143.67495756072461</v>
      </c>
      <c r="DH16" s="11">
        <f>IF(管理者入力シート!$B$14=1,DG13*管理者用人口入力シート!BB$4,IF(管理者入力シート!$B$14=2,DG13*管理者用人口入力シート!BB$8))</f>
        <v>149.55990375477973</v>
      </c>
      <c r="DI16" s="11">
        <f>IF(管理者入力シート!$B$14=1,DH13*管理者用人口入力シート!BC$4,IF(管理者入力シート!$B$14=2,DH13*管理者用人口入力シート!BC$8))</f>
        <v>154.80696371197655</v>
      </c>
      <c r="DJ16" s="11">
        <f>IF(管理者入力シート!$B$14=1,DI13*管理者用人口入力シート!BD$4,IF(管理者入力シート!$B$14=2,DI13*管理者用人口入力シート!BD$8))</f>
        <v>116.46726122701853</v>
      </c>
      <c r="DK16" s="11">
        <f>IF(管理者入力シート!$B$14=1,DJ13*管理者用人口入力シート!BE$4,IF(管理者入力シート!$B$14=2,DJ13*管理者用人口入力シート!BE$8))</f>
        <v>52.769851880058752</v>
      </c>
      <c r="DL16" s="11">
        <f>IF(管理者入力シート!$B$14=1,DK13*管理者用人口入力シート!BF$4,IF(管理者入力シート!$B$14=2,DK13*管理者用人口入力シート!BF$8))</f>
        <v>20.349098228175286</v>
      </c>
      <c r="DM16" s="11">
        <f t="shared" si="258"/>
        <v>2258.8688271065998</v>
      </c>
      <c r="DN16" s="11">
        <f t="shared" si="259"/>
        <v>106.83608806579591</v>
      </c>
      <c r="DO16" s="11">
        <f t="shared" si="260"/>
        <v>52.848309619101911</v>
      </c>
      <c r="DP16" s="11">
        <f t="shared" si="261"/>
        <v>958.5257854785998</v>
      </c>
      <c r="DQ16" s="11">
        <f t="shared" si="262"/>
        <v>637.62803636273338</v>
      </c>
      <c r="DR16" s="15">
        <f t="shared" si="263"/>
        <v>0.42433884339640116</v>
      </c>
      <c r="DS16" s="15">
        <f t="shared" si="264"/>
        <v>0.28227758456407376</v>
      </c>
      <c r="DT16" s="11">
        <f t="shared" si="265"/>
        <v>345.15198801575741</v>
      </c>
      <c r="DV16" s="233" t="s">
        <v>406</v>
      </c>
      <c r="DW16" s="60">
        <f>IF(DW10&lt;0,ABS(DW10)/DW15,0)</f>
        <v>52.979323067927297</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160.90945634618612</v>
      </c>
      <c r="BL17" s="17">
        <f t="shared" ref="BL17:CE17" si="266">BL15+BL16</f>
        <v>170.20118357180019</v>
      </c>
      <c r="BM17" s="17">
        <f t="shared" si="266"/>
        <v>173.3085369890635</v>
      </c>
      <c r="BN17" s="17">
        <f t="shared" si="266"/>
        <v>157.25362806299921</v>
      </c>
      <c r="BO17" s="17">
        <f t="shared" si="266"/>
        <v>104.46430903803565</v>
      </c>
      <c r="BP17" s="17">
        <f t="shared" si="266"/>
        <v>153.80853125835492</v>
      </c>
      <c r="BQ17" s="17">
        <f t="shared" si="266"/>
        <v>168.69821138320637</v>
      </c>
      <c r="BR17" s="17">
        <f t="shared" si="266"/>
        <v>183.0002567873662</v>
      </c>
      <c r="BS17" s="17">
        <f t="shared" si="266"/>
        <v>186.34945575411328</v>
      </c>
      <c r="BT17" s="17">
        <f t="shared" si="266"/>
        <v>209.33018771895388</v>
      </c>
      <c r="BU17" s="17">
        <f t="shared" si="266"/>
        <v>216.04916403062543</v>
      </c>
      <c r="BV17" s="17">
        <f t="shared" si="266"/>
        <v>253.63587348750247</v>
      </c>
      <c r="BW17" s="17">
        <f t="shared" si="266"/>
        <v>320.8933113012593</v>
      </c>
      <c r="BX17" s="17">
        <f t="shared" si="266"/>
        <v>327.76405513137979</v>
      </c>
      <c r="BY17" s="17">
        <f t="shared" si="266"/>
        <v>288.34976191579744</v>
      </c>
      <c r="BZ17" s="17">
        <f t="shared" si="266"/>
        <v>254.52095557846195</v>
      </c>
      <c r="CA17" s="17">
        <f t="shared" si="266"/>
        <v>250.87583613844896</v>
      </c>
      <c r="CB17" s="17">
        <f t="shared" si="266"/>
        <v>235.09230186240126</v>
      </c>
      <c r="CC17" s="17">
        <f t="shared" si="266"/>
        <v>159.66085164736546</v>
      </c>
      <c r="CD17" s="17">
        <f t="shared" si="266"/>
        <v>66.122127582229169</v>
      </c>
      <c r="CE17" s="17">
        <f t="shared" si="266"/>
        <v>20.62650374727399</v>
      </c>
      <c r="CF17" s="12">
        <f t="shared" si="250"/>
        <v>4060.9144993328246</v>
      </c>
      <c r="CG17" s="12">
        <f t="shared" si="251"/>
        <v>206.10583233651823</v>
      </c>
      <c r="CH17" s="12">
        <f t="shared" si="252"/>
        <v>100.77414040822524</v>
      </c>
      <c r="CI17" s="12">
        <f t="shared" si="253"/>
        <v>1603.0123936033581</v>
      </c>
      <c r="CJ17" s="12">
        <f t="shared" si="254"/>
        <v>986.89857655618073</v>
      </c>
      <c r="CK17" s="16">
        <f t="shared" si="255"/>
        <v>0.39474172476832992</v>
      </c>
      <c r="CL17" s="16">
        <f t="shared" si="256"/>
        <v>0.24302372697536975</v>
      </c>
      <c r="CM17" s="12">
        <f t="shared" si="257"/>
        <v>609.97130846696314</v>
      </c>
      <c r="CO17" s="60" t="str">
        <f t="shared" si="26"/>
        <v>2045_3</v>
      </c>
      <c r="CP17" s="31">
        <f>CP16</f>
        <v>2045</v>
      </c>
      <c r="CQ17" s="6" t="s">
        <v>23</v>
      </c>
      <c r="CR17" s="17">
        <f>CR15+CR16</f>
        <v>167.31159067021565</v>
      </c>
      <c r="CS17" s="17">
        <f>CS15+CS16</f>
        <v>176.04633153423396</v>
      </c>
      <c r="CT17" s="17">
        <f t="shared" ref="CT17:DL17" si="267">CT15+CT16</f>
        <v>180.72661395799793</v>
      </c>
      <c r="CU17" s="17">
        <f t="shared" si="267"/>
        <v>162.6921854257784</v>
      </c>
      <c r="CV17" s="17">
        <f t="shared" si="267"/>
        <v>106.75901954717634</v>
      </c>
      <c r="CW17" s="17">
        <f t="shared" si="267"/>
        <v>159.24835832816876</v>
      </c>
      <c r="CX17" s="17">
        <f t="shared" si="267"/>
        <v>174.40716529814833</v>
      </c>
      <c r="CY17" s="17">
        <f t="shared" si="267"/>
        <v>187.29256020877472</v>
      </c>
      <c r="CZ17" s="17">
        <f t="shared" si="267"/>
        <v>191.83473307639434</v>
      </c>
      <c r="DA17" s="17">
        <f t="shared" si="267"/>
        <v>215.02201502043107</v>
      </c>
      <c r="DB17" s="17">
        <f t="shared" si="267"/>
        <v>217.10473866884601</v>
      </c>
      <c r="DC17" s="17">
        <f t="shared" si="267"/>
        <v>254.71481753073925</v>
      </c>
      <c r="DD17" s="17">
        <f t="shared" si="267"/>
        <v>321.97395120520946</v>
      </c>
      <c r="DE17" s="17">
        <f t="shared" si="267"/>
        <v>327.76405513137979</v>
      </c>
      <c r="DF17" s="17">
        <f t="shared" si="267"/>
        <v>288.34976191579744</v>
      </c>
      <c r="DG17" s="17">
        <f t="shared" si="267"/>
        <v>254.52095557846195</v>
      </c>
      <c r="DH17" s="17">
        <f t="shared" si="267"/>
        <v>250.87583613844896</v>
      </c>
      <c r="DI17" s="17">
        <f t="shared" si="267"/>
        <v>235.09230186240126</v>
      </c>
      <c r="DJ17" s="17">
        <f t="shared" si="267"/>
        <v>159.66085164736546</v>
      </c>
      <c r="DK17" s="17">
        <f t="shared" si="267"/>
        <v>66.122127582229169</v>
      </c>
      <c r="DL17" s="17">
        <f t="shared" si="267"/>
        <v>20.62650374727399</v>
      </c>
      <c r="DM17" s="12">
        <f t="shared" si="258"/>
        <v>4118.1464740754718</v>
      </c>
      <c r="DN17" s="12">
        <f t="shared" si="259"/>
        <v>214.06376729533912</v>
      </c>
      <c r="DO17" s="12">
        <f t="shared" si="260"/>
        <v>104.82908266835484</v>
      </c>
      <c r="DP17" s="12">
        <f t="shared" si="261"/>
        <v>1603.0123936033581</v>
      </c>
      <c r="DQ17" s="12">
        <f t="shared" si="262"/>
        <v>986.89857655618073</v>
      </c>
      <c r="DR17" s="16">
        <f t="shared" si="263"/>
        <v>0.38925579837789426</v>
      </c>
      <c r="DS17" s="16">
        <f t="shared" si="264"/>
        <v>0.23964630271625792</v>
      </c>
      <c r="DT17" s="12">
        <f t="shared" si="265"/>
        <v>627.7071033822682</v>
      </c>
      <c r="DV17" s="68" t="s">
        <v>407</v>
      </c>
      <c r="DW17" s="60">
        <f>IF(DW9&gt;=0,0,IF(AND(DW10&lt;=0,DW9&lt;=0,DW16*2&gt;=ABS(DW9)),ROUND(DW16/3,0),ROUND(ABS(DW9)/6,0)))</f>
        <v>29</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75.06265935646239</v>
      </c>
      <c r="BL18" s="10">
        <f>IF(管理者入力シート!$B$14=1,BK15*管理者用人口入力シート!AM$3,IF(管理者入力シート!$B$14=2,BK15*管理者用人口入力シート!AM$7))</f>
        <v>83.694155460724417</v>
      </c>
      <c r="BM18" s="10">
        <f>IF(管理者入力シート!$B$14=1,BL15*管理者用人口入力シート!AN$3,IF(管理者入力シート!$B$14=2,BL15*管理者用人口入力シート!AN$7))</f>
        <v>83.998676839873241</v>
      </c>
      <c r="BN18" s="10">
        <f>IF(管理者入力シート!$B$14=1,BM15*管理者用人口入力シート!AO$3,IF(管理者入力シート!$B$14=2,BM15*管理者用人口入力シート!AO$7))</f>
        <v>76.726651712879871</v>
      </c>
      <c r="BO18" s="10">
        <f>IF(管理者入力シート!$B$14=1,BN15*管理者用人口入力シート!AP$3,IF(管理者入力シート!$B$14=2,BN15*管理者用人口入力シート!AP$7))</f>
        <v>41.612806931744188</v>
      </c>
      <c r="BP18" s="10">
        <f>IF(管理者入力シート!$B$14=1,BO15*管理者用人口入力シート!AQ$3,IF(管理者入力シート!$B$14=2,BO15*管理者用人口入力シート!AQ$7))</f>
        <v>59.077439821972156</v>
      </c>
      <c r="BQ18" s="10">
        <f>IF(管理者入力シート!$B$14=1,BP15*管理者用人口入力シート!AR$3,IF(管理者入力シート!$B$14=2,BP15*管理者用人口入力シート!AR$7))</f>
        <v>71.141586916310544</v>
      </c>
      <c r="BR18" s="10">
        <f>IF(管理者入力シート!$B$14=1,BQ15*管理者用人口入力シート!AS$3,IF(管理者入力シート!$B$14=2,BQ15*管理者用人口入力シート!AS$7))</f>
        <v>79.666591030037679</v>
      </c>
      <c r="BS18" s="10">
        <f>IF(管理者入力シート!$B$14=1,BR15*管理者用人口入力シート!AT$3,IF(管理者入力シート!$B$14=2,BR15*管理者用人口入力シート!AT$7))</f>
        <v>90.842154901060439</v>
      </c>
      <c r="BT18" s="10">
        <f>IF(管理者入力シート!$B$14=1,BS15*管理者用人口入力シート!AU$3,IF(管理者入力シート!$B$14=2,BS15*管理者用人口入力シート!AU$7))</f>
        <v>97.412575232841547</v>
      </c>
      <c r="BU18" s="10">
        <f>IF(管理者入力シート!$B$14=1,BT15*管理者用人口入力シート!AV$3,IF(管理者入力シート!$B$14=2,BT15*管理者用人口入力シート!AV$7))</f>
        <v>105.03615334437103</v>
      </c>
      <c r="BV18" s="10">
        <f>IF(管理者入力シート!$B$14=1,BU15*管理者用人口入力シート!AW$3,IF(管理者入力シート!$B$14=2,BU15*管理者用人口入力シート!AW$7))</f>
        <v>108.54794089220708</v>
      </c>
      <c r="BW18" s="10">
        <f>IF(管理者入力シート!$B$14=1,BV15*管理者用人口入力シート!AX$3,IF(管理者入力シート!$B$14=2,BV15*管理者用人口入力シート!AX$7))</f>
        <v>126.12075366747064</v>
      </c>
      <c r="BX18" s="10">
        <f>IF(管理者入力シート!$B$14=1,BW15*管理者用人口入力シート!AY$3,IF(管理者入力シート!$B$14=2,BW15*管理者用人口入力シート!AY$7))</f>
        <v>146.84895630974611</v>
      </c>
      <c r="BY18" s="10">
        <f>IF(管理者入力シート!$B$14=1,BX15*管理者用人口入力シート!AZ$3,IF(管理者入力シート!$B$14=2,BX15*管理者用人口入力シート!AZ$7))</f>
        <v>146.59089890076135</v>
      </c>
      <c r="BZ18" s="10">
        <f>IF(管理者入力シート!$B$14=1,BY15*管理者用人口入力シート!BA$3,IF(管理者入力シート!$B$14=2,BY15*管理者用人口入力シート!BA$7))</f>
        <v>124.32406915443309</v>
      </c>
      <c r="CA18" s="10">
        <f>IF(管理者入力シート!$B$14=1,BZ15*管理者用人口入力シート!BB$3,IF(管理者入力シート!$B$14=2,BZ15*管理者用人口入力シート!BB$7))</f>
        <v>89.297384257109513</v>
      </c>
      <c r="CB18" s="10">
        <f>IF(管理者入力シート!$B$14=1,CA15*管理者用人口入力シート!BC$3,IF(管理者入力シート!$B$14=2,CA15*管理者用人口入力シート!BC$7))</f>
        <v>66.745051446368109</v>
      </c>
      <c r="CC18" s="10">
        <f>IF(管理者入力シート!$B$14=1,CB15*管理者用人口入力シート!BD$3,IF(管理者入力シート!$B$14=2,CB15*管理者用人口入力シート!BD$7))</f>
        <v>36.086826798719741</v>
      </c>
      <c r="CD18" s="10">
        <f>IF(管理者入力シート!$B$14=1,CC15*管理者用人口入力シート!BE$3,IF(管理者入力シート!$B$14=2,CC15*管理者用人口入力シート!BE$7))</f>
        <v>14.234471055905965</v>
      </c>
      <c r="CE18" s="10">
        <f>IF(管理者入力シート!$B$14=1,CD15*管理者用人口入力シート!BF$3,IF(管理者入力シート!$B$14=2,CD15*管理者用人口入力シート!BF$7))</f>
        <v>0.35871659134228329</v>
      </c>
      <c r="CF18" s="10">
        <f t="shared" si="250"/>
        <v>1723.4265206223415</v>
      </c>
      <c r="CG18" s="10">
        <f t="shared" si="251"/>
        <v>100.61569938035859</v>
      </c>
      <c r="CH18" s="10">
        <f t="shared" si="252"/>
        <v>48.944801078525273</v>
      </c>
      <c r="CI18" s="10">
        <f t="shared" si="253"/>
        <v>624.48637451438606</v>
      </c>
      <c r="CJ18" s="10">
        <f t="shared" si="254"/>
        <v>331.04651930387871</v>
      </c>
      <c r="CK18" s="14">
        <f t="shared" si="255"/>
        <v>0.36235161002911781</v>
      </c>
      <c r="CL18" s="14">
        <f t="shared" si="256"/>
        <v>0.19208623944369585</v>
      </c>
      <c r="CM18" s="10">
        <f t="shared" si="257"/>
        <v>251.49842470006456</v>
      </c>
      <c r="CO18" s="60" t="str">
        <f t="shared" si="26"/>
        <v>2050_1</v>
      </c>
      <c r="CP18" s="29">
        <f>管理者入力シート!B13</f>
        <v>2050</v>
      </c>
      <c r="CQ18" s="4" t="s">
        <v>21</v>
      </c>
      <c r="CR18" s="10">
        <f>DT19*$AK$13+将来予測シート②!$G17</f>
        <v>78.811630539184549</v>
      </c>
      <c r="CS18" s="10">
        <f>IF(管理者入力シート!$B$14=1,CR15*管理者用人口入力シート!AM$3,IF(管理者入力シート!$B$14=2,CR15*管理者用人口入力シート!AM$7))+将来予測シート②!$G18</f>
        <v>87.026782410552144</v>
      </c>
      <c r="CT18" s="10">
        <f>IF(管理者入力シート!$B$14=1,CS15*管理者用人口入力シート!AN$3,IF(管理者入力シート!$B$14=2,CS15*管理者用人口入力シート!AN$7))+将来予測シート②!$G19</f>
        <v>87.885985733093193</v>
      </c>
      <c r="CU18" s="10">
        <f>IF(管理者入力シート!$B$14=1,CT15*管理者用人口入力シート!AO$3,IF(管理者入力シート!$B$14=2,CT15*管理者用人口入力シート!AO$7))+将来予測シート②!$G20</f>
        <v>80.018868499722174</v>
      </c>
      <c r="CV18" s="10">
        <f>IF(管理者入力シート!$B$14=1,CU15*管理者用人口入力シート!AP$3,IF(管理者入力シート!$B$14=2,CU15*管理者用人口入力シート!AP$7))+将来予測シート②!$G21</f>
        <v>43.056342078847209</v>
      </c>
      <c r="CW18" s="10">
        <f>IF(管理者入力シート!$B$14=1,CV15*管理者用人口入力シート!AQ$3,IF(管理者入力シート!$B$14=2,CV15*管理者用人口入力シート!AQ$7))+将来予測シート②!$G22</f>
        <v>62.381958178166414</v>
      </c>
      <c r="CX18" s="10">
        <f>IF(管理者入力シート!$B$14=1,CW15*管理者用人口入力シート!AR$3,IF(管理者入力シート!$B$14=2,CW15*管理者用人口入力シート!AR$7))+将来予測シート②!$G23</f>
        <v>73.88860561696076</v>
      </c>
      <c r="CY18" s="10">
        <f>IF(管理者入力シート!$B$14=1,CX15*管理者用人口入力シート!AS$3,IF(管理者入力シート!$B$14=2,CX15*管理者用人口入力シート!AS$7))+将来予測シート②!$G24</f>
        <v>82.560183723476953</v>
      </c>
      <c r="CZ18" s="10">
        <f>IF(管理者入力シート!$B$14=1,CY15*管理者用人口入力シート!AT$3,IF(管理者入力シート!$B$14=2,CY15*管理者用人口入力シート!AT$7))+将来予測シート②!$G25</f>
        <v>93.147676796642429</v>
      </c>
      <c r="DA18" s="10">
        <f>IF(管理者入力シート!$B$14=1,CZ15*管理者用人口入力シート!AU$3,IF(管理者入力シート!$B$14=2,CZ15*管理者用人口入力シート!AU$7))+将来予測シート②!$G26</f>
        <v>99.804110511014969</v>
      </c>
      <c r="DB18" s="10">
        <f>IF(管理者入力シート!$B$14=1,DA15*管理者用人口入力シート!AV$3,IF(管理者入力シート!$B$14=2,DA15*管理者用人口入力シート!AV$7))+将来予測シート②!$G27</f>
        <v>107.48180421673753</v>
      </c>
      <c r="DC18" s="10">
        <f>IF(管理者入力シート!$B$14=1,DB15*管理者用人口入力シート!AW$3,IF(管理者入力シート!$B$14=2,DB15*管理者用人口入力シート!AW$7))+将来予測シート②!$G28</f>
        <v>108.54794089220708</v>
      </c>
      <c r="DD18" s="10">
        <f>IF(管理者入力シート!$B$14=1,DC15*管理者用人口入力シート!AX$3,IF(管理者入力シート!$B$14=2,DC15*管理者用人口入力シート!AX$7))+将来予測シート②!$G29</f>
        <v>126.12075366747064</v>
      </c>
      <c r="DE18" s="10">
        <f>IF(管理者入力シート!$B$14=1,DD15*管理者用人口入力シート!AY$3,IF(管理者入力シート!$B$14=2,DD15*管理者用人口入力シート!AY$7))</f>
        <v>146.84895630974611</v>
      </c>
      <c r="DF18" s="10">
        <f>IF(管理者入力シート!$B$14=1,DE15*管理者用人口入力シート!AZ$3,IF(管理者入力シート!$B$14=2,DE15*管理者用人口入力シート!AZ$7))</f>
        <v>146.59089890076135</v>
      </c>
      <c r="DG18" s="10">
        <f>IF(管理者入力シート!$B$14=1,DF15*管理者用人口入力シート!BA$3,IF(管理者入力シート!$B$14=2,DF15*管理者用人口入力シート!BA$7))</f>
        <v>124.32406915443309</v>
      </c>
      <c r="DH18" s="10">
        <f>IF(管理者入力シート!$B$14=1,DG15*管理者用人口入力シート!BB$3,IF(管理者入力シート!$B$14=2,DG15*管理者用人口入力シート!BB$7))</f>
        <v>89.297384257109513</v>
      </c>
      <c r="DI18" s="10">
        <f>IF(管理者入力シート!$B$14=1,DH15*管理者用人口入力シート!BC$3,IF(管理者入力シート!$B$14=2,DH15*管理者用人口入力シート!BC$7))</f>
        <v>66.745051446368109</v>
      </c>
      <c r="DJ18" s="10">
        <f>IF(管理者入力シート!$B$14=1,DI15*管理者用人口入力シート!BD$3,IF(管理者入力シート!$B$14=2,DI15*管理者用人口入力シート!BD$7))</f>
        <v>36.086826798719741</v>
      </c>
      <c r="DK18" s="10">
        <f>IF(管理者入力シート!$B$14=1,DJ15*管理者用人口入力シート!BE$3,IF(管理者入力シート!$B$14=2,DJ15*管理者用人口入力シート!BE$7))</f>
        <v>14.234471055905965</v>
      </c>
      <c r="DL18" s="10">
        <f>IF(管理者入力シート!$B$14=1,DK15*管理者用人口入力シート!BF$3,IF(管理者入力シート!$B$14=2,DK15*管理者用人口入力シート!BF$7))</f>
        <v>0.35871659134228329</v>
      </c>
      <c r="DM18" s="10">
        <f t="shared" si="258"/>
        <v>1755.2190173784625</v>
      </c>
      <c r="DN18" s="10">
        <f t="shared" si="259"/>
        <v>104.94766088618721</v>
      </c>
      <c r="DO18" s="10">
        <f t="shared" si="260"/>
        <v>51.158167993181706</v>
      </c>
      <c r="DP18" s="10">
        <f t="shared" si="261"/>
        <v>624.48637451438606</v>
      </c>
      <c r="DQ18" s="10">
        <f t="shared" si="262"/>
        <v>331.04651930387871</v>
      </c>
      <c r="DR18" s="14">
        <f t="shared" si="263"/>
        <v>0.35578829099464659</v>
      </c>
      <c r="DS18" s="14">
        <f t="shared" si="264"/>
        <v>0.18860695789310608</v>
      </c>
      <c r="DT18" s="10">
        <f t="shared" si="265"/>
        <v>261.88708959745134</v>
      </c>
      <c r="DX18" s="334">
        <f>DX1</f>
        <v>29</v>
      </c>
      <c r="DY18" s="335"/>
      <c r="DZ18" s="338" t="s">
        <v>0</v>
      </c>
      <c r="EA18" s="338" t="s">
        <v>1</v>
      </c>
      <c r="EB18" s="338" t="s">
        <v>2</v>
      </c>
      <c r="EC18" s="338" t="s">
        <v>3</v>
      </c>
      <c r="ED18" s="338" t="s">
        <v>4</v>
      </c>
      <c r="EE18" s="338" t="s">
        <v>5</v>
      </c>
      <c r="EF18" s="338" t="s">
        <v>6</v>
      </c>
      <c r="EG18" s="338" t="s">
        <v>7</v>
      </c>
      <c r="EH18" s="338" t="s">
        <v>8</v>
      </c>
      <c r="EI18" s="338" t="s">
        <v>9</v>
      </c>
      <c r="EJ18" s="338" t="s">
        <v>10</v>
      </c>
      <c r="EK18" s="338" t="s">
        <v>11</v>
      </c>
      <c r="EL18" s="338" t="s">
        <v>12</v>
      </c>
      <c r="EM18" s="338" t="s">
        <v>13</v>
      </c>
      <c r="EN18" s="338" t="s">
        <v>14</v>
      </c>
      <c r="EO18" s="338" t="s">
        <v>15</v>
      </c>
      <c r="EP18" s="338" t="s">
        <v>16</v>
      </c>
      <c r="EQ18" s="338" t="s">
        <v>17</v>
      </c>
      <c r="ER18" s="338" t="s">
        <v>18</v>
      </c>
      <c r="ES18" s="338" t="s">
        <v>19</v>
      </c>
      <c r="ET18" s="338" t="s">
        <v>20</v>
      </c>
      <c r="EU18" s="338" t="s">
        <v>23</v>
      </c>
      <c r="EV18" s="339" t="s">
        <v>50</v>
      </c>
      <c r="EW18" s="339" t="s">
        <v>51</v>
      </c>
      <c r="EX18" s="340" t="s">
        <v>79</v>
      </c>
      <c r="EY18" s="340" t="s">
        <v>80</v>
      </c>
      <c r="EZ18" s="339" t="s">
        <v>48</v>
      </c>
      <c r="FA18" s="339" t="s">
        <v>49</v>
      </c>
      <c r="FB18" s="339"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75.448281734707891</v>
      </c>
      <c r="BL19" s="11">
        <f>IF(管理者入力シート!$B$14=1,BK16*管理者用人口入力シート!AM$4,IF(管理者入力シート!$B$14=2,BK16*管理者用人口入力シート!AM$8))</f>
        <v>82.000401951330772</v>
      </c>
      <c r="BM19" s="11">
        <f>IF(管理者入力シート!$B$14=1,BL16*管理者用人口入力シート!AN$4,IF(管理者入力シート!$B$14=2,BL16*管理者用人口入力シート!AN$8))</f>
        <v>85.093722413758996</v>
      </c>
      <c r="BN19" s="11">
        <f>IF(管理者入力シート!$B$14=1,BM16*管理者用人口入力シート!AO$4,IF(管理者入力シート!$B$14=2,BM16*管理者用人口入力シート!AO$8))</f>
        <v>78.684531438801514</v>
      </c>
      <c r="BO19" s="11">
        <f>IF(管理者入力シート!$B$14=1,BN16*管理者用人口入力シート!AP$4,IF(管理者入力シート!$B$14=2,BN16*管理者用人口入力シート!AP$8))</f>
        <v>57.914807332761377</v>
      </c>
      <c r="BP19" s="11">
        <f>IF(管理者入力シート!$B$14=1,BO16*管理者用人口入力シート!AQ$4,IF(管理者入力シート!$B$14=2,BO16*管理者用人口入力シート!AQ$8))</f>
        <v>73.518813932871382</v>
      </c>
      <c r="BQ19" s="11">
        <f>IF(管理者入力シート!$B$14=1,BP16*管理者用人口入力シート!AR$4,IF(管理者入力シート!$B$14=2,BP16*管理者用人口入力シート!AR$8))</f>
        <v>90.41526385390263</v>
      </c>
      <c r="BR19" s="11">
        <f>IF(管理者入力シート!$B$14=1,BQ16*管理者用人口入力シート!AS$4,IF(管理者入力シート!$B$14=2,BQ16*管理者用人口入力シート!AS$8))</f>
        <v>92.401013058352675</v>
      </c>
      <c r="BS19" s="11">
        <f>IF(管理者入力シート!$B$14=1,BR16*管理者用人口入力シート!AT$4,IF(管理者入力シート!$B$14=2,BR16*管理者用人口入力シート!AT$8))</f>
        <v>100.25266569149319</v>
      </c>
      <c r="BT19" s="11">
        <f>IF(管理者入力シート!$B$14=1,BS16*管理者用人口入力シート!AU$4,IF(管理者入力シート!$B$14=2,BS16*管理者用人口入力シート!AU$8))</f>
        <v>95.944582667020541</v>
      </c>
      <c r="BU19" s="11">
        <f>IF(管理者入力シート!$B$14=1,BT16*管理者用人口入力シート!AV$4,IF(管理者入力シート!$B$14=2,BT16*管理者用人口入力シート!AV$8))</f>
        <v>108.4330401598806</v>
      </c>
      <c r="BV19" s="11">
        <f>IF(管理者入力シート!$B$14=1,BU16*管理者用人口入力シート!AW$4,IF(管理者入力シート!$B$14=2,BU16*管理者用人口入力シート!AW$8))</f>
        <v>108.46696365713531</v>
      </c>
      <c r="BW19" s="11">
        <f>IF(管理者入力シート!$B$14=1,BV16*管理者用人口入力シート!AX$4,IF(管理者入力シート!$B$14=2,BV16*管理者用人口入力シート!AX$8))</f>
        <v>126.96129302069836</v>
      </c>
      <c r="BX19" s="11">
        <f>IF(管理者入力シート!$B$14=1,BW16*管理者用人口入力シート!AY$4,IF(管理者入力シート!$B$14=2,BW16*管理者用人口入力シート!AY$8))</f>
        <v>166.25643642270779</v>
      </c>
      <c r="BY19" s="11">
        <f>IF(管理者入力シート!$B$14=1,BX16*管理者用人口入力シート!AZ$4,IF(管理者入力シート!$B$14=2,BX16*管理者用人口入力シート!AZ$8))</f>
        <v>168.88500474827688</v>
      </c>
      <c r="BZ19" s="11">
        <f>IF(管理者入力シート!$B$14=1,BY16*管理者用人口入力シート!BA$4,IF(管理者入力シート!$B$14=2,BY16*管理者用人口入力シート!BA$8))</f>
        <v>146.53547536952198</v>
      </c>
      <c r="CA19" s="11">
        <f>IF(管理者入力シート!$B$14=1,BZ16*管理者用人口入力シート!BB$4,IF(管理者入力シート!$B$14=2,BZ16*管理者用人口入力シート!BB$8))</f>
        <v>128.18432259628651</v>
      </c>
      <c r="CB19" s="11">
        <f>IF(管理者入力シート!$B$14=1,CA16*管理者用人口入力シート!BC$4,IF(管理者入力シート!$B$14=2,CA16*管理者用人口入力シート!BC$8))</f>
        <v>130.89969107513079</v>
      </c>
      <c r="CC19" s="11">
        <f>IF(管理者入力シート!$B$14=1,CB16*管理者用人口入力シート!BD$4,IF(管理者入力シート!$B$14=2,CB16*管理者用人口入力シート!BD$8))</f>
        <v>104.59746912725348</v>
      </c>
      <c r="CD19" s="11">
        <f>IF(管理者入力シート!$B$14=1,CC16*管理者用人口入力シート!BE$4,IF(管理者入力シート!$B$14=2,CC16*管理者用人口入力シート!BE$8))</f>
        <v>54.390031926910844</v>
      </c>
      <c r="CE19" s="11">
        <f>IF(管理者入力シート!$B$14=1,CD16*管理者用人口入力シート!BF$4,IF(管理者入力シート!$B$14=2,CD16*管理者用人口入力シート!BF$8))</f>
        <v>24.808457660131776</v>
      </c>
      <c r="CF19" s="11">
        <f t="shared" si="250"/>
        <v>2100.0922698389354</v>
      </c>
      <c r="CG19" s="11">
        <f t="shared" si="251"/>
        <v>100.25647461905386</v>
      </c>
      <c r="CH19" s="11">
        <f t="shared" si="252"/>
        <v>49.774395253263904</v>
      </c>
      <c r="CI19" s="11">
        <f t="shared" si="253"/>
        <v>924.55688892622004</v>
      </c>
      <c r="CJ19" s="11">
        <f t="shared" si="254"/>
        <v>589.41544775523539</v>
      </c>
      <c r="CK19" s="15">
        <f t="shared" si="255"/>
        <v>0.44024584167300806</v>
      </c>
      <c r="CL19" s="15">
        <f t="shared" si="256"/>
        <v>0.2806616910220045</v>
      </c>
      <c r="CM19" s="11">
        <f t="shared" si="257"/>
        <v>314.2498981778881</v>
      </c>
      <c r="CO19" s="60" t="str">
        <f t="shared" si="26"/>
        <v>2050_2</v>
      </c>
      <c r="CP19" s="30">
        <f>CP18</f>
        <v>2050</v>
      </c>
      <c r="CQ19" s="5" t="s">
        <v>22</v>
      </c>
      <c r="CR19" s="11">
        <f>DT19*$AK$14+将来予測シート②!$H17</f>
        <v>79.211375316160641</v>
      </c>
      <c r="CS19" s="11">
        <f>IF(管理者入力シート!$B$14=1,CR16*管理者用人口入力シート!AM$4,IF(管理者入力シート!$B$14=2,CR16*管理者用人口入力シート!AM$8))+将来予測シート②!$H18</f>
        <v>85.260362484565604</v>
      </c>
      <c r="CT19" s="11">
        <f>IF(管理者入力シート!$B$14=1,CS16*管理者用人口入力シート!AN$4,IF(管理者入力シート!$B$14=2,CS16*管理者用人口入力シート!AN$8))+将来予測シート②!$H19</f>
        <v>89.013395432094313</v>
      </c>
      <c r="CU19" s="11">
        <f>IF(管理者入力シート!$B$14=1,CT16*管理者用人口入力シート!AO$4,IF(管理者入力シート!$B$14=2,CT16*管理者用人口入力シート!AO$8))+将来予測シート②!$H20</f>
        <v>82.044236290268302</v>
      </c>
      <c r="CV19" s="11">
        <f>IF(管理者入力シート!$B$14=1,CU16*管理者用人口入力シート!AP$4,IF(管理者入力シート!$B$14=2,CU16*管理者用人口入力シート!AP$8))+将来予測シート②!$H21</f>
        <v>59.91183583303274</v>
      </c>
      <c r="CW19" s="11">
        <f>IF(管理者入力シート!$B$14=1,CV16*管理者用人口入力シート!AQ$4,IF(管理者入力シート!$B$14=2,CV16*管理者用人口入力シート!AQ$8))+将来予測シート②!$H22</f>
        <v>77.12768452496546</v>
      </c>
      <c r="CX19" s="11">
        <f>IF(管理者入力シート!$B$14=1,CW16*管理者用人口入力シート!AR$4,IF(管理者入力シート!$B$14=2,CW16*管理者用人口入力シート!AR$8))+将来予測シート②!$H23</f>
        <v>93.3771990681944</v>
      </c>
      <c r="CY19" s="11">
        <f>IF(管理者入力シート!$B$14=1,CX16*管理者用人口入力シート!AS$4,IF(管理者入力シート!$B$14=2,CX16*管理者用人口入力シート!AS$8))+将来予測シート②!$H24</f>
        <v>95.341749346856801</v>
      </c>
      <c r="CZ19" s="11">
        <f>IF(管理者入力シート!$B$14=1,CY16*管理者用人口入力シート!AT$4,IF(管理者入力シート!$B$14=2,CY16*管理者用人口入力シート!AT$8))+将来予測シート②!$H25</f>
        <v>103.43242111819228</v>
      </c>
      <c r="DA19" s="11">
        <f>IF(管理者入力シート!$B$14=1,CZ16*管理者用人口入力シート!AU$4,IF(管理者入力シート!$B$14=2,CZ16*管理者用人口入力シート!AU$8))+将来予測シート②!$H26</f>
        <v>99.244874690324309</v>
      </c>
      <c r="DB19" s="11">
        <f>IF(管理者入力シート!$B$14=1,DA16*管理者用人口入力シート!AV$4,IF(管理者入力シート!$B$14=2,DA16*管理者用人口入力シート!AV$8))+将来予測シート②!$H27</f>
        <v>111.78950934404837</v>
      </c>
      <c r="DC19" s="11">
        <f>IF(管理者入力シート!$B$14=1,DB16*管理者用人口入力シート!AW$4,IF(管理者入力シート!$B$14=2,DB16*管理者用人口入力シート!AW$8))+将来予測シート②!$H28</f>
        <v>109.54590770037211</v>
      </c>
      <c r="DD19" s="11">
        <f>IF(管理者入力シート!$B$14=1,DC16*管理者用人口入力シート!AX$4,IF(管理者入力シート!$B$14=2,DC16*管理者用人口入力シート!AX$8))+将来予測シート②!$H29</f>
        <v>128.04193292464853</v>
      </c>
      <c r="DE19" s="11">
        <f>IF(管理者入力シート!$B$14=1,DD16*管理者用人口入力シート!AY$4,IF(管理者入力シート!$B$14=2,DD16*管理者用人口入力シート!AY$8))</f>
        <v>167.31785540092361</v>
      </c>
      <c r="DF19" s="11">
        <f>IF(管理者入力シート!$B$14=1,DE16*管理者用人口入力シート!AZ$4,IF(管理者入力シート!$B$14=2,DE16*管理者用人口入力シート!AZ$8))</f>
        <v>168.88500474827688</v>
      </c>
      <c r="DG19" s="11">
        <f>IF(管理者入力シート!$B$14=1,DF16*管理者用人口入力シート!BA$4,IF(管理者入力シート!$B$14=2,DF16*管理者用人口入力シート!BA$8))</f>
        <v>146.53547536952198</v>
      </c>
      <c r="DH19" s="11">
        <f>IF(管理者入力シート!$B$14=1,DG16*管理者用人口入力シート!BB$4,IF(管理者入力シート!$B$14=2,DG16*管理者用人口入力シート!BB$8))</f>
        <v>128.18432259628651</v>
      </c>
      <c r="DI19" s="11">
        <f>IF(管理者入力シート!$B$14=1,DH16*管理者用人口入力シート!BC$4,IF(管理者入力シート!$B$14=2,DH16*管理者用人口入力シート!BC$8))</f>
        <v>130.89969107513079</v>
      </c>
      <c r="DJ19" s="11">
        <f>IF(管理者入力シート!$B$14=1,DI16*管理者用人口入力シート!BD$4,IF(管理者入力シート!$B$14=2,DI16*管理者用人口入力シート!BD$8))</f>
        <v>104.59746912725348</v>
      </c>
      <c r="DK19" s="11">
        <f>IF(管理者入力シート!$B$14=1,DJ16*管理者用人口入力シート!BE$4,IF(管理者入力シート!$B$14=2,DJ16*管理者用人口入力シート!BE$8))</f>
        <v>54.390031926910844</v>
      </c>
      <c r="DL19" s="11">
        <f>IF(管理者入力シート!$B$14=1,DK16*管理者用人口入力シート!BF$4,IF(管理者入力シート!$B$14=2,DK16*管理者用人口入力シート!BF$8))</f>
        <v>24.808457660131776</v>
      </c>
      <c r="DM19" s="11">
        <f t="shared" si="258"/>
        <v>2138.9607919781602</v>
      </c>
      <c r="DN19" s="11">
        <f t="shared" si="259"/>
        <v>104.56425474999597</v>
      </c>
      <c r="DO19" s="11">
        <f t="shared" si="260"/>
        <v>52.014205430891387</v>
      </c>
      <c r="DP19" s="11">
        <f t="shared" si="261"/>
        <v>925.61830790443594</v>
      </c>
      <c r="DQ19" s="11">
        <f t="shared" si="262"/>
        <v>589.41544775523539</v>
      </c>
      <c r="DR19" s="15">
        <f t="shared" si="263"/>
        <v>0.43274206398538179</v>
      </c>
      <c r="DS19" s="15">
        <f t="shared" si="264"/>
        <v>0.27556159512869349</v>
      </c>
      <c r="DT19" s="11">
        <f t="shared" si="265"/>
        <v>325.75846877304934</v>
      </c>
      <c r="DX19" s="336"/>
      <c r="DY19" s="337"/>
      <c r="DZ19" s="338"/>
      <c r="EA19" s="338"/>
      <c r="EB19" s="338"/>
      <c r="EC19" s="338"/>
      <c r="ED19" s="338"/>
      <c r="EE19" s="338"/>
      <c r="EF19" s="338"/>
      <c r="EG19" s="338"/>
      <c r="EH19" s="338"/>
      <c r="EI19" s="338"/>
      <c r="EJ19" s="338"/>
      <c r="EK19" s="338"/>
      <c r="EL19" s="338"/>
      <c r="EM19" s="338"/>
      <c r="EN19" s="338"/>
      <c r="EO19" s="338"/>
      <c r="EP19" s="338"/>
      <c r="EQ19" s="338"/>
      <c r="ER19" s="338"/>
      <c r="ES19" s="338"/>
      <c r="ET19" s="338"/>
      <c r="EU19" s="338"/>
      <c r="EV19" s="339"/>
      <c r="EW19" s="339"/>
      <c r="EX19" s="341"/>
      <c r="EY19" s="341"/>
      <c r="EZ19" s="339"/>
      <c r="FA19" s="339"/>
      <c r="FB19" s="339"/>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150.51094109117028</v>
      </c>
      <c r="BL20" s="17">
        <f t="shared" ref="BL20:CE20" si="274">BL18+BL19</f>
        <v>165.69455741205519</v>
      </c>
      <c r="BM20" s="17">
        <f t="shared" si="274"/>
        <v>169.09239925363224</v>
      </c>
      <c r="BN20" s="17">
        <f t="shared" si="274"/>
        <v>155.41118315168137</v>
      </c>
      <c r="BO20" s="17">
        <f t="shared" si="274"/>
        <v>99.527614264505559</v>
      </c>
      <c r="BP20" s="17">
        <f t="shared" si="274"/>
        <v>132.59625375484353</v>
      </c>
      <c r="BQ20" s="17">
        <f t="shared" si="274"/>
        <v>161.55685077021317</v>
      </c>
      <c r="BR20" s="17">
        <f t="shared" si="274"/>
        <v>172.06760408839034</v>
      </c>
      <c r="BS20" s="17">
        <f t="shared" si="274"/>
        <v>191.09482059255362</v>
      </c>
      <c r="BT20" s="17">
        <f t="shared" si="274"/>
        <v>193.3571578998621</v>
      </c>
      <c r="BU20" s="17">
        <f t="shared" si="274"/>
        <v>213.46919350425162</v>
      </c>
      <c r="BV20" s="17">
        <f t="shared" si="274"/>
        <v>217.01490454934239</v>
      </c>
      <c r="BW20" s="17">
        <f t="shared" si="274"/>
        <v>253.08204668816899</v>
      </c>
      <c r="BX20" s="17">
        <f t="shared" si="274"/>
        <v>313.10539273245388</v>
      </c>
      <c r="BY20" s="17">
        <f t="shared" si="274"/>
        <v>315.47590364903823</v>
      </c>
      <c r="BZ20" s="17">
        <f t="shared" si="274"/>
        <v>270.85954452395504</v>
      </c>
      <c r="CA20" s="17">
        <f t="shared" si="274"/>
        <v>217.48170685339602</v>
      </c>
      <c r="CB20" s="17">
        <f t="shared" si="274"/>
        <v>197.6447425214989</v>
      </c>
      <c r="CC20" s="17">
        <f t="shared" si="274"/>
        <v>140.68429592597323</v>
      </c>
      <c r="CD20" s="17">
        <f t="shared" si="274"/>
        <v>68.624502982816807</v>
      </c>
      <c r="CE20" s="17">
        <f t="shared" si="274"/>
        <v>25.167174251474059</v>
      </c>
      <c r="CF20" s="12">
        <f t="shared" si="250"/>
        <v>3823.5187904612767</v>
      </c>
      <c r="CG20" s="12">
        <f t="shared" si="251"/>
        <v>200.87217399941244</v>
      </c>
      <c r="CH20" s="12">
        <f t="shared" si="252"/>
        <v>98.719196331789163</v>
      </c>
      <c r="CI20" s="12">
        <f t="shared" si="253"/>
        <v>1549.0432634406061</v>
      </c>
      <c r="CJ20" s="12">
        <f t="shared" si="254"/>
        <v>920.46196705911404</v>
      </c>
      <c r="CK20" s="16">
        <f t="shared" si="255"/>
        <v>0.40513551739436504</v>
      </c>
      <c r="CL20" s="16">
        <f t="shared" si="256"/>
        <v>0.24073687550730402</v>
      </c>
      <c r="CM20" s="12">
        <f t="shared" si="257"/>
        <v>565.74832287795266</v>
      </c>
      <c r="CO20" s="60" t="str">
        <f t="shared" si="26"/>
        <v>2050_3</v>
      </c>
      <c r="CP20" s="31">
        <f>CP19</f>
        <v>2050</v>
      </c>
      <c r="CQ20" s="6" t="s">
        <v>23</v>
      </c>
      <c r="CR20" s="17">
        <f>CR18+CR19</f>
        <v>158.02300585534519</v>
      </c>
      <c r="CS20" s="17">
        <f t="shared" ref="CS20:DL20" si="275">CS18+CS19</f>
        <v>172.28714489511776</v>
      </c>
      <c r="CT20" s="17">
        <f t="shared" si="275"/>
        <v>176.89938116518749</v>
      </c>
      <c r="CU20" s="17">
        <f t="shared" si="275"/>
        <v>162.06310478999046</v>
      </c>
      <c r="CV20" s="17">
        <f t="shared" si="275"/>
        <v>102.96817791187995</v>
      </c>
      <c r="CW20" s="17">
        <f t="shared" si="275"/>
        <v>139.50964270313187</v>
      </c>
      <c r="CX20" s="17">
        <f t="shared" si="275"/>
        <v>167.26580468515516</v>
      </c>
      <c r="CY20" s="17">
        <f t="shared" si="275"/>
        <v>177.90193307033377</v>
      </c>
      <c r="CZ20" s="17">
        <f t="shared" si="275"/>
        <v>196.58009791483471</v>
      </c>
      <c r="DA20" s="17">
        <f t="shared" si="275"/>
        <v>199.04898520133929</v>
      </c>
      <c r="DB20" s="17">
        <f t="shared" si="275"/>
        <v>219.2713135607859</v>
      </c>
      <c r="DC20" s="17">
        <f t="shared" si="275"/>
        <v>218.09384859257921</v>
      </c>
      <c r="DD20" s="17">
        <f t="shared" si="275"/>
        <v>254.16268659211917</v>
      </c>
      <c r="DE20" s="17">
        <f t="shared" si="275"/>
        <v>314.16681171066972</v>
      </c>
      <c r="DF20" s="17">
        <f t="shared" si="275"/>
        <v>315.47590364903823</v>
      </c>
      <c r="DG20" s="17">
        <f t="shared" si="275"/>
        <v>270.85954452395504</v>
      </c>
      <c r="DH20" s="17">
        <f t="shared" si="275"/>
        <v>217.48170685339602</v>
      </c>
      <c r="DI20" s="17">
        <f t="shared" si="275"/>
        <v>197.6447425214989</v>
      </c>
      <c r="DJ20" s="17">
        <f t="shared" si="275"/>
        <v>140.68429592597323</v>
      </c>
      <c r="DK20" s="17">
        <f t="shared" si="275"/>
        <v>68.624502982816807</v>
      </c>
      <c r="DL20" s="17">
        <f t="shared" si="275"/>
        <v>25.167174251474059</v>
      </c>
      <c r="DM20" s="12">
        <f t="shared" si="258"/>
        <v>3894.1798093566222</v>
      </c>
      <c r="DN20" s="12">
        <f t="shared" si="259"/>
        <v>209.51191563618315</v>
      </c>
      <c r="DO20" s="12">
        <f t="shared" si="260"/>
        <v>103.1723734240731</v>
      </c>
      <c r="DP20" s="12">
        <f t="shared" si="261"/>
        <v>1550.104682418822</v>
      </c>
      <c r="DQ20" s="12">
        <f t="shared" si="262"/>
        <v>920.46196705911404</v>
      </c>
      <c r="DR20" s="16">
        <f t="shared" si="263"/>
        <v>0.39805678173728781</v>
      </c>
      <c r="DS20" s="16">
        <f t="shared" si="264"/>
        <v>0.23636863527654836</v>
      </c>
      <c r="DT20" s="12">
        <f t="shared" si="265"/>
        <v>587.64555837050079</v>
      </c>
      <c r="DX20" s="29">
        <f>DX3</f>
        <v>2025</v>
      </c>
      <c r="DY20" s="4" t="s">
        <v>21</v>
      </c>
      <c r="DZ20" s="10">
        <f t="shared" ref="DZ20:ET20" si="276">ROUND(DZ3,0)</f>
        <v>90</v>
      </c>
      <c r="EA20" s="10">
        <f t="shared" si="276"/>
        <v>109</v>
      </c>
      <c r="EB20" s="10">
        <f t="shared" si="276"/>
        <v>113</v>
      </c>
      <c r="EC20" s="10">
        <f t="shared" si="276"/>
        <v>109</v>
      </c>
      <c r="ED20" s="10">
        <f t="shared" si="276"/>
        <v>60</v>
      </c>
      <c r="EE20" s="10">
        <f t="shared" si="276"/>
        <v>115</v>
      </c>
      <c r="EF20" s="10">
        <f t="shared" si="276"/>
        <v>122</v>
      </c>
      <c r="EG20" s="10">
        <f t="shared" si="276"/>
        <v>144</v>
      </c>
      <c r="EH20" s="10">
        <f t="shared" si="276"/>
        <v>146</v>
      </c>
      <c r="EI20" s="10">
        <f t="shared" si="276"/>
        <v>158</v>
      </c>
      <c r="EJ20" s="10">
        <f t="shared" si="276"/>
        <v>156</v>
      </c>
      <c r="EK20" s="10">
        <f t="shared" si="276"/>
        <v>137</v>
      </c>
      <c r="EL20" s="10">
        <f t="shared" si="276"/>
        <v>155</v>
      </c>
      <c r="EM20" s="10">
        <f t="shared" si="276"/>
        <v>181</v>
      </c>
      <c r="EN20" s="10">
        <f t="shared" si="276"/>
        <v>206</v>
      </c>
      <c r="EO20" s="10">
        <f t="shared" si="276"/>
        <v>170</v>
      </c>
      <c r="EP20" s="10">
        <f t="shared" si="276"/>
        <v>106</v>
      </c>
      <c r="EQ20" s="10">
        <f t="shared" si="276"/>
        <v>76</v>
      </c>
      <c r="ER20" s="10">
        <f t="shared" si="276"/>
        <v>36</v>
      </c>
      <c r="ES20" s="10">
        <f t="shared" si="276"/>
        <v>12</v>
      </c>
      <c r="ET20" s="10">
        <f t="shared" si="276"/>
        <v>0</v>
      </c>
      <c r="EU20" s="10">
        <f t="shared" ref="EU20:EU21" si="277">SUM(DZ20:ET20)</f>
        <v>2401</v>
      </c>
      <c r="EV20" s="10">
        <f>EA20*3/5+EB20*3/5</f>
        <v>133.19999999999999</v>
      </c>
      <c r="EW20" s="10">
        <f>EB20*2/5+EC20*1/5</f>
        <v>67</v>
      </c>
      <c r="EX20" s="10">
        <f t="shared" ref="EX20:EX31" si="278">SUM(EM20:ET20)</f>
        <v>787</v>
      </c>
      <c r="EY20" s="10">
        <f>SUM(EO20:ET20)</f>
        <v>400</v>
      </c>
      <c r="EZ20" s="14">
        <f>EX20/EU20</f>
        <v>0.32778009162848815</v>
      </c>
      <c r="FA20" s="14">
        <f>EY20/EU20</f>
        <v>0.16659725114535609</v>
      </c>
      <c r="FB20" s="10">
        <f>SUM(ED20:EG20)</f>
        <v>441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90</v>
      </c>
      <c r="EA21" s="11">
        <f t="shared" si="279"/>
        <v>106</v>
      </c>
      <c r="EB21" s="11">
        <f t="shared" si="279"/>
        <v>111</v>
      </c>
      <c r="EC21" s="11">
        <f t="shared" si="279"/>
        <v>105</v>
      </c>
      <c r="ED21" s="11">
        <f t="shared" si="279"/>
        <v>70</v>
      </c>
      <c r="EE21" s="11">
        <f t="shared" si="279"/>
        <v>123</v>
      </c>
      <c r="EF21" s="11">
        <f t="shared" si="279"/>
        <v>127</v>
      </c>
      <c r="EG21" s="11">
        <f t="shared" si="279"/>
        <v>142</v>
      </c>
      <c r="EH21" s="11">
        <f t="shared" si="279"/>
        <v>157</v>
      </c>
      <c r="EI21" s="11">
        <f t="shared" si="279"/>
        <v>170</v>
      </c>
      <c r="EJ21" s="11">
        <f t="shared" si="279"/>
        <v>151</v>
      </c>
      <c r="EK21" s="11">
        <f t="shared" si="279"/>
        <v>151</v>
      </c>
      <c r="EL21" s="11">
        <f t="shared" si="279"/>
        <v>176</v>
      </c>
      <c r="EM21" s="11">
        <f t="shared" si="279"/>
        <v>205</v>
      </c>
      <c r="EN21" s="11">
        <f t="shared" si="279"/>
        <v>222</v>
      </c>
      <c r="EO21" s="11">
        <f t="shared" si="279"/>
        <v>214</v>
      </c>
      <c r="EP21" s="11">
        <f t="shared" si="279"/>
        <v>157</v>
      </c>
      <c r="EQ21" s="11">
        <f t="shared" si="279"/>
        <v>167</v>
      </c>
      <c r="ER21" s="11">
        <f t="shared" si="279"/>
        <v>103</v>
      </c>
      <c r="ES21" s="11">
        <f t="shared" si="279"/>
        <v>40</v>
      </c>
      <c r="ET21" s="11">
        <f t="shared" si="279"/>
        <v>12</v>
      </c>
      <c r="EU21" s="11">
        <f t="shared" si="277"/>
        <v>2799</v>
      </c>
      <c r="EV21" s="11">
        <f t="shared" ref="EV21:EV31" si="280">EA21*3/5+EB21*3/5</f>
        <v>130.19999999999999</v>
      </c>
      <c r="EW21" s="11">
        <f t="shared" ref="EW21:EW31" si="281">EB21*2/5+EC21*1/5</f>
        <v>65.400000000000006</v>
      </c>
      <c r="EX21" s="11">
        <f t="shared" si="278"/>
        <v>1120</v>
      </c>
      <c r="EY21" s="11">
        <f t="shared" ref="EY21:EY31" si="282">SUM(EO21:ET21)</f>
        <v>693</v>
      </c>
      <c r="EZ21" s="15">
        <f t="shared" ref="EZ21:EZ31" si="283">EX21/EU21</f>
        <v>0.4001429081814934</v>
      </c>
      <c r="FA21" s="15">
        <f t="shared" ref="FA21:FA31" si="284">EY21/EU21</f>
        <v>0.24758842443729903</v>
      </c>
      <c r="FB21" s="11">
        <f>SUM(ED21:EG21)</f>
        <v>462</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180</v>
      </c>
      <c r="EA22" s="17">
        <f t="shared" ref="EA22:ET22" si="285">EA20+EA21</f>
        <v>215</v>
      </c>
      <c r="EB22" s="17">
        <f t="shared" si="285"/>
        <v>224</v>
      </c>
      <c r="EC22" s="17">
        <f t="shared" si="285"/>
        <v>214</v>
      </c>
      <c r="ED22" s="17">
        <f t="shared" si="285"/>
        <v>130</v>
      </c>
      <c r="EE22" s="17">
        <f t="shared" si="285"/>
        <v>238</v>
      </c>
      <c r="EF22" s="17">
        <f t="shared" si="285"/>
        <v>249</v>
      </c>
      <c r="EG22" s="17">
        <f t="shared" si="285"/>
        <v>286</v>
      </c>
      <c r="EH22" s="17">
        <f t="shared" si="285"/>
        <v>303</v>
      </c>
      <c r="EI22" s="17">
        <f t="shared" si="285"/>
        <v>328</v>
      </c>
      <c r="EJ22" s="17">
        <f t="shared" si="285"/>
        <v>307</v>
      </c>
      <c r="EK22" s="17">
        <f t="shared" si="285"/>
        <v>288</v>
      </c>
      <c r="EL22" s="17">
        <f t="shared" si="285"/>
        <v>331</v>
      </c>
      <c r="EM22" s="17">
        <f t="shared" si="285"/>
        <v>386</v>
      </c>
      <c r="EN22" s="17">
        <f t="shared" si="285"/>
        <v>428</v>
      </c>
      <c r="EO22" s="17">
        <f t="shared" si="285"/>
        <v>384</v>
      </c>
      <c r="EP22" s="17">
        <f t="shared" si="285"/>
        <v>263</v>
      </c>
      <c r="EQ22" s="17">
        <f t="shared" si="285"/>
        <v>243</v>
      </c>
      <c r="ER22" s="17">
        <f t="shared" si="285"/>
        <v>139</v>
      </c>
      <c r="ES22" s="17">
        <f t="shared" si="285"/>
        <v>52</v>
      </c>
      <c r="ET22" s="17">
        <f t="shared" si="285"/>
        <v>12</v>
      </c>
      <c r="EU22" s="12">
        <f>SUM(DZ22:ET22)</f>
        <v>5200</v>
      </c>
      <c r="EV22" s="12">
        <f t="shared" si="280"/>
        <v>263.39999999999998</v>
      </c>
      <c r="EW22" s="12">
        <f t="shared" si="281"/>
        <v>132.39999999999998</v>
      </c>
      <c r="EX22" s="12">
        <f t="shared" si="278"/>
        <v>1907</v>
      </c>
      <c r="EY22" s="12">
        <f t="shared" si="282"/>
        <v>1093</v>
      </c>
      <c r="EZ22" s="16">
        <f t="shared" si="283"/>
        <v>0.36673076923076925</v>
      </c>
      <c r="FA22" s="16">
        <f t="shared" si="284"/>
        <v>0.21019230769230771</v>
      </c>
      <c r="FB22" s="12">
        <f>SUM(ED22:EG22)</f>
        <v>903</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120</v>
      </c>
      <c r="EA23" s="10">
        <f t="shared" si="286"/>
        <v>94</v>
      </c>
      <c r="EB23" s="10">
        <f t="shared" si="286"/>
        <v>106</v>
      </c>
      <c r="EC23" s="10">
        <f t="shared" si="286"/>
        <v>100</v>
      </c>
      <c r="ED23" s="10">
        <f t="shared" si="286"/>
        <v>58</v>
      </c>
      <c r="EE23" s="10">
        <f t="shared" si="286"/>
        <v>110</v>
      </c>
      <c r="EF23" s="10">
        <f t="shared" si="286"/>
        <v>148</v>
      </c>
      <c r="EG23" s="10">
        <f t="shared" si="286"/>
        <v>158</v>
      </c>
      <c r="EH23" s="10">
        <f t="shared" si="286"/>
        <v>152</v>
      </c>
      <c r="EI23" s="10">
        <f t="shared" si="286"/>
        <v>151</v>
      </c>
      <c r="EJ23" s="10">
        <f t="shared" si="286"/>
        <v>162</v>
      </c>
      <c r="EK23" s="10">
        <f t="shared" si="286"/>
        <v>154</v>
      </c>
      <c r="EL23" s="10">
        <f t="shared" si="286"/>
        <v>137</v>
      </c>
      <c r="EM23" s="10">
        <f t="shared" si="286"/>
        <v>150</v>
      </c>
      <c r="EN23" s="10">
        <f t="shared" si="286"/>
        <v>172</v>
      </c>
      <c r="EO23" s="10">
        <f t="shared" si="286"/>
        <v>181</v>
      </c>
      <c r="EP23" s="10">
        <f t="shared" si="286"/>
        <v>137</v>
      </c>
      <c r="EQ23" s="10">
        <f t="shared" si="286"/>
        <v>70</v>
      </c>
      <c r="ER23" s="10">
        <f t="shared" si="286"/>
        <v>34</v>
      </c>
      <c r="ES23" s="10">
        <f t="shared" si="286"/>
        <v>12</v>
      </c>
      <c r="ET23" s="10">
        <f t="shared" si="286"/>
        <v>0</v>
      </c>
      <c r="EU23" s="10">
        <f t="shared" ref="EU23:EU31" si="287">SUM(DZ23:ET23)</f>
        <v>2406</v>
      </c>
      <c r="EV23" s="10">
        <f t="shared" si="280"/>
        <v>120</v>
      </c>
      <c r="EW23" s="10">
        <f t="shared" si="281"/>
        <v>62.4</v>
      </c>
      <c r="EX23" s="10">
        <f t="shared" si="278"/>
        <v>756</v>
      </c>
      <c r="EY23" s="10">
        <f t="shared" si="282"/>
        <v>434</v>
      </c>
      <c r="EZ23" s="14">
        <f t="shared" si="283"/>
        <v>0.31421446384039903</v>
      </c>
      <c r="FA23" s="14">
        <f t="shared" si="284"/>
        <v>0.18038237738985868</v>
      </c>
      <c r="FB23" s="10">
        <f t="shared" ref="FB23:FB31" si="288">SUM(ED23:EG23)</f>
        <v>474</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121</v>
      </c>
      <c r="EA24" s="11">
        <f t="shared" si="289"/>
        <v>92</v>
      </c>
      <c r="EB24" s="11">
        <f t="shared" si="289"/>
        <v>107</v>
      </c>
      <c r="EC24" s="11">
        <f t="shared" si="289"/>
        <v>100</v>
      </c>
      <c r="ED24" s="11">
        <f t="shared" si="289"/>
        <v>76</v>
      </c>
      <c r="EE24" s="11">
        <f t="shared" si="289"/>
        <v>114</v>
      </c>
      <c r="EF24" s="11">
        <f t="shared" si="289"/>
        <v>160</v>
      </c>
      <c r="EG24" s="11">
        <f t="shared" si="289"/>
        <v>155</v>
      </c>
      <c r="EH24" s="11">
        <f t="shared" si="289"/>
        <v>148</v>
      </c>
      <c r="EI24" s="11">
        <f t="shared" si="289"/>
        <v>163</v>
      </c>
      <c r="EJ24" s="11">
        <f t="shared" si="289"/>
        <v>173</v>
      </c>
      <c r="EK24" s="11">
        <f t="shared" si="289"/>
        <v>154</v>
      </c>
      <c r="EL24" s="11">
        <f t="shared" si="289"/>
        <v>151</v>
      </c>
      <c r="EM24" s="11">
        <f t="shared" si="289"/>
        <v>173</v>
      </c>
      <c r="EN24" s="11">
        <f t="shared" si="289"/>
        <v>199</v>
      </c>
      <c r="EO24" s="11">
        <f t="shared" si="289"/>
        <v>221</v>
      </c>
      <c r="EP24" s="11">
        <f t="shared" si="289"/>
        <v>191</v>
      </c>
      <c r="EQ24" s="11">
        <f t="shared" si="289"/>
        <v>137</v>
      </c>
      <c r="ER24" s="11">
        <f t="shared" si="289"/>
        <v>113</v>
      </c>
      <c r="ES24" s="11">
        <f t="shared" si="289"/>
        <v>48</v>
      </c>
      <c r="ET24" s="11">
        <f t="shared" si="289"/>
        <v>19</v>
      </c>
      <c r="EU24" s="11">
        <f t="shared" si="287"/>
        <v>2815</v>
      </c>
      <c r="EV24" s="11">
        <f t="shared" si="280"/>
        <v>119.4</v>
      </c>
      <c r="EW24" s="11">
        <f t="shared" si="281"/>
        <v>62.8</v>
      </c>
      <c r="EX24" s="11">
        <f t="shared" si="278"/>
        <v>1101</v>
      </c>
      <c r="EY24" s="11">
        <f t="shared" si="282"/>
        <v>729</v>
      </c>
      <c r="EZ24" s="15">
        <f t="shared" si="283"/>
        <v>0.39111900532859678</v>
      </c>
      <c r="FA24" s="15">
        <f t="shared" si="284"/>
        <v>0.25896980461811725</v>
      </c>
      <c r="FB24" s="11">
        <f t="shared" si="288"/>
        <v>505</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241</v>
      </c>
      <c r="EA25" s="17">
        <f t="shared" ref="EA25:ET25" si="290">EA23+EA24</f>
        <v>186</v>
      </c>
      <c r="EB25" s="17">
        <f t="shared" si="290"/>
        <v>213</v>
      </c>
      <c r="EC25" s="17">
        <f t="shared" si="290"/>
        <v>200</v>
      </c>
      <c r="ED25" s="17">
        <f t="shared" si="290"/>
        <v>134</v>
      </c>
      <c r="EE25" s="17">
        <f t="shared" si="290"/>
        <v>224</v>
      </c>
      <c r="EF25" s="17">
        <f t="shared" si="290"/>
        <v>308</v>
      </c>
      <c r="EG25" s="17">
        <f t="shared" si="290"/>
        <v>313</v>
      </c>
      <c r="EH25" s="17">
        <f t="shared" si="290"/>
        <v>300</v>
      </c>
      <c r="EI25" s="17">
        <f t="shared" si="290"/>
        <v>314</v>
      </c>
      <c r="EJ25" s="17">
        <f t="shared" si="290"/>
        <v>335</v>
      </c>
      <c r="EK25" s="17">
        <f t="shared" si="290"/>
        <v>308</v>
      </c>
      <c r="EL25" s="17">
        <f t="shared" si="290"/>
        <v>288</v>
      </c>
      <c r="EM25" s="17">
        <f t="shared" si="290"/>
        <v>323</v>
      </c>
      <c r="EN25" s="17">
        <f t="shared" si="290"/>
        <v>371</v>
      </c>
      <c r="EO25" s="17">
        <f t="shared" si="290"/>
        <v>402</v>
      </c>
      <c r="EP25" s="17">
        <f t="shared" si="290"/>
        <v>328</v>
      </c>
      <c r="EQ25" s="17">
        <f t="shared" si="290"/>
        <v>207</v>
      </c>
      <c r="ER25" s="17">
        <f t="shared" si="290"/>
        <v>147</v>
      </c>
      <c r="ES25" s="17">
        <f t="shared" si="290"/>
        <v>60</v>
      </c>
      <c r="ET25" s="17">
        <f t="shared" si="290"/>
        <v>19</v>
      </c>
      <c r="EU25" s="12">
        <f t="shared" si="287"/>
        <v>5221</v>
      </c>
      <c r="EV25" s="12">
        <f t="shared" si="280"/>
        <v>239.39999999999998</v>
      </c>
      <c r="EW25" s="12">
        <f t="shared" si="281"/>
        <v>125.2</v>
      </c>
      <c r="EX25" s="12">
        <f t="shared" si="278"/>
        <v>1857</v>
      </c>
      <c r="EY25" s="12">
        <f t="shared" si="282"/>
        <v>1163</v>
      </c>
      <c r="EZ25" s="16">
        <f t="shared" si="283"/>
        <v>0.35567898869948283</v>
      </c>
      <c r="FA25" s="16">
        <f t="shared" si="284"/>
        <v>0.22275426163570197</v>
      </c>
      <c r="FB25" s="12">
        <f t="shared" si="288"/>
        <v>979</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127</v>
      </c>
      <c r="EA26" s="10">
        <f t="shared" si="291"/>
        <v>126</v>
      </c>
      <c r="EB26" s="10">
        <f t="shared" si="291"/>
        <v>91</v>
      </c>
      <c r="EC26" s="10">
        <f t="shared" si="291"/>
        <v>95</v>
      </c>
      <c r="ED26" s="10">
        <f t="shared" si="291"/>
        <v>54</v>
      </c>
      <c r="EE26" s="10">
        <f t="shared" si="291"/>
        <v>108</v>
      </c>
      <c r="EF26" s="10">
        <f t="shared" si="291"/>
        <v>144</v>
      </c>
      <c r="EG26" s="10">
        <f t="shared" si="291"/>
        <v>185</v>
      </c>
      <c r="EH26" s="10">
        <f t="shared" si="291"/>
        <v>166</v>
      </c>
      <c r="EI26" s="10">
        <f t="shared" si="291"/>
        <v>157</v>
      </c>
      <c r="EJ26" s="10">
        <f t="shared" si="291"/>
        <v>154</v>
      </c>
      <c r="EK26" s="10">
        <f t="shared" si="291"/>
        <v>160</v>
      </c>
      <c r="EL26" s="10">
        <f t="shared" si="291"/>
        <v>153</v>
      </c>
      <c r="EM26" s="10">
        <f t="shared" si="291"/>
        <v>132</v>
      </c>
      <c r="EN26" s="10">
        <f t="shared" si="291"/>
        <v>143</v>
      </c>
      <c r="EO26" s="10">
        <f t="shared" si="291"/>
        <v>151</v>
      </c>
      <c r="EP26" s="10">
        <f t="shared" si="291"/>
        <v>146</v>
      </c>
      <c r="EQ26" s="10">
        <f t="shared" si="291"/>
        <v>90</v>
      </c>
      <c r="ER26" s="10">
        <f t="shared" si="291"/>
        <v>31</v>
      </c>
      <c r="ES26" s="10">
        <f t="shared" si="291"/>
        <v>11</v>
      </c>
      <c r="ET26" s="10">
        <f t="shared" si="291"/>
        <v>0</v>
      </c>
      <c r="EU26" s="10">
        <f t="shared" si="287"/>
        <v>2424</v>
      </c>
      <c r="EV26" s="10">
        <f t="shared" si="280"/>
        <v>130.19999999999999</v>
      </c>
      <c r="EW26" s="10">
        <f t="shared" si="281"/>
        <v>55.4</v>
      </c>
      <c r="EX26" s="10">
        <f t="shared" si="278"/>
        <v>704</v>
      </c>
      <c r="EY26" s="10">
        <f t="shared" si="282"/>
        <v>429</v>
      </c>
      <c r="EZ26" s="14">
        <f t="shared" si="283"/>
        <v>0.29042904290429045</v>
      </c>
      <c r="FA26" s="14">
        <f t="shared" si="284"/>
        <v>0.17698019801980197</v>
      </c>
      <c r="FB26" s="10">
        <f t="shared" si="288"/>
        <v>491</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127</v>
      </c>
      <c r="EA27" s="11">
        <f t="shared" si="292"/>
        <v>123</v>
      </c>
      <c r="EB27" s="11">
        <f t="shared" si="292"/>
        <v>93</v>
      </c>
      <c r="EC27" s="11">
        <f t="shared" si="292"/>
        <v>97</v>
      </c>
      <c r="ED27" s="11">
        <f t="shared" si="292"/>
        <v>73</v>
      </c>
      <c r="EE27" s="11">
        <f t="shared" si="292"/>
        <v>121</v>
      </c>
      <c r="EF27" s="11">
        <f t="shared" si="292"/>
        <v>150</v>
      </c>
      <c r="EG27" s="11">
        <f t="shared" si="292"/>
        <v>188</v>
      </c>
      <c r="EH27" s="11">
        <f t="shared" si="292"/>
        <v>160</v>
      </c>
      <c r="EI27" s="11">
        <f t="shared" si="292"/>
        <v>153</v>
      </c>
      <c r="EJ27" s="11">
        <f t="shared" si="292"/>
        <v>165</v>
      </c>
      <c r="EK27" s="11">
        <f t="shared" si="292"/>
        <v>177</v>
      </c>
      <c r="EL27" s="11">
        <f t="shared" si="292"/>
        <v>154</v>
      </c>
      <c r="EM27" s="11">
        <f t="shared" si="292"/>
        <v>148</v>
      </c>
      <c r="EN27" s="11">
        <f t="shared" si="292"/>
        <v>168</v>
      </c>
      <c r="EO27" s="11">
        <f t="shared" si="292"/>
        <v>198</v>
      </c>
      <c r="EP27" s="11">
        <f t="shared" si="292"/>
        <v>197</v>
      </c>
      <c r="EQ27" s="11">
        <f t="shared" si="292"/>
        <v>167</v>
      </c>
      <c r="ER27" s="11">
        <f t="shared" si="292"/>
        <v>93</v>
      </c>
      <c r="ES27" s="11">
        <f t="shared" si="292"/>
        <v>53</v>
      </c>
      <c r="ET27" s="11">
        <f t="shared" si="292"/>
        <v>23</v>
      </c>
      <c r="EU27" s="11">
        <f t="shared" si="287"/>
        <v>2828</v>
      </c>
      <c r="EV27" s="11">
        <f t="shared" si="280"/>
        <v>129.6</v>
      </c>
      <c r="EW27" s="11">
        <f t="shared" si="281"/>
        <v>56.6</v>
      </c>
      <c r="EX27" s="11">
        <f t="shared" si="278"/>
        <v>1047</v>
      </c>
      <c r="EY27" s="11">
        <f t="shared" si="282"/>
        <v>731</v>
      </c>
      <c r="EZ27" s="15">
        <f t="shared" si="283"/>
        <v>0.37022630834512021</v>
      </c>
      <c r="FA27" s="15">
        <f t="shared" si="284"/>
        <v>0.2584865629420085</v>
      </c>
      <c r="FB27" s="11">
        <f t="shared" si="288"/>
        <v>532</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254</v>
      </c>
      <c r="EA28" s="17">
        <f t="shared" ref="EA28:ET28" si="293">EA26+EA27</f>
        <v>249</v>
      </c>
      <c r="EB28" s="17">
        <f t="shared" si="293"/>
        <v>184</v>
      </c>
      <c r="EC28" s="17">
        <f t="shared" si="293"/>
        <v>192</v>
      </c>
      <c r="ED28" s="17">
        <f t="shared" si="293"/>
        <v>127</v>
      </c>
      <c r="EE28" s="17">
        <f t="shared" si="293"/>
        <v>229</v>
      </c>
      <c r="EF28" s="17">
        <f t="shared" si="293"/>
        <v>294</v>
      </c>
      <c r="EG28" s="17">
        <f t="shared" si="293"/>
        <v>373</v>
      </c>
      <c r="EH28" s="17">
        <f t="shared" si="293"/>
        <v>326</v>
      </c>
      <c r="EI28" s="17">
        <f t="shared" si="293"/>
        <v>310</v>
      </c>
      <c r="EJ28" s="17">
        <f t="shared" si="293"/>
        <v>319</v>
      </c>
      <c r="EK28" s="17">
        <f t="shared" si="293"/>
        <v>337</v>
      </c>
      <c r="EL28" s="17">
        <f t="shared" si="293"/>
        <v>307</v>
      </c>
      <c r="EM28" s="17">
        <f t="shared" si="293"/>
        <v>280</v>
      </c>
      <c r="EN28" s="17">
        <f t="shared" si="293"/>
        <v>311</v>
      </c>
      <c r="EO28" s="17">
        <f t="shared" si="293"/>
        <v>349</v>
      </c>
      <c r="EP28" s="17">
        <f t="shared" si="293"/>
        <v>343</v>
      </c>
      <c r="EQ28" s="17">
        <f t="shared" si="293"/>
        <v>257</v>
      </c>
      <c r="ER28" s="17">
        <f t="shared" si="293"/>
        <v>124</v>
      </c>
      <c r="ES28" s="17">
        <f t="shared" si="293"/>
        <v>64</v>
      </c>
      <c r="ET28" s="17">
        <f t="shared" si="293"/>
        <v>23</v>
      </c>
      <c r="EU28" s="12">
        <f t="shared" si="287"/>
        <v>5252</v>
      </c>
      <c r="EV28" s="12">
        <f t="shared" si="280"/>
        <v>259.8</v>
      </c>
      <c r="EW28" s="12">
        <f t="shared" si="281"/>
        <v>112</v>
      </c>
      <c r="EX28" s="12">
        <f t="shared" si="278"/>
        <v>1751</v>
      </c>
      <c r="EY28" s="12">
        <f t="shared" si="282"/>
        <v>1160</v>
      </c>
      <c r="EZ28" s="16">
        <f t="shared" si="283"/>
        <v>0.33339680121858339</v>
      </c>
      <c r="FA28" s="16">
        <f t="shared" si="284"/>
        <v>0.22086824067022087</v>
      </c>
      <c r="FB28" s="12">
        <f t="shared" si="288"/>
        <v>1023</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125</v>
      </c>
      <c r="EA29" s="10">
        <f t="shared" si="294"/>
        <v>132</v>
      </c>
      <c r="EB29" s="10">
        <f t="shared" si="294"/>
        <v>123</v>
      </c>
      <c r="EC29" s="10">
        <f t="shared" si="294"/>
        <v>81</v>
      </c>
      <c r="ED29" s="10">
        <f t="shared" si="294"/>
        <v>51</v>
      </c>
      <c r="EE29" s="10">
        <f t="shared" si="294"/>
        <v>102</v>
      </c>
      <c r="EF29" s="10">
        <f t="shared" si="294"/>
        <v>141</v>
      </c>
      <c r="EG29" s="10">
        <f t="shared" si="294"/>
        <v>180</v>
      </c>
      <c r="EH29" s="10">
        <f t="shared" si="294"/>
        <v>195</v>
      </c>
      <c r="EI29" s="10">
        <f t="shared" si="294"/>
        <v>173</v>
      </c>
      <c r="EJ29" s="10">
        <f t="shared" si="294"/>
        <v>161</v>
      </c>
      <c r="EK29" s="10">
        <f t="shared" si="294"/>
        <v>153</v>
      </c>
      <c r="EL29" s="10">
        <f t="shared" si="294"/>
        <v>159</v>
      </c>
      <c r="EM29" s="10">
        <f t="shared" si="294"/>
        <v>148</v>
      </c>
      <c r="EN29" s="10">
        <f t="shared" si="294"/>
        <v>126</v>
      </c>
      <c r="EO29" s="10">
        <f t="shared" si="294"/>
        <v>126</v>
      </c>
      <c r="EP29" s="10">
        <f t="shared" si="294"/>
        <v>122</v>
      </c>
      <c r="EQ29" s="10">
        <f t="shared" si="294"/>
        <v>96</v>
      </c>
      <c r="ER29" s="10">
        <f t="shared" si="294"/>
        <v>41</v>
      </c>
      <c r="ES29" s="10">
        <f t="shared" si="294"/>
        <v>10</v>
      </c>
      <c r="ET29" s="10">
        <f t="shared" si="294"/>
        <v>0</v>
      </c>
      <c r="EU29" s="10">
        <f t="shared" si="287"/>
        <v>2445</v>
      </c>
      <c r="EV29" s="10">
        <f t="shared" si="280"/>
        <v>153</v>
      </c>
      <c r="EW29" s="10">
        <f t="shared" si="281"/>
        <v>65.400000000000006</v>
      </c>
      <c r="EX29" s="10">
        <f t="shared" si="278"/>
        <v>669</v>
      </c>
      <c r="EY29" s="10">
        <f t="shared" si="282"/>
        <v>395</v>
      </c>
      <c r="EZ29" s="14">
        <f t="shared" si="283"/>
        <v>0.27361963190184047</v>
      </c>
      <c r="FA29" s="14">
        <f t="shared" si="284"/>
        <v>0.16155419222903886</v>
      </c>
      <c r="FB29" s="10">
        <f t="shared" si="288"/>
        <v>474</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125</v>
      </c>
      <c r="EA30" s="11">
        <f t="shared" si="295"/>
        <v>130</v>
      </c>
      <c r="EB30" s="11">
        <f t="shared" si="295"/>
        <v>124</v>
      </c>
      <c r="EC30" s="11">
        <f t="shared" si="295"/>
        <v>84</v>
      </c>
      <c r="ED30" s="11">
        <f t="shared" si="295"/>
        <v>71</v>
      </c>
      <c r="EE30" s="11">
        <f t="shared" si="295"/>
        <v>117</v>
      </c>
      <c r="EF30" s="11">
        <f t="shared" si="295"/>
        <v>157</v>
      </c>
      <c r="EG30" s="11">
        <f t="shared" si="295"/>
        <v>178</v>
      </c>
      <c r="EH30" s="11">
        <f t="shared" si="295"/>
        <v>194</v>
      </c>
      <c r="EI30" s="11">
        <f t="shared" si="295"/>
        <v>166</v>
      </c>
      <c r="EJ30" s="11">
        <f t="shared" si="295"/>
        <v>156</v>
      </c>
      <c r="EK30" s="11">
        <f t="shared" si="295"/>
        <v>169</v>
      </c>
      <c r="EL30" s="11">
        <f t="shared" si="295"/>
        <v>177</v>
      </c>
      <c r="EM30" s="11">
        <f t="shared" si="295"/>
        <v>151</v>
      </c>
      <c r="EN30" s="11">
        <f t="shared" si="295"/>
        <v>144</v>
      </c>
      <c r="EO30" s="11">
        <f t="shared" si="295"/>
        <v>168</v>
      </c>
      <c r="EP30" s="11">
        <f t="shared" si="295"/>
        <v>177</v>
      </c>
      <c r="EQ30" s="11">
        <f t="shared" si="295"/>
        <v>172</v>
      </c>
      <c r="ER30" s="11">
        <f t="shared" si="295"/>
        <v>113</v>
      </c>
      <c r="ES30" s="11">
        <f t="shared" si="295"/>
        <v>43</v>
      </c>
      <c r="ET30" s="11">
        <f t="shared" si="295"/>
        <v>25</v>
      </c>
      <c r="EU30" s="11">
        <f t="shared" si="287"/>
        <v>2841</v>
      </c>
      <c r="EV30" s="11">
        <f t="shared" si="280"/>
        <v>152.4</v>
      </c>
      <c r="EW30" s="11">
        <f t="shared" si="281"/>
        <v>66.400000000000006</v>
      </c>
      <c r="EX30" s="11">
        <f t="shared" si="278"/>
        <v>993</v>
      </c>
      <c r="EY30" s="11">
        <f t="shared" si="282"/>
        <v>698</v>
      </c>
      <c r="EZ30" s="15">
        <f t="shared" si="283"/>
        <v>0.34952481520591339</v>
      </c>
      <c r="FA30" s="15">
        <f t="shared" si="284"/>
        <v>0.24568813797958466</v>
      </c>
      <c r="FB30" s="11">
        <f t="shared" si="288"/>
        <v>523</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250</v>
      </c>
      <c r="EA31" s="17">
        <f t="shared" ref="EA31:ET31" si="296">EA29+EA30</f>
        <v>262</v>
      </c>
      <c r="EB31" s="17">
        <f t="shared" si="296"/>
        <v>247</v>
      </c>
      <c r="EC31" s="17">
        <f t="shared" si="296"/>
        <v>165</v>
      </c>
      <c r="ED31" s="17">
        <f t="shared" si="296"/>
        <v>122</v>
      </c>
      <c r="EE31" s="17">
        <f t="shared" si="296"/>
        <v>219</v>
      </c>
      <c r="EF31" s="17">
        <f t="shared" si="296"/>
        <v>298</v>
      </c>
      <c r="EG31" s="17">
        <f t="shared" si="296"/>
        <v>358</v>
      </c>
      <c r="EH31" s="17">
        <f t="shared" si="296"/>
        <v>389</v>
      </c>
      <c r="EI31" s="17">
        <f t="shared" si="296"/>
        <v>339</v>
      </c>
      <c r="EJ31" s="17">
        <f t="shared" si="296"/>
        <v>317</v>
      </c>
      <c r="EK31" s="17">
        <f t="shared" si="296"/>
        <v>322</v>
      </c>
      <c r="EL31" s="17">
        <f t="shared" si="296"/>
        <v>336</v>
      </c>
      <c r="EM31" s="17">
        <f t="shared" si="296"/>
        <v>299</v>
      </c>
      <c r="EN31" s="17">
        <f t="shared" si="296"/>
        <v>270</v>
      </c>
      <c r="EO31" s="17">
        <f t="shared" si="296"/>
        <v>294</v>
      </c>
      <c r="EP31" s="17">
        <f t="shared" si="296"/>
        <v>299</v>
      </c>
      <c r="EQ31" s="17">
        <f t="shared" si="296"/>
        <v>268</v>
      </c>
      <c r="ER31" s="17">
        <f t="shared" si="296"/>
        <v>154</v>
      </c>
      <c r="ES31" s="17">
        <f t="shared" si="296"/>
        <v>53</v>
      </c>
      <c r="ET31" s="17">
        <f t="shared" si="296"/>
        <v>25</v>
      </c>
      <c r="EU31" s="12">
        <f t="shared" si="287"/>
        <v>5286</v>
      </c>
      <c r="EV31" s="12">
        <f t="shared" si="280"/>
        <v>305.39999999999998</v>
      </c>
      <c r="EW31" s="12">
        <f t="shared" si="281"/>
        <v>131.80000000000001</v>
      </c>
      <c r="EX31" s="12">
        <f t="shared" si="278"/>
        <v>1662</v>
      </c>
      <c r="EY31" s="12">
        <f t="shared" si="282"/>
        <v>1093</v>
      </c>
      <c r="EZ31" s="16">
        <f t="shared" si="283"/>
        <v>0.31441543700340524</v>
      </c>
      <c r="FA31" s="16">
        <f t="shared" si="284"/>
        <v>0.20677260688611426</v>
      </c>
      <c r="FB31" s="12">
        <f t="shared" si="288"/>
        <v>997</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2540</v>
      </c>
      <c r="D4" s="18">
        <f>SUM(C41:C61)</f>
        <v>2845</v>
      </c>
      <c r="E4" s="18">
        <f>C4+D4</f>
        <v>5385</v>
      </c>
      <c r="F4" s="91"/>
      <c r="G4" s="1" t="s">
        <v>58</v>
      </c>
      <c r="H4" s="1">
        <f>B4</f>
        <v>2010</v>
      </c>
      <c r="I4" s="18">
        <f>C4</f>
        <v>2540</v>
      </c>
      <c r="J4" s="18">
        <f>D4</f>
        <v>2845</v>
      </c>
      <c r="K4" s="18">
        <f>I4+J4</f>
        <v>5385</v>
      </c>
      <c r="N4" s="1" t="s">
        <v>58</v>
      </c>
      <c r="O4" s="1">
        <f>H4</f>
        <v>2010</v>
      </c>
      <c r="P4" s="18">
        <f>I4</f>
        <v>2540</v>
      </c>
      <c r="Q4" s="18">
        <f t="shared" ref="Q4:R4" si="0">J4</f>
        <v>2845</v>
      </c>
      <c r="R4" s="18">
        <f t="shared" si="0"/>
        <v>5385</v>
      </c>
      <c r="S4" s="1"/>
      <c r="T4" s="1"/>
      <c r="U4" s="1"/>
    </row>
    <row r="5" spans="1:21" x14ac:dyDescent="0.15">
      <c r="A5" s="1" t="s">
        <v>61</v>
      </c>
      <c r="B5" s="1">
        <f>管理者入力シート!B6</f>
        <v>2015</v>
      </c>
      <c r="C5" s="18">
        <f>SUM(B65:B85)</f>
        <v>2586</v>
      </c>
      <c r="D5" s="18">
        <f>SUM(C65:C85)</f>
        <v>2950</v>
      </c>
      <c r="E5" s="18">
        <f t="shared" ref="E5" si="1">C5+D5</f>
        <v>5536</v>
      </c>
      <c r="F5" s="91"/>
      <c r="G5" s="1" t="s">
        <v>57</v>
      </c>
      <c r="H5" s="1">
        <f t="shared" ref="H5:H6" si="2">B5</f>
        <v>2015</v>
      </c>
      <c r="I5" s="18">
        <f t="shared" ref="I5" si="3">C5</f>
        <v>2586</v>
      </c>
      <c r="J5" s="18">
        <f>D5</f>
        <v>2950</v>
      </c>
      <c r="K5" s="18">
        <f t="shared" ref="K5:K10" si="4">I5+J5</f>
        <v>5536</v>
      </c>
      <c r="N5" s="1" t="s">
        <v>57</v>
      </c>
      <c r="O5" s="1">
        <f t="shared" ref="O5:O10" si="5">H5</f>
        <v>2015</v>
      </c>
      <c r="P5" s="18">
        <f t="shared" ref="P5:P10" si="6">I5</f>
        <v>2586</v>
      </c>
      <c r="Q5" s="18">
        <f t="shared" ref="Q5:Q10" si="7">J5</f>
        <v>2950</v>
      </c>
      <c r="R5" s="18">
        <f t="shared" ref="R5:R10" si="8">K5</f>
        <v>5536</v>
      </c>
      <c r="S5" s="1"/>
      <c r="T5" s="1"/>
      <c r="U5" s="1"/>
    </row>
    <row r="6" spans="1:21" x14ac:dyDescent="0.15">
      <c r="A6" s="1" t="s">
        <v>62</v>
      </c>
      <c r="B6" s="1">
        <f>管理者入力シート!B5</f>
        <v>2020</v>
      </c>
      <c r="C6" s="18">
        <f>SUM(B89:B109)</f>
        <v>2423</v>
      </c>
      <c r="D6" s="18">
        <f>SUM(C89:C109)</f>
        <v>2791</v>
      </c>
      <c r="E6" s="18">
        <f>C6+D6</f>
        <v>5214</v>
      </c>
      <c r="F6" s="91"/>
      <c r="G6" s="1" t="s">
        <v>62</v>
      </c>
      <c r="H6" s="1">
        <f t="shared" si="2"/>
        <v>2020</v>
      </c>
      <c r="I6" s="18">
        <f>C6</f>
        <v>2423</v>
      </c>
      <c r="J6" s="18">
        <f>D6</f>
        <v>2791</v>
      </c>
      <c r="K6" s="18">
        <f t="shared" si="4"/>
        <v>5214</v>
      </c>
      <c r="N6" s="1" t="s">
        <v>62</v>
      </c>
      <c r="O6" s="1">
        <f t="shared" si="5"/>
        <v>2020</v>
      </c>
      <c r="P6" s="18">
        <f t="shared" si="6"/>
        <v>2423</v>
      </c>
      <c r="Q6" s="18">
        <f t="shared" si="7"/>
        <v>2791</v>
      </c>
      <c r="R6" s="18">
        <f t="shared" si="8"/>
        <v>5214</v>
      </c>
      <c r="S6" s="1"/>
      <c r="T6" s="1"/>
      <c r="U6" s="1"/>
    </row>
    <row r="7" spans="1:21" x14ac:dyDescent="0.15">
      <c r="G7" s="1" t="s">
        <v>106</v>
      </c>
      <c r="H7" s="1">
        <f>管理者入力シート!B8</f>
        <v>2025</v>
      </c>
      <c r="I7" s="18">
        <f>SUM(H69:H89)</f>
        <v>2314</v>
      </c>
      <c r="J7" s="18">
        <f>SUM(I69:I89)</f>
        <v>2712</v>
      </c>
      <c r="K7" s="18">
        <f t="shared" si="4"/>
        <v>5026</v>
      </c>
      <c r="N7" s="1" t="s">
        <v>106</v>
      </c>
      <c r="O7" s="1">
        <f t="shared" si="5"/>
        <v>2025</v>
      </c>
      <c r="P7" s="18">
        <f t="shared" si="6"/>
        <v>2314</v>
      </c>
      <c r="Q7" s="18">
        <f t="shared" si="7"/>
        <v>2712</v>
      </c>
      <c r="R7" s="18">
        <f t="shared" si="8"/>
        <v>5026</v>
      </c>
      <c r="S7" s="257">
        <f>SUM(O69:O89)</f>
        <v>2318</v>
      </c>
      <c r="T7" s="257">
        <f>SUM(P69:P89)</f>
        <v>2717</v>
      </c>
      <c r="U7" s="257">
        <f>S7+T7</f>
        <v>5035</v>
      </c>
    </row>
    <row r="8" spans="1:21" x14ac:dyDescent="0.15">
      <c r="A8" s="75" t="s">
        <v>71</v>
      </c>
      <c r="G8" s="1" t="s">
        <v>107</v>
      </c>
      <c r="H8" s="1">
        <f>管理者入力シート!B9</f>
        <v>2030</v>
      </c>
      <c r="I8" s="18">
        <f>SUM(H93:H113)</f>
        <v>2192</v>
      </c>
      <c r="J8" s="18">
        <f>SUM(I93:I113)</f>
        <v>2602</v>
      </c>
      <c r="K8" s="18">
        <f t="shared" si="4"/>
        <v>4794</v>
      </c>
      <c r="N8" s="1" t="s">
        <v>107</v>
      </c>
      <c r="O8" s="1">
        <f t="shared" si="5"/>
        <v>2030</v>
      </c>
      <c r="P8" s="18">
        <f t="shared" si="6"/>
        <v>2192</v>
      </c>
      <c r="Q8" s="18">
        <f t="shared" si="7"/>
        <v>2602</v>
      </c>
      <c r="R8" s="18">
        <f t="shared" si="8"/>
        <v>4794</v>
      </c>
      <c r="S8" s="257">
        <f>SUM(O93:O113)</f>
        <v>2201</v>
      </c>
      <c r="T8" s="257">
        <f>SUM(P93:P113)</f>
        <v>2613</v>
      </c>
      <c r="U8" s="257">
        <f t="shared" ref="U8:U10" si="9">S8+T8</f>
        <v>4814</v>
      </c>
    </row>
    <row r="9" spans="1:21" x14ac:dyDescent="0.15">
      <c r="A9" s="2" t="s">
        <v>72</v>
      </c>
      <c r="G9" s="1" t="s">
        <v>108</v>
      </c>
      <c r="H9" s="1">
        <f>管理者入力シート!B10</f>
        <v>2035</v>
      </c>
      <c r="I9" s="18">
        <f>SUM(H117:H137)</f>
        <v>2072</v>
      </c>
      <c r="J9" s="18">
        <f>SUM(I117:I137)</f>
        <v>2482</v>
      </c>
      <c r="K9" s="18">
        <f t="shared" si="4"/>
        <v>4554</v>
      </c>
      <c r="N9" s="1" t="s">
        <v>108</v>
      </c>
      <c r="O9" s="1">
        <f t="shared" si="5"/>
        <v>2035</v>
      </c>
      <c r="P9" s="18">
        <f t="shared" si="6"/>
        <v>2072</v>
      </c>
      <c r="Q9" s="18">
        <f t="shared" si="7"/>
        <v>2482</v>
      </c>
      <c r="R9" s="18">
        <f t="shared" si="8"/>
        <v>4554</v>
      </c>
      <c r="S9" s="257">
        <f>SUM(O117:O137)</f>
        <v>2085</v>
      </c>
      <c r="T9" s="257">
        <f>SUM(P117:P137)</f>
        <v>2499</v>
      </c>
      <c r="U9" s="257">
        <f t="shared" si="9"/>
        <v>4584</v>
      </c>
    </row>
    <row r="10" spans="1:21" x14ac:dyDescent="0.15">
      <c r="A10" s="1" t="s">
        <v>58</v>
      </c>
      <c r="B10" s="1">
        <f>B4</f>
        <v>2010</v>
      </c>
      <c r="C10" s="18">
        <f>ROUND(VLOOKUP(B10&amp;"_3",管理者用人口入力シート!A:AA,26,FALSE),0)</f>
        <v>289</v>
      </c>
      <c r="D10" s="13"/>
      <c r="E10" s="13"/>
      <c r="G10" s="1" t="s">
        <v>109</v>
      </c>
      <c r="H10" s="1">
        <f>管理者入力シート!B11</f>
        <v>2040</v>
      </c>
      <c r="I10" s="18">
        <f>SUM(H141:H161)</f>
        <v>1948</v>
      </c>
      <c r="J10" s="18">
        <f>SUM(I141:I161)</f>
        <v>2357</v>
      </c>
      <c r="K10" s="18">
        <f t="shared" si="4"/>
        <v>4305</v>
      </c>
      <c r="N10" s="1" t="s">
        <v>109</v>
      </c>
      <c r="O10" s="1">
        <f t="shared" si="5"/>
        <v>2040</v>
      </c>
      <c r="P10" s="18">
        <f t="shared" si="6"/>
        <v>1948</v>
      </c>
      <c r="Q10" s="18">
        <f t="shared" si="7"/>
        <v>2357</v>
      </c>
      <c r="R10" s="18">
        <f t="shared" si="8"/>
        <v>4305</v>
      </c>
      <c r="S10" s="257">
        <f>SUM(O141:O161)</f>
        <v>1967</v>
      </c>
      <c r="T10" s="257">
        <f>SUM(P141:P161)</f>
        <v>2380</v>
      </c>
      <c r="U10" s="257">
        <f t="shared" si="9"/>
        <v>4347</v>
      </c>
    </row>
    <row r="11" spans="1:21" x14ac:dyDescent="0.15">
      <c r="A11" s="1" t="s">
        <v>61</v>
      </c>
      <c r="B11" s="1">
        <f t="shared" ref="B11:B12" si="10">B5</f>
        <v>2015</v>
      </c>
      <c r="C11" s="18">
        <f>ROUND(VLOOKUP(B11&amp;"_3",管理者用人口入力シート!A:AA,26,FALSE),0)</f>
        <v>292</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278</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147</v>
      </c>
      <c r="D14" s="13"/>
      <c r="E14" s="13"/>
      <c r="G14" s="1" t="s">
        <v>58</v>
      </c>
      <c r="H14" s="1">
        <f>H4</f>
        <v>2010</v>
      </c>
      <c r="I14" s="18">
        <f>C10</f>
        <v>289</v>
      </c>
      <c r="J14" s="13"/>
      <c r="K14" s="13"/>
      <c r="N14" s="1" t="s">
        <v>58</v>
      </c>
      <c r="O14" s="1">
        <f>O4</f>
        <v>2010</v>
      </c>
      <c r="P14" s="18">
        <f>I14</f>
        <v>289</v>
      </c>
      <c r="Q14" s="18"/>
    </row>
    <row r="15" spans="1:21" x14ac:dyDescent="0.15">
      <c r="A15" s="1" t="s">
        <v>61</v>
      </c>
      <c r="B15" s="1">
        <f t="shared" ref="B15:B16" si="11">B5</f>
        <v>2015</v>
      </c>
      <c r="C15" s="18">
        <f>ROUND(VLOOKUP(B15&amp;"_3",管理者用人口入力シート!A:AA,27,FALSE),0)</f>
        <v>141</v>
      </c>
      <c r="D15" s="13"/>
      <c r="E15" s="13"/>
      <c r="G15" s="1" t="s">
        <v>57</v>
      </c>
      <c r="H15" s="1">
        <f t="shared" ref="H15:H20" si="12">H5</f>
        <v>2015</v>
      </c>
      <c r="I15" s="18">
        <f>C11</f>
        <v>292</v>
      </c>
      <c r="J15" s="13"/>
      <c r="K15" s="13"/>
      <c r="N15" s="1" t="s">
        <v>57</v>
      </c>
      <c r="O15" s="1">
        <f t="shared" ref="O15:O20" si="13">O5</f>
        <v>2015</v>
      </c>
      <c r="P15" s="18">
        <f t="shared" ref="P15:P20" si="14">I15</f>
        <v>292</v>
      </c>
      <c r="Q15" s="18"/>
    </row>
    <row r="16" spans="1:21" x14ac:dyDescent="0.15">
      <c r="A16" s="1" t="s">
        <v>62</v>
      </c>
      <c r="B16" s="1">
        <f t="shared" si="11"/>
        <v>2020</v>
      </c>
      <c r="C16" s="18">
        <f>ROUND(VLOOKUP(B16&amp;"_3",管理者用人口入力シート!A:AA,27,FALSE),0)</f>
        <v>137</v>
      </c>
      <c r="D16" s="13"/>
      <c r="E16" s="13"/>
      <c r="G16" s="1" t="s">
        <v>62</v>
      </c>
      <c r="H16" s="1">
        <f t="shared" si="12"/>
        <v>2020</v>
      </c>
      <c r="I16" s="18">
        <f>C12</f>
        <v>278</v>
      </c>
      <c r="J16" s="13"/>
      <c r="K16" s="13"/>
      <c r="N16" s="1" t="s">
        <v>62</v>
      </c>
      <c r="O16" s="1">
        <f t="shared" si="13"/>
        <v>2020</v>
      </c>
      <c r="P16" s="18">
        <f t="shared" si="14"/>
        <v>278</v>
      </c>
      <c r="Q16" s="18"/>
    </row>
    <row r="17" spans="1:17" x14ac:dyDescent="0.15">
      <c r="G17" s="1" t="s">
        <v>106</v>
      </c>
      <c r="H17" s="1">
        <f t="shared" si="12"/>
        <v>2025</v>
      </c>
      <c r="I17" s="18">
        <f>ROUND(VLOOKUP(H17&amp;"_3",管理者用人口入力シート!BH:CM,26,FALSE),0)</f>
        <v>263</v>
      </c>
      <c r="J17" s="13"/>
      <c r="K17" s="13"/>
      <c r="N17" s="1" t="s">
        <v>106</v>
      </c>
      <c r="O17" s="1">
        <f t="shared" si="13"/>
        <v>2025</v>
      </c>
      <c r="P17" s="18">
        <f t="shared" si="14"/>
        <v>263</v>
      </c>
      <c r="Q17" s="18">
        <f>ROUND(VLOOKUP(H17&amp;"_3",管理者用人口入力シート!CO:DT,26,FALSE),0)</f>
        <v>264</v>
      </c>
    </row>
    <row r="18" spans="1:17" x14ac:dyDescent="0.15">
      <c r="A18" s="75" t="s">
        <v>110</v>
      </c>
      <c r="G18" s="1" t="s">
        <v>107</v>
      </c>
      <c r="H18" s="1">
        <f t="shared" si="12"/>
        <v>2030</v>
      </c>
      <c r="I18" s="18">
        <f>ROUND(VLOOKUP(H18&amp;"_3",管理者用人口入力シート!BH:CM,26,FALSE),0)</f>
        <v>239</v>
      </c>
      <c r="J18" s="13"/>
      <c r="K18" s="13"/>
      <c r="N18" s="1" t="s">
        <v>107</v>
      </c>
      <c r="O18" s="1">
        <f t="shared" si="13"/>
        <v>2030</v>
      </c>
      <c r="P18" s="18">
        <f t="shared" si="14"/>
        <v>239</v>
      </c>
      <c r="Q18" s="18">
        <f>ROUND(VLOOKUP(H18&amp;"_3",管理者用人口入力シート!CO:DT,26,FALSE),0)</f>
        <v>242</v>
      </c>
    </row>
    <row r="19" spans="1:17" x14ac:dyDescent="0.15">
      <c r="A19" s="2" t="s">
        <v>84</v>
      </c>
      <c r="G19" s="1" t="s">
        <v>108</v>
      </c>
      <c r="H19" s="1">
        <f t="shared" si="12"/>
        <v>2035</v>
      </c>
      <c r="I19" s="18">
        <f>ROUND(VLOOKUP(H19&amp;"_3",管理者用人口入力シート!BH:CM,26,FALSE),0)</f>
        <v>216</v>
      </c>
      <c r="J19" s="13"/>
      <c r="K19" s="13"/>
      <c r="N19" s="1" t="s">
        <v>108</v>
      </c>
      <c r="O19" s="1">
        <f t="shared" si="13"/>
        <v>2035</v>
      </c>
      <c r="P19" s="18">
        <f t="shared" si="14"/>
        <v>216</v>
      </c>
      <c r="Q19" s="18">
        <f>ROUND(VLOOKUP(H19&amp;"_3",管理者用人口入力シート!CO:DT,26,FALSE),0)</f>
        <v>221</v>
      </c>
    </row>
    <row r="20" spans="1:17" x14ac:dyDescent="0.15">
      <c r="A20" s="1" t="s">
        <v>58</v>
      </c>
      <c r="B20" s="1">
        <f>B4</f>
        <v>2010</v>
      </c>
      <c r="C20" s="18">
        <f>SUM(B54:C61)</f>
        <v>1575</v>
      </c>
      <c r="D20" s="13"/>
      <c r="E20" s="13"/>
      <c r="G20" s="1" t="s">
        <v>109</v>
      </c>
      <c r="H20" s="1">
        <f t="shared" si="12"/>
        <v>2040</v>
      </c>
      <c r="I20" s="18">
        <f>ROUND(VLOOKUP(H20&amp;"_3",管理者用人口入力シート!BH:CM,26,FALSE),0)</f>
        <v>210</v>
      </c>
      <c r="J20" s="13"/>
      <c r="K20" s="13"/>
      <c r="N20" s="1" t="s">
        <v>109</v>
      </c>
      <c r="O20" s="1">
        <f t="shared" si="13"/>
        <v>2040</v>
      </c>
      <c r="P20" s="18">
        <f t="shared" si="14"/>
        <v>210</v>
      </c>
      <c r="Q20" s="18">
        <f>ROUND(VLOOKUP(H20&amp;"_3",管理者用人口入力シート!CO:DT,26,FALSE),0)</f>
        <v>217</v>
      </c>
    </row>
    <row r="21" spans="1:17" x14ac:dyDescent="0.15">
      <c r="A21" s="1" t="s">
        <v>61</v>
      </c>
      <c r="B21" s="1">
        <f t="shared" ref="B21:B22" si="15">B5</f>
        <v>2015</v>
      </c>
      <c r="C21" s="18">
        <f>SUM(B78:C85)</f>
        <v>1800</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1867</v>
      </c>
      <c r="D22" s="13"/>
      <c r="E22" s="13"/>
      <c r="G22" s="1" t="s">
        <v>58</v>
      </c>
      <c r="H22" s="1">
        <f>H4</f>
        <v>2010</v>
      </c>
      <c r="I22" s="18">
        <f>C14</f>
        <v>147</v>
      </c>
      <c r="J22" s="13"/>
      <c r="K22" s="13"/>
      <c r="N22" s="1" t="s">
        <v>58</v>
      </c>
      <c r="O22" s="1">
        <f>O4</f>
        <v>2010</v>
      </c>
      <c r="P22" s="18">
        <f>I22</f>
        <v>147</v>
      </c>
      <c r="Q22" s="18"/>
    </row>
    <row r="23" spans="1:17" x14ac:dyDescent="0.15">
      <c r="A23" s="2" t="s">
        <v>86</v>
      </c>
      <c r="G23" s="1" t="s">
        <v>57</v>
      </c>
      <c r="H23" s="1">
        <f t="shared" ref="H23:H28" si="16">H5</f>
        <v>2015</v>
      </c>
      <c r="I23" s="18">
        <f t="shared" ref="I23:I24" si="17">C15</f>
        <v>141</v>
      </c>
      <c r="J23" s="13"/>
      <c r="K23" s="13"/>
      <c r="N23" s="1" t="s">
        <v>57</v>
      </c>
      <c r="O23" s="1">
        <f t="shared" ref="O23:O28" si="18">O5</f>
        <v>2015</v>
      </c>
      <c r="P23" s="18">
        <f t="shared" ref="P23:P28" si="19">I23</f>
        <v>141</v>
      </c>
      <c r="Q23" s="18"/>
    </row>
    <row r="24" spans="1:17" x14ac:dyDescent="0.15">
      <c r="A24" s="1" t="s">
        <v>58</v>
      </c>
      <c r="B24" s="1">
        <f>B4</f>
        <v>2010</v>
      </c>
      <c r="C24" s="18">
        <f>SUM(B56:C61)</f>
        <v>852</v>
      </c>
      <c r="D24" s="13"/>
      <c r="E24" s="13"/>
      <c r="G24" s="1" t="s">
        <v>62</v>
      </c>
      <c r="H24" s="1">
        <f t="shared" si="16"/>
        <v>2020</v>
      </c>
      <c r="I24" s="18">
        <f t="shared" si="17"/>
        <v>137</v>
      </c>
      <c r="J24" s="13"/>
      <c r="K24" s="13"/>
      <c r="N24" s="1" t="s">
        <v>62</v>
      </c>
      <c r="O24" s="1">
        <f t="shared" si="18"/>
        <v>2020</v>
      </c>
      <c r="P24" s="18">
        <f t="shared" si="19"/>
        <v>137</v>
      </c>
      <c r="Q24" s="18"/>
    </row>
    <row r="25" spans="1:17" x14ac:dyDescent="0.15">
      <c r="A25" s="1" t="s">
        <v>61</v>
      </c>
      <c r="B25" s="1">
        <f t="shared" ref="B25:B26" si="20">B5</f>
        <v>2015</v>
      </c>
      <c r="C25" s="18">
        <f>SUM(B80:C85)</f>
        <v>1044</v>
      </c>
      <c r="D25" s="13"/>
      <c r="E25" s="13"/>
      <c r="G25" s="1" t="s">
        <v>106</v>
      </c>
      <c r="H25" s="1">
        <f t="shared" si="16"/>
        <v>2025</v>
      </c>
      <c r="I25" s="18">
        <f>ROUND(VLOOKUP(H25&amp;"_3",管理者用人口入力シート!BH:CM,27,FALSE),0)</f>
        <v>132</v>
      </c>
      <c r="J25" s="13"/>
      <c r="K25" s="13"/>
      <c r="N25" s="1" t="s">
        <v>106</v>
      </c>
      <c r="O25" s="1">
        <f t="shared" si="18"/>
        <v>2025</v>
      </c>
      <c r="P25" s="18">
        <f t="shared" si="19"/>
        <v>132</v>
      </c>
      <c r="Q25" s="18">
        <f>ROUND(VLOOKUP(H17&amp;"_3",管理者用人口入力シート!CO:DT,27,FALSE),0)</f>
        <v>133</v>
      </c>
    </row>
    <row r="26" spans="1:17" x14ac:dyDescent="0.15">
      <c r="A26" s="1" t="s">
        <v>62</v>
      </c>
      <c r="B26" s="1">
        <f t="shared" si="20"/>
        <v>2020</v>
      </c>
      <c r="C26" s="18">
        <f>SUM(B104:C109)</f>
        <v>1015</v>
      </c>
      <c r="D26" s="13"/>
      <c r="E26" s="13"/>
      <c r="G26" s="1" t="s">
        <v>107</v>
      </c>
      <c r="H26" s="1">
        <f t="shared" si="16"/>
        <v>2030</v>
      </c>
      <c r="I26" s="18">
        <f>ROUND(VLOOKUP(H26&amp;"_3",管理者用人口入力シート!BH:CM,27,FALSE),0)</f>
        <v>125</v>
      </c>
      <c r="J26" s="13"/>
      <c r="K26" s="13"/>
      <c r="N26" s="1" t="s">
        <v>107</v>
      </c>
      <c r="O26" s="1">
        <f t="shared" si="18"/>
        <v>2030</v>
      </c>
      <c r="P26" s="18">
        <f t="shared" si="19"/>
        <v>125</v>
      </c>
      <c r="Q26" s="18">
        <f>ROUND(VLOOKUP(H18&amp;"_3",管理者用人口入力シート!CO:DT,27,FALSE),0)</f>
        <v>127</v>
      </c>
    </row>
    <row r="27" spans="1:17" x14ac:dyDescent="0.15">
      <c r="G27" s="1" t="s">
        <v>108</v>
      </c>
      <c r="H27" s="1">
        <f t="shared" si="16"/>
        <v>2035</v>
      </c>
      <c r="I27" s="18">
        <f>ROUND(VLOOKUP(H27&amp;"_3",管理者用人口入力シート!BH:CM,27,FALSE),0)</f>
        <v>112</v>
      </c>
      <c r="J27" s="13"/>
      <c r="K27" s="13"/>
      <c r="N27" s="1" t="s">
        <v>108</v>
      </c>
      <c r="O27" s="1">
        <f t="shared" si="18"/>
        <v>2035</v>
      </c>
      <c r="P27" s="18">
        <f t="shared" si="19"/>
        <v>112</v>
      </c>
      <c r="Q27" s="18">
        <f>ROUND(VLOOKUP(H19&amp;"_3",管理者用人口入力シート!CO:DT,27,FALSE),0)</f>
        <v>114</v>
      </c>
    </row>
    <row r="28" spans="1:17" x14ac:dyDescent="0.15">
      <c r="A28" s="75" t="s">
        <v>85</v>
      </c>
      <c r="G28" s="1" t="s">
        <v>109</v>
      </c>
      <c r="H28" s="1">
        <f t="shared" si="16"/>
        <v>2040</v>
      </c>
      <c r="I28" s="18">
        <f>ROUND(VLOOKUP(H28&amp;"_3",管理者用人口入力シート!BH:CM,27,FALSE),0)</f>
        <v>103</v>
      </c>
      <c r="J28" s="13"/>
      <c r="K28" s="13"/>
      <c r="N28" s="1" t="s">
        <v>109</v>
      </c>
      <c r="O28" s="1">
        <f t="shared" si="18"/>
        <v>2040</v>
      </c>
      <c r="P28" s="18">
        <f t="shared" si="19"/>
        <v>103</v>
      </c>
      <c r="Q28" s="18">
        <f>ROUND(VLOOKUP(H20&amp;"_3",管理者用人口入力シート!CO:DT,27,FALSE),0)</f>
        <v>106</v>
      </c>
    </row>
    <row r="29" spans="1:17" x14ac:dyDescent="0.15">
      <c r="A29" s="2" t="s">
        <v>84</v>
      </c>
      <c r="G29" s="3"/>
      <c r="H29" s="3"/>
      <c r="I29" s="3"/>
      <c r="J29" s="3"/>
      <c r="K29" s="3"/>
      <c r="N29" s="3"/>
      <c r="O29" s="3"/>
      <c r="P29" s="3"/>
    </row>
    <row r="30" spans="1:17" x14ac:dyDescent="0.15">
      <c r="A30" s="1" t="s">
        <v>58</v>
      </c>
      <c r="B30" s="1">
        <f>B4</f>
        <v>2010</v>
      </c>
      <c r="C30" s="43">
        <f>ROUND((SUM(B54:C61)/SUM(B41:C61)),2)</f>
        <v>0.28999999999999998</v>
      </c>
      <c r="D30" s="226"/>
      <c r="E30" s="226"/>
      <c r="G30" s="75" t="s">
        <v>110</v>
      </c>
      <c r="N30" s="75" t="s">
        <v>110</v>
      </c>
    </row>
    <row r="31" spans="1:17" x14ac:dyDescent="0.15">
      <c r="A31" s="1" t="s">
        <v>61</v>
      </c>
      <c r="B31" s="1">
        <f t="shared" ref="B31:B32" si="21">B5</f>
        <v>2015</v>
      </c>
      <c r="C31" s="43">
        <f>ROUND((SUM(B78:C85)/SUM(B65:C85)),2)</f>
        <v>0.33</v>
      </c>
      <c r="D31" s="226"/>
      <c r="E31" s="226"/>
      <c r="G31" s="2" t="s">
        <v>84</v>
      </c>
      <c r="H31" s="71"/>
      <c r="I31" s="72"/>
      <c r="J31" s="13"/>
      <c r="K31" s="13"/>
      <c r="N31" s="2" t="s">
        <v>84</v>
      </c>
      <c r="O31" s="71"/>
      <c r="P31" s="2" t="s">
        <v>120</v>
      </c>
      <c r="Q31" s="2" t="s">
        <v>119</v>
      </c>
    </row>
    <row r="32" spans="1:17" x14ac:dyDescent="0.15">
      <c r="A32" s="1" t="s">
        <v>62</v>
      </c>
      <c r="B32" s="1">
        <f t="shared" si="21"/>
        <v>2020</v>
      </c>
      <c r="C32" s="43">
        <f>ROUND((SUM(B102:C109)/SUM(B89:C109)),2)</f>
        <v>0.36</v>
      </c>
      <c r="D32" s="226"/>
      <c r="E32" s="226"/>
      <c r="G32" s="1" t="s">
        <v>58</v>
      </c>
      <c r="H32" s="1">
        <f>H4</f>
        <v>2010</v>
      </c>
      <c r="I32" s="18">
        <f>C20</f>
        <v>1575</v>
      </c>
      <c r="J32" s="13"/>
      <c r="K32" s="13"/>
      <c r="N32" s="1" t="s">
        <v>58</v>
      </c>
      <c r="O32" s="1">
        <f>O4</f>
        <v>2010</v>
      </c>
      <c r="P32" s="18">
        <f>I32</f>
        <v>1575</v>
      </c>
      <c r="Q32" s="18"/>
    </row>
    <row r="33" spans="1:17" x14ac:dyDescent="0.15">
      <c r="A33" s="2" t="s">
        <v>86</v>
      </c>
      <c r="G33" s="1" t="s">
        <v>57</v>
      </c>
      <c r="H33" s="1">
        <f t="shared" ref="H33:H38" si="22">H5</f>
        <v>2015</v>
      </c>
      <c r="I33" s="18">
        <f>C21</f>
        <v>1800</v>
      </c>
      <c r="J33" s="13"/>
      <c r="K33" s="13"/>
      <c r="N33" s="1" t="s">
        <v>57</v>
      </c>
      <c r="O33" s="1">
        <f t="shared" ref="O33:O38" si="23">O5</f>
        <v>2015</v>
      </c>
      <c r="P33" s="18">
        <f t="shared" ref="P33:P38" si="24">I33</f>
        <v>1800</v>
      </c>
      <c r="Q33" s="18"/>
    </row>
    <row r="34" spans="1:17" x14ac:dyDescent="0.15">
      <c r="A34" s="1" t="s">
        <v>58</v>
      </c>
      <c r="B34" s="1">
        <f>B4</f>
        <v>2010</v>
      </c>
      <c r="C34" s="43">
        <f>ROUND((SUM(B56:C61)/SUM(B41:C61)),2)</f>
        <v>0.16</v>
      </c>
      <c r="D34" s="226"/>
      <c r="E34" s="226"/>
      <c r="G34" s="1" t="s">
        <v>62</v>
      </c>
      <c r="H34" s="1">
        <f t="shared" si="22"/>
        <v>2020</v>
      </c>
      <c r="I34" s="18">
        <f>C22</f>
        <v>1867</v>
      </c>
      <c r="J34" s="13"/>
      <c r="K34" s="13"/>
      <c r="N34" s="1" t="s">
        <v>62</v>
      </c>
      <c r="O34" s="1">
        <f t="shared" si="23"/>
        <v>2020</v>
      </c>
      <c r="P34" s="18">
        <f t="shared" si="24"/>
        <v>1867</v>
      </c>
      <c r="Q34" s="18"/>
    </row>
    <row r="35" spans="1:17" x14ac:dyDescent="0.15">
      <c r="A35" s="1" t="s">
        <v>61</v>
      </c>
      <c r="B35" s="1">
        <f t="shared" ref="B35:B36" si="25">B5</f>
        <v>2015</v>
      </c>
      <c r="C35" s="43">
        <f>ROUND((SUM(B80:C85)/SUM(B65:C85)),2)</f>
        <v>0.19</v>
      </c>
      <c r="D35" s="226"/>
      <c r="E35" s="226"/>
      <c r="G35" s="1" t="s">
        <v>106</v>
      </c>
      <c r="H35" s="1">
        <f t="shared" si="22"/>
        <v>2025</v>
      </c>
      <c r="I35" s="18">
        <f>SUM(H82:I89)</f>
        <v>1907</v>
      </c>
      <c r="J35" s="13"/>
      <c r="K35" s="13"/>
      <c r="N35" s="1" t="s">
        <v>106</v>
      </c>
      <c r="O35" s="1">
        <f t="shared" si="23"/>
        <v>2025</v>
      </c>
      <c r="P35" s="18">
        <f t="shared" si="24"/>
        <v>1907</v>
      </c>
      <c r="Q35" s="18">
        <f>SUM(O82:P89)</f>
        <v>1907</v>
      </c>
    </row>
    <row r="36" spans="1:17" x14ac:dyDescent="0.15">
      <c r="A36" s="1" t="s">
        <v>62</v>
      </c>
      <c r="B36" s="1">
        <f t="shared" si="25"/>
        <v>2020</v>
      </c>
      <c r="C36" s="43">
        <f>ROUND((SUM(B104:C109)/SUM(B89:C109)),2)</f>
        <v>0.19</v>
      </c>
      <c r="D36" s="226"/>
      <c r="E36" s="226"/>
      <c r="G36" s="1" t="s">
        <v>107</v>
      </c>
      <c r="H36" s="1">
        <f t="shared" si="22"/>
        <v>2030</v>
      </c>
      <c r="I36" s="18">
        <f>SUM(H106:I113)</f>
        <v>1857</v>
      </c>
      <c r="J36" s="13"/>
      <c r="K36" s="13"/>
      <c r="N36" s="1" t="s">
        <v>107</v>
      </c>
      <c r="O36" s="1">
        <f t="shared" si="23"/>
        <v>2030</v>
      </c>
      <c r="P36" s="18">
        <f t="shared" si="24"/>
        <v>1857</v>
      </c>
      <c r="Q36" s="18">
        <f>SUM(O106:P113)</f>
        <v>1857</v>
      </c>
    </row>
    <row r="37" spans="1:17" x14ac:dyDescent="0.15">
      <c r="G37" s="1" t="s">
        <v>108</v>
      </c>
      <c r="H37" s="1">
        <f t="shared" si="22"/>
        <v>2035</v>
      </c>
      <c r="I37" s="18">
        <f>SUM(H130:I137)</f>
        <v>1751</v>
      </c>
      <c r="J37" s="13"/>
      <c r="K37" s="13"/>
      <c r="N37" s="1" t="s">
        <v>108</v>
      </c>
      <c r="O37" s="1">
        <f t="shared" si="23"/>
        <v>2035</v>
      </c>
      <c r="P37" s="18">
        <f t="shared" si="24"/>
        <v>1751</v>
      </c>
      <c r="Q37" s="18">
        <f>SUM(O130:P137)</f>
        <v>1751</v>
      </c>
    </row>
    <row r="38" spans="1:17" x14ac:dyDescent="0.15">
      <c r="A38" s="75" t="s">
        <v>113</v>
      </c>
      <c r="G38" s="1" t="s">
        <v>109</v>
      </c>
      <c r="H38" s="1">
        <f t="shared" si="22"/>
        <v>2040</v>
      </c>
      <c r="I38" s="18">
        <f>SUM(H154:I161)</f>
        <v>1662</v>
      </c>
      <c r="J38" s="13"/>
      <c r="K38" s="13"/>
      <c r="N38" s="1" t="s">
        <v>109</v>
      </c>
      <c r="O38" s="1">
        <f t="shared" si="23"/>
        <v>2040</v>
      </c>
      <c r="P38" s="18">
        <f t="shared" si="24"/>
        <v>1662</v>
      </c>
      <c r="Q38" s="18">
        <f>SUM(O154:P161)</f>
        <v>1662</v>
      </c>
    </row>
    <row r="39" spans="1:17" x14ac:dyDescent="0.15">
      <c r="A39" s="2" t="s">
        <v>383</v>
      </c>
      <c r="B39" s="342">
        <f>管理者入力シート!B7</f>
        <v>2010</v>
      </c>
      <c r="C39" s="343"/>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852</v>
      </c>
      <c r="J40" s="13"/>
      <c r="K40" s="13"/>
      <c r="N40" s="1" t="s">
        <v>58</v>
      </c>
      <c r="O40" s="1">
        <f>O4</f>
        <v>2010</v>
      </c>
      <c r="P40" s="18">
        <f>I40</f>
        <v>852</v>
      </c>
      <c r="Q40" s="18"/>
    </row>
    <row r="41" spans="1:17" x14ac:dyDescent="0.15">
      <c r="A41" s="2" t="s">
        <v>0</v>
      </c>
      <c r="B41" s="18">
        <f>ROUND(VLOOKUP(B$39&amp;"_1",管理者用人口入力シート!A:X,D41,FALSE),0)</f>
        <v>112</v>
      </c>
      <c r="C41" s="18">
        <f>ROUND(VLOOKUP(B$39&amp;"_2",管理者用人口入力シート!A:X,D41,FALSE),0)</f>
        <v>111</v>
      </c>
      <c r="D41" s="2">
        <v>4</v>
      </c>
      <c r="G41" s="1" t="s">
        <v>57</v>
      </c>
      <c r="H41" s="1">
        <f t="shared" ref="H41:H46" si="26">H5</f>
        <v>2015</v>
      </c>
      <c r="I41" s="18">
        <f>C25</f>
        <v>1044</v>
      </c>
      <c r="J41" s="13"/>
      <c r="K41" s="13"/>
      <c r="N41" s="1" t="s">
        <v>57</v>
      </c>
      <c r="O41" s="1">
        <f t="shared" ref="O41:O46" si="27">O5</f>
        <v>2015</v>
      </c>
      <c r="P41" s="18">
        <f t="shared" ref="P41:P46" si="28">I41</f>
        <v>1044</v>
      </c>
      <c r="Q41" s="18"/>
    </row>
    <row r="42" spans="1:17" x14ac:dyDescent="0.15">
      <c r="A42" s="2" t="s">
        <v>1</v>
      </c>
      <c r="B42" s="18">
        <f>ROUND(VLOOKUP(B$39&amp;"_1",管理者用人口入力シート!A:X,D42,FALSE),0)</f>
        <v>126</v>
      </c>
      <c r="C42" s="18">
        <f>ROUND(VLOOKUP(B$39&amp;"_2",管理者用人口入力シート!A:X,D42,FALSE),0)</f>
        <v>106</v>
      </c>
      <c r="D42" s="2">
        <v>5</v>
      </c>
      <c r="G42" s="1" t="s">
        <v>62</v>
      </c>
      <c r="H42" s="1">
        <f t="shared" si="26"/>
        <v>2020</v>
      </c>
      <c r="I42" s="18">
        <f>C26</f>
        <v>1015</v>
      </c>
      <c r="J42" s="13"/>
      <c r="K42" s="13"/>
      <c r="N42" s="1" t="s">
        <v>62</v>
      </c>
      <c r="O42" s="1">
        <f t="shared" si="27"/>
        <v>2020</v>
      </c>
      <c r="P42" s="18">
        <f t="shared" si="28"/>
        <v>1015</v>
      </c>
      <c r="Q42" s="18"/>
    </row>
    <row r="43" spans="1:17" x14ac:dyDescent="0.15">
      <c r="A43" s="2" t="s">
        <v>2</v>
      </c>
      <c r="B43" s="18">
        <f>ROUND(VLOOKUP(B$39&amp;"_1",管理者用人口入力シート!A:X,D43,FALSE),0)</f>
        <v>135</v>
      </c>
      <c r="C43" s="18">
        <f>ROUND(VLOOKUP(B$39&amp;"_2",管理者用人口入力シート!A:X,D43,FALSE),0)</f>
        <v>114</v>
      </c>
      <c r="D43" s="2">
        <v>6</v>
      </c>
      <c r="G43" s="1" t="s">
        <v>106</v>
      </c>
      <c r="H43" s="1">
        <f t="shared" si="26"/>
        <v>2025</v>
      </c>
      <c r="I43" s="18">
        <f>SUM(H84:I89)</f>
        <v>1093</v>
      </c>
      <c r="J43" s="13"/>
      <c r="K43" s="13"/>
      <c r="N43" s="1" t="s">
        <v>106</v>
      </c>
      <c r="O43" s="1">
        <f t="shared" si="27"/>
        <v>2025</v>
      </c>
      <c r="P43" s="18">
        <f t="shared" si="28"/>
        <v>1093</v>
      </c>
      <c r="Q43" s="18">
        <f>SUM(O84:P89)</f>
        <v>1093</v>
      </c>
    </row>
    <row r="44" spans="1:17" x14ac:dyDescent="0.15">
      <c r="A44" s="2" t="s">
        <v>3</v>
      </c>
      <c r="B44" s="18">
        <f>ROUND(VLOOKUP(B$39&amp;"_1",管理者用人口入力シート!A:X,D44,FALSE),0)</f>
        <v>120</v>
      </c>
      <c r="C44" s="18">
        <f>ROUND(VLOOKUP(B$39&amp;"_2",管理者用人口入力シート!A:X,D44,FALSE),0)</f>
        <v>118</v>
      </c>
      <c r="D44" s="2">
        <v>7</v>
      </c>
      <c r="G44" s="1" t="s">
        <v>107</v>
      </c>
      <c r="H44" s="1">
        <f t="shared" si="26"/>
        <v>2030</v>
      </c>
      <c r="I44" s="18">
        <f>SUM(H108:I113)</f>
        <v>1163</v>
      </c>
      <c r="J44" s="13"/>
      <c r="K44" s="13"/>
      <c r="N44" s="1" t="s">
        <v>107</v>
      </c>
      <c r="O44" s="1">
        <f t="shared" si="27"/>
        <v>2030</v>
      </c>
      <c r="P44" s="18">
        <f t="shared" si="28"/>
        <v>1163</v>
      </c>
      <c r="Q44" s="18">
        <f>SUM(O108:P113)</f>
        <v>1163</v>
      </c>
    </row>
    <row r="45" spans="1:17" x14ac:dyDescent="0.15">
      <c r="A45" s="2" t="s">
        <v>4</v>
      </c>
      <c r="B45" s="18">
        <f>ROUND(VLOOKUP(B$39&amp;"_1",管理者用人口入力シート!A:X,D45,FALSE),0)</f>
        <v>84</v>
      </c>
      <c r="C45" s="18">
        <f>ROUND(VLOOKUP(B$39&amp;"_2",管理者用人口入力シート!A:X,D45,FALSE),0)</f>
        <v>90</v>
      </c>
      <c r="D45" s="2">
        <v>8</v>
      </c>
      <c r="G45" s="1" t="s">
        <v>108</v>
      </c>
      <c r="H45" s="1">
        <f t="shared" si="26"/>
        <v>2035</v>
      </c>
      <c r="I45" s="18">
        <f>SUM(H132:I137)</f>
        <v>1160</v>
      </c>
      <c r="J45" s="13"/>
      <c r="K45" s="13"/>
      <c r="N45" s="1" t="s">
        <v>108</v>
      </c>
      <c r="O45" s="1">
        <f t="shared" si="27"/>
        <v>2035</v>
      </c>
      <c r="P45" s="18">
        <f t="shared" si="28"/>
        <v>1160</v>
      </c>
      <c r="Q45" s="18">
        <f>SUM(O132:P137)</f>
        <v>1160</v>
      </c>
    </row>
    <row r="46" spans="1:17" x14ac:dyDescent="0.15">
      <c r="A46" s="2" t="s">
        <v>5</v>
      </c>
      <c r="B46" s="18">
        <f>ROUND(VLOOKUP(B$39&amp;"_1",管理者用人口入力シート!A:X,D46,FALSE),0)</f>
        <v>122</v>
      </c>
      <c r="C46" s="18">
        <f>ROUND(VLOOKUP(B$39&amp;"_2",管理者用人口入力シート!A:X,D46,FALSE),0)</f>
        <v>131</v>
      </c>
      <c r="D46" s="2">
        <v>9</v>
      </c>
      <c r="G46" s="1" t="s">
        <v>109</v>
      </c>
      <c r="H46" s="1">
        <f t="shared" si="26"/>
        <v>2040</v>
      </c>
      <c r="I46" s="18">
        <f>SUM(H156:I161)</f>
        <v>1093</v>
      </c>
      <c r="J46" s="13"/>
      <c r="K46" s="13"/>
      <c r="N46" s="1" t="s">
        <v>109</v>
      </c>
      <c r="O46" s="1">
        <f t="shared" si="27"/>
        <v>2040</v>
      </c>
      <c r="P46" s="18">
        <f t="shared" si="28"/>
        <v>1093</v>
      </c>
      <c r="Q46" s="18">
        <f>SUM(O156:P161)</f>
        <v>1093</v>
      </c>
    </row>
    <row r="47" spans="1:17" x14ac:dyDescent="0.15">
      <c r="A47" s="2" t="s">
        <v>6</v>
      </c>
      <c r="B47" s="18">
        <f>ROUND(VLOOKUP(B$39&amp;"_1",管理者用人口入力シート!A:X,D47,FALSE),0)</f>
        <v>139</v>
      </c>
      <c r="C47" s="18">
        <f>ROUND(VLOOKUP(B$39&amp;"_2",管理者用人口入力シート!A:X,D47,FALSE),0)</f>
        <v>152</v>
      </c>
      <c r="D47" s="2">
        <v>10</v>
      </c>
    </row>
    <row r="48" spans="1:17" x14ac:dyDescent="0.15">
      <c r="A48" s="2" t="s">
        <v>7</v>
      </c>
      <c r="B48" s="18">
        <f>ROUND(VLOOKUP(B$39&amp;"_1",管理者用人口入力シート!A:X,D48,FALSE),0)</f>
        <v>137</v>
      </c>
      <c r="C48" s="18">
        <f>ROUND(VLOOKUP(B$39&amp;"_2",管理者用人口入力シート!A:X,D48,FALSE),0)</f>
        <v>139</v>
      </c>
      <c r="D48" s="2">
        <v>11</v>
      </c>
      <c r="G48" s="75" t="s">
        <v>85</v>
      </c>
      <c r="N48" s="75" t="s">
        <v>85</v>
      </c>
    </row>
    <row r="49" spans="1:17" x14ac:dyDescent="0.15">
      <c r="A49" s="2" t="s">
        <v>8</v>
      </c>
      <c r="B49" s="18">
        <f>ROUND(VLOOKUP(B$39&amp;"_1",管理者用人口入力シート!A:X,D49,FALSE),0)</f>
        <v>129</v>
      </c>
      <c r="C49" s="18">
        <f>ROUND(VLOOKUP(B$39&amp;"_2",管理者用人口入力シート!A:X,D49,FALSE),0)</f>
        <v>147</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156</v>
      </c>
      <c r="C50" s="18">
        <f>ROUND(VLOOKUP(B$39&amp;"_2",管理者用人口入力シート!A:X,D50,FALSE),0)</f>
        <v>165</v>
      </c>
      <c r="D50" s="2">
        <v>13</v>
      </c>
      <c r="G50" s="1" t="s">
        <v>58</v>
      </c>
      <c r="H50" s="1">
        <f>H4</f>
        <v>2010</v>
      </c>
      <c r="I50" s="43">
        <f>C30</f>
        <v>0.28999999999999998</v>
      </c>
      <c r="J50" s="226"/>
      <c r="K50" s="226"/>
      <c r="N50" s="1" t="s">
        <v>58</v>
      </c>
      <c r="O50" s="1">
        <f>O4</f>
        <v>2010</v>
      </c>
      <c r="P50" s="43">
        <f t="shared" ref="P50:P56" si="29">I50</f>
        <v>0.28999999999999998</v>
      </c>
      <c r="Q50" s="1"/>
    </row>
    <row r="51" spans="1:17" x14ac:dyDescent="0.15">
      <c r="A51" s="2" t="s">
        <v>10</v>
      </c>
      <c r="B51" s="18">
        <f>ROUND(VLOOKUP(B$39&amp;"_1",管理者用人口入力シート!A:X,D51,FALSE),0)</f>
        <v>187</v>
      </c>
      <c r="C51" s="18">
        <f>ROUND(VLOOKUP(B$39&amp;"_2",管理者用人口入力シート!A:X,D51,FALSE),0)</f>
        <v>204</v>
      </c>
      <c r="D51" s="2">
        <v>14</v>
      </c>
      <c r="G51" s="1" t="s">
        <v>57</v>
      </c>
      <c r="H51" s="1">
        <f t="shared" ref="H51:H56" si="30">H5</f>
        <v>2015</v>
      </c>
      <c r="I51" s="43">
        <f t="shared" ref="I51:I52" si="31">C31</f>
        <v>0.33</v>
      </c>
      <c r="J51" s="226"/>
      <c r="K51" s="226"/>
      <c r="N51" s="1" t="s">
        <v>57</v>
      </c>
      <c r="O51" s="1">
        <f t="shared" ref="O51:O56" si="32">O5</f>
        <v>2015</v>
      </c>
      <c r="P51" s="43">
        <f t="shared" si="29"/>
        <v>0.33</v>
      </c>
      <c r="Q51" s="1"/>
    </row>
    <row r="52" spans="1:17" x14ac:dyDescent="0.15">
      <c r="A52" s="2" t="s">
        <v>11</v>
      </c>
      <c r="B52" s="18">
        <f>ROUND(VLOOKUP(B$39&amp;"_1",管理者用人口入力シート!A:X,D52,FALSE),0)</f>
        <v>231</v>
      </c>
      <c r="C52" s="18">
        <f>ROUND(VLOOKUP(B$39&amp;"_2",管理者用人口入力シート!A:X,D52,FALSE),0)</f>
        <v>229</v>
      </c>
      <c r="D52" s="2">
        <v>15</v>
      </c>
      <c r="G52" s="1" t="s">
        <v>62</v>
      </c>
      <c r="H52" s="1">
        <f t="shared" si="30"/>
        <v>2020</v>
      </c>
      <c r="I52" s="43">
        <f t="shared" si="31"/>
        <v>0.36</v>
      </c>
      <c r="J52" s="226"/>
      <c r="K52" s="226"/>
      <c r="N52" s="1" t="s">
        <v>62</v>
      </c>
      <c r="O52" s="1">
        <f t="shared" si="32"/>
        <v>2020</v>
      </c>
      <c r="P52" s="43">
        <f t="shared" si="29"/>
        <v>0.36</v>
      </c>
      <c r="Q52" s="1"/>
    </row>
    <row r="53" spans="1:17" x14ac:dyDescent="0.15">
      <c r="A53" s="2" t="s">
        <v>12</v>
      </c>
      <c r="B53" s="18">
        <f>ROUND(VLOOKUP(B$39&amp;"_1",管理者用人口入力シート!A:X,D53,FALSE),0)</f>
        <v>204</v>
      </c>
      <c r="C53" s="18">
        <f>ROUND(VLOOKUP(B$39&amp;"_2",管理者用人口入力シート!A:X,D53,FALSE),0)</f>
        <v>222</v>
      </c>
      <c r="D53" s="2">
        <v>16</v>
      </c>
      <c r="G53" s="1" t="s">
        <v>106</v>
      </c>
      <c r="H53" s="1">
        <f t="shared" si="30"/>
        <v>2025</v>
      </c>
      <c r="I53" s="43">
        <f>ROUND((SUM(H82:I89)/SUM(H69:I89)),2)</f>
        <v>0.38</v>
      </c>
      <c r="J53" s="226"/>
      <c r="K53" s="226"/>
      <c r="L53" s="76"/>
      <c r="M53" s="76"/>
      <c r="N53" s="1" t="s">
        <v>106</v>
      </c>
      <c r="O53" s="1">
        <f t="shared" si="32"/>
        <v>2025</v>
      </c>
      <c r="P53" s="43">
        <f t="shared" si="29"/>
        <v>0.38</v>
      </c>
      <c r="Q53" s="43">
        <f>ROUND((SUM(O82:P89)/SUM(O69:P89)),2)</f>
        <v>0.38</v>
      </c>
    </row>
    <row r="54" spans="1:17" x14ac:dyDescent="0.15">
      <c r="A54" s="2" t="s">
        <v>13</v>
      </c>
      <c r="B54" s="18">
        <f>ROUND(VLOOKUP(B$39&amp;"_1",管理者用人口入力シート!A:X,D54,FALSE),0)</f>
        <v>157</v>
      </c>
      <c r="C54" s="18">
        <f>ROUND(VLOOKUP(B$39&amp;"_2",管理者用人口入力シート!A:X,D54,FALSE),0)</f>
        <v>185</v>
      </c>
      <c r="D54" s="2">
        <v>17</v>
      </c>
      <c r="G54" s="1" t="s">
        <v>107</v>
      </c>
      <c r="H54" s="1">
        <f t="shared" si="30"/>
        <v>2030</v>
      </c>
      <c r="I54" s="43">
        <f>ROUND((SUM(H106:I113)/SUM(H93:I113)),2)</f>
        <v>0.39</v>
      </c>
      <c r="J54" s="226"/>
      <c r="K54" s="226"/>
      <c r="N54" s="1" t="s">
        <v>107</v>
      </c>
      <c r="O54" s="1">
        <f t="shared" si="32"/>
        <v>2030</v>
      </c>
      <c r="P54" s="43">
        <f t="shared" si="29"/>
        <v>0.39</v>
      </c>
      <c r="Q54" s="43">
        <f>ROUND((SUM(O106:P113)/SUM(O93:P113)),2)</f>
        <v>0.39</v>
      </c>
    </row>
    <row r="55" spans="1:17" x14ac:dyDescent="0.15">
      <c r="A55" s="2" t="s">
        <v>14</v>
      </c>
      <c r="B55" s="18">
        <f>ROUND(VLOOKUP(B$39&amp;"_1",管理者用人口入力シート!A:X,D55,FALSE),0)</f>
        <v>163</v>
      </c>
      <c r="C55" s="18">
        <f>ROUND(VLOOKUP(B$39&amp;"_2",管理者用人口入力シート!A:X,D55,FALSE),0)</f>
        <v>218</v>
      </c>
      <c r="D55" s="2">
        <v>18</v>
      </c>
      <c r="G55" s="1" t="s">
        <v>108</v>
      </c>
      <c r="H55" s="1">
        <f t="shared" si="30"/>
        <v>2035</v>
      </c>
      <c r="I55" s="43">
        <f>ROUND((SUM(H130:I137)/SUM(H117:I137)),2)</f>
        <v>0.38</v>
      </c>
      <c r="J55" s="226"/>
      <c r="K55" s="226"/>
      <c r="N55" s="1" t="s">
        <v>108</v>
      </c>
      <c r="O55" s="1">
        <f t="shared" si="32"/>
        <v>2035</v>
      </c>
      <c r="P55" s="43">
        <f t="shared" si="29"/>
        <v>0.38</v>
      </c>
      <c r="Q55" s="43">
        <f>ROUND((SUM(O130:P137)/SUM(O117:P137)),2)</f>
        <v>0.38</v>
      </c>
    </row>
    <row r="56" spans="1:17" x14ac:dyDescent="0.15">
      <c r="A56" s="2" t="s">
        <v>15</v>
      </c>
      <c r="B56" s="18">
        <f>ROUND(VLOOKUP(B$39&amp;"_1",管理者用人口入力シート!A:X,D56,FALSE),0)</f>
        <v>162</v>
      </c>
      <c r="C56" s="18">
        <f>ROUND(VLOOKUP(B$39&amp;"_2",管理者用人口入力シート!A:X,D56,FALSE),0)</f>
        <v>195</v>
      </c>
      <c r="D56" s="2">
        <v>19</v>
      </c>
      <c r="G56" s="1" t="s">
        <v>109</v>
      </c>
      <c r="H56" s="1">
        <f t="shared" si="30"/>
        <v>2040</v>
      </c>
      <c r="I56" s="43">
        <f>ROUND((SUM(H154:I161)/SUM(H141:I161)),2)</f>
        <v>0.39</v>
      </c>
      <c r="J56" s="226"/>
      <c r="K56" s="226"/>
      <c r="N56" s="1" t="s">
        <v>109</v>
      </c>
      <c r="O56" s="1">
        <f t="shared" si="32"/>
        <v>2040</v>
      </c>
      <c r="P56" s="43">
        <f t="shared" si="29"/>
        <v>0.39</v>
      </c>
      <c r="Q56" s="43">
        <f>ROUND((SUM(O154:P161)/SUM(O141:P161)),2)</f>
        <v>0.38</v>
      </c>
    </row>
    <row r="57" spans="1:17" x14ac:dyDescent="0.15">
      <c r="A57" s="2" t="s">
        <v>16</v>
      </c>
      <c r="B57" s="18">
        <f>ROUND(VLOOKUP(B$39&amp;"_1",管理者用人口入力シート!A:X,D57,FALSE),0)</f>
        <v>115</v>
      </c>
      <c r="C57" s="18">
        <f>ROUND(VLOOKUP(B$39&amp;"_2",管理者用人口入力シート!A:X,D57,FALSE),0)</f>
        <v>161</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42</v>
      </c>
      <c r="C58" s="18">
        <f>ROUND(VLOOKUP(B$39&amp;"_2",管理者用人口入力シート!A:X,D58,FALSE),0)</f>
        <v>97</v>
      </c>
      <c r="D58" s="2">
        <v>21</v>
      </c>
      <c r="G58" s="1" t="s">
        <v>58</v>
      </c>
      <c r="H58" s="1">
        <f>H4</f>
        <v>2010</v>
      </c>
      <c r="I58" s="43">
        <f>C34</f>
        <v>0.16</v>
      </c>
      <c r="J58" s="226"/>
      <c r="K58" s="226"/>
      <c r="N58" s="1" t="s">
        <v>58</v>
      </c>
      <c r="O58" s="1">
        <f>O4</f>
        <v>2010</v>
      </c>
      <c r="P58" s="43">
        <f t="shared" ref="P58:P64" si="33">I58</f>
        <v>0.16</v>
      </c>
      <c r="Q58" s="1"/>
    </row>
    <row r="59" spans="1:17" x14ac:dyDescent="0.15">
      <c r="A59" s="2" t="s">
        <v>18</v>
      </c>
      <c r="B59" s="18">
        <f>ROUND(VLOOKUP(B$39&amp;"_1",管理者用人口入力シート!A:X,D59,FALSE),0)</f>
        <v>15</v>
      </c>
      <c r="C59" s="18">
        <f>ROUND(VLOOKUP(B$39&amp;"_2",管理者用人口入力シート!A:X,D59,FALSE),0)</f>
        <v>47</v>
      </c>
      <c r="D59" s="2">
        <v>22</v>
      </c>
      <c r="G59" s="1" t="s">
        <v>57</v>
      </c>
      <c r="H59" s="1">
        <f t="shared" ref="H59:H64" si="34">H5</f>
        <v>2015</v>
      </c>
      <c r="I59" s="43">
        <f t="shared" ref="I59:I60" si="35">C35</f>
        <v>0.19</v>
      </c>
      <c r="J59" s="226"/>
      <c r="K59" s="226"/>
      <c r="N59" s="1" t="s">
        <v>57</v>
      </c>
      <c r="O59" s="1">
        <f t="shared" ref="O59:O64" si="36">O5</f>
        <v>2015</v>
      </c>
      <c r="P59" s="43">
        <f t="shared" si="33"/>
        <v>0.19</v>
      </c>
      <c r="Q59" s="1"/>
    </row>
    <row r="60" spans="1:17" x14ac:dyDescent="0.15">
      <c r="A60" s="2" t="s">
        <v>19</v>
      </c>
      <c r="B60" s="18">
        <f>ROUND(VLOOKUP(B$39&amp;"_1",管理者用人口入力シート!A:X,D60,FALSE),0)</f>
        <v>4</v>
      </c>
      <c r="C60" s="18">
        <f>ROUND(VLOOKUP(B$39&amp;"_2",管理者用人口入力シート!A:X,D60,FALSE),0)</f>
        <v>12</v>
      </c>
      <c r="D60" s="2">
        <v>23</v>
      </c>
      <c r="G60" s="1" t="s">
        <v>62</v>
      </c>
      <c r="H60" s="1">
        <f t="shared" si="34"/>
        <v>2020</v>
      </c>
      <c r="I60" s="43">
        <f t="shared" si="35"/>
        <v>0.19</v>
      </c>
      <c r="J60" s="226"/>
      <c r="K60" s="226"/>
      <c r="N60" s="1" t="s">
        <v>62</v>
      </c>
      <c r="O60" s="1">
        <f t="shared" si="36"/>
        <v>2020</v>
      </c>
      <c r="P60" s="43">
        <f t="shared" si="33"/>
        <v>0.19</v>
      </c>
      <c r="Q60" s="1"/>
    </row>
    <row r="61" spans="1:17" x14ac:dyDescent="0.15">
      <c r="A61" s="2" t="s">
        <v>20</v>
      </c>
      <c r="B61" s="18">
        <f>ROUND(VLOOKUP(B$39&amp;"_1",管理者用人口入力シート!A:X,D61,FALSE),0)</f>
        <v>0</v>
      </c>
      <c r="C61" s="18">
        <f>ROUND(VLOOKUP(B$39&amp;"_2",管理者用人口入力シート!A:X,D61,FALSE),0)</f>
        <v>2</v>
      </c>
      <c r="D61" s="2">
        <v>24</v>
      </c>
      <c r="G61" s="1" t="s">
        <v>106</v>
      </c>
      <c r="H61" s="1">
        <f t="shared" si="34"/>
        <v>2025</v>
      </c>
      <c r="I61" s="43">
        <f>ROUND((SUM(H84:I89)/SUM(H69:I89)),2)</f>
        <v>0.22</v>
      </c>
      <c r="J61" s="226"/>
      <c r="K61" s="226"/>
      <c r="N61" s="1" t="s">
        <v>106</v>
      </c>
      <c r="O61" s="1">
        <f t="shared" si="36"/>
        <v>2025</v>
      </c>
      <c r="P61" s="43">
        <f t="shared" si="33"/>
        <v>0.22</v>
      </c>
      <c r="Q61" s="43">
        <f>ROUND((SUM(O84:P89)/SUM(O69:P89)),2)</f>
        <v>0.22</v>
      </c>
    </row>
    <row r="62" spans="1:17" x14ac:dyDescent="0.15">
      <c r="G62" s="1" t="s">
        <v>107</v>
      </c>
      <c r="H62" s="1">
        <f t="shared" si="34"/>
        <v>2030</v>
      </c>
      <c r="I62" s="43">
        <f>ROUND((SUM(H108:I113)/SUM(H93:I113)),2)</f>
        <v>0.24</v>
      </c>
      <c r="J62" s="226"/>
      <c r="K62" s="226"/>
      <c r="N62" s="1" t="s">
        <v>107</v>
      </c>
      <c r="O62" s="1">
        <f t="shared" si="36"/>
        <v>2030</v>
      </c>
      <c r="P62" s="43">
        <f t="shared" si="33"/>
        <v>0.24</v>
      </c>
      <c r="Q62" s="43">
        <f>ROUND((SUM(O108:P113)/SUM(O93:P113)),2)</f>
        <v>0.24</v>
      </c>
    </row>
    <row r="63" spans="1:17" x14ac:dyDescent="0.15">
      <c r="A63" s="2" t="s">
        <v>384</v>
      </c>
      <c r="B63" s="342">
        <f>管理者入力シート!B6</f>
        <v>2015</v>
      </c>
      <c r="C63" s="343"/>
      <c r="D63" s="2" t="s">
        <v>114</v>
      </c>
      <c r="G63" s="1" t="s">
        <v>108</v>
      </c>
      <c r="H63" s="1">
        <f t="shared" si="34"/>
        <v>2035</v>
      </c>
      <c r="I63" s="43">
        <f>ROUND((SUM(H132:I137)/SUM(H117:I137)),2)</f>
        <v>0.25</v>
      </c>
      <c r="J63" s="226"/>
      <c r="K63" s="226"/>
      <c r="N63" s="1" t="s">
        <v>108</v>
      </c>
      <c r="O63" s="1">
        <f t="shared" si="36"/>
        <v>2035</v>
      </c>
      <c r="P63" s="43">
        <f t="shared" si="33"/>
        <v>0.25</v>
      </c>
      <c r="Q63" s="43">
        <f>ROUND((SUM(O132:P137)/SUM(O117:P137)),2)</f>
        <v>0.25</v>
      </c>
    </row>
    <row r="64" spans="1:17" x14ac:dyDescent="0.15">
      <c r="A64" s="2" t="s">
        <v>115</v>
      </c>
      <c r="B64" s="19" t="s">
        <v>21</v>
      </c>
      <c r="C64" s="19" t="s">
        <v>22</v>
      </c>
      <c r="G64" s="1" t="s">
        <v>109</v>
      </c>
      <c r="H64" s="1">
        <f t="shared" si="34"/>
        <v>2040</v>
      </c>
      <c r="I64" s="43">
        <f>ROUND((SUM(H156:I161)/SUM(H141:I161)),2)</f>
        <v>0.25</v>
      </c>
      <c r="J64" s="226"/>
      <c r="K64" s="226"/>
      <c r="N64" s="1" t="s">
        <v>109</v>
      </c>
      <c r="O64" s="1">
        <f t="shared" si="36"/>
        <v>2040</v>
      </c>
      <c r="P64" s="43">
        <f t="shared" si="33"/>
        <v>0.25</v>
      </c>
      <c r="Q64" s="43">
        <f>ROUND((SUM(O156:P161)/SUM(O141:P161)),2)</f>
        <v>0.25</v>
      </c>
    </row>
    <row r="65" spans="1:21" x14ac:dyDescent="0.15">
      <c r="A65" s="2" t="s">
        <v>0</v>
      </c>
      <c r="B65" s="18">
        <f>ROUND(VLOOKUP(B$63&amp;"_1",管理者用人口入力シート!A:X,D65,FALSE),0)</f>
        <v>122</v>
      </c>
      <c r="C65" s="18">
        <f>ROUND(VLOOKUP(B$63&amp;"_2",管理者用人口入力シート!A:X,D65,FALSE),0)</f>
        <v>113</v>
      </c>
      <c r="D65" s="2">
        <v>4</v>
      </c>
    </row>
    <row r="66" spans="1:21" x14ac:dyDescent="0.15">
      <c r="A66" s="2" t="s">
        <v>1</v>
      </c>
      <c r="B66" s="18">
        <f>ROUND(VLOOKUP(B$63&amp;"_1",管理者用人口入力シート!A:X,D66,FALSE),0)</f>
        <v>130</v>
      </c>
      <c r="C66" s="18">
        <f>ROUND(VLOOKUP(B$63&amp;"_2",管理者用人口入力シート!A:X,D66,FALSE),0)</f>
        <v>118</v>
      </c>
      <c r="D66" s="2">
        <v>5</v>
      </c>
      <c r="G66" s="75" t="s">
        <v>113</v>
      </c>
      <c r="N66" s="75" t="s">
        <v>113</v>
      </c>
    </row>
    <row r="67" spans="1:21" x14ac:dyDescent="0.15">
      <c r="A67" s="2" t="s">
        <v>2</v>
      </c>
      <c r="B67" s="18">
        <f>ROUND(VLOOKUP(B$63&amp;"_1",管理者用人口入力シート!A:X,D67,FALSE),0)</f>
        <v>128</v>
      </c>
      <c r="C67" s="18">
        <f>ROUND(VLOOKUP(B$63&amp;"_2",管理者用人口入力シート!A:X,D67,FALSE),0)</f>
        <v>111</v>
      </c>
      <c r="D67" s="2">
        <v>6</v>
      </c>
      <c r="G67" s="2" t="s">
        <v>106</v>
      </c>
      <c r="H67" s="342">
        <f>管理者入力シート!B8</f>
        <v>2025</v>
      </c>
      <c r="I67" s="343"/>
      <c r="J67" s="2" t="s">
        <v>114</v>
      </c>
      <c r="K67" s="230"/>
      <c r="O67" s="342">
        <f>管理者入力シート!B8</f>
        <v>2025</v>
      </c>
      <c r="P67" s="343"/>
      <c r="Q67" s="2" t="s">
        <v>114</v>
      </c>
    </row>
    <row r="68" spans="1:21" x14ac:dyDescent="0.15">
      <c r="A68" s="2" t="s">
        <v>3</v>
      </c>
      <c r="B68" s="18">
        <f>ROUND(VLOOKUP(B$63&amp;"_1",管理者用人口入力シート!A:X,D68,FALSE),0)</f>
        <v>122</v>
      </c>
      <c r="C68" s="18">
        <f>ROUND(VLOOKUP(B$63&amp;"_2",管理者用人口入力シート!A:X,D68,FALSE),0)</f>
        <v>107</v>
      </c>
      <c r="D68" s="2">
        <v>7</v>
      </c>
      <c r="G68" s="2" t="s">
        <v>115</v>
      </c>
      <c r="H68" s="19" t="s">
        <v>243</v>
      </c>
      <c r="I68" s="19" t="s">
        <v>244</v>
      </c>
      <c r="K68" s="230"/>
      <c r="N68" s="2" t="s">
        <v>115</v>
      </c>
      <c r="O68" s="19" t="s">
        <v>21</v>
      </c>
      <c r="P68" s="19" t="s">
        <v>22</v>
      </c>
    </row>
    <row r="69" spans="1:21" x14ac:dyDescent="0.15">
      <c r="A69" s="2" t="s">
        <v>4</v>
      </c>
      <c r="B69" s="18">
        <f>ROUND(VLOOKUP(B$63&amp;"_1",管理者用人口入力シート!A:X,D69,FALSE),0)</f>
        <v>66</v>
      </c>
      <c r="C69" s="18">
        <f>ROUND(VLOOKUP(B$63&amp;"_2",管理者用人口入力シート!A:X,D69,FALSE),0)</f>
        <v>86</v>
      </c>
      <c r="D69" s="2">
        <v>8</v>
      </c>
      <c r="G69" s="2" t="s">
        <v>0</v>
      </c>
      <c r="H69" s="18">
        <f>ROUND(VLOOKUP(H$67&amp;"_1",管理者用人口入力シート!BH:CE,J69,FALSE),0)</f>
        <v>90</v>
      </c>
      <c r="I69" s="18">
        <f>ROUND(VLOOKUP(H$67&amp;"_2",管理者用人口入力シート!BH:CE,J69,FALSE),0)</f>
        <v>90</v>
      </c>
      <c r="J69" s="2">
        <v>4</v>
      </c>
      <c r="K69" s="13"/>
      <c r="N69" s="2" t="s">
        <v>0</v>
      </c>
      <c r="O69" s="18">
        <f>ROUND(VLOOKUP(O$67&amp;"_1",管理者用人口入力シート!CO:DL,Q69,FALSE),0)</f>
        <v>91</v>
      </c>
      <c r="P69" s="18">
        <f>ROUND(VLOOKUP(O$67&amp;"_2",管理者用人口入力シート!CO:DL,Q69,FALSE),0)</f>
        <v>91</v>
      </c>
      <c r="Q69" s="2">
        <v>4</v>
      </c>
      <c r="U69" s="91"/>
    </row>
    <row r="70" spans="1:21" x14ac:dyDescent="0.15">
      <c r="A70" s="2" t="s">
        <v>5</v>
      </c>
      <c r="B70" s="18">
        <f>ROUND(VLOOKUP(B$63&amp;"_1",管理者用人口入力シート!A:X,D70,FALSE),0)</f>
        <v>113</v>
      </c>
      <c r="C70" s="18">
        <f>ROUND(VLOOKUP(B$63&amp;"_2",管理者用人口入力シート!A:X,D70,FALSE),0)</f>
        <v>122</v>
      </c>
      <c r="D70" s="2">
        <v>9</v>
      </c>
      <c r="G70" s="2" t="s">
        <v>1</v>
      </c>
      <c r="H70" s="18">
        <f>ROUND(VLOOKUP(H$67&amp;"_1",管理者用人口入力シート!BH:CE,J70,FALSE),0)</f>
        <v>109</v>
      </c>
      <c r="I70" s="18">
        <f>ROUND(VLOOKUP(H$67&amp;"_2",管理者用人口入力シート!BH:CE,J70,FALSE),0)</f>
        <v>106</v>
      </c>
      <c r="J70" s="2">
        <v>5</v>
      </c>
      <c r="K70" s="13"/>
      <c r="N70" s="2" t="s">
        <v>1</v>
      </c>
      <c r="O70" s="18">
        <f>ROUND(VLOOKUP(O$67&amp;"_1",管理者用人口入力シート!CO:DL,Q70,FALSE),0)</f>
        <v>109</v>
      </c>
      <c r="P70" s="18">
        <f>ROUND(VLOOKUP(O$67&amp;"_2",管理者用人口入力シート!CO:DL,Q70,FALSE),0)</f>
        <v>106</v>
      </c>
      <c r="Q70" s="2">
        <v>5</v>
      </c>
      <c r="U70" s="91"/>
    </row>
    <row r="71" spans="1:21" x14ac:dyDescent="0.15">
      <c r="A71" s="2" t="s">
        <v>6</v>
      </c>
      <c r="B71" s="18">
        <f>ROUND(VLOOKUP(B$63&amp;"_1",管理者用人口入力シート!A:X,D71,FALSE),0)</f>
        <v>136</v>
      </c>
      <c r="C71" s="18">
        <f>ROUND(VLOOKUP(B$63&amp;"_2",管理者用人口入力シート!A:X,D71,FALSE),0)</f>
        <v>158</v>
      </c>
      <c r="D71" s="2">
        <v>10</v>
      </c>
      <c r="G71" s="2" t="s">
        <v>2</v>
      </c>
      <c r="H71" s="18">
        <f>ROUND(VLOOKUP(H$67&amp;"_1",管理者用人口入力シート!BH:CE,J71,FALSE),0)</f>
        <v>113</v>
      </c>
      <c r="I71" s="18">
        <f>ROUND(VLOOKUP(H$67&amp;"_2",管理者用人口入力シート!BH:CE,J71,FALSE),0)</f>
        <v>111</v>
      </c>
      <c r="J71" s="2">
        <v>6</v>
      </c>
      <c r="K71" s="13"/>
      <c r="N71" s="2" t="s">
        <v>2</v>
      </c>
      <c r="O71" s="18">
        <f>ROUND(VLOOKUP(O$67&amp;"_1",管理者用人口入力シート!CO:DL,Q71,FALSE),0)</f>
        <v>114</v>
      </c>
      <c r="P71" s="18">
        <f>ROUND(VLOOKUP(O$67&amp;"_2",管理者用人口入力シート!CO:DL,Q71,FALSE),0)</f>
        <v>112</v>
      </c>
      <c r="Q71" s="2">
        <v>6</v>
      </c>
      <c r="U71" s="91"/>
    </row>
    <row r="72" spans="1:21" x14ac:dyDescent="0.15">
      <c r="A72" s="2" t="s">
        <v>7</v>
      </c>
      <c r="B72" s="18">
        <f>ROUND(VLOOKUP(B$63&amp;"_1",管理者用人口入力シート!A:X,D72,FALSE),0)</f>
        <v>152</v>
      </c>
      <c r="C72" s="18">
        <f>ROUND(VLOOKUP(B$63&amp;"_2",管理者用人口入力シート!A:X,D72,FALSE),0)</f>
        <v>157</v>
      </c>
      <c r="D72" s="2">
        <v>11</v>
      </c>
      <c r="G72" s="2" t="s">
        <v>3</v>
      </c>
      <c r="H72" s="18">
        <f>ROUND(VLOOKUP(H$67&amp;"_1",管理者用人口入力シート!BH:CE,J72,FALSE),0)</f>
        <v>109</v>
      </c>
      <c r="I72" s="18">
        <f>ROUND(VLOOKUP(H$67&amp;"_2",管理者用人口入力シート!BH:CE,J72,FALSE),0)</f>
        <v>105</v>
      </c>
      <c r="J72" s="2">
        <v>7</v>
      </c>
      <c r="K72" s="13"/>
      <c r="N72" s="2" t="s">
        <v>3</v>
      </c>
      <c r="O72" s="18">
        <f>ROUND(VLOOKUP(O$67&amp;"_1",管理者用人口入力シート!CO:DL,Q72,FALSE),0)</f>
        <v>109</v>
      </c>
      <c r="P72" s="18">
        <f>ROUND(VLOOKUP(O$67&amp;"_2",管理者用人口入力シート!CO:DL,Q72,FALSE),0)</f>
        <v>105</v>
      </c>
      <c r="Q72" s="2">
        <v>7</v>
      </c>
      <c r="U72" s="91"/>
    </row>
    <row r="73" spans="1:21" x14ac:dyDescent="0.15">
      <c r="A73" s="2" t="s">
        <v>8</v>
      </c>
      <c r="B73" s="18">
        <f>ROUND(VLOOKUP(B$63&amp;"_1",管理者用人口入力シート!A:X,D73,FALSE),0)</f>
        <v>152</v>
      </c>
      <c r="C73" s="18">
        <f>ROUND(VLOOKUP(B$63&amp;"_2",管理者用人口入力シート!A:X,D73,FALSE),0)</f>
        <v>143</v>
      </c>
      <c r="D73" s="2">
        <v>12</v>
      </c>
      <c r="G73" s="2" t="s">
        <v>4</v>
      </c>
      <c r="H73" s="18">
        <f>ROUND(VLOOKUP(H$67&amp;"_1",管理者用人口入力シート!BH:CE,J73,FALSE),0)</f>
        <v>60</v>
      </c>
      <c r="I73" s="18">
        <f>ROUND(VLOOKUP(H$67&amp;"_2",管理者用人口入力シート!BH:CE,J73,FALSE),0)</f>
        <v>70</v>
      </c>
      <c r="J73" s="2">
        <v>8</v>
      </c>
      <c r="K73" s="13"/>
      <c r="N73" s="2" t="s">
        <v>4</v>
      </c>
      <c r="O73" s="18">
        <f>ROUND(VLOOKUP(O$67&amp;"_1",管理者用人口入力シート!CO:DL,Q73,FALSE),0)</f>
        <v>60</v>
      </c>
      <c r="P73" s="18">
        <f>ROUND(VLOOKUP(O$67&amp;"_2",管理者用人口入力シート!CO:DL,Q73,FALSE),0)</f>
        <v>70</v>
      </c>
      <c r="Q73" s="2">
        <v>8</v>
      </c>
      <c r="U73" s="91"/>
    </row>
    <row r="74" spans="1:21" x14ac:dyDescent="0.15">
      <c r="A74" s="2" t="s">
        <v>9</v>
      </c>
      <c r="B74" s="18">
        <f>ROUND(VLOOKUP(B$63&amp;"_1",管理者用人口入力シート!A:X,D74,FALSE),0)</f>
        <v>138</v>
      </c>
      <c r="C74" s="18">
        <f>ROUND(VLOOKUP(B$63&amp;"_2",管理者用人口入力シート!A:X,D74,FALSE),0)</f>
        <v>153</v>
      </c>
      <c r="D74" s="2">
        <v>13</v>
      </c>
      <c r="G74" s="2" t="s">
        <v>5</v>
      </c>
      <c r="H74" s="18">
        <f>ROUND(VLOOKUP(H$67&amp;"_1",管理者用人口入力シート!BH:CE,J74,FALSE),0)</f>
        <v>86</v>
      </c>
      <c r="I74" s="18">
        <f>ROUND(VLOOKUP(H$67&amp;"_2",管理者用人口入力シート!BH:CE,J74,FALSE),0)</f>
        <v>94</v>
      </c>
      <c r="J74" s="2">
        <v>9</v>
      </c>
      <c r="K74" s="13"/>
      <c r="N74" s="2" t="s">
        <v>5</v>
      </c>
      <c r="O74" s="18">
        <f>ROUND(VLOOKUP(O$67&amp;"_1",管理者用人口入力シート!CO:DL,Q74,FALSE),0)</f>
        <v>88</v>
      </c>
      <c r="P74" s="18">
        <f>ROUND(VLOOKUP(O$67&amp;"_2",管理者用人口入力シート!CO:DL,Q74,FALSE),0)</f>
        <v>96</v>
      </c>
      <c r="Q74" s="2">
        <v>9</v>
      </c>
      <c r="U74" s="91"/>
    </row>
    <row r="75" spans="1:21" x14ac:dyDescent="0.15">
      <c r="A75" s="2" t="s">
        <v>10</v>
      </c>
      <c r="B75" s="18">
        <f>ROUND(VLOOKUP(B$63&amp;"_1",管理者用人口入力シート!A:X,D75,FALSE),0)</f>
        <v>162</v>
      </c>
      <c r="C75" s="18">
        <f>ROUND(VLOOKUP(B$63&amp;"_2",管理者用人口入力シート!A:X,D75,FALSE),0)</f>
        <v>176</v>
      </c>
      <c r="D75" s="2">
        <v>14</v>
      </c>
      <c r="G75" s="2" t="s">
        <v>6</v>
      </c>
      <c r="H75" s="18">
        <f>ROUND(VLOOKUP(H$67&amp;"_1",管理者用人口入力シート!BH:CE,J75,FALSE),0)</f>
        <v>93</v>
      </c>
      <c r="I75" s="18">
        <f>ROUND(VLOOKUP(H$67&amp;"_2",管理者用人口入力シート!BH:CE,J75,FALSE),0)</f>
        <v>98</v>
      </c>
      <c r="J75" s="2">
        <v>10</v>
      </c>
      <c r="K75" s="13"/>
      <c r="N75" s="2" t="s">
        <v>6</v>
      </c>
      <c r="O75" s="18">
        <f>ROUND(VLOOKUP(O$67&amp;"_1",管理者用人口入力シート!CO:DL,Q75,FALSE),0)</f>
        <v>93</v>
      </c>
      <c r="P75" s="18">
        <f>ROUND(VLOOKUP(O$67&amp;"_2",管理者用人口入力シート!CO:DL,Q75,FALSE),0)</f>
        <v>98</v>
      </c>
      <c r="Q75" s="2">
        <v>10</v>
      </c>
      <c r="U75" s="91"/>
    </row>
    <row r="76" spans="1:21" x14ac:dyDescent="0.15">
      <c r="A76" s="2" t="s">
        <v>11</v>
      </c>
      <c r="B76" s="18">
        <f>ROUND(VLOOKUP(B$63&amp;"_1",管理者用人口入力シート!A:X,D76,FALSE),0)</f>
        <v>190</v>
      </c>
      <c r="C76" s="18">
        <f>ROUND(VLOOKUP(B$63&amp;"_2",管理者用人口入力シート!A:X,D76,FALSE),0)</f>
        <v>214</v>
      </c>
      <c r="D76" s="2">
        <v>15</v>
      </c>
      <c r="G76" s="2" t="s">
        <v>7</v>
      </c>
      <c r="H76" s="18">
        <f>ROUND(VLOOKUP(H$67&amp;"_1",管理者用人口入力シート!BH:CE,J76,FALSE),0)</f>
        <v>115</v>
      </c>
      <c r="I76" s="18">
        <f>ROUND(VLOOKUP(H$67&amp;"_2",管理者用人口入力シート!BH:CE,J76,FALSE),0)</f>
        <v>113</v>
      </c>
      <c r="J76" s="2">
        <v>11</v>
      </c>
      <c r="K76" s="13"/>
      <c r="N76" s="2" t="s">
        <v>7</v>
      </c>
      <c r="O76" s="18">
        <f>ROUND(VLOOKUP(O$67&amp;"_1",管理者用人口入力シート!CO:DL,Q76,FALSE),0)</f>
        <v>115</v>
      </c>
      <c r="P76" s="18">
        <f>ROUND(VLOOKUP(O$67&amp;"_2",管理者用人口入力シート!CO:DL,Q76,FALSE),0)</f>
        <v>113</v>
      </c>
      <c r="Q76" s="2">
        <v>11</v>
      </c>
      <c r="U76" s="91"/>
    </row>
    <row r="77" spans="1:21" x14ac:dyDescent="0.15">
      <c r="A77" s="2" t="s">
        <v>12</v>
      </c>
      <c r="B77" s="18">
        <f>ROUND(VLOOKUP(B$63&amp;"_1",管理者用人口入力シート!A:X,D77,FALSE),0)</f>
        <v>232</v>
      </c>
      <c r="C77" s="18">
        <f>ROUND(VLOOKUP(B$63&amp;"_2",管理者用人口入力シート!A:X,D77,FALSE),0)</f>
        <v>235</v>
      </c>
      <c r="D77" s="2">
        <v>16</v>
      </c>
      <c r="G77" s="2" t="s">
        <v>8</v>
      </c>
      <c r="H77" s="18">
        <f>ROUND(VLOOKUP(H$67&amp;"_1",管理者用人口入力シート!BH:CE,J77,FALSE),0)</f>
        <v>146</v>
      </c>
      <c r="I77" s="18">
        <f>ROUND(VLOOKUP(H$67&amp;"_2",管理者用人口入力シート!BH:CE,J77,FALSE),0)</f>
        <v>157</v>
      </c>
      <c r="J77" s="2">
        <v>12</v>
      </c>
      <c r="K77" s="13"/>
      <c r="N77" s="2" t="s">
        <v>8</v>
      </c>
      <c r="O77" s="18">
        <f>ROUND(VLOOKUP(O$67&amp;"_1",管理者用人口入力シート!CO:DL,Q77,FALSE),0)</f>
        <v>146</v>
      </c>
      <c r="P77" s="18">
        <f>ROUND(VLOOKUP(O$67&amp;"_2",管理者用人口入力シート!CO:DL,Q77,FALSE),0)</f>
        <v>158</v>
      </c>
      <c r="Q77" s="2">
        <v>12</v>
      </c>
      <c r="U77" s="91"/>
    </row>
    <row r="78" spans="1:21" x14ac:dyDescent="0.15">
      <c r="A78" s="2" t="s">
        <v>13</v>
      </c>
      <c r="B78" s="18">
        <f>ROUND(VLOOKUP(B$63&amp;"_1",管理者用人口入力シート!A:X,D78,FALSE),0)</f>
        <v>205</v>
      </c>
      <c r="C78" s="18">
        <f>ROUND(VLOOKUP(B$63&amp;"_2",管理者用人口入力シート!A:X,D78,FALSE),0)</f>
        <v>221</v>
      </c>
      <c r="D78" s="2">
        <v>17</v>
      </c>
      <c r="G78" s="2" t="s">
        <v>9</v>
      </c>
      <c r="H78" s="18">
        <f>ROUND(VLOOKUP(H$67&amp;"_1",管理者用人口入力シート!BH:CE,J78,FALSE),0)</f>
        <v>158</v>
      </c>
      <c r="I78" s="18">
        <f>ROUND(VLOOKUP(H$67&amp;"_2",管理者用人口入力シート!BH:CE,J78,FALSE),0)</f>
        <v>170</v>
      </c>
      <c r="J78" s="2">
        <v>13</v>
      </c>
      <c r="K78" s="13"/>
      <c r="N78" s="2" t="s">
        <v>9</v>
      </c>
      <c r="O78" s="18">
        <f>ROUND(VLOOKUP(O$67&amp;"_1",管理者用人口入力シート!CO:DL,Q78,FALSE),0)</f>
        <v>158</v>
      </c>
      <c r="P78" s="18">
        <f>ROUND(VLOOKUP(O$67&amp;"_2",管理者用人口入力シート!CO:DL,Q78,FALSE),0)</f>
        <v>170</v>
      </c>
      <c r="Q78" s="2">
        <v>13</v>
      </c>
      <c r="U78" s="91"/>
    </row>
    <row r="79" spans="1:21" x14ac:dyDescent="0.15">
      <c r="A79" s="2" t="s">
        <v>14</v>
      </c>
      <c r="B79" s="18">
        <f>ROUND(VLOOKUP(B$63&amp;"_1",管理者用人口入力シート!A:X,D79,FALSE),0)</f>
        <v>151</v>
      </c>
      <c r="C79" s="18">
        <f>ROUND(VLOOKUP(B$63&amp;"_2",管理者用人口入力シート!A:X,D79,FALSE),0)</f>
        <v>179</v>
      </c>
      <c r="D79" s="2">
        <v>18</v>
      </c>
      <c r="G79" s="2" t="s">
        <v>10</v>
      </c>
      <c r="H79" s="18">
        <f>ROUND(VLOOKUP(H$67&amp;"_1",管理者用人口入力シート!BH:CE,J79,FALSE),0)</f>
        <v>156</v>
      </c>
      <c r="I79" s="18">
        <f>ROUND(VLOOKUP(H$67&amp;"_2",管理者用人口入力シート!BH:CE,J79,FALSE),0)</f>
        <v>151</v>
      </c>
      <c r="J79" s="2">
        <v>14</v>
      </c>
      <c r="K79" s="13"/>
      <c r="N79" s="2" t="s">
        <v>10</v>
      </c>
      <c r="O79" s="18">
        <f>ROUND(VLOOKUP(O$67&amp;"_1",管理者用人口入力シート!CO:DL,Q79,FALSE),0)</f>
        <v>156</v>
      </c>
      <c r="P79" s="18">
        <f>ROUND(VLOOKUP(O$67&amp;"_2",管理者用人口入力シート!CO:DL,Q79,FALSE),0)</f>
        <v>151</v>
      </c>
      <c r="Q79" s="2">
        <v>14</v>
      </c>
      <c r="U79" s="91"/>
    </row>
    <row r="80" spans="1:21" x14ac:dyDescent="0.15">
      <c r="A80" s="2" t="s">
        <v>15</v>
      </c>
      <c r="B80" s="18">
        <f>ROUND(VLOOKUP(B$63&amp;"_1",管理者用人口入力シート!A:X,D80,FALSE),0)</f>
        <v>146</v>
      </c>
      <c r="C80" s="18">
        <f>ROUND(VLOOKUP(B$63&amp;"_2",管理者用人口入力シート!A:X,D80,FALSE),0)</f>
        <v>220</v>
      </c>
      <c r="D80" s="2">
        <v>19</v>
      </c>
      <c r="G80" s="2" t="s">
        <v>11</v>
      </c>
      <c r="H80" s="18">
        <f>ROUND(VLOOKUP(H$67&amp;"_1",管理者用人口入力シート!BH:CE,J80,FALSE),0)</f>
        <v>137</v>
      </c>
      <c r="I80" s="18">
        <f>ROUND(VLOOKUP(H$67&amp;"_2",管理者用人口入力シート!BH:CE,J80,FALSE),0)</f>
        <v>151</v>
      </c>
      <c r="J80" s="2">
        <v>15</v>
      </c>
      <c r="K80" s="13"/>
      <c r="N80" s="2" t="s">
        <v>11</v>
      </c>
      <c r="O80" s="18">
        <f>ROUND(VLOOKUP(O$67&amp;"_1",管理者用人口入力シート!CO:DL,Q80,FALSE),0)</f>
        <v>137</v>
      </c>
      <c r="P80" s="18">
        <f>ROUND(VLOOKUP(O$67&amp;"_2",管理者用人口入力シート!CO:DL,Q80,FALSE),0)</f>
        <v>151</v>
      </c>
      <c r="Q80" s="2">
        <v>15</v>
      </c>
      <c r="U80" s="91"/>
    </row>
    <row r="81" spans="1:21" x14ac:dyDescent="0.15">
      <c r="A81" s="2" t="s">
        <v>16</v>
      </c>
      <c r="B81" s="18">
        <f>ROUND(VLOOKUP(B$63&amp;"_1",管理者用人口入力シート!A:X,D81,FALSE),0)</f>
        <v>133</v>
      </c>
      <c r="C81" s="18">
        <f>ROUND(VLOOKUP(B$63&amp;"_2",管理者用人口入力シート!A:X,D81,FALSE),0)</f>
        <v>179</v>
      </c>
      <c r="D81" s="2">
        <v>20</v>
      </c>
      <c r="G81" s="2" t="s">
        <v>12</v>
      </c>
      <c r="H81" s="18">
        <f>ROUND(VLOOKUP(H$67&amp;"_1",管理者用人口入力シート!BH:CE,J81,FALSE),0)</f>
        <v>155</v>
      </c>
      <c r="I81" s="18">
        <f>ROUND(VLOOKUP(H$67&amp;"_2",管理者用人口入力シート!BH:CE,J81,FALSE),0)</f>
        <v>176</v>
      </c>
      <c r="J81" s="2">
        <v>16</v>
      </c>
      <c r="K81" s="13"/>
      <c r="N81" s="2" t="s">
        <v>12</v>
      </c>
      <c r="O81" s="18">
        <f>ROUND(VLOOKUP(O$67&amp;"_1",管理者用人口入力シート!CO:DL,Q81,FALSE),0)</f>
        <v>155</v>
      </c>
      <c r="P81" s="18">
        <f>ROUND(VLOOKUP(O$67&amp;"_2",管理者用人口入力シート!CO:DL,Q81,FALSE),0)</f>
        <v>176</v>
      </c>
      <c r="Q81" s="2">
        <v>16</v>
      </c>
      <c r="U81" s="91"/>
    </row>
    <row r="82" spans="1:21" x14ac:dyDescent="0.15">
      <c r="A82" s="2" t="s">
        <v>17</v>
      </c>
      <c r="B82" s="18">
        <f>ROUND(VLOOKUP(B$63&amp;"_1",管理者用人口入力シート!A:X,D82,FALSE),0)</f>
        <v>82</v>
      </c>
      <c r="C82" s="18">
        <f>ROUND(VLOOKUP(B$63&amp;"_2",管理者用人口入力シート!A:X,D82,FALSE),0)</f>
        <v>145</v>
      </c>
      <c r="D82" s="2">
        <v>21</v>
      </c>
      <c r="G82" s="2" t="s">
        <v>13</v>
      </c>
      <c r="H82" s="18">
        <f>ROUND(VLOOKUP(H$67&amp;"_1",管理者用人口入力シート!BH:CE,J82,FALSE),0)</f>
        <v>181</v>
      </c>
      <c r="I82" s="18">
        <f>ROUND(VLOOKUP(H$67&amp;"_2",管理者用人口入力シート!BH:CE,J82,FALSE),0)</f>
        <v>205</v>
      </c>
      <c r="J82" s="2">
        <v>17</v>
      </c>
      <c r="K82" s="13"/>
      <c r="N82" s="2" t="s">
        <v>13</v>
      </c>
      <c r="O82" s="18">
        <f>ROUND(VLOOKUP(O$67&amp;"_1",管理者用人口入力シート!CO:DL,Q82,FALSE),0)</f>
        <v>181</v>
      </c>
      <c r="P82" s="18">
        <f>ROUND(VLOOKUP(O$67&amp;"_2",管理者用人口入力シート!CO:DL,Q82,FALSE),0)</f>
        <v>205</v>
      </c>
      <c r="Q82" s="2">
        <v>17</v>
      </c>
      <c r="U82" s="91"/>
    </row>
    <row r="83" spans="1:21" x14ac:dyDescent="0.15">
      <c r="A83" s="2" t="s">
        <v>18</v>
      </c>
      <c r="B83" s="18">
        <f>ROUND(VLOOKUP(B$63&amp;"_1",管理者用人口入力シート!A:X,D83,FALSE),0)</f>
        <v>19</v>
      </c>
      <c r="C83" s="18">
        <f>ROUND(VLOOKUP(B$63&amp;"_2",管理者用人口入力シート!A:X,D83,FALSE),0)</f>
        <v>75</v>
      </c>
      <c r="D83" s="2">
        <v>22</v>
      </c>
      <c r="G83" s="2" t="s">
        <v>14</v>
      </c>
      <c r="H83" s="18">
        <f>ROUND(VLOOKUP(H$67&amp;"_1",管理者用人口入力シート!BH:CE,J83,FALSE),0)</f>
        <v>206</v>
      </c>
      <c r="I83" s="18">
        <f>ROUND(VLOOKUP(H$67&amp;"_2",管理者用人口入力シート!BH:CE,J83,FALSE),0)</f>
        <v>222</v>
      </c>
      <c r="J83" s="2">
        <v>18</v>
      </c>
      <c r="K83" s="13"/>
      <c r="N83" s="2" t="s">
        <v>14</v>
      </c>
      <c r="O83" s="18">
        <f>ROUND(VLOOKUP(O$67&amp;"_1",管理者用人口入力シート!CO:DL,Q83,FALSE),0)</f>
        <v>206</v>
      </c>
      <c r="P83" s="18">
        <f>ROUND(VLOOKUP(O$67&amp;"_2",管理者用人口入力シート!CO:DL,Q83,FALSE),0)</f>
        <v>222</v>
      </c>
      <c r="Q83" s="2">
        <v>18</v>
      </c>
      <c r="U83" s="91"/>
    </row>
    <row r="84" spans="1:21" x14ac:dyDescent="0.15">
      <c r="A84" s="2" t="s">
        <v>19</v>
      </c>
      <c r="B84" s="18">
        <f>ROUND(VLOOKUP(B$63&amp;"_1",管理者用人口入力シート!A:X,D84,FALSE),0)</f>
        <v>4</v>
      </c>
      <c r="C84" s="18">
        <f>ROUND(VLOOKUP(B$63&amp;"_2",管理者用人口入力シート!A:X,D84,FALSE),0)</f>
        <v>31</v>
      </c>
      <c r="D84" s="2">
        <v>23</v>
      </c>
      <c r="G84" s="2" t="s">
        <v>15</v>
      </c>
      <c r="H84" s="18">
        <f>ROUND(VLOOKUP(H$67&amp;"_1",管理者用人口入力シート!BH:CE,J84,FALSE),0)</f>
        <v>170</v>
      </c>
      <c r="I84" s="18">
        <f>ROUND(VLOOKUP(H$67&amp;"_2",管理者用人口入力シート!BH:CE,J84,FALSE),0)</f>
        <v>214</v>
      </c>
      <c r="J84" s="2">
        <v>19</v>
      </c>
      <c r="K84" s="13"/>
      <c r="N84" s="2" t="s">
        <v>15</v>
      </c>
      <c r="O84" s="18">
        <f>ROUND(VLOOKUP(O$67&amp;"_1",管理者用人口入力シート!CO:DL,Q84,FALSE),0)</f>
        <v>170</v>
      </c>
      <c r="P84" s="18">
        <f>ROUND(VLOOKUP(O$67&amp;"_2",管理者用人口入力シート!CO:DL,Q84,FALSE),0)</f>
        <v>214</v>
      </c>
      <c r="Q84" s="2">
        <v>19</v>
      </c>
      <c r="U84" s="91"/>
    </row>
    <row r="85" spans="1:21" x14ac:dyDescent="0.15">
      <c r="A85" s="2" t="s">
        <v>20</v>
      </c>
      <c r="B85" s="18">
        <f>ROUND(VLOOKUP(B$63&amp;"_1",管理者用人口入力シート!A:X,D85,FALSE),0)</f>
        <v>3</v>
      </c>
      <c r="C85" s="18">
        <f>ROUND(VLOOKUP(B$63&amp;"_2",管理者用人口入力シート!A:X,D85,FALSE),0)</f>
        <v>7</v>
      </c>
      <c r="D85" s="2">
        <v>24</v>
      </c>
      <c r="G85" s="2" t="s">
        <v>16</v>
      </c>
      <c r="H85" s="18">
        <f>ROUND(VLOOKUP(H$67&amp;"_1",管理者用人口入力シート!BH:CE,J85,FALSE),0)</f>
        <v>106</v>
      </c>
      <c r="I85" s="18">
        <f>ROUND(VLOOKUP(H$67&amp;"_2",管理者用人口入力シート!BH:CE,J85,FALSE),0)</f>
        <v>157</v>
      </c>
      <c r="J85" s="2">
        <v>20</v>
      </c>
      <c r="K85" s="13"/>
      <c r="N85" s="2" t="s">
        <v>16</v>
      </c>
      <c r="O85" s="18">
        <f>ROUND(VLOOKUP(O$67&amp;"_1",管理者用人口入力シート!CO:DL,Q85,FALSE),0)</f>
        <v>106</v>
      </c>
      <c r="P85" s="18">
        <f>ROUND(VLOOKUP(O$67&amp;"_2",管理者用人口入力シート!CO:DL,Q85,FALSE),0)</f>
        <v>157</v>
      </c>
      <c r="Q85" s="2">
        <v>20</v>
      </c>
      <c r="U85" s="91"/>
    </row>
    <row r="86" spans="1:21" x14ac:dyDescent="0.15">
      <c r="G86" s="2" t="s">
        <v>17</v>
      </c>
      <c r="H86" s="18">
        <f>ROUND(VLOOKUP(H$67&amp;"_1",管理者用人口入力シート!BH:CE,J86,FALSE),0)</f>
        <v>76</v>
      </c>
      <c r="I86" s="18">
        <f>ROUND(VLOOKUP(H$67&amp;"_2",管理者用人口入力シート!BH:CE,J86,FALSE),0)</f>
        <v>167</v>
      </c>
      <c r="J86" s="2">
        <v>21</v>
      </c>
      <c r="K86" s="13"/>
      <c r="N86" s="2" t="s">
        <v>17</v>
      </c>
      <c r="O86" s="18">
        <f>ROUND(VLOOKUP(O$67&amp;"_1",管理者用人口入力シート!CO:DL,Q86,FALSE),0)</f>
        <v>76</v>
      </c>
      <c r="P86" s="18">
        <f>ROUND(VLOOKUP(O$67&amp;"_2",管理者用人口入力シート!CO:DL,Q86,FALSE),0)</f>
        <v>167</v>
      </c>
      <c r="Q86" s="2">
        <v>21</v>
      </c>
      <c r="U86" s="91"/>
    </row>
    <row r="87" spans="1:21" x14ac:dyDescent="0.15">
      <c r="A87" s="2" t="s">
        <v>62</v>
      </c>
      <c r="B87" s="342">
        <f>管理者入力シート!B5</f>
        <v>2020</v>
      </c>
      <c r="C87" s="343"/>
      <c r="D87" s="2" t="s">
        <v>114</v>
      </c>
      <c r="G87" s="2" t="s">
        <v>18</v>
      </c>
      <c r="H87" s="18">
        <f>ROUND(VLOOKUP(H$67&amp;"_1",管理者用人口入力シート!BH:CE,J87,FALSE),0)</f>
        <v>36</v>
      </c>
      <c r="I87" s="18">
        <f>ROUND(VLOOKUP(H$67&amp;"_2",管理者用人口入力シート!BH:CE,J87,FALSE),0)</f>
        <v>103</v>
      </c>
      <c r="J87" s="2">
        <v>22</v>
      </c>
      <c r="K87" s="13"/>
      <c r="N87" s="2" t="s">
        <v>18</v>
      </c>
      <c r="O87" s="18">
        <f>ROUND(VLOOKUP(O$67&amp;"_1",管理者用人口入力シート!CO:DL,Q87,FALSE),0)</f>
        <v>36</v>
      </c>
      <c r="P87" s="18">
        <f>ROUND(VLOOKUP(O$67&amp;"_2",管理者用人口入力シート!CO:DL,Q87,FALSE),0)</f>
        <v>103</v>
      </c>
      <c r="Q87" s="2">
        <v>22</v>
      </c>
      <c r="U87" s="91"/>
    </row>
    <row r="88" spans="1:21" x14ac:dyDescent="0.15">
      <c r="A88" s="2" t="s">
        <v>115</v>
      </c>
      <c r="B88" s="19" t="s">
        <v>21</v>
      </c>
      <c r="C88" s="19" t="s">
        <v>22</v>
      </c>
      <c r="G88" s="2" t="s">
        <v>19</v>
      </c>
      <c r="H88" s="18">
        <f>ROUND(VLOOKUP(H$67&amp;"_1",管理者用人口入力シート!BH:CE,J88,FALSE),0)</f>
        <v>12</v>
      </c>
      <c r="I88" s="18">
        <f>ROUND(VLOOKUP(H$67&amp;"_2",管理者用人口入力シート!BH:CE,J88,FALSE),0)</f>
        <v>40</v>
      </c>
      <c r="J88" s="2">
        <v>23</v>
      </c>
      <c r="K88" s="13"/>
      <c r="N88" s="2" t="s">
        <v>19</v>
      </c>
      <c r="O88" s="18">
        <f>ROUND(VLOOKUP(O$67&amp;"_1",管理者用人口入力シート!CO:DL,Q88,FALSE),0)</f>
        <v>12</v>
      </c>
      <c r="P88" s="18">
        <f>ROUND(VLOOKUP(O$67&amp;"_2",管理者用人口入力シート!CO:DL,Q88,FALSE),0)</f>
        <v>40</v>
      </c>
      <c r="Q88" s="2">
        <v>23</v>
      </c>
      <c r="U88" s="91"/>
    </row>
    <row r="89" spans="1:21" x14ac:dyDescent="0.15">
      <c r="A89" s="2" t="s">
        <v>0</v>
      </c>
      <c r="B89" s="18">
        <f>ROUND(VLOOKUP(B$87&amp;"_1",管理者用人口入力シート!A:X,D89,FALSE),0)</f>
        <v>104</v>
      </c>
      <c r="C89" s="18">
        <f>ROUND(VLOOKUP(B$87&amp;"_2",管理者用人口入力シート!A:X,D89,FALSE),0)</f>
        <v>105</v>
      </c>
      <c r="D89" s="2">
        <v>4</v>
      </c>
      <c r="G89" s="2" t="s">
        <v>20</v>
      </c>
      <c r="H89" s="18">
        <f>ROUND(VLOOKUP(H$67&amp;"_1",管理者用人口入力シート!BH:CE,J89,FALSE),0)</f>
        <v>0</v>
      </c>
      <c r="I89" s="18">
        <f>ROUND(VLOOKUP(H$67&amp;"_2",管理者用人口入力シート!BH:CE,J89,FALSE),0)</f>
        <v>12</v>
      </c>
      <c r="J89" s="2">
        <v>24</v>
      </c>
      <c r="K89" s="13"/>
      <c r="N89" s="2" t="s">
        <v>20</v>
      </c>
      <c r="O89" s="18">
        <f>ROUND(VLOOKUP(O$67&amp;"_1",管理者用人口入力シート!CO:DL,Q89,FALSE),0)</f>
        <v>0</v>
      </c>
      <c r="P89" s="18">
        <f>ROUND(VLOOKUP(O$67&amp;"_2",管理者用人口入力シート!CO:DL,Q89,FALSE),0)</f>
        <v>12</v>
      </c>
      <c r="Q89" s="2">
        <v>24</v>
      </c>
      <c r="U89" s="91"/>
    </row>
    <row r="90" spans="1:21" x14ac:dyDescent="0.15">
      <c r="A90" s="2" t="s">
        <v>1</v>
      </c>
      <c r="B90" s="18">
        <f>ROUND(VLOOKUP(B$87&amp;"_1",管理者用人口入力シート!A:X,D90,FALSE),0)</f>
        <v>115</v>
      </c>
      <c r="C90" s="18">
        <f>ROUND(VLOOKUP(B$87&amp;"_2",管理者用人口入力シート!A:X,D90,FALSE),0)</f>
        <v>109</v>
      </c>
      <c r="D90" s="2">
        <v>5</v>
      </c>
    </row>
    <row r="91" spans="1:21" x14ac:dyDescent="0.15">
      <c r="A91" s="2" t="s">
        <v>2</v>
      </c>
      <c r="B91" s="18">
        <f>ROUND(VLOOKUP(B$87&amp;"_1",管理者用人口入力シート!A:X,D91,FALSE),0)</f>
        <v>122</v>
      </c>
      <c r="C91" s="18">
        <f>ROUND(VLOOKUP(B$87&amp;"_2",管理者用人口入力シート!A:X,D91,FALSE),0)</f>
        <v>116</v>
      </c>
      <c r="D91" s="2">
        <v>6</v>
      </c>
      <c r="G91" s="2" t="s">
        <v>107</v>
      </c>
      <c r="H91" s="342">
        <f>管理者入力シート!B9</f>
        <v>2030</v>
      </c>
      <c r="I91" s="343"/>
      <c r="J91" s="2" t="s">
        <v>114</v>
      </c>
      <c r="K91" s="230"/>
      <c r="O91" s="342">
        <f>管理者入力シート!B9</f>
        <v>2030</v>
      </c>
      <c r="P91" s="343"/>
      <c r="Q91" s="2" t="s">
        <v>114</v>
      </c>
    </row>
    <row r="92" spans="1:21" x14ac:dyDescent="0.15">
      <c r="A92" s="2" t="s">
        <v>3</v>
      </c>
      <c r="B92" s="18">
        <f>ROUND(VLOOKUP(B$87&amp;"_1",管理者用人口入力シート!A:X,D92,FALSE),0)</f>
        <v>112</v>
      </c>
      <c r="C92" s="18">
        <f>ROUND(VLOOKUP(B$87&amp;"_2",管理者用人口入力シート!A:X,D92,FALSE),0)</f>
        <v>96</v>
      </c>
      <c r="D92" s="2">
        <v>7</v>
      </c>
      <c r="G92" s="2" t="s">
        <v>115</v>
      </c>
      <c r="H92" s="19" t="s">
        <v>243</v>
      </c>
      <c r="I92" s="19" t="s">
        <v>244</v>
      </c>
      <c r="K92" s="230"/>
      <c r="N92" s="2" t="s">
        <v>115</v>
      </c>
      <c r="O92" s="19" t="s">
        <v>21</v>
      </c>
      <c r="P92" s="19" t="s">
        <v>22</v>
      </c>
    </row>
    <row r="93" spans="1:21" x14ac:dyDescent="0.15">
      <c r="A93" s="2" t="s">
        <v>4</v>
      </c>
      <c r="B93" s="18">
        <f>ROUND(VLOOKUP(B$87&amp;"_1",管理者用人口入力シート!A:X,D93,FALSE),0)</f>
        <v>64</v>
      </c>
      <c r="C93" s="18">
        <f>ROUND(VLOOKUP(B$87&amp;"_2",管理者用人口入力シート!A:X,D93,FALSE),0)</f>
        <v>78</v>
      </c>
      <c r="D93" s="2">
        <v>8</v>
      </c>
      <c r="G93" s="2" t="s">
        <v>0</v>
      </c>
      <c r="H93" s="18">
        <f>ROUND(VLOOKUP(H$91&amp;"_1",管理者用人口入力シート!BH:CE,J93,FALSE),0)</f>
        <v>85</v>
      </c>
      <c r="I93" s="18">
        <f>ROUND(VLOOKUP(H$91&amp;"_2",管理者用人口入力シート!BH:CE,J93,FALSE),0)</f>
        <v>86</v>
      </c>
      <c r="J93" s="2">
        <v>4</v>
      </c>
      <c r="K93" s="13"/>
      <c r="N93" s="2" t="s">
        <v>0</v>
      </c>
      <c r="O93" s="18">
        <f>ROUND(VLOOKUP(O$91&amp;"_1",管理者用人口入力シート!CO:DL,Q93,FALSE),0)</f>
        <v>87</v>
      </c>
      <c r="P93" s="18">
        <f>ROUND(VLOOKUP(O$91&amp;"_2",管理者用人口入力シート!CO:DL,Q93,FALSE),0)</f>
        <v>88</v>
      </c>
      <c r="Q93" s="2">
        <v>4</v>
      </c>
      <c r="T93" s="91"/>
    </row>
    <row r="94" spans="1:21" x14ac:dyDescent="0.15">
      <c r="A94" s="2" t="s">
        <v>5</v>
      </c>
      <c r="B94" s="18">
        <f>ROUND(VLOOKUP(B$87&amp;"_1",管理者用人口入力シート!A:X,D94,FALSE),0)</f>
        <v>90</v>
      </c>
      <c r="C94" s="18">
        <f>ROUND(VLOOKUP(B$87&amp;"_2",管理者用人口入力シート!A:X,D94,FALSE),0)</f>
        <v>92</v>
      </c>
      <c r="D94" s="2">
        <v>9</v>
      </c>
      <c r="G94" s="2" t="s">
        <v>1</v>
      </c>
      <c r="H94" s="18">
        <f>ROUND(VLOOKUP(H$91&amp;"_1",管理者用人口入力シート!BH:CE,J94,FALSE),0)</f>
        <v>94</v>
      </c>
      <c r="I94" s="18">
        <f>ROUND(VLOOKUP(H$91&amp;"_2",管理者用人口入力シート!BH:CE,J94,FALSE),0)</f>
        <v>92</v>
      </c>
      <c r="J94" s="2">
        <v>5</v>
      </c>
      <c r="K94" s="13"/>
      <c r="N94" s="2" t="s">
        <v>1</v>
      </c>
      <c r="O94" s="18">
        <f>ROUND(VLOOKUP(O$91&amp;"_1",管理者用人口入力シート!CO:DL,Q94,FALSE),0)</f>
        <v>95</v>
      </c>
      <c r="P94" s="18">
        <f>ROUND(VLOOKUP(O$91&amp;"_2",管理者用人口入力シート!CO:DL,Q94,FALSE),0)</f>
        <v>93</v>
      </c>
      <c r="Q94" s="2">
        <v>5</v>
      </c>
      <c r="T94" s="91"/>
    </row>
    <row r="95" spans="1:21" x14ac:dyDescent="0.15">
      <c r="A95" s="2" t="s">
        <v>6</v>
      </c>
      <c r="B95" s="18">
        <f>ROUND(VLOOKUP(B$87&amp;"_1",管理者用人口入力シート!A:X,D95,FALSE),0)</f>
        <v>109</v>
      </c>
      <c r="C95" s="18">
        <f>ROUND(VLOOKUP(B$87&amp;"_2",管理者用人口入力シート!A:X,D95,FALSE),0)</f>
        <v>114</v>
      </c>
      <c r="D95" s="2">
        <v>10</v>
      </c>
      <c r="G95" s="2" t="s">
        <v>2</v>
      </c>
      <c r="H95" s="18">
        <f>ROUND(VLOOKUP(H$91&amp;"_1",管理者用人口入力シート!BH:CE,J95,FALSE),0)</f>
        <v>106</v>
      </c>
      <c r="I95" s="18">
        <f>ROUND(VLOOKUP(H$91&amp;"_2",管理者用人口入力シート!BH:CE,J95,FALSE),0)</f>
        <v>107</v>
      </c>
      <c r="J95" s="2">
        <v>6</v>
      </c>
      <c r="K95" s="13"/>
      <c r="N95" s="2" t="s">
        <v>2</v>
      </c>
      <c r="O95" s="18">
        <f>ROUND(VLOOKUP(O$91&amp;"_1",管理者用人口入力シート!CO:DL,Q95,FALSE),0)</f>
        <v>107</v>
      </c>
      <c r="P95" s="18">
        <f>ROUND(VLOOKUP(O$91&amp;"_2",管理者用人口入力シート!CO:DL,Q95,FALSE),0)</f>
        <v>108</v>
      </c>
      <c r="Q95" s="2">
        <v>6</v>
      </c>
      <c r="T95" s="91"/>
    </row>
    <row r="96" spans="1:21" x14ac:dyDescent="0.15">
      <c r="A96" s="2" t="s">
        <v>7</v>
      </c>
      <c r="B96" s="18">
        <f>ROUND(VLOOKUP(B$87&amp;"_1",管理者用人口入力シート!A:X,D96,FALSE),0)</f>
        <v>138</v>
      </c>
      <c r="C96" s="18">
        <f>ROUND(VLOOKUP(B$87&amp;"_2",管理者用人口入力シート!A:X,D96,FALSE),0)</f>
        <v>151</v>
      </c>
      <c r="D96" s="2">
        <v>11</v>
      </c>
      <c r="G96" s="2" t="s">
        <v>3</v>
      </c>
      <c r="H96" s="18">
        <f>ROUND(VLOOKUP(H$91&amp;"_1",管理者用人口入力シート!BH:CE,J96,FALSE),0)</f>
        <v>100</v>
      </c>
      <c r="I96" s="18">
        <f>ROUND(VLOOKUP(H$91&amp;"_2",管理者用人口入力シート!BH:CE,J96,FALSE),0)</f>
        <v>100</v>
      </c>
      <c r="J96" s="2">
        <v>7</v>
      </c>
      <c r="K96" s="13"/>
      <c r="N96" s="2" t="s">
        <v>3</v>
      </c>
      <c r="O96" s="18">
        <f>ROUND(VLOOKUP(O$91&amp;"_1",管理者用人口入力シート!CO:DL,Q96,FALSE),0)</f>
        <v>101</v>
      </c>
      <c r="P96" s="18">
        <f>ROUND(VLOOKUP(O$91&amp;"_2",管理者用人口入力シート!CO:DL,Q96,FALSE),0)</f>
        <v>101</v>
      </c>
      <c r="Q96" s="2">
        <v>7</v>
      </c>
      <c r="T96" s="91"/>
    </row>
    <row r="97" spans="1:20" x14ac:dyDescent="0.15">
      <c r="A97" s="2" t="s">
        <v>8</v>
      </c>
      <c r="B97" s="18">
        <f>ROUND(VLOOKUP(B$87&amp;"_1",管理者用人口入力シート!A:X,D97,FALSE),0)</f>
        <v>153</v>
      </c>
      <c r="C97" s="18">
        <f>ROUND(VLOOKUP(B$87&amp;"_2",管理者用人口入力シート!A:X,D97,FALSE),0)</f>
        <v>164</v>
      </c>
      <c r="D97" s="2">
        <v>12</v>
      </c>
      <c r="G97" s="2" t="s">
        <v>4</v>
      </c>
      <c r="H97" s="18">
        <f>ROUND(VLOOKUP(H$91&amp;"_1",管理者用人口入力シート!BH:CE,J97,FALSE),0)</f>
        <v>58</v>
      </c>
      <c r="I97" s="18">
        <f>ROUND(VLOOKUP(H$91&amp;"_2",管理者用人口入力シート!BH:CE,J97,FALSE),0)</f>
        <v>76</v>
      </c>
      <c r="J97" s="2">
        <v>8</v>
      </c>
      <c r="K97" s="13"/>
      <c r="N97" s="2" t="s">
        <v>4</v>
      </c>
      <c r="O97" s="18">
        <f>ROUND(VLOOKUP(O$91&amp;"_1",管理者用人口入力シート!CO:DL,Q97,FALSE),0)</f>
        <v>58</v>
      </c>
      <c r="P97" s="18">
        <f>ROUND(VLOOKUP(O$91&amp;"_2",管理者用人口入力シート!CO:DL,Q97,FALSE),0)</f>
        <v>76</v>
      </c>
      <c r="Q97" s="2">
        <v>8</v>
      </c>
      <c r="T97" s="91"/>
    </row>
    <row r="98" spans="1:20" x14ac:dyDescent="0.15">
      <c r="A98" s="2" t="s">
        <v>9</v>
      </c>
      <c r="B98" s="18">
        <f>ROUND(VLOOKUP(B$87&amp;"_1",管理者用人口入力シート!A:X,D98,FALSE),0)</f>
        <v>153</v>
      </c>
      <c r="C98" s="18">
        <f>ROUND(VLOOKUP(B$87&amp;"_2",管理者用人口入力シート!A:X,D98,FALSE),0)</f>
        <v>148</v>
      </c>
      <c r="D98" s="2">
        <v>13</v>
      </c>
      <c r="G98" s="2" t="s">
        <v>5</v>
      </c>
      <c r="H98" s="18">
        <f>ROUND(VLOOKUP(H$91&amp;"_1",管理者用人口入力シート!BH:CE,J98,FALSE),0)</f>
        <v>81</v>
      </c>
      <c r="I98" s="18">
        <f>ROUND(VLOOKUP(H$91&amp;"_2",管理者用人口入力シート!BH:CE,J98,FALSE),0)</f>
        <v>85</v>
      </c>
      <c r="J98" s="2">
        <v>9</v>
      </c>
      <c r="K98" s="13"/>
      <c r="N98" s="2" t="s">
        <v>5</v>
      </c>
      <c r="O98" s="18">
        <f>ROUND(VLOOKUP(O$91&amp;"_1",管理者用人口入力シート!CO:DL,Q98,FALSE),0)</f>
        <v>83</v>
      </c>
      <c r="P98" s="18">
        <f>ROUND(VLOOKUP(O$91&amp;"_2",管理者用人口入力シート!CO:DL,Q98,FALSE),0)</f>
        <v>87</v>
      </c>
      <c r="Q98" s="2">
        <v>9</v>
      </c>
      <c r="T98" s="91"/>
    </row>
    <row r="99" spans="1:20" x14ac:dyDescent="0.15">
      <c r="A99" s="2" t="s">
        <v>10</v>
      </c>
      <c r="B99" s="18">
        <f>ROUND(VLOOKUP(B$87&amp;"_1",管理者用人口入力シート!A:X,D99,FALSE),0)</f>
        <v>139</v>
      </c>
      <c r="C99" s="18">
        <f>ROUND(VLOOKUP(B$87&amp;"_2",管理者用人口入力シート!A:X,D99,FALSE),0)</f>
        <v>148</v>
      </c>
      <c r="D99" s="2">
        <v>14</v>
      </c>
      <c r="G99" s="2" t="s">
        <v>6</v>
      </c>
      <c r="H99" s="18">
        <f>ROUND(VLOOKUP(H$91&amp;"_1",管理者用人口入力シート!BH:CE,J99,FALSE),0)</f>
        <v>89</v>
      </c>
      <c r="I99" s="18">
        <f>ROUND(VLOOKUP(H$91&amp;"_2",管理者用人口入力シート!BH:CE,J99,FALSE),0)</f>
        <v>100</v>
      </c>
      <c r="J99" s="2">
        <v>10</v>
      </c>
      <c r="K99" s="13"/>
      <c r="N99" s="2" t="s">
        <v>6</v>
      </c>
      <c r="O99" s="18">
        <f>ROUND(VLOOKUP(O$91&amp;"_1",管理者用人口入力シート!CO:DL,Q99,FALSE),0)</f>
        <v>91</v>
      </c>
      <c r="P99" s="18">
        <f>ROUND(VLOOKUP(O$91&amp;"_2",管理者用人口入力シート!CO:DL,Q99,FALSE),0)</f>
        <v>102</v>
      </c>
      <c r="Q99" s="2">
        <v>10</v>
      </c>
      <c r="T99" s="91"/>
    </row>
    <row r="100" spans="1:20" x14ac:dyDescent="0.15">
      <c r="A100" s="2" t="s">
        <v>11</v>
      </c>
      <c r="B100" s="18">
        <f>ROUND(VLOOKUP(B$87&amp;"_1",管理者用人口入力シート!A:X,D100,FALSE),0)</f>
        <v>156</v>
      </c>
      <c r="C100" s="18">
        <f>ROUND(VLOOKUP(B$87&amp;"_2",管理者用人口入力シート!A:X,D100,FALSE),0)</f>
        <v>176</v>
      </c>
      <c r="D100" s="2">
        <v>15</v>
      </c>
      <c r="G100" s="2" t="s">
        <v>7</v>
      </c>
      <c r="H100" s="18">
        <f>ROUND(VLOOKUP(H$91&amp;"_1",管理者用人口入力シート!BH:CE,J100,FALSE),0)</f>
        <v>98</v>
      </c>
      <c r="I100" s="18">
        <f>ROUND(VLOOKUP(H$91&amp;"_2",管理者用人口入力シート!BH:CE,J100,FALSE),0)</f>
        <v>97</v>
      </c>
      <c r="J100" s="2">
        <v>11</v>
      </c>
      <c r="K100" s="13"/>
      <c r="N100" s="2" t="s">
        <v>7</v>
      </c>
      <c r="O100" s="18">
        <f>ROUND(VLOOKUP(O$91&amp;"_1",管理者用人口入力シート!CO:DL,Q100,FALSE),0)</f>
        <v>98</v>
      </c>
      <c r="P100" s="18">
        <f>ROUND(VLOOKUP(O$91&amp;"_2",管理者用人口入力シート!CO:DL,Q100,FALSE),0)</f>
        <v>97</v>
      </c>
      <c r="Q100" s="2">
        <v>11</v>
      </c>
      <c r="T100" s="91"/>
    </row>
    <row r="101" spans="1:20" x14ac:dyDescent="0.15">
      <c r="A101" s="2" t="s">
        <v>12</v>
      </c>
      <c r="B101" s="18">
        <f>ROUND(VLOOKUP(B$87&amp;"_1",管理者用人口入力シート!A:X,D101,FALSE),0)</f>
        <v>186</v>
      </c>
      <c r="C101" s="18">
        <f>ROUND(VLOOKUP(B$87&amp;"_2",管理者用人口入力シート!A:X,D101,FALSE),0)</f>
        <v>209</v>
      </c>
      <c r="D101" s="2">
        <v>16</v>
      </c>
      <c r="G101" s="2" t="s">
        <v>8</v>
      </c>
      <c r="H101" s="18">
        <f>ROUND(VLOOKUP(H$91&amp;"_1",管理者用人口入力シート!BH:CE,J101,FALSE),0)</f>
        <v>121</v>
      </c>
      <c r="I101" s="18">
        <f>ROUND(VLOOKUP(H$91&amp;"_2",管理者用人口入力シート!BH:CE,J101,FALSE),0)</f>
        <v>117</v>
      </c>
      <c r="J101" s="2">
        <v>12</v>
      </c>
      <c r="K101" s="13"/>
      <c r="N101" s="2" t="s">
        <v>8</v>
      </c>
      <c r="O101" s="18">
        <f>ROUND(VLOOKUP(O$91&amp;"_1",管理者用人口入力シート!CO:DL,Q101,FALSE),0)</f>
        <v>121</v>
      </c>
      <c r="P101" s="18">
        <f>ROUND(VLOOKUP(O$91&amp;"_2",管理者用人口入力シート!CO:DL,Q101,FALSE),0)</f>
        <v>118</v>
      </c>
      <c r="Q101" s="2">
        <v>12</v>
      </c>
      <c r="T101" s="91"/>
    </row>
    <row r="102" spans="1:20" x14ac:dyDescent="0.15">
      <c r="A102" s="2" t="s">
        <v>13</v>
      </c>
      <c r="B102" s="18">
        <f>ROUND(VLOOKUP(B$87&amp;"_1",管理者用人口入力シート!A:X,D102,FALSE),0)</f>
        <v>216</v>
      </c>
      <c r="C102" s="18">
        <f>ROUND(VLOOKUP(B$87&amp;"_2",管理者用人口入力シート!A:X,D102,FALSE),0)</f>
        <v>228</v>
      </c>
      <c r="D102" s="2">
        <v>17</v>
      </c>
      <c r="G102" s="2" t="s">
        <v>9</v>
      </c>
      <c r="H102" s="18">
        <f>ROUND(VLOOKUP(H$91&amp;"_1",管理者用人口入力シート!BH:CE,J102,FALSE),0)</f>
        <v>151</v>
      </c>
      <c r="I102" s="18">
        <f>ROUND(VLOOKUP(H$91&amp;"_2",管理者用人口入力シート!BH:CE,J102,FALSE),0)</f>
        <v>163</v>
      </c>
      <c r="J102" s="2">
        <v>13</v>
      </c>
      <c r="K102" s="13"/>
      <c r="N102" s="2" t="s">
        <v>9</v>
      </c>
      <c r="O102" s="18">
        <f>ROUND(VLOOKUP(O$91&amp;"_1",管理者用人口入力シート!CO:DL,Q102,FALSE),0)</f>
        <v>151</v>
      </c>
      <c r="P102" s="18">
        <f>ROUND(VLOOKUP(O$91&amp;"_2",管理者用人口入力シート!CO:DL,Q102,FALSE),0)</f>
        <v>164</v>
      </c>
      <c r="Q102" s="2">
        <v>13</v>
      </c>
      <c r="T102" s="91"/>
    </row>
    <row r="103" spans="1:20" x14ac:dyDescent="0.15">
      <c r="A103" s="2" t="s">
        <v>14</v>
      </c>
      <c r="B103" s="18">
        <f>ROUND(VLOOKUP(B$87&amp;"_1",管理者用人口入力シート!A:X,D103,FALSE),0)</f>
        <v>193</v>
      </c>
      <c r="C103" s="18">
        <f>ROUND(VLOOKUP(B$87&amp;"_2",管理者用人口入力シート!A:X,D103,FALSE),0)</f>
        <v>215</v>
      </c>
      <c r="D103" s="2">
        <v>18</v>
      </c>
      <c r="G103" s="2" t="s">
        <v>10</v>
      </c>
      <c r="H103" s="18">
        <f>ROUND(VLOOKUP(H$91&amp;"_1",管理者用人口入力シート!BH:CE,J103,FALSE),0)</f>
        <v>162</v>
      </c>
      <c r="I103" s="18">
        <f>ROUND(VLOOKUP(H$91&amp;"_2",管理者用人口入力シート!BH:CE,J103,FALSE),0)</f>
        <v>173</v>
      </c>
      <c r="J103" s="2">
        <v>14</v>
      </c>
      <c r="K103" s="13"/>
      <c r="N103" s="2" t="s">
        <v>10</v>
      </c>
      <c r="O103" s="18">
        <f>ROUND(VLOOKUP(O$91&amp;"_1",管理者用人口入力シート!CO:DL,Q103,FALSE),0)</f>
        <v>162</v>
      </c>
      <c r="P103" s="18">
        <f>ROUND(VLOOKUP(O$91&amp;"_2",管理者用人口入力シート!CO:DL,Q103,FALSE),0)</f>
        <v>173</v>
      </c>
      <c r="Q103" s="2">
        <v>14</v>
      </c>
      <c r="T103" s="91"/>
    </row>
    <row r="104" spans="1:20" x14ac:dyDescent="0.15">
      <c r="A104" s="2" t="s">
        <v>15</v>
      </c>
      <c r="B104" s="18">
        <f>ROUND(VLOOKUP(B$87&amp;"_1",管理者用人口入力シート!A:X,D104,FALSE),0)</f>
        <v>131</v>
      </c>
      <c r="C104" s="18">
        <f>ROUND(VLOOKUP(B$87&amp;"_2",管理者用人口入力シート!A:X,D104,FALSE),0)</f>
        <v>176</v>
      </c>
      <c r="D104" s="2">
        <v>19</v>
      </c>
      <c r="G104" s="2" t="s">
        <v>11</v>
      </c>
      <c r="H104" s="18">
        <f>ROUND(VLOOKUP(H$91&amp;"_1",管理者用人口入力シート!BH:CE,J104,FALSE),0)</f>
        <v>154</v>
      </c>
      <c r="I104" s="18">
        <f>ROUND(VLOOKUP(H$91&amp;"_2",管理者用人口入力シート!BH:CE,J104,FALSE),0)</f>
        <v>154</v>
      </c>
      <c r="J104" s="2">
        <v>15</v>
      </c>
      <c r="K104" s="13"/>
      <c r="N104" s="2" t="s">
        <v>11</v>
      </c>
      <c r="O104" s="18">
        <f>ROUND(VLOOKUP(O$91&amp;"_1",管理者用人口入力シート!CO:DL,Q104,FALSE),0)</f>
        <v>154</v>
      </c>
      <c r="P104" s="18">
        <f>ROUND(VLOOKUP(O$91&amp;"_2",管理者用人口入力シート!CO:DL,Q104,FALSE),0)</f>
        <v>154</v>
      </c>
      <c r="Q104" s="2">
        <v>15</v>
      </c>
      <c r="T104" s="91"/>
    </row>
    <row r="105" spans="1:20" x14ac:dyDescent="0.15">
      <c r="A105" s="2" t="s">
        <v>16</v>
      </c>
      <c r="B105" s="18">
        <f>ROUND(VLOOKUP(B$87&amp;"_1",管理者用人口入力シート!A:X,D105,FALSE),0)</f>
        <v>116</v>
      </c>
      <c r="C105" s="18">
        <f>ROUND(VLOOKUP(B$87&amp;"_2",管理者用人口入力シート!A:X,D105,FALSE),0)</f>
        <v>191</v>
      </c>
      <c r="D105" s="2">
        <v>20</v>
      </c>
      <c r="G105" s="2" t="s">
        <v>12</v>
      </c>
      <c r="H105" s="18">
        <f>ROUND(VLOOKUP(H$91&amp;"_1",管理者用人口入力シート!BH:CE,J105,FALSE),0)</f>
        <v>137</v>
      </c>
      <c r="I105" s="18">
        <f>ROUND(VLOOKUP(H$91&amp;"_2",管理者用人口入力シート!BH:CE,J105,FALSE),0)</f>
        <v>151</v>
      </c>
      <c r="J105" s="2">
        <v>16</v>
      </c>
      <c r="K105" s="13"/>
      <c r="N105" s="2" t="s">
        <v>12</v>
      </c>
      <c r="O105" s="18">
        <f>ROUND(VLOOKUP(O$91&amp;"_1",管理者用人口入力シート!CO:DL,Q105,FALSE),0)</f>
        <v>137</v>
      </c>
      <c r="P105" s="18">
        <f>ROUND(VLOOKUP(O$91&amp;"_2",管理者用人口入力シート!CO:DL,Q105,FALSE),0)</f>
        <v>151</v>
      </c>
      <c r="Q105" s="2">
        <v>16</v>
      </c>
      <c r="T105" s="91"/>
    </row>
    <row r="106" spans="1:20" x14ac:dyDescent="0.15">
      <c r="A106" s="2" t="s">
        <v>17</v>
      </c>
      <c r="B106" s="18">
        <f>ROUND(VLOOKUP(B$87&amp;"_1",管理者用人口入力シート!A:X,D106,FALSE),0)</f>
        <v>81</v>
      </c>
      <c r="C106" s="18">
        <f>ROUND(VLOOKUP(B$87&amp;"_2",管理者用人口入力シート!A:X,D106,FALSE),0)</f>
        <v>153</v>
      </c>
      <c r="D106" s="2">
        <v>21</v>
      </c>
      <c r="G106" s="2" t="s">
        <v>13</v>
      </c>
      <c r="H106" s="18">
        <f>ROUND(VLOOKUP(H$91&amp;"_1",管理者用人口入力シート!BH:CE,J106,FALSE),0)</f>
        <v>150</v>
      </c>
      <c r="I106" s="18">
        <f>ROUND(VLOOKUP(H$91&amp;"_2",管理者用人口入力シート!BH:CE,J106,FALSE),0)</f>
        <v>173</v>
      </c>
      <c r="J106" s="2">
        <v>17</v>
      </c>
      <c r="K106" s="13"/>
      <c r="N106" s="2" t="s">
        <v>13</v>
      </c>
      <c r="O106" s="18">
        <f>ROUND(VLOOKUP(O$91&amp;"_1",管理者用人口入力シート!CO:DL,Q106,FALSE),0)</f>
        <v>150</v>
      </c>
      <c r="P106" s="18">
        <f>ROUND(VLOOKUP(O$91&amp;"_2",管理者用人口入力シート!CO:DL,Q106,FALSE),0)</f>
        <v>173</v>
      </c>
      <c r="Q106" s="2">
        <v>17</v>
      </c>
      <c r="T106" s="91"/>
    </row>
    <row r="107" spans="1:20" x14ac:dyDescent="0.15">
      <c r="A107" s="2" t="s">
        <v>18</v>
      </c>
      <c r="B107" s="18">
        <f>ROUND(VLOOKUP(B$87&amp;"_1",管理者用人口入力シート!A:X,D107,FALSE),0)</f>
        <v>37</v>
      </c>
      <c r="C107" s="18">
        <f>ROUND(VLOOKUP(B$87&amp;"_2",管理者用人口入力シート!A:X,D107,FALSE),0)</f>
        <v>85</v>
      </c>
      <c r="D107" s="2">
        <v>22</v>
      </c>
      <c r="G107" s="2" t="s">
        <v>14</v>
      </c>
      <c r="H107" s="18">
        <f>ROUND(VLOOKUP(H$91&amp;"_1",管理者用人口入力シート!BH:CE,J107,FALSE),0)</f>
        <v>172</v>
      </c>
      <c r="I107" s="18">
        <f>ROUND(VLOOKUP(H$91&amp;"_2",管理者用人口入力シート!BH:CE,J107,FALSE),0)</f>
        <v>199</v>
      </c>
      <c r="J107" s="2">
        <v>18</v>
      </c>
      <c r="K107" s="13"/>
      <c r="N107" s="2" t="s">
        <v>14</v>
      </c>
      <c r="O107" s="18">
        <f>ROUND(VLOOKUP(O$91&amp;"_1",管理者用人口入力シート!CO:DL,Q107,FALSE),0)</f>
        <v>172</v>
      </c>
      <c r="P107" s="18">
        <f>ROUND(VLOOKUP(O$91&amp;"_2",管理者用人口入力シート!CO:DL,Q107,FALSE),0)</f>
        <v>199</v>
      </c>
      <c r="Q107" s="2">
        <v>18</v>
      </c>
      <c r="T107" s="91"/>
    </row>
    <row r="108" spans="1:20" x14ac:dyDescent="0.15">
      <c r="A108" s="2" t="s">
        <v>19</v>
      </c>
      <c r="B108" s="18">
        <f>ROUND(VLOOKUP(B$87&amp;"_1",管理者用人口入力シート!A:X,D108,FALSE),0)</f>
        <v>8</v>
      </c>
      <c r="C108" s="18">
        <f>ROUND(VLOOKUP(B$87&amp;"_2",管理者用人口入力シート!A:X,D108,FALSE),0)</f>
        <v>25</v>
      </c>
      <c r="D108" s="2">
        <v>23</v>
      </c>
      <c r="G108" s="2" t="s">
        <v>15</v>
      </c>
      <c r="H108" s="18">
        <f>ROUND(VLOOKUP(H$91&amp;"_1",管理者用人口入力シート!BH:CE,J108,FALSE),0)</f>
        <v>181</v>
      </c>
      <c r="I108" s="18">
        <f>ROUND(VLOOKUP(H$91&amp;"_2",管理者用人口入力シート!BH:CE,J108,FALSE),0)</f>
        <v>221</v>
      </c>
      <c r="J108" s="2">
        <v>19</v>
      </c>
      <c r="K108" s="13"/>
      <c r="N108" s="2" t="s">
        <v>15</v>
      </c>
      <c r="O108" s="18">
        <f>ROUND(VLOOKUP(O$91&amp;"_1",管理者用人口入力シート!CO:DL,Q108,FALSE),0)</f>
        <v>181</v>
      </c>
      <c r="P108" s="18">
        <f>ROUND(VLOOKUP(O$91&amp;"_2",管理者用人口入力シート!CO:DL,Q108,FALSE),0)</f>
        <v>221</v>
      </c>
      <c r="Q108" s="2">
        <v>19</v>
      </c>
      <c r="T108" s="91"/>
    </row>
    <row r="109" spans="1:20" x14ac:dyDescent="0.15">
      <c r="A109" s="2" t="s">
        <v>20</v>
      </c>
      <c r="B109" s="18">
        <f>ROUND(VLOOKUP(B$87&amp;"_1",管理者用人口入力シート!A:X,D109,FALSE),0)</f>
        <v>0</v>
      </c>
      <c r="C109" s="18">
        <f>ROUND(VLOOKUP(B$87&amp;"_2",管理者用人口入力シート!A:X,D109,FALSE),0)</f>
        <v>12</v>
      </c>
      <c r="D109" s="2">
        <v>24</v>
      </c>
      <c r="G109" s="2" t="s">
        <v>16</v>
      </c>
      <c r="H109" s="18">
        <f>ROUND(VLOOKUP(H$91&amp;"_1",管理者用人口入力シート!BH:CE,J109,FALSE),0)</f>
        <v>137</v>
      </c>
      <c r="I109" s="18">
        <f>ROUND(VLOOKUP(H$91&amp;"_2",管理者用人口入力シート!BH:CE,J109,FALSE),0)</f>
        <v>191</v>
      </c>
      <c r="J109" s="2">
        <v>20</v>
      </c>
      <c r="K109" s="13"/>
      <c r="N109" s="2" t="s">
        <v>16</v>
      </c>
      <c r="O109" s="18">
        <f>ROUND(VLOOKUP(O$91&amp;"_1",管理者用人口入力シート!CO:DL,Q109,FALSE),0)</f>
        <v>137</v>
      </c>
      <c r="P109" s="18">
        <f>ROUND(VLOOKUP(O$91&amp;"_2",管理者用人口入力シート!CO:DL,Q109,FALSE),0)</f>
        <v>191</v>
      </c>
      <c r="Q109" s="2">
        <v>20</v>
      </c>
      <c r="T109" s="91"/>
    </row>
    <row r="110" spans="1:20" x14ac:dyDescent="0.15">
      <c r="G110" s="2" t="s">
        <v>17</v>
      </c>
      <c r="H110" s="18">
        <f>ROUND(VLOOKUP(H$91&amp;"_1",管理者用人口入力シート!BH:CE,J110,FALSE),0)</f>
        <v>70</v>
      </c>
      <c r="I110" s="18">
        <f>ROUND(VLOOKUP(H$91&amp;"_2",管理者用人口入力シート!BH:CE,J110,FALSE),0)</f>
        <v>137</v>
      </c>
      <c r="J110" s="2">
        <v>21</v>
      </c>
      <c r="K110" s="13"/>
      <c r="N110" s="2" t="s">
        <v>17</v>
      </c>
      <c r="O110" s="18">
        <f>ROUND(VLOOKUP(O$91&amp;"_1",管理者用人口入力シート!CO:DL,Q110,FALSE),0)</f>
        <v>70</v>
      </c>
      <c r="P110" s="18">
        <f>ROUND(VLOOKUP(O$91&amp;"_2",管理者用人口入力シート!CO:DL,Q110,FALSE),0)</f>
        <v>137</v>
      </c>
      <c r="Q110" s="2">
        <v>21</v>
      </c>
      <c r="T110" s="91"/>
    </row>
    <row r="111" spans="1:20" x14ac:dyDescent="0.15">
      <c r="G111" s="2" t="s">
        <v>18</v>
      </c>
      <c r="H111" s="18">
        <f>ROUND(VLOOKUP(H$91&amp;"_1",管理者用人口入力シート!BH:CE,J111,FALSE),0)</f>
        <v>34</v>
      </c>
      <c r="I111" s="18">
        <f>ROUND(VLOOKUP(H$91&amp;"_2",管理者用人口入力シート!BH:CE,J111,FALSE),0)</f>
        <v>113</v>
      </c>
      <c r="J111" s="2">
        <v>22</v>
      </c>
      <c r="K111" s="13"/>
      <c r="N111" s="2" t="s">
        <v>18</v>
      </c>
      <c r="O111" s="18">
        <f>ROUND(VLOOKUP(O$91&amp;"_1",管理者用人口入力シート!CO:DL,Q111,FALSE),0)</f>
        <v>34</v>
      </c>
      <c r="P111" s="18">
        <f>ROUND(VLOOKUP(O$91&amp;"_2",管理者用人口入力シート!CO:DL,Q111,FALSE),0)</f>
        <v>113</v>
      </c>
      <c r="Q111" s="2">
        <v>22</v>
      </c>
      <c r="T111" s="91"/>
    </row>
    <row r="112" spans="1:20" x14ac:dyDescent="0.15">
      <c r="G112" s="2" t="s">
        <v>19</v>
      </c>
      <c r="H112" s="18">
        <f>ROUND(VLOOKUP(H$91&amp;"_1",管理者用人口入力シート!BH:CE,J112,FALSE),0)</f>
        <v>12</v>
      </c>
      <c r="I112" s="18">
        <f>ROUND(VLOOKUP(H$91&amp;"_2",管理者用人口入力シート!BH:CE,J112,FALSE),0)</f>
        <v>48</v>
      </c>
      <c r="J112" s="2">
        <v>23</v>
      </c>
      <c r="K112" s="13"/>
      <c r="N112" s="2" t="s">
        <v>19</v>
      </c>
      <c r="O112" s="18">
        <f>ROUND(VLOOKUP(O$91&amp;"_1",管理者用人口入力シート!CO:DL,Q112,FALSE),0)</f>
        <v>12</v>
      </c>
      <c r="P112" s="18">
        <f>ROUND(VLOOKUP(O$91&amp;"_2",管理者用人口入力シート!CO:DL,Q112,FALSE),0)</f>
        <v>48</v>
      </c>
      <c r="Q112" s="2">
        <v>23</v>
      </c>
      <c r="T112" s="91"/>
    </row>
    <row r="113" spans="7:20" x14ac:dyDescent="0.15">
      <c r="G113" s="2" t="s">
        <v>20</v>
      </c>
      <c r="H113" s="18">
        <f>ROUND(VLOOKUP(H$91&amp;"_1",管理者用人口入力シート!BH:CE,J113,FALSE),0)</f>
        <v>0</v>
      </c>
      <c r="I113" s="18">
        <f>ROUND(VLOOKUP(H$91&amp;"_2",管理者用人口入力シート!BH:CE,J113,FALSE),0)</f>
        <v>19</v>
      </c>
      <c r="J113" s="2">
        <v>24</v>
      </c>
      <c r="K113" s="13"/>
      <c r="N113" s="2" t="s">
        <v>20</v>
      </c>
      <c r="O113" s="18">
        <f>ROUND(VLOOKUP(O$91&amp;"_1",管理者用人口入力シート!CO:DL,Q113,FALSE),0)</f>
        <v>0</v>
      </c>
      <c r="P113" s="18">
        <f>ROUND(VLOOKUP(O$91&amp;"_2",管理者用人口入力シート!CO:DL,Q113,FALSE),0)</f>
        <v>19</v>
      </c>
      <c r="Q113" s="2">
        <v>24</v>
      </c>
      <c r="T113" s="91"/>
    </row>
    <row r="115" spans="7:20" x14ac:dyDescent="0.15">
      <c r="G115" s="2" t="s">
        <v>394</v>
      </c>
      <c r="H115" s="342">
        <f>管理者入力シート!B10</f>
        <v>2035</v>
      </c>
      <c r="I115" s="343"/>
      <c r="J115" s="2" t="s">
        <v>114</v>
      </c>
      <c r="O115" s="342">
        <f>管理者入力シート!B10</f>
        <v>2035</v>
      </c>
      <c r="P115" s="343"/>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84</v>
      </c>
      <c r="I117" s="18">
        <f>ROUND(VLOOKUP(H$115&amp;"_2",管理者用人口入力シート!BH:CE,J117,FALSE),0)</f>
        <v>85</v>
      </c>
      <c r="J117" s="2">
        <v>4</v>
      </c>
      <c r="N117" s="2" t="s">
        <v>0</v>
      </c>
      <c r="O117" s="18">
        <f>ROUND(VLOOKUP(O$115&amp;"_1",管理者用人口入力シート!CO:DL,Q117,FALSE),0)</f>
        <v>87</v>
      </c>
      <c r="P117" s="18">
        <f>ROUND(VLOOKUP(O$115&amp;"_2",管理者用人口入力シート!CO:DL,Q117,FALSE),0)</f>
        <v>88</v>
      </c>
      <c r="Q117" s="2">
        <v>4</v>
      </c>
      <c r="T117" s="91"/>
    </row>
    <row r="118" spans="7:20" x14ac:dyDescent="0.15">
      <c r="G118" s="2" t="s">
        <v>1</v>
      </c>
      <c r="H118" s="18">
        <f>ROUND(VLOOKUP(H$115&amp;"_1",管理者用人口入力シート!BH:CE,J118,FALSE),0)</f>
        <v>89</v>
      </c>
      <c r="I118" s="18">
        <f>ROUND(VLOOKUP(H$115&amp;"_2",管理者用人口入力シート!BH:CE,J118,FALSE),0)</f>
        <v>87</v>
      </c>
      <c r="J118" s="2">
        <v>5</v>
      </c>
      <c r="N118" s="2" t="s">
        <v>1</v>
      </c>
      <c r="O118" s="18">
        <f>ROUND(VLOOKUP(O$115&amp;"_1",管理者用人口入力シート!CO:DL,Q118,FALSE),0)</f>
        <v>91</v>
      </c>
      <c r="P118" s="18">
        <f>ROUND(VLOOKUP(O$115&amp;"_2",管理者用人口入力シート!CO:DL,Q118,FALSE),0)</f>
        <v>89</v>
      </c>
      <c r="Q118" s="2">
        <v>5</v>
      </c>
      <c r="T118" s="91"/>
    </row>
    <row r="119" spans="7:20" x14ac:dyDescent="0.15">
      <c r="G119" s="2" t="s">
        <v>2</v>
      </c>
      <c r="H119" s="18">
        <f>ROUND(VLOOKUP(H$115&amp;"_1",管理者用人口入力シート!BH:CE,J119,FALSE),0)</f>
        <v>91</v>
      </c>
      <c r="I119" s="18">
        <f>ROUND(VLOOKUP(H$115&amp;"_2",管理者用人口入力シート!BH:CE,J119,FALSE),0)</f>
        <v>93</v>
      </c>
      <c r="J119" s="2">
        <v>6</v>
      </c>
      <c r="N119" s="2" t="s">
        <v>2</v>
      </c>
      <c r="O119" s="18">
        <f>ROUND(VLOOKUP(O$115&amp;"_1",管理者用人口入力シート!CO:DL,Q119,FALSE),0)</f>
        <v>93</v>
      </c>
      <c r="P119" s="18">
        <f>ROUND(VLOOKUP(O$115&amp;"_2",管理者用人口入力シート!CO:DL,Q119,FALSE),0)</f>
        <v>95</v>
      </c>
      <c r="Q119" s="2">
        <v>6</v>
      </c>
      <c r="T119" s="91"/>
    </row>
    <row r="120" spans="7:20" x14ac:dyDescent="0.15">
      <c r="G120" s="2" t="s">
        <v>3</v>
      </c>
      <c r="H120" s="18">
        <f>ROUND(VLOOKUP(H$115&amp;"_1",管理者用人口入力シート!BH:CE,J120,FALSE),0)</f>
        <v>95</v>
      </c>
      <c r="I120" s="18">
        <f>ROUND(VLOOKUP(H$115&amp;"_2",管理者用人口入力シート!BH:CE,J120,FALSE),0)</f>
        <v>97</v>
      </c>
      <c r="J120" s="2">
        <v>7</v>
      </c>
      <c r="N120" s="2" t="s">
        <v>3</v>
      </c>
      <c r="O120" s="18">
        <f>ROUND(VLOOKUP(O$115&amp;"_1",管理者用人口入力シート!CO:DL,Q120,FALSE),0)</f>
        <v>95</v>
      </c>
      <c r="P120" s="18">
        <f>ROUND(VLOOKUP(O$115&amp;"_2",管理者用人口入力シート!CO:DL,Q120,FALSE),0)</f>
        <v>98</v>
      </c>
      <c r="Q120" s="2">
        <v>7</v>
      </c>
      <c r="T120" s="91"/>
    </row>
    <row r="121" spans="7:20" x14ac:dyDescent="0.15">
      <c r="G121" s="2" t="s">
        <v>4</v>
      </c>
      <c r="H121" s="18">
        <f>ROUND(VLOOKUP(H$115&amp;"_1",管理者用人口入力シート!BH:CE,J121,FALSE),0)</f>
        <v>54</v>
      </c>
      <c r="I121" s="18">
        <f>ROUND(VLOOKUP(H$115&amp;"_2",管理者用人口入力シート!BH:CE,J121,FALSE),0)</f>
        <v>73</v>
      </c>
      <c r="J121" s="2">
        <v>8</v>
      </c>
      <c r="N121" s="2" t="s">
        <v>4</v>
      </c>
      <c r="O121" s="18">
        <f>ROUND(VLOOKUP(O$115&amp;"_1",管理者用人口入力シート!CO:DL,Q121,FALSE),0)</f>
        <v>54</v>
      </c>
      <c r="P121" s="18">
        <f>ROUND(VLOOKUP(O$115&amp;"_2",管理者用人口入力シート!CO:DL,Q121,FALSE),0)</f>
        <v>73</v>
      </c>
      <c r="Q121" s="2">
        <v>8</v>
      </c>
      <c r="T121" s="91"/>
    </row>
    <row r="122" spans="7:20" x14ac:dyDescent="0.15">
      <c r="G122" s="2" t="s">
        <v>5</v>
      </c>
      <c r="H122" s="18">
        <f>ROUND(VLOOKUP(H$115&amp;"_1",管理者用人口入力シート!BH:CE,J122,FALSE),0)</f>
        <v>79</v>
      </c>
      <c r="I122" s="18">
        <f>ROUND(VLOOKUP(H$115&amp;"_2",管理者用人口入力シート!BH:CE,J122,FALSE),0)</f>
        <v>92</v>
      </c>
      <c r="J122" s="2">
        <v>9</v>
      </c>
      <c r="N122" s="2" t="s">
        <v>5</v>
      </c>
      <c r="O122" s="18">
        <f>ROUND(VLOOKUP(O$115&amp;"_1",管理者用人口入力シート!CO:DL,Q122,FALSE),0)</f>
        <v>81</v>
      </c>
      <c r="P122" s="18">
        <f>ROUND(VLOOKUP(O$115&amp;"_2",管理者用人口入力シート!CO:DL,Q122,FALSE),0)</f>
        <v>94</v>
      </c>
      <c r="Q122" s="2">
        <v>9</v>
      </c>
      <c r="T122" s="91"/>
    </row>
    <row r="123" spans="7:20" x14ac:dyDescent="0.15">
      <c r="G123" s="2" t="s">
        <v>6</v>
      </c>
      <c r="H123" s="18">
        <f>ROUND(VLOOKUP(H$115&amp;"_1",管理者用人口入力シート!BH:CE,J123,FALSE),0)</f>
        <v>85</v>
      </c>
      <c r="I123" s="18">
        <f>ROUND(VLOOKUP(H$115&amp;"_2",管理者用人口入力シート!BH:CE,J123,FALSE),0)</f>
        <v>90</v>
      </c>
      <c r="J123" s="2">
        <v>10</v>
      </c>
      <c r="N123" s="2" t="s">
        <v>6</v>
      </c>
      <c r="O123" s="18">
        <f>ROUND(VLOOKUP(O$115&amp;"_1",管理者用人口入力シート!CO:DL,Q123,FALSE),0)</f>
        <v>87</v>
      </c>
      <c r="P123" s="18">
        <f>ROUND(VLOOKUP(O$115&amp;"_2",管理者用人口入力シート!CO:DL,Q123,FALSE),0)</f>
        <v>92</v>
      </c>
      <c r="Q123" s="2">
        <v>10</v>
      </c>
      <c r="T123" s="91"/>
    </row>
    <row r="124" spans="7:20" x14ac:dyDescent="0.15">
      <c r="G124" s="2" t="s">
        <v>7</v>
      </c>
      <c r="H124" s="18">
        <f>ROUND(VLOOKUP(H$115&amp;"_1",管理者用人口入力シート!BH:CE,J124,FALSE),0)</f>
        <v>94</v>
      </c>
      <c r="I124" s="18">
        <f>ROUND(VLOOKUP(H$115&amp;"_2",管理者用人口入力シート!BH:CE,J124,FALSE),0)</f>
        <v>99</v>
      </c>
      <c r="J124" s="2">
        <v>11</v>
      </c>
      <c r="N124" s="2" t="s">
        <v>7</v>
      </c>
      <c r="O124" s="18">
        <f>ROUND(VLOOKUP(O$115&amp;"_1",管理者用人口入力シート!CO:DL,Q124,FALSE),0)</f>
        <v>96</v>
      </c>
      <c r="P124" s="18">
        <f>ROUND(VLOOKUP(O$115&amp;"_2",管理者用人口入力シート!CO:DL,Q124,FALSE),0)</f>
        <v>101</v>
      </c>
      <c r="Q124" s="2">
        <v>11</v>
      </c>
      <c r="T124" s="91"/>
    </row>
    <row r="125" spans="7:20" x14ac:dyDescent="0.15">
      <c r="G125" s="2" t="s">
        <v>8</v>
      </c>
      <c r="H125" s="18">
        <f>ROUND(VLOOKUP(H$115&amp;"_1",管理者用人口入力シート!BH:CE,J125,FALSE),0)</f>
        <v>104</v>
      </c>
      <c r="I125" s="18">
        <f>ROUND(VLOOKUP(H$115&amp;"_2",管理者用人口入力シート!BH:CE,J125,FALSE),0)</f>
        <v>101</v>
      </c>
      <c r="J125" s="2">
        <v>12</v>
      </c>
      <c r="N125" s="2" t="s">
        <v>8</v>
      </c>
      <c r="O125" s="18">
        <f>ROUND(VLOOKUP(O$115&amp;"_1",管理者用人口入力シート!CO:DL,Q125,FALSE),0)</f>
        <v>104</v>
      </c>
      <c r="P125" s="18">
        <f>ROUND(VLOOKUP(O$115&amp;"_2",管理者用人口入力シート!CO:DL,Q125,FALSE),0)</f>
        <v>102</v>
      </c>
      <c r="Q125" s="2">
        <v>12</v>
      </c>
      <c r="T125" s="91"/>
    </row>
    <row r="126" spans="7:20" x14ac:dyDescent="0.15">
      <c r="G126" s="2" t="s">
        <v>9</v>
      </c>
      <c r="H126" s="18">
        <f>ROUND(VLOOKUP(H$115&amp;"_1",管理者用人口入力シート!BH:CE,J126,FALSE),0)</f>
        <v>126</v>
      </c>
      <c r="I126" s="18">
        <f>ROUND(VLOOKUP(H$115&amp;"_2",管理者用人口入力シート!BH:CE,J126,FALSE),0)</f>
        <v>122</v>
      </c>
      <c r="J126" s="2">
        <v>13</v>
      </c>
      <c r="N126" s="2" t="s">
        <v>9</v>
      </c>
      <c r="O126" s="18">
        <f>ROUND(VLOOKUP(O$115&amp;"_1",管理者用人口入力シート!CO:DL,Q126,FALSE),0)</f>
        <v>126</v>
      </c>
      <c r="P126" s="18">
        <f>ROUND(VLOOKUP(O$115&amp;"_2",管理者用人口入力シート!CO:DL,Q126,FALSE),0)</f>
        <v>123</v>
      </c>
      <c r="Q126" s="2">
        <v>13</v>
      </c>
      <c r="T126" s="91"/>
    </row>
    <row r="127" spans="7:20" x14ac:dyDescent="0.15">
      <c r="G127" s="2" t="s">
        <v>10</v>
      </c>
      <c r="H127" s="18">
        <f>ROUND(VLOOKUP(H$115&amp;"_1",管理者用人口入力シート!BH:CE,J127,FALSE),0)</f>
        <v>154</v>
      </c>
      <c r="I127" s="18">
        <f>ROUND(VLOOKUP(H$115&amp;"_2",管理者用人口入力シート!BH:CE,J127,FALSE),0)</f>
        <v>165</v>
      </c>
      <c r="J127" s="2">
        <v>14</v>
      </c>
      <c r="N127" s="2" t="s">
        <v>10</v>
      </c>
      <c r="O127" s="18">
        <f>ROUND(VLOOKUP(O$115&amp;"_1",管理者用人口入力シート!CO:DL,Q127,FALSE),0)</f>
        <v>154</v>
      </c>
      <c r="P127" s="18">
        <f>ROUND(VLOOKUP(O$115&amp;"_2",管理者用人口入力シート!CO:DL,Q127,FALSE),0)</f>
        <v>166</v>
      </c>
      <c r="Q127" s="2">
        <v>14</v>
      </c>
      <c r="T127" s="91"/>
    </row>
    <row r="128" spans="7:20" x14ac:dyDescent="0.15">
      <c r="G128" s="2" t="s">
        <v>11</v>
      </c>
      <c r="H128" s="18">
        <f>ROUND(VLOOKUP(H$115&amp;"_1",管理者用人口入力シート!BH:CE,J128,FALSE),0)</f>
        <v>160</v>
      </c>
      <c r="I128" s="18">
        <f>ROUND(VLOOKUP(H$115&amp;"_2",管理者用人口入力シート!BH:CE,J128,FALSE),0)</f>
        <v>177</v>
      </c>
      <c r="J128" s="2">
        <v>15</v>
      </c>
      <c r="N128" s="2" t="s">
        <v>11</v>
      </c>
      <c r="O128" s="18">
        <f>ROUND(VLOOKUP(O$115&amp;"_1",管理者用人口入力シート!CO:DL,Q128,FALSE),0)</f>
        <v>160</v>
      </c>
      <c r="P128" s="18">
        <f>ROUND(VLOOKUP(O$115&amp;"_2",管理者用人口入力シート!CO:DL,Q128,FALSE),0)</f>
        <v>177</v>
      </c>
      <c r="Q128" s="2">
        <v>15</v>
      </c>
      <c r="T128" s="91"/>
    </row>
    <row r="129" spans="7:20" x14ac:dyDescent="0.15">
      <c r="G129" s="2" t="s">
        <v>12</v>
      </c>
      <c r="H129" s="18">
        <f>ROUND(VLOOKUP(H$115&amp;"_1",管理者用人口入力シート!BH:CE,J129,FALSE),0)</f>
        <v>153</v>
      </c>
      <c r="I129" s="18">
        <f>ROUND(VLOOKUP(H$115&amp;"_2",管理者用人口入力シート!BH:CE,J129,FALSE),0)</f>
        <v>154</v>
      </c>
      <c r="J129" s="2">
        <v>16</v>
      </c>
      <c r="N129" s="2" t="s">
        <v>12</v>
      </c>
      <c r="O129" s="18">
        <f>ROUND(VLOOKUP(O$115&amp;"_1",管理者用人口入力シート!CO:DL,Q129,FALSE),0)</f>
        <v>153</v>
      </c>
      <c r="P129" s="18">
        <f>ROUND(VLOOKUP(O$115&amp;"_2",管理者用人口入力シート!CO:DL,Q129,FALSE),0)</f>
        <v>154</v>
      </c>
      <c r="Q129" s="2">
        <v>16</v>
      </c>
      <c r="T129" s="91"/>
    </row>
    <row r="130" spans="7:20" x14ac:dyDescent="0.15">
      <c r="G130" s="2" t="s">
        <v>13</v>
      </c>
      <c r="H130" s="18">
        <f>ROUND(VLOOKUP(H$115&amp;"_1",管理者用人口入力シート!BH:CE,J130,FALSE),0)</f>
        <v>132</v>
      </c>
      <c r="I130" s="18">
        <f>ROUND(VLOOKUP(H$115&amp;"_2",管理者用人口入力シート!BH:CE,J130,FALSE),0)</f>
        <v>148</v>
      </c>
      <c r="J130" s="2">
        <v>17</v>
      </c>
      <c r="N130" s="2" t="s">
        <v>13</v>
      </c>
      <c r="O130" s="18">
        <f>ROUND(VLOOKUP(O$115&amp;"_1",管理者用人口入力シート!CO:DL,Q130,FALSE),0)</f>
        <v>132</v>
      </c>
      <c r="P130" s="18">
        <f>ROUND(VLOOKUP(O$115&amp;"_2",管理者用人口入力シート!CO:DL,Q130,FALSE),0)</f>
        <v>148</v>
      </c>
      <c r="Q130" s="2">
        <v>17</v>
      </c>
      <c r="T130" s="91"/>
    </row>
    <row r="131" spans="7:20" x14ac:dyDescent="0.15">
      <c r="G131" s="2" t="s">
        <v>14</v>
      </c>
      <c r="H131" s="18">
        <f>ROUND(VLOOKUP(H$115&amp;"_1",管理者用人口入力シート!BH:CE,J131,FALSE),0)</f>
        <v>143</v>
      </c>
      <c r="I131" s="18">
        <f>ROUND(VLOOKUP(H$115&amp;"_2",管理者用人口入力シート!BH:CE,J131,FALSE),0)</f>
        <v>168</v>
      </c>
      <c r="J131" s="2">
        <v>18</v>
      </c>
      <c r="N131" s="2" t="s">
        <v>14</v>
      </c>
      <c r="O131" s="18">
        <f>ROUND(VLOOKUP(O$115&amp;"_1",管理者用人口入力シート!CO:DL,Q131,FALSE),0)</f>
        <v>143</v>
      </c>
      <c r="P131" s="18">
        <f>ROUND(VLOOKUP(O$115&amp;"_2",管理者用人口入力シート!CO:DL,Q131,FALSE),0)</f>
        <v>168</v>
      </c>
      <c r="Q131" s="2">
        <v>18</v>
      </c>
      <c r="T131" s="91"/>
    </row>
    <row r="132" spans="7:20" x14ac:dyDescent="0.15">
      <c r="G132" s="2" t="s">
        <v>15</v>
      </c>
      <c r="H132" s="18">
        <f>ROUND(VLOOKUP(H$115&amp;"_1",管理者用人口入力シート!BH:CE,J132,FALSE),0)</f>
        <v>151</v>
      </c>
      <c r="I132" s="18">
        <f>ROUND(VLOOKUP(H$115&amp;"_2",管理者用人口入力シート!BH:CE,J132,FALSE),0)</f>
        <v>198</v>
      </c>
      <c r="J132" s="2">
        <v>19</v>
      </c>
      <c r="N132" s="2" t="s">
        <v>15</v>
      </c>
      <c r="O132" s="18">
        <f>ROUND(VLOOKUP(O$115&amp;"_1",管理者用人口入力シート!CO:DL,Q132,FALSE),0)</f>
        <v>151</v>
      </c>
      <c r="P132" s="18">
        <f>ROUND(VLOOKUP(O$115&amp;"_2",管理者用人口入力シート!CO:DL,Q132,FALSE),0)</f>
        <v>198</v>
      </c>
      <c r="Q132" s="2">
        <v>19</v>
      </c>
      <c r="T132" s="91"/>
    </row>
    <row r="133" spans="7:20" x14ac:dyDescent="0.15">
      <c r="G133" s="2" t="s">
        <v>16</v>
      </c>
      <c r="H133" s="18">
        <f>ROUND(VLOOKUP(H$115&amp;"_1",管理者用人口入力シート!BH:CE,J133,FALSE),0)</f>
        <v>146</v>
      </c>
      <c r="I133" s="18">
        <f>ROUND(VLOOKUP(H$115&amp;"_2",管理者用人口入力シート!BH:CE,J133,FALSE),0)</f>
        <v>197</v>
      </c>
      <c r="J133" s="2">
        <v>20</v>
      </c>
      <c r="N133" s="2" t="s">
        <v>16</v>
      </c>
      <c r="O133" s="18">
        <f>ROUND(VLOOKUP(O$115&amp;"_1",管理者用人口入力シート!CO:DL,Q133,FALSE),0)</f>
        <v>146</v>
      </c>
      <c r="P133" s="18">
        <f>ROUND(VLOOKUP(O$115&amp;"_2",管理者用人口入力シート!CO:DL,Q133,FALSE),0)</f>
        <v>197</v>
      </c>
      <c r="Q133" s="2">
        <v>20</v>
      </c>
      <c r="T133" s="91"/>
    </row>
    <row r="134" spans="7:20" x14ac:dyDescent="0.15">
      <c r="G134" s="2" t="s">
        <v>17</v>
      </c>
      <c r="H134" s="18">
        <f>ROUND(VLOOKUP(H$115&amp;"_1",管理者用人口入力シート!BH:CE,J134,FALSE),0)</f>
        <v>90</v>
      </c>
      <c r="I134" s="18">
        <f>ROUND(VLOOKUP(H$115&amp;"_2",管理者用人口入力シート!BH:CE,J134,FALSE),0)</f>
        <v>167</v>
      </c>
      <c r="J134" s="2">
        <v>21</v>
      </c>
      <c r="N134" s="2" t="s">
        <v>17</v>
      </c>
      <c r="O134" s="18">
        <f>ROUND(VLOOKUP(O$115&amp;"_1",管理者用人口入力シート!CO:DL,Q134,FALSE),0)</f>
        <v>90</v>
      </c>
      <c r="P134" s="18">
        <f>ROUND(VLOOKUP(O$115&amp;"_2",管理者用人口入力シート!CO:DL,Q134,FALSE),0)</f>
        <v>167</v>
      </c>
      <c r="Q134" s="2">
        <v>21</v>
      </c>
      <c r="T134" s="91"/>
    </row>
    <row r="135" spans="7:20" x14ac:dyDescent="0.15">
      <c r="G135" s="2" t="s">
        <v>18</v>
      </c>
      <c r="H135" s="18">
        <f>ROUND(VLOOKUP(H$115&amp;"_1",管理者用人口入力シート!BH:CE,J135,FALSE),0)</f>
        <v>31</v>
      </c>
      <c r="I135" s="18">
        <f>ROUND(VLOOKUP(H$115&amp;"_2",管理者用人口入力シート!BH:CE,J135,FALSE),0)</f>
        <v>93</v>
      </c>
      <c r="J135" s="2">
        <v>22</v>
      </c>
      <c r="N135" s="2" t="s">
        <v>18</v>
      </c>
      <c r="O135" s="18">
        <f>ROUND(VLOOKUP(O$115&amp;"_1",管理者用人口入力シート!CO:DL,Q135,FALSE),0)</f>
        <v>31</v>
      </c>
      <c r="P135" s="18">
        <f>ROUND(VLOOKUP(O$115&amp;"_2",管理者用人口入力シート!CO:DL,Q135,FALSE),0)</f>
        <v>93</v>
      </c>
      <c r="Q135" s="2">
        <v>22</v>
      </c>
      <c r="T135" s="91"/>
    </row>
    <row r="136" spans="7:20" x14ac:dyDescent="0.15">
      <c r="G136" s="2" t="s">
        <v>19</v>
      </c>
      <c r="H136" s="18">
        <f>ROUND(VLOOKUP(H$115&amp;"_1",管理者用人口入力シート!BH:CE,J136,FALSE),0)</f>
        <v>11</v>
      </c>
      <c r="I136" s="18">
        <f>ROUND(VLOOKUP(H$115&amp;"_2",管理者用人口入力シート!BH:CE,J136,FALSE),0)</f>
        <v>53</v>
      </c>
      <c r="J136" s="2">
        <v>23</v>
      </c>
      <c r="N136" s="2" t="s">
        <v>19</v>
      </c>
      <c r="O136" s="18">
        <f>ROUND(VLOOKUP(O$115&amp;"_1",管理者用人口入力シート!CO:DL,Q136,FALSE),0)</f>
        <v>11</v>
      </c>
      <c r="P136" s="18">
        <f>ROUND(VLOOKUP(O$115&amp;"_2",管理者用人口入力シート!CO:DL,Q136,FALSE),0)</f>
        <v>53</v>
      </c>
      <c r="Q136" s="2">
        <v>23</v>
      </c>
      <c r="T136" s="91"/>
    </row>
    <row r="137" spans="7:20" x14ac:dyDescent="0.15">
      <c r="G137" s="2" t="s">
        <v>20</v>
      </c>
      <c r="H137" s="18">
        <f>ROUND(VLOOKUP(H$115&amp;"_1",管理者用人口入力シート!BH:CE,J137,FALSE),0)</f>
        <v>0</v>
      </c>
      <c r="I137" s="18">
        <f>ROUND(VLOOKUP(H$115&amp;"_2",管理者用人口入力シート!BH:CE,J137,FALSE),0)</f>
        <v>23</v>
      </c>
      <c r="J137" s="2">
        <v>24</v>
      </c>
      <c r="N137" s="2" t="s">
        <v>20</v>
      </c>
      <c r="O137" s="18">
        <f>ROUND(VLOOKUP(O$115&amp;"_1",管理者用人口入力シート!CO:DL,Q137,FALSE),0)</f>
        <v>0</v>
      </c>
      <c r="P137" s="18">
        <f>ROUND(VLOOKUP(O$115&amp;"_2",管理者用人口入力シート!CO:DL,Q137,FALSE),0)</f>
        <v>23</v>
      </c>
      <c r="Q137" s="2">
        <v>24</v>
      </c>
      <c r="T137" s="91"/>
    </row>
    <row r="139" spans="7:20" x14ac:dyDescent="0.15">
      <c r="G139" s="2" t="s">
        <v>109</v>
      </c>
      <c r="H139" s="342">
        <f>管理者入力シート!B11</f>
        <v>2040</v>
      </c>
      <c r="I139" s="343"/>
      <c r="J139" s="2" t="s">
        <v>114</v>
      </c>
      <c r="O139" s="342">
        <f>管理者入力シート!B11</f>
        <v>2040</v>
      </c>
      <c r="P139" s="343"/>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82</v>
      </c>
      <c r="I141" s="18">
        <f>ROUND(VLOOKUP(H$139&amp;"_2",管理者用人口入力シート!BH:CE,J141,FALSE),0)</f>
        <v>83</v>
      </c>
      <c r="J141" s="2">
        <v>4</v>
      </c>
      <c r="N141" s="2" t="s">
        <v>0</v>
      </c>
      <c r="O141" s="18">
        <f>ROUND(VLOOKUP(O$139&amp;"_1",管理者用人口入力シート!CO:DL,Q141,FALSE),0)</f>
        <v>85</v>
      </c>
      <c r="P141" s="18">
        <f>ROUND(VLOOKUP(O$139&amp;"_2",管理者用人口入力シート!CO:DL,Q141,FALSE),0)</f>
        <v>86</v>
      </c>
      <c r="Q141" s="2">
        <v>4</v>
      </c>
    </row>
    <row r="142" spans="7:20" x14ac:dyDescent="0.15">
      <c r="G142" s="2" t="s">
        <v>1</v>
      </c>
      <c r="H142" s="18">
        <f>ROUND(VLOOKUP(H$139&amp;"_1",管理者用人口入力シート!BH:CE,J142,FALSE),0)</f>
        <v>88</v>
      </c>
      <c r="I142" s="18">
        <f>ROUND(VLOOKUP(H$139&amp;"_2",管理者用人口入力シート!BH:CE,J142,FALSE),0)</f>
        <v>86</v>
      </c>
      <c r="J142" s="2">
        <v>5</v>
      </c>
      <c r="N142" s="2" t="s">
        <v>1</v>
      </c>
      <c r="O142" s="18">
        <f>ROUND(VLOOKUP(O$139&amp;"_1",管理者用人口入力シート!CO:DL,Q142,FALSE),0)</f>
        <v>91</v>
      </c>
      <c r="P142" s="18">
        <f>ROUND(VLOOKUP(O$139&amp;"_2",管理者用人口入力シート!CO:DL,Q142,FALSE),0)</f>
        <v>89</v>
      </c>
      <c r="Q142" s="2">
        <v>5</v>
      </c>
    </row>
    <row r="143" spans="7:20" x14ac:dyDescent="0.15">
      <c r="G143" s="2" t="s">
        <v>2</v>
      </c>
      <c r="H143" s="18">
        <f>ROUND(VLOOKUP(H$139&amp;"_1",管理者用人口入力シート!BH:CE,J143,FALSE),0)</f>
        <v>87</v>
      </c>
      <c r="I143" s="18">
        <f>ROUND(VLOOKUP(H$139&amp;"_2",管理者用人口入力シート!BH:CE,J143,FALSE),0)</f>
        <v>88</v>
      </c>
      <c r="J143" s="2">
        <v>6</v>
      </c>
      <c r="N143" s="2" t="s">
        <v>2</v>
      </c>
      <c r="O143" s="18">
        <f>ROUND(VLOOKUP(O$139&amp;"_1",管理者用人口入力シート!CO:DL,Q143,FALSE),0)</f>
        <v>90</v>
      </c>
      <c r="P143" s="18">
        <f>ROUND(VLOOKUP(O$139&amp;"_2",管理者用人口入力シート!CO:DL,Q143,FALSE),0)</f>
        <v>91</v>
      </c>
      <c r="Q143" s="2">
        <v>6</v>
      </c>
    </row>
    <row r="144" spans="7:20" x14ac:dyDescent="0.15">
      <c r="G144" s="2" t="s">
        <v>3</v>
      </c>
      <c r="H144" s="18">
        <f>ROUND(VLOOKUP(H$139&amp;"_1",管理者用人口入力シート!BH:CE,J144,FALSE),0)</f>
        <v>81</v>
      </c>
      <c r="I144" s="18">
        <f>ROUND(VLOOKUP(H$139&amp;"_2",管理者用人口入力シート!BH:CE,J144,FALSE),0)</f>
        <v>84</v>
      </c>
      <c r="J144" s="2">
        <v>7</v>
      </c>
      <c r="N144" s="2" t="s">
        <v>3</v>
      </c>
      <c r="O144" s="18">
        <f>ROUND(VLOOKUP(O$139&amp;"_1",管理者用人口入力シート!CO:DL,Q144,FALSE),0)</f>
        <v>83</v>
      </c>
      <c r="P144" s="18">
        <f>ROUND(VLOOKUP(O$139&amp;"_2",管理者用人口入力シート!CO:DL,Q144,FALSE),0)</f>
        <v>85</v>
      </c>
      <c r="Q144" s="2">
        <v>7</v>
      </c>
    </row>
    <row r="145" spans="7:17" x14ac:dyDescent="0.15">
      <c r="G145" s="2" t="s">
        <v>4</v>
      </c>
      <c r="H145" s="18">
        <f>ROUND(VLOOKUP(H$139&amp;"_1",管理者用人口入力シート!BH:CE,J145,FALSE),0)</f>
        <v>51</v>
      </c>
      <c r="I145" s="18">
        <f>ROUND(VLOOKUP(H$139&amp;"_2",管理者用人口入力シート!BH:CE,J145,FALSE),0)</f>
        <v>71</v>
      </c>
      <c r="J145" s="2">
        <v>8</v>
      </c>
      <c r="N145" s="2" t="s">
        <v>4</v>
      </c>
      <c r="O145" s="18">
        <f>ROUND(VLOOKUP(O$139&amp;"_1",管理者用人口入力シート!CO:DL,Q145,FALSE),0)</f>
        <v>51</v>
      </c>
      <c r="P145" s="18">
        <f>ROUND(VLOOKUP(O$139&amp;"_2",管理者用人口入力シート!CO:DL,Q145,FALSE),0)</f>
        <v>71</v>
      </c>
      <c r="Q145" s="2">
        <v>8</v>
      </c>
    </row>
    <row r="146" spans="7:17" x14ac:dyDescent="0.15">
      <c r="G146" s="2" t="s">
        <v>5</v>
      </c>
      <c r="H146" s="18">
        <f>ROUND(VLOOKUP(H$139&amp;"_1",管理者用人口入力シート!BH:CE,J146,FALSE),0)</f>
        <v>73</v>
      </c>
      <c r="I146" s="18">
        <f>ROUND(VLOOKUP(H$139&amp;"_2",管理者用人口入力シート!BH:CE,J146,FALSE),0)</f>
        <v>88</v>
      </c>
      <c r="J146" s="2">
        <v>9</v>
      </c>
      <c r="N146" s="2" t="s">
        <v>5</v>
      </c>
      <c r="O146" s="18">
        <f>ROUND(VLOOKUP(O$139&amp;"_1",管理者用人口入力シート!CO:DL,Q146,FALSE),0)</f>
        <v>75</v>
      </c>
      <c r="P146" s="18">
        <f>ROUND(VLOOKUP(O$139&amp;"_2",管理者用人口入力シート!CO:DL,Q146,FALSE),0)</f>
        <v>91</v>
      </c>
      <c r="Q146" s="2">
        <v>9</v>
      </c>
    </row>
    <row r="147" spans="7:17" x14ac:dyDescent="0.15">
      <c r="G147" s="2" t="s">
        <v>6</v>
      </c>
      <c r="H147" s="18">
        <f>ROUND(VLOOKUP(H$139&amp;"_1",管理者用人口入力シート!BH:CE,J147,FALSE),0)</f>
        <v>82</v>
      </c>
      <c r="I147" s="18">
        <f>ROUND(VLOOKUP(H$139&amp;"_2",管理者用人口入力シート!BH:CE,J147,FALSE),0)</f>
        <v>98</v>
      </c>
      <c r="J147" s="2">
        <v>10</v>
      </c>
      <c r="N147" s="2" t="s">
        <v>6</v>
      </c>
      <c r="O147" s="18">
        <f>ROUND(VLOOKUP(O$139&amp;"_1",管理者用人口入力シート!CO:DL,Q147,FALSE),0)</f>
        <v>84</v>
      </c>
      <c r="P147" s="18">
        <f>ROUND(VLOOKUP(O$139&amp;"_2",管理者用人口入力シート!CO:DL,Q147,FALSE),0)</f>
        <v>100</v>
      </c>
      <c r="Q147" s="2">
        <v>10</v>
      </c>
    </row>
    <row r="148" spans="7:17" x14ac:dyDescent="0.15">
      <c r="G148" s="2" t="s">
        <v>7</v>
      </c>
      <c r="H148" s="18">
        <f>ROUND(VLOOKUP(H$139&amp;"_1",管理者用人口入力シート!BH:CE,J148,FALSE),0)</f>
        <v>89</v>
      </c>
      <c r="I148" s="18">
        <f>ROUND(VLOOKUP(H$139&amp;"_2",管理者用人口入力シート!BH:CE,J148,FALSE),0)</f>
        <v>89</v>
      </c>
      <c r="J148" s="2">
        <v>11</v>
      </c>
      <c r="N148" s="2" t="s">
        <v>7</v>
      </c>
      <c r="O148" s="18">
        <f>ROUND(VLOOKUP(O$139&amp;"_1",管理者用人口入力シート!CO:DL,Q148,FALSE),0)</f>
        <v>91</v>
      </c>
      <c r="P148" s="18">
        <f>ROUND(VLOOKUP(O$139&amp;"_2",管理者用人口入力シート!CO:DL,Q148,FALSE),0)</f>
        <v>91</v>
      </c>
      <c r="Q148" s="2">
        <v>11</v>
      </c>
    </row>
    <row r="149" spans="7:17" x14ac:dyDescent="0.15">
      <c r="G149" s="2" t="s">
        <v>8</v>
      </c>
      <c r="H149" s="18">
        <f>ROUND(VLOOKUP(H$139&amp;"_1",管理者用人口入力シート!BH:CE,J149,FALSE),0)</f>
        <v>99</v>
      </c>
      <c r="I149" s="18">
        <f>ROUND(VLOOKUP(H$139&amp;"_2",管理者用人口入力シート!BH:CE,J149,FALSE),0)</f>
        <v>103</v>
      </c>
      <c r="J149" s="2">
        <v>12</v>
      </c>
      <c r="N149" s="2" t="s">
        <v>8</v>
      </c>
      <c r="O149" s="18">
        <f>ROUND(VLOOKUP(O$139&amp;"_1",管理者用人口入力シート!CO:DL,Q149,FALSE),0)</f>
        <v>101</v>
      </c>
      <c r="P149" s="18">
        <f>ROUND(VLOOKUP(O$139&amp;"_2",管理者用人口入力シート!CO:DL,Q149,FALSE),0)</f>
        <v>106</v>
      </c>
      <c r="Q149" s="2">
        <v>12</v>
      </c>
    </row>
    <row r="150" spans="7:17" x14ac:dyDescent="0.15">
      <c r="G150" s="2" t="s">
        <v>9</v>
      </c>
      <c r="H150" s="18">
        <f>ROUND(VLOOKUP(H$139&amp;"_1",管理者用人口入力シート!BH:CE,J150,FALSE),0)</f>
        <v>107</v>
      </c>
      <c r="I150" s="18">
        <f>ROUND(VLOOKUP(H$139&amp;"_2",管理者用人口入力シート!BH:CE,J150,FALSE),0)</f>
        <v>104</v>
      </c>
      <c r="J150" s="2">
        <v>13</v>
      </c>
      <c r="N150" s="2" t="s">
        <v>9</v>
      </c>
      <c r="O150" s="18">
        <f>ROUND(VLOOKUP(O$139&amp;"_1",管理者用人口入力シート!CO:DL,Q150,FALSE),0)</f>
        <v>107</v>
      </c>
      <c r="P150" s="18">
        <f>ROUND(VLOOKUP(O$139&amp;"_2",管理者用人口入力シート!CO:DL,Q150,FALSE),0)</f>
        <v>105</v>
      </c>
      <c r="Q150" s="2">
        <v>13</v>
      </c>
    </row>
    <row r="151" spans="7:17" x14ac:dyDescent="0.15">
      <c r="G151" s="2" t="s">
        <v>10</v>
      </c>
      <c r="H151" s="18">
        <f>ROUND(VLOOKUP(H$139&amp;"_1",管理者用人口入力シート!BH:CE,J151,FALSE),0)</f>
        <v>128</v>
      </c>
      <c r="I151" s="18">
        <f>ROUND(VLOOKUP(H$139&amp;"_2",管理者用人口入力シート!BH:CE,J151,FALSE),0)</f>
        <v>124</v>
      </c>
      <c r="J151" s="2">
        <v>14</v>
      </c>
      <c r="N151" s="2" t="s">
        <v>10</v>
      </c>
      <c r="O151" s="18">
        <f>ROUND(VLOOKUP(O$139&amp;"_1",管理者用人口入力シート!CO:DL,Q151,FALSE),0)</f>
        <v>128</v>
      </c>
      <c r="P151" s="18">
        <f>ROUND(VLOOKUP(O$139&amp;"_2",管理者用人口入力シート!CO:DL,Q151,FALSE),0)</f>
        <v>125</v>
      </c>
      <c r="Q151" s="2">
        <v>14</v>
      </c>
    </row>
    <row r="152" spans="7:17" x14ac:dyDescent="0.15">
      <c r="G152" s="2" t="s">
        <v>11</v>
      </c>
      <c r="H152" s="18">
        <f>ROUND(VLOOKUP(H$139&amp;"_1",管理者用人口入力シート!BH:CE,J152,FALSE),0)</f>
        <v>153</v>
      </c>
      <c r="I152" s="18">
        <f>ROUND(VLOOKUP(H$139&amp;"_2",管理者用人口入力シート!BH:CE,J152,FALSE),0)</f>
        <v>169</v>
      </c>
      <c r="J152" s="2">
        <v>15</v>
      </c>
      <c r="N152" s="2" t="s">
        <v>11</v>
      </c>
      <c r="O152" s="18">
        <f>ROUND(VLOOKUP(O$139&amp;"_1",管理者用人口入力シート!CO:DL,Q152,FALSE),0)</f>
        <v>153</v>
      </c>
      <c r="P152" s="18">
        <f>ROUND(VLOOKUP(O$139&amp;"_2",管理者用人口入力シート!CO:DL,Q152,FALSE),0)</f>
        <v>170</v>
      </c>
      <c r="Q152" s="2">
        <v>15</v>
      </c>
    </row>
    <row r="153" spans="7:17" x14ac:dyDescent="0.15">
      <c r="G153" s="2" t="s">
        <v>12</v>
      </c>
      <c r="H153" s="18">
        <f>ROUND(VLOOKUP(H$139&amp;"_1",管理者用人口入力シート!BH:CE,J153,FALSE),0)</f>
        <v>159</v>
      </c>
      <c r="I153" s="18">
        <f>ROUND(VLOOKUP(H$139&amp;"_2",管理者用人口入力シート!BH:CE,J153,FALSE),0)</f>
        <v>177</v>
      </c>
      <c r="J153" s="2">
        <v>16</v>
      </c>
      <c r="N153" s="2" t="s">
        <v>12</v>
      </c>
      <c r="O153" s="18">
        <f>ROUND(VLOOKUP(O$139&amp;"_1",管理者用人口入力シート!CO:DL,Q153,FALSE),0)</f>
        <v>159</v>
      </c>
      <c r="P153" s="18">
        <f>ROUND(VLOOKUP(O$139&amp;"_2",管理者用人口入力シート!CO:DL,Q153,FALSE),0)</f>
        <v>177</v>
      </c>
      <c r="Q153" s="2">
        <v>16</v>
      </c>
    </row>
    <row r="154" spans="7:17" x14ac:dyDescent="0.15">
      <c r="G154" s="2" t="s">
        <v>13</v>
      </c>
      <c r="H154" s="18">
        <f>ROUND(VLOOKUP(H$139&amp;"_1",管理者用人口入力シート!BH:CE,J154,FALSE),0)</f>
        <v>148</v>
      </c>
      <c r="I154" s="18">
        <f>ROUND(VLOOKUP(H$139&amp;"_2",管理者用人口入力シート!BH:CE,J154,FALSE),0)</f>
        <v>151</v>
      </c>
      <c r="J154" s="2">
        <v>17</v>
      </c>
      <c r="N154" s="2" t="s">
        <v>13</v>
      </c>
      <c r="O154" s="18">
        <f>ROUND(VLOOKUP(O$139&amp;"_1",管理者用人口入力シート!CO:DL,Q154,FALSE),0)</f>
        <v>148</v>
      </c>
      <c r="P154" s="18">
        <f>ROUND(VLOOKUP(O$139&amp;"_2",管理者用人口入力シート!CO:DL,Q154,FALSE),0)</f>
        <v>151</v>
      </c>
      <c r="Q154" s="2">
        <v>17</v>
      </c>
    </row>
    <row r="155" spans="7:17" x14ac:dyDescent="0.15">
      <c r="G155" s="2" t="s">
        <v>14</v>
      </c>
      <c r="H155" s="18">
        <f>ROUND(VLOOKUP(H$139&amp;"_1",管理者用人口入力シート!BH:CE,J155,FALSE),0)</f>
        <v>126</v>
      </c>
      <c r="I155" s="18">
        <f>ROUND(VLOOKUP(H$139&amp;"_2",管理者用人口入力シート!BH:CE,J155,FALSE),0)</f>
        <v>144</v>
      </c>
      <c r="J155" s="2">
        <v>18</v>
      </c>
      <c r="N155" s="2" t="s">
        <v>14</v>
      </c>
      <c r="O155" s="18">
        <f>ROUND(VLOOKUP(O$139&amp;"_1",管理者用人口入力シート!CO:DL,Q155,FALSE),0)</f>
        <v>126</v>
      </c>
      <c r="P155" s="18">
        <f>ROUND(VLOOKUP(O$139&amp;"_2",管理者用人口入力シート!CO:DL,Q155,FALSE),0)</f>
        <v>144</v>
      </c>
      <c r="Q155" s="2">
        <v>18</v>
      </c>
    </row>
    <row r="156" spans="7:17" x14ac:dyDescent="0.15">
      <c r="G156" s="2" t="s">
        <v>15</v>
      </c>
      <c r="H156" s="18">
        <f>ROUND(VLOOKUP(H$139&amp;"_1",管理者用人口入力シート!BH:CE,J156,FALSE),0)</f>
        <v>126</v>
      </c>
      <c r="I156" s="18">
        <f>ROUND(VLOOKUP(H$139&amp;"_2",管理者用人口入力シート!BH:CE,J156,FALSE),0)</f>
        <v>168</v>
      </c>
      <c r="J156" s="2">
        <v>19</v>
      </c>
      <c r="N156" s="2" t="s">
        <v>15</v>
      </c>
      <c r="O156" s="18">
        <f>ROUND(VLOOKUP(O$139&amp;"_1",管理者用人口入力シート!CO:DL,Q156,FALSE),0)</f>
        <v>126</v>
      </c>
      <c r="P156" s="18">
        <f>ROUND(VLOOKUP(O$139&amp;"_2",管理者用人口入力シート!CO:DL,Q156,FALSE),0)</f>
        <v>168</v>
      </c>
      <c r="Q156" s="2">
        <v>19</v>
      </c>
    </row>
    <row r="157" spans="7:17" x14ac:dyDescent="0.15">
      <c r="G157" s="2" t="s">
        <v>16</v>
      </c>
      <c r="H157" s="18">
        <f>ROUND(VLOOKUP(H$139&amp;"_1",管理者用人口入力シート!BH:CE,J157,FALSE),0)</f>
        <v>122</v>
      </c>
      <c r="I157" s="18">
        <f>ROUND(VLOOKUP(H$139&amp;"_2",管理者用人口入力シート!BH:CE,J157,FALSE),0)</f>
        <v>177</v>
      </c>
      <c r="J157" s="2">
        <v>20</v>
      </c>
      <c r="N157" s="2" t="s">
        <v>16</v>
      </c>
      <c r="O157" s="18">
        <f>ROUND(VLOOKUP(O$139&amp;"_1",管理者用人口入力シート!CO:DL,Q157,FALSE),0)</f>
        <v>122</v>
      </c>
      <c r="P157" s="18">
        <f>ROUND(VLOOKUP(O$139&amp;"_2",管理者用人口入力シート!CO:DL,Q157,FALSE),0)</f>
        <v>177</v>
      </c>
      <c r="Q157" s="2">
        <v>20</v>
      </c>
    </row>
    <row r="158" spans="7:17" x14ac:dyDescent="0.15">
      <c r="G158" s="2" t="s">
        <v>17</v>
      </c>
      <c r="H158" s="18">
        <f>ROUND(VLOOKUP(H$139&amp;"_1",管理者用人口入力シート!BH:CE,J158,FALSE),0)</f>
        <v>96</v>
      </c>
      <c r="I158" s="18">
        <f>ROUND(VLOOKUP(H$139&amp;"_2",管理者用人口入力シート!BH:CE,J158,FALSE),0)</f>
        <v>172</v>
      </c>
      <c r="J158" s="2">
        <v>21</v>
      </c>
      <c r="N158" s="2" t="s">
        <v>17</v>
      </c>
      <c r="O158" s="18">
        <f>ROUND(VLOOKUP(O$139&amp;"_1",管理者用人口入力シート!CO:DL,Q158,FALSE),0)</f>
        <v>96</v>
      </c>
      <c r="P158" s="18">
        <f>ROUND(VLOOKUP(O$139&amp;"_2",管理者用人口入力シート!CO:DL,Q158,FALSE),0)</f>
        <v>172</v>
      </c>
      <c r="Q158" s="2">
        <v>21</v>
      </c>
    </row>
    <row r="159" spans="7:17" x14ac:dyDescent="0.15">
      <c r="G159" s="2" t="s">
        <v>18</v>
      </c>
      <c r="H159" s="18">
        <f>ROUND(VLOOKUP(H$139&amp;"_1",管理者用人口入力シート!BH:CE,J159,FALSE),0)</f>
        <v>41</v>
      </c>
      <c r="I159" s="18">
        <f>ROUND(VLOOKUP(H$139&amp;"_2",管理者用人口入力シート!BH:CE,J159,FALSE),0)</f>
        <v>113</v>
      </c>
      <c r="J159" s="2">
        <v>22</v>
      </c>
      <c r="N159" s="2" t="s">
        <v>18</v>
      </c>
      <c r="O159" s="18">
        <f>ROUND(VLOOKUP(O$139&amp;"_1",管理者用人口入力シート!CO:DL,Q159,FALSE),0)</f>
        <v>41</v>
      </c>
      <c r="P159" s="18">
        <f>ROUND(VLOOKUP(O$139&amp;"_2",管理者用人口入力シート!CO:DL,Q159,FALSE),0)</f>
        <v>113</v>
      </c>
      <c r="Q159" s="2">
        <v>22</v>
      </c>
    </row>
    <row r="160" spans="7:17" x14ac:dyDescent="0.15">
      <c r="G160" s="2" t="s">
        <v>19</v>
      </c>
      <c r="H160" s="18">
        <f>ROUND(VLOOKUP(H$139&amp;"_1",管理者用人口入力シート!BH:CE,J160,FALSE),0)</f>
        <v>10</v>
      </c>
      <c r="I160" s="18">
        <f>ROUND(VLOOKUP(H$139&amp;"_2",管理者用人口入力シート!BH:CE,J160,FALSE),0)</f>
        <v>43</v>
      </c>
      <c r="J160" s="2">
        <v>23</v>
      </c>
      <c r="N160" s="2" t="s">
        <v>19</v>
      </c>
      <c r="O160" s="18">
        <f>ROUND(VLOOKUP(O$139&amp;"_1",管理者用人口入力シート!CO:DL,Q160,FALSE),0)</f>
        <v>10</v>
      </c>
      <c r="P160" s="18">
        <f>ROUND(VLOOKUP(O$139&amp;"_2",管理者用人口入力シート!CO:DL,Q160,FALSE),0)</f>
        <v>43</v>
      </c>
      <c r="Q160" s="2">
        <v>23</v>
      </c>
    </row>
    <row r="161" spans="7:17" x14ac:dyDescent="0.15">
      <c r="G161" s="2" t="s">
        <v>20</v>
      </c>
      <c r="H161" s="18">
        <f>ROUND(VLOOKUP(H$139&amp;"_1",管理者用人口入力シート!BH:CE,J161,FALSE),0)</f>
        <v>0</v>
      </c>
      <c r="I161" s="18">
        <f>ROUND(VLOOKUP(H$139&amp;"_2",管理者用人口入力シート!BH:CE,J161,FALSE),0)</f>
        <v>25</v>
      </c>
      <c r="J161" s="2">
        <v>24</v>
      </c>
      <c r="N161" s="2" t="s">
        <v>20</v>
      </c>
      <c r="O161" s="18">
        <f>ROUND(VLOOKUP(O$139&amp;"_1",管理者用人口入力シート!CO:DL,Q161,FALSE),0)</f>
        <v>0</v>
      </c>
      <c r="P161" s="18">
        <f>ROUND(VLOOKUP(O$139&amp;"_2",管理者用人口入力シート!CO:DL,Q161,FALSE),0)</f>
        <v>25</v>
      </c>
      <c r="Q161" s="2">
        <v>24</v>
      </c>
    </row>
    <row r="163" spans="7:17" x14ac:dyDescent="0.15">
      <c r="G163" s="2" t="s">
        <v>395</v>
      </c>
      <c r="H163" s="342">
        <f>管理者入力シート!B12</f>
        <v>2045</v>
      </c>
      <c r="I163" s="343"/>
      <c r="J163" s="2" t="s">
        <v>114</v>
      </c>
      <c r="O163" s="342">
        <f>管理者入力シート!B12</f>
        <v>2045</v>
      </c>
      <c r="P163" s="343"/>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80</v>
      </c>
      <c r="I165" s="18">
        <f>ROUND(VLOOKUP(H$163&amp;"_2",管理者用人口入力シート!BH:CE,J165,FALSE),0)</f>
        <v>81</v>
      </c>
      <c r="J165" s="2">
        <v>4</v>
      </c>
      <c r="N165" s="2" t="s">
        <v>0</v>
      </c>
      <c r="O165" s="18">
        <f>ROUND(VLOOKUP(O$163&amp;"_1",管理者用人口入力シート!CO:DL,Q165,FALSE),0)</f>
        <v>83</v>
      </c>
      <c r="P165" s="18">
        <f>ROUND(VLOOKUP(O$163&amp;"_2",管理者用人口入力シート!CO:DL,Q165,FALSE),0)</f>
        <v>84</v>
      </c>
      <c r="Q165" s="2">
        <v>4</v>
      </c>
    </row>
    <row r="166" spans="7:17" x14ac:dyDescent="0.15">
      <c r="G166" s="2" t="s">
        <v>1</v>
      </c>
      <c r="H166" s="18">
        <f>ROUND(VLOOKUP(H$163&amp;"_1",管理者用人口入力シート!BH:CE,J166,FALSE),0)</f>
        <v>86</v>
      </c>
      <c r="I166" s="18">
        <f>ROUND(VLOOKUP(H$163&amp;"_2",管理者用人口入力シート!BH:CE,J166,FALSE),0)</f>
        <v>84</v>
      </c>
      <c r="J166" s="2">
        <v>5</v>
      </c>
      <c r="N166" s="2" t="s">
        <v>1</v>
      </c>
      <c r="O166" s="18">
        <f>ROUND(VLOOKUP(O$163&amp;"_1",管理者用人口入力シート!CO:DL,Q166,FALSE),0)</f>
        <v>89</v>
      </c>
      <c r="P166" s="18">
        <f>ROUND(VLOOKUP(O$163&amp;"_2",管理者用人口入力シート!CO:DL,Q166,FALSE),0)</f>
        <v>87</v>
      </c>
      <c r="Q166" s="2">
        <v>5</v>
      </c>
    </row>
    <row r="167" spans="7:17" x14ac:dyDescent="0.15">
      <c r="G167" s="2" t="s">
        <v>2</v>
      </c>
      <c r="H167" s="18">
        <f>ROUND(VLOOKUP(H$163&amp;"_1",管理者用人口入力シート!BH:CE,J167,FALSE),0)</f>
        <v>86</v>
      </c>
      <c r="I167" s="18">
        <f>ROUND(VLOOKUP(H$163&amp;"_2",管理者用人口入力シート!BH:CE,J167,FALSE),0)</f>
        <v>87</v>
      </c>
      <c r="J167" s="2">
        <v>6</v>
      </c>
      <c r="N167" s="2" t="s">
        <v>2</v>
      </c>
      <c r="O167" s="18">
        <f>ROUND(VLOOKUP(O$163&amp;"_1",管理者用人口入力シート!CO:DL,Q167,FALSE),0)</f>
        <v>90</v>
      </c>
      <c r="P167" s="18">
        <f>ROUND(VLOOKUP(O$163&amp;"_2",管理者用人口入力シート!CO:DL,Q167,FALSE),0)</f>
        <v>91</v>
      </c>
      <c r="Q167" s="2">
        <v>6</v>
      </c>
    </row>
    <row r="168" spans="7:17" x14ac:dyDescent="0.15">
      <c r="G168" s="2" t="s">
        <v>3</v>
      </c>
      <c r="H168" s="18">
        <f>ROUND(VLOOKUP(H$163&amp;"_1",管理者用人口入力シート!BH:CE,J168,FALSE),0)</f>
        <v>78</v>
      </c>
      <c r="I168" s="18">
        <f>ROUND(VLOOKUP(H$163&amp;"_2",管理者用人口入力シート!BH:CE,J168,FALSE),0)</f>
        <v>80</v>
      </c>
      <c r="J168" s="2">
        <v>7</v>
      </c>
      <c r="N168" s="2" t="s">
        <v>3</v>
      </c>
      <c r="O168" s="18">
        <f>ROUND(VLOOKUP(O$163&amp;"_1",管理者用人口入力シート!CO:DL,Q168,FALSE),0)</f>
        <v>80</v>
      </c>
      <c r="P168" s="18">
        <f>ROUND(VLOOKUP(O$163&amp;"_2",管理者用人口入力シート!CO:DL,Q168,FALSE),0)</f>
        <v>82</v>
      </c>
      <c r="Q168" s="2">
        <v>7</v>
      </c>
    </row>
    <row r="169" spans="7:17" x14ac:dyDescent="0.15">
      <c r="G169" s="2" t="s">
        <v>4</v>
      </c>
      <c r="H169" s="18">
        <f>ROUND(VLOOKUP(H$163&amp;"_1",管理者用人口入力シート!BH:CE,J169,FALSE),0)</f>
        <v>44</v>
      </c>
      <c r="I169" s="18">
        <f>ROUND(VLOOKUP(H$163&amp;"_2",管理者用人口入力シート!BH:CE,J169,FALSE),0)</f>
        <v>61</v>
      </c>
      <c r="J169" s="2">
        <v>8</v>
      </c>
      <c r="N169" s="2" t="s">
        <v>4</v>
      </c>
      <c r="O169" s="18">
        <f>ROUND(VLOOKUP(O$163&amp;"_1",管理者用人口入力シート!CO:DL,Q169,FALSE),0)</f>
        <v>45</v>
      </c>
      <c r="P169" s="18">
        <f>ROUND(VLOOKUP(O$163&amp;"_2",管理者用人口入力シート!CO:DL,Q169,FALSE),0)</f>
        <v>62</v>
      </c>
      <c r="Q169" s="2">
        <v>8</v>
      </c>
    </row>
    <row r="170" spans="7:17" x14ac:dyDescent="0.15">
      <c r="G170" s="2" t="s">
        <v>5</v>
      </c>
      <c r="H170" s="18">
        <f>ROUND(VLOOKUP(H$163&amp;"_1",管理者用人口入力シート!BH:CE,J170,FALSE),0)</f>
        <v>69</v>
      </c>
      <c r="I170" s="18">
        <f>ROUND(VLOOKUP(H$163&amp;"_2",管理者用人口入力シート!BH:CE,J170,FALSE),0)</f>
        <v>85</v>
      </c>
      <c r="J170" s="2">
        <v>9</v>
      </c>
      <c r="N170" s="2" t="s">
        <v>5</v>
      </c>
      <c r="O170" s="18">
        <f>ROUND(VLOOKUP(O$163&amp;"_1",管理者用人口入力シート!CO:DL,Q170,FALSE),0)</f>
        <v>71</v>
      </c>
      <c r="P170" s="18">
        <f>ROUND(VLOOKUP(O$163&amp;"_2",管理者用人口入力シート!CO:DL,Q170,FALSE),0)</f>
        <v>88</v>
      </c>
      <c r="Q170" s="2">
        <v>9</v>
      </c>
    </row>
    <row r="171" spans="7:17" x14ac:dyDescent="0.15">
      <c r="G171" s="2" t="s">
        <v>6</v>
      </c>
      <c r="H171" s="18">
        <f>ROUND(VLOOKUP(H$163&amp;"_1",管理者用人口入力シート!BH:CE,J171,FALSE),0)</f>
        <v>76</v>
      </c>
      <c r="I171" s="18">
        <f>ROUND(VLOOKUP(H$163&amp;"_2",管理者用人口入力シート!BH:CE,J171,FALSE),0)</f>
        <v>93</v>
      </c>
      <c r="J171" s="2">
        <v>10</v>
      </c>
      <c r="N171" s="2" t="s">
        <v>6</v>
      </c>
      <c r="O171" s="18">
        <f>ROUND(VLOOKUP(O$163&amp;"_1",管理者用人口入力シート!CO:DL,Q171,FALSE),0)</f>
        <v>78</v>
      </c>
      <c r="P171" s="18">
        <f>ROUND(VLOOKUP(O$163&amp;"_2",管理者用人口入力シート!CO:DL,Q171,FALSE),0)</f>
        <v>96</v>
      </c>
      <c r="Q171" s="2">
        <v>10</v>
      </c>
    </row>
    <row r="172" spans="7:17" x14ac:dyDescent="0.15">
      <c r="G172" s="2" t="s">
        <v>7</v>
      </c>
      <c r="H172" s="18">
        <f>ROUND(VLOOKUP(H$163&amp;"_1",管理者用人口入力シート!BH:CE,J172,FALSE),0)</f>
        <v>86</v>
      </c>
      <c r="I172" s="18">
        <f>ROUND(VLOOKUP(H$163&amp;"_2",管理者用人口入力シート!BH:CE,J172,FALSE),0)</f>
        <v>97</v>
      </c>
      <c r="J172" s="2">
        <v>11</v>
      </c>
      <c r="N172" s="2" t="s">
        <v>7</v>
      </c>
      <c r="O172" s="18">
        <f>ROUND(VLOOKUP(O$163&amp;"_1",管理者用人口入力シート!CO:DL,Q172,FALSE),0)</f>
        <v>88</v>
      </c>
      <c r="P172" s="18">
        <f>ROUND(VLOOKUP(O$163&amp;"_2",管理者用人口入力シート!CO:DL,Q172,FALSE),0)</f>
        <v>99</v>
      </c>
      <c r="Q172" s="2">
        <v>11</v>
      </c>
    </row>
    <row r="173" spans="7:17" x14ac:dyDescent="0.15">
      <c r="G173" s="2" t="s">
        <v>8</v>
      </c>
      <c r="H173" s="18">
        <f>ROUND(VLOOKUP(H$163&amp;"_1",管理者用人口入力シート!BH:CE,J173,FALSE),0)</f>
        <v>94</v>
      </c>
      <c r="I173" s="18">
        <f>ROUND(VLOOKUP(H$163&amp;"_2",管理者用人口入力シート!BH:CE,J173,FALSE),0)</f>
        <v>92</v>
      </c>
      <c r="J173" s="2">
        <v>12</v>
      </c>
      <c r="N173" s="2" t="s">
        <v>8</v>
      </c>
      <c r="O173" s="18">
        <f>ROUND(VLOOKUP(O$163&amp;"_1",管理者用人口入力シート!CO:DL,Q173,FALSE),0)</f>
        <v>96</v>
      </c>
      <c r="P173" s="18">
        <f>ROUND(VLOOKUP(O$163&amp;"_2",管理者用人口入力シート!CO:DL,Q173,FALSE),0)</f>
        <v>96</v>
      </c>
      <c r="Q173" s="2">
        <v>12</v>
      </c>
    </row>
    <row r="174" spans="7:17" x14ac:dyDescent="0.15">
      <c r="G174" s="2" t="s">
        <v>9</v>
      </c>
      <c r="H174" s="18">
        <f>ROUND(VLOOKUP(H$163&amp;"_1",管理者用人口入力シート!BH:CE,J174,FALSE),0)</f>
        <v>103</v>
      </c>
      <c r="I174" s="18">
        <f>ROUND(VLOOKUP(H$163&amp;"_2",管理者用人口入力シート!BH:CE,J174,FALSE),0)</f>
        <v>107</v>
      </c>
      <c r="J174" s="2">
        <v>13</v>
      </c>
      <c r="N174" s="2" t="s">
        <v>9</v>
      </c>
      <c r="O174" s="18">
        <f>ROUND(VLOOKUP(O$163&amp;"_1",管理者用人口入力シート!CO:DL,Q174,FALSE),0)</f>
        <v>105</v>
      </c>
      <c r="P174" s="18">
        <f>ROUND(VLOOKUP(O$163&amp;"_2",管理者用人口入力シート!CO:DL,Q174,FALSE),0)</f>
        <v>110</v>
      </c>
      <c r="Q174" s="2">
        <v>13</v>
      </c>
    </row>
    <row r="175" spans="7:17" x14ac:dyDescent="0.15">
      <c r="G175" s="2" t="s">
        <v>10</v>
      </c>
      <c r="H175" s="18">
        <f>ROUND(VLOOKUP(H$163&amp;"_1",管理者用人口入力シート!BH:CE,J175,FALSE),0)</f>
        <v>110</v>
      </c>
      <c r="I175" s="18">
        <f>ROUND(VLOOKUP(H$163&amp;"_2",管理者用人口入力シート!BH:CE,J175,FALSE),0)</f>
        <v>106</v>
      </c>
      <c r="J175" s="2">
        <v>14</v>
      </c>
      <c r="N175" s="2" t="s">
        <v>10</v>
      </c>
      <c r="O175" s="18">
        <f>ROUND(VLOOKUP(O$163&amp;"_1",管理者用人口入力シート!CO:DL,Q175,FALSE),0)</f>
        <v>110</v>
      </c>
      <c r="P175" s="18">
        <f>ROUND(VLOOKUP(O$163&amp;"_2",管理者用人口入力シート!CO:DL,Q175,FALSE),0)</f>
        <v>107</v>
      </c>
      <c r="Q175" s="2">
        <v>14</v>
      </c>
    </row>
    <row r="176" spans="7:17" x14ac:dyDescent="0.15">
      <c r="G176" s="2" t="s">
        <v>11</v>
      </c>
      <c r="H176" s="18">
        <f>ROUND(VLOOKUP(H$163&amp;"_1",管理者用人口入力シート!BH:CE,J176,FALSE),0)</f>
        <v>127</v>
      </c>
      <c r="I176" s="18">
        <f>ROUND(VLOOKUP(H$163&amp;"_2",管理者用人口入力シート!BH:CE,J176,FALSE),0)</f>
        <v>127</v>
      </c>
      <c r="J176" s="2">
        <v>15</v>
      </c>
      <c r="N176" s="2" t="s">
        <v>11</v>
      </c>
      <c r="O176" s="18">
        <f>ROUND(VLOOKUP(O$163&amp;"_1",管理者用人口入力シート!CO:DL,Q176,FALSE),0)</f>
        <v>127</v>
      </c>
      <c r="P176" s="18">
        <f>ROUND(VLOOKUP(O$163&amp;"_2",管理者用人口入力シート!CO:DL,Q176,FALSE),0)</f>
        <v>128</v>
      </c>
      <c r="Q176" s="2">
        <v>15</v>
      </c>
    </row>
    <row r="177" spans="7:17" x14ac:dyDescent="0.15">
      <c r="G177" s="2" t="s">
        <v>12</v>
      </c>
      <c r="H177" s="18">
        <f>ROUND(VLOOKUP(H$163&amp;"_1",管理者用人口入力シート!BH:CE,J177,FALSE),0)</f>
        <v>152</v>
      </c>
      <c r="I177" s="18">
        <f>ROUND(VLOOKUP(H$163&amp;"_2",管理者用人口入力シート!BH:CE,J177,FALSE),0)</f>
        <v>169</v>
      </c>
      <c r="J177" s="2">
        <v>16</v>
      </c>
      <c r="N177" s="2" t="s">
        <v>12</v>
      </c>
      <c r="O177" s="18">
        <f>ROUND(VLOOKUP(O$163&amp;"_1",管理者用人口入力シート!CO:DL,Q177,FALSE),0)</f>
        <v>152</v>
      </c>
      <c r="P177" s="18">
        <f>ROUND(VLOOKUP(O$163&amp;"_2",管理者用人口入力シート!CO:DL,Q177,FALSE),0)</f>
        <v>170</v>
      </c>
      <c r="Q177" s="2">
        <v>16</v>
      </c>
    </row>
    <row r="178" spans="7:17" x14ac:dyDescent="0.15">
      <c r="G178" s="2" t="s">
        <v>13</v>
      </c>
      <c r="H178" s="18">
        <f>ROUND(VLOOKUP(H$163&amp;"_1",管理者用人口入力シート!BH:CE,J178,FALSE),0)</f>
        <v>154</v>
      </c>
      <c r="I178" s="18">
        <f>ROUND(VLOOKUP(H$163&amp;"_2",管理者用人口入力シート!BH:CE,J178,FALSE),0)</f>
        <v>174</v>
      </c>
      <c r="J178" s="2">
        <v>17</v>
      </c>
      <c r="N178" s="2" t="s">
        <v>13</v>
      </c>
      <c r="O178" s="18">
        <f>ROUND(VLOOKUP(O$163&amp;"_1",管理者用人口入力シート!CO:DL,Q178,FALSE),0)</f>
        <v>154</v>
      </c>
      <c r="P178" s="18">
        <f>ROUND(VLOOKUP(O$163&amp;"_2",管理者用人口入力シート!CO:DL,Q178,FALSE),0)</f>
        <v>174</v>
      </c>
      <c r="Q178" s="2">
        <v>17</v>
      </c>
    </row>
    <row r="179" spans="7:17" x14ac:dyDescent="0.15">
      <c r="G179" s="2" t="s">
        <v>14</v>
      </c>
      <c r="H179" s="18">
        <f>ROUND(VLOOKUP(H$163&amp;"_1",管理者用人口入力シート!BH:CE,J179,FALSE),0)</f>
        <v>141</v>
      </c>
      <c r="I179" s="18">
        <f>ROUND(VLOOKUP(H$163&amp;"_2",管理者用人口入力シート!BH:CE,J179,FALSE),0)</f>
        <v>147</v>
      </c>
      <c r="J179" s="2">
        <v>18</v>
      </c>
      <c r="N179" s="2" t="s">
        <v>14</v>
      </c>
      <c r="O179" s="18">
        <f>ROUND(VLOOKUP(O$163&amp;"_1",管理者用人口入力シート!CO:DL,Q179,FALSE),0)</f>
        <v>141</v>
      </c>
      <c r="P179" s="18">
        <f>ROUND(VLOOKUP(O$163&amp;"_2",管理者用人口入力シート!CO:DL,Q179,FALSE),0)</f>
        <v>147</v>
      </c>
      <c r="Q179" s="2">
        <v>18</v>
      </c>
    </row>
    <row r="180" spans="7:17" x14ac:dyDescent="0.15">
      <c r="G180" s="2" t="s">
        <v>15</v>
      </c>
      <c r="H180" s="18">
        <f>ROUND(VLOOKUP(H$163&amp;"_1",管理者用人口入力シート!BH:CE,J180,FALSE),0)</f>
        <v>111</v>
      </c>
      <c r="I180" s="18">
        <f>ROUND(VLOOKUP(H$163&amp;"_2",管理者用人口入力シート!BH:CE,J180,FALSE),0)</f>
        <v>144</v>
      </c>
      <c r="J180" s="2">
        <v>19</v>
      </c>
      <c r="N180" s="2" t="s">
        <v>15</v>
      </c>
      <c r="O180" s="18">
        <f>ROUND(VLOOKUP(O$163&amp;"_1",管理者用人口入力シート!CO:DL,Q180,FALSE),0)</f>
        <v>111</v>
      </c>
      <c r="P180" s="18">
        <f>ROUND(VLOOKUP(O$163&amp;"_2",管理者用人口入力シート!CO:DL,Q180,FALSE),0)</f>
        <v>144</v>
      </c>
      <c r="Q180" s="2">
        <v>19</v>
      </c>
    </row>
    <row r="181" spans="7:17" x14ac:dyDescent="0.15">
      <c r="G181" s="2" t="s">
        <v>16</v>
      </c>
      <c r="H181" s="18">
        <f>ROUND(VLOOKUP(H$163&amp;"_1",管理者用人口入力シート!BH:CE,J181,FALSE),0)</f>
        <v>101</v>
      </c>
      <c r="I181" s="18">
        <f>ROUND(VLOOKUP(H$163&amp;"_2",管理者用人口入力シート!BH:CE,J181,FALSE),0)</f>
        <v>150</v>
      </c>
      <c r="J181" s="2">
        <v>20</v>
      </c>
      <c r="N181" s="2" t="s">
        <v>16</v>
      </c>
      <c r="O181" s="18">
        <f>ROUND(VLOOKUP(O$163&amp;"_1",管理者用人口入力シート!CO:DL,Q181,FALSE),0)</f>
        <v>101</v>
      </c>
      <c r="P181" s="18">
        <f>ROUND(VLOOKUP(O$163&amp;"_2",管理者用人口入力シート!CO:DL,Q181,FALSE),0)</f>
        <v>150</v>
      </c>
      <c r="Q181" s="2">
        <v>20</v>
      </c>
    </row>
    <row r="182" spans="7:17" x14ac:dyDescent="0.15">
      <c r="G182" s="2" t="s">
        <v>17</v>
      </c>
      <c r="H182" s="18">
        <f>ROUND(VLOOKUP(H$163&amp;"_1",管理者用人口入力シート!BH:CE,J182,FALSE),0)</f>
        <v>80</v>
      </c>
      <c r="I182" s="18">
        <f>ROUND(VLOOKUP(H$163&amp;"_2",管理者用人口入力シート!BH:CE,J182,FALSE),0)</f>
        <v>155</v>
      </c>
      <c r="J182" s="2">
        <v>21</v>
      </c>
      <c r="N182" s="2" t="s">
        <v>17</v>
      </c>
      <c r="O182" s="18">
        <f>ROUND(VLOOKUP(O$163&amp;"_1",管理者用人口入力シート!CO:DL,Q182,FALSE),0)</f>
        <v>80</v>
      </c>
      <c r="P182" s="18">
        <f>ROUND(VLOOKUP(O$163&amp;"_2",管理者用人口入力シート!CO:DL,Q182,FALSE),0)</f>
        <v>155</v>
      </c>
      <c r="Q182" s="2">
        <v>21</v>
      </c>
    </row>
    <row r="183" spans="7:17" x14ac:dyDescent="0.15">
      <c r="G183" s="2" t="s">
        <v>18</v>
      </c>
      <c r="H183" s="18">
        <f>ROUND(VLOOKUP(H$163&amp;"_1",管理者用人口入力シート!BH:CE,J183,FALSE),0)</f>
        <v>43</v>
      </c>
      <c r="I183" s="18">
        <f>ROUND(VLOOKUP(H$163&amp;"_2",管理者用人口入力シート!BH:CE,J183,FALSE),0)</f>
        <v>116</v>
      </c>
      <c r="J183" s="2">
        <v>22</v>
      </c>
      <c r="N183" s="2" t="s">
        <v>18</v>
      </c>
      <c r="O183" s="18">
        <f>ROUND(VLOOKUP(O$163&amp;"_1",管理者用人口入力シート!CO:DL,Q183,FALSE),0)</f>
        <v>43</v>
      </c>
      <c r="P183" s="18">
        <f>ROUND(VLOOKUP(O$163&amp;"_2",管理者用人口入力シート!CO:DL,Q183,FALSE),0)</f>
        <v>116</v>
      </c>
      <c r="Q183" s="2">
        <v>22</v>
      </c>
    </row>
    <row r="184" spans="7:17" x14ac:dyDescent="0.15">
      <c r="G184" s="2" t="s">
        <v>19</v>
      </c>
      <c r="H184" s="18">
        <f>ROUND(VLOOKUP(H$163&amp;"_1",管理者用人口入力シート!BH:CE,J184,FALSE),0)</f>
        <v>13</v>
      </c>
      <c r="I184" s="18">
        <f>ROUND(VLOOKUP(H$163&amp;"_2",管理者用人口入力シート!BH:CE,J184,FALSE),0)</f>
        <v>53</v>
      </c>
      <c r="J184" s="2">
        <v>23</v>
      </c>
      <c r="N184" s="2" t="s">
        <v>19</v>
      </c>
      <c r="O184" s="18">
        <f>ROUND(VLOOKUP(O$163&amp;"_1",管理者用人口入力シート!CO:DL,Q184,FALSE),0)</f>
        <v>13</v>
      </c>
      <c r="P184" s="18">
        <f>ROUND(VLOOKUP(O$163&amp;"_2",管理者用人口入力シート!CO:DL,Q184,FALSE),0)</f>
        <v>53</v>
      </c>
      <c r="Q184" s="2">
        <v>23</v>
      </c>
    </row>
    <row r="185" spans="7:17" x14ac:dyDescent="0.15">
      <c r="G185" s="2" t="s">
        <v>20</v>
      </c>
      <c r="H185" s="18">
        <f>ROUND(VLOOKUP(H$163&amp;"_1",管理者用人口入力シート!BH:CE,J185,FALSE),0)</f>
        <v>0</v>
      </c>
      <c r="I185" s="18">
        <f>ROUND(VLOOKUP(H$163&amp;"_2",管理者用人口入力シート!BH:CE,J185,FALSE),0)</f>
        <v>20</v>
      </c>
      <c r="J185" s="2">
        <v>24</v>
      </c>
      <c r="N185" s="2" t="s">
        <v>20</v>
      </c>
      <c r="O185" s="18">
        <f>ROUND(VLOOKUP(O$163&amp;"_1",管理者用人口入力シート!CO:DL,Q185,FALSE),0)</f>
        <v>0</v>
      </c>
      <c r="P185" s="18">
        <f>ROUND(VLOOKUP(O$163&amp;"_2",管理者用人口入力シート!CO:DL,Q185,FALSE),0)</f>
        <v>20</v>
      </c>
      <c r="Q185" s="2">
        <v>24</v>
      </c>
    </row>
    <row r="187" spans="7:17" x14ac:dyDescent="0.15">
      <c r="G187" s="2" t="s">
        <v>396</v>
      </c>
      <c r="H187" s="342">
        <f>管理者入力シート!B13</f>
        <v>2050</v>
      </c>
      <c r="I187" s="343"/>
      <c r="J187" s="2" t="s">
        <v>114</v>
      </c>
      <c r="O187" s="342">
        <f>管理者入力シート!B13</f>
        <v>2050</v>
      </c>
      <c r="P187" s="343"/>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75</v>
      </c>
      <c r="I189" s="18">
        <f>ROUND(VLOOKUP(H$187&amp;"_2",管理者用人口入力シート!BH:CE,J189,FALSE),0)</f>
        <v>75</v>
      </c>
      <c r="J189" s="2">
        <v>4</v>
      </c>
      <c r="N189" s="2" t="s">
        <v>0</v>
      </c>
      <c r="O189" s="18">
        <f>ROUND(VLOOKUP(O$187&amp;"_1",管理者用人口入力シート!CO:DL,Q189,FALSE),0)</f>
        <v>79</v>
      </c>
      <c r="P189" s="18">
        <f>ROUND(VLOOKUP(O$187&amp;"_2",管理者用人口入力シート!CO:DL,Q189,FALSE),0)</f>
        <v>79</v>
      </c>
      <c r="Q189" s="2">
        <v>4</v>
      </c>
    </row>
    <row r="190" spans="7:17" x14ac:dyDescent="0.15">
      <c r="G190" s="2" t="s">
        <v>1</v>
      </c>
      <c r="H190" s="18">
        <f>ROUND(VLOOKUP(H$187&amp;"_1",管理者用人口入力シート!BH:CE,J190,FALSE),0)</f>
        <v>84</v>
      </c>
      <c r="I190" s="18">
        <f>ROUND(VLOOKUP(H$187&amp;"_2",管理者用人口入力シート!BH:CE,J190,FALSE),0)</f>
        <v>82</v>
      </c>
      <c r="J190" s="2">
        <v>5</v>
      </c>
      <c r="N190" s="2" t="s">
        <v>1</v>
      </c>
      <c r="O190" s="18">
        <f>ROUND(VLOOKUP(O$187&amp;"_1",管理者用人口入力シート!CO:DL,Q190,FALSE),0)</f>
        <v>87</v>
      </c>
      <c r="P190" s="18">
        <f>ROUND(VLOOKUP(O$187&amp;"_2",管理者用人口入力シート!CO:DL,Q190,FALSE),0)</f>
        <v>85</v>
      </c>
      <c r="Q190" s="2">
        <v>5</v>
      </c>
    </row>
    <row r="191" spans="7:17" x14ac:dyDescent="0.15">
      <c r="G191" s="2" t="s">
        <v>2</v>
      </c>
      <c r="H191" s="18">
        <f>ROUND(VLOOKUP(H$187&amp;"_1",管理者用人口入力シート!BH:CE,J191,FALSE),0)</f>
        <v>84</v>
      </c>
      <c r="I191" s="18">
        <f>ROUND(VLOOKUP(H$187&amp;"_2",管理者用人口入力シート!BH:CE,J191,FALSE),0)</f>
        <v>85</v>
      </c>
      <c r="J191" s="2">
        <v>6</v>
      </c>
      <c r="N191" s="2" t="s">
        <v>2</v>
      </c>
      <c r="O191" s="18">
        <f>ROUND(VLOOKUP(O$187&amp;"_1",管理者用人口入力シート!CO:DL,Q191,FALSE),0)</f>
        <v>88</v>
      </c>
      <c r="P191" s="18">
        <f>ROUND(VLOOKUP(O$187&amp;"_2",管理者用人口入力シート!CO:DL,Q191,FALSE),0)</f>
        <v>89</v>
      </c>
      <c r="Q191" s="2">
        <v>6</v>
      </c>
    </row>
    <row r="192" spans="7:17" x14ac:dyDescent="0.15">
      <c r="G192" s="2" t="s">
        <v>3</v>
      </c>
      <c r="H192" s="18">
        <f>ROUND(VLOOKUP(H$187&amp;"_1",管理者用人口入力シート!BH:CE,J192,FALSE),0)</f>
        <v>77</v>
      </c>
      <c r="I192" s="18">
        <f>ROUND(VLOOKUP(H$187&amp;"_2",管理者用人口入力シート!BH:CE,J192,FALSE),0)</f>
        <v>79</v>
      </c>
      <c r="J192" s="2">
        <v>7</v>
      </c>
      <c r="N192" s="2" t="s">
        <v>3</v>
      </c>
      <c r="O192" s="18">
        <f>ROUND(VLOOKUP(O$187&amp;"_1",管理者用人口入力シート!CO:DL,Q192,FALSE),0)</f>
        <v>80</v>
      </c>
      <c r="P192" s="18">
        <f>ROUND(VLOOKUP(O$187&amp;"_2",管理者用人口入力シート!CO:DL,Q192,FALSE),0)</f>
        <v>82</v>
      </c>
      <c r="Q192" s="2">
        <v>7</v>
      </c>
    </row>
    <row r="193" spans="7:17" x14ac:dyDescent="0.15">
      <c r="G193" s="2" t="s">
        <v>4</v>
      </c>
      <c r="H193" s="18">
        <f>ROUND(VLOOKUP(H$187&amp;"_1",管理者用人口入力シート!BH:CE,J193,FALSE),0)</f>
        <v>42</v>
      </c>
      <c r="I193" s="18">
        <f>ROUND(VLOOKUP(H$187&amp;"_2",管理者用人口入力シート!BH:CE,J193,FALSE),0)</f>
        <v>58</v>
      </c>
      <c r="J193" s="2">
        <v>8</v>
      </c>
      <c r="N193" s="2" t="s">
        <v>4</v>
      </c>
      <c r="O193" s="18">
        <f>ROUND(VLOOKUP(O$187&amp;"_1",管理者用人口入力シート!CO:DL,Q193,FALSE),0)</f>
        <v>43</v>
      </c>
      <c r="P193" s="18">
        <f>ROUND(VLOOKUP(O$187&amp;"_2",管理者用人口入力シート!CO:DL,Q193,FALSE),0)</f>
        <v>60</v>
      </c>
      <c r="Q193" s="2">
        <v>8</v>
      </c>
    </row>
    <row r="194" spans="7:17" x14ac:dyDescent="0.15">
      <c r="G194" s="2" t="s">
        <v>5</v>
      </c>
      <c r="H194" s="18">
        <f>ROUND(VLOOKUP(H$187&amp;"_1",管理者用人口入力シート!BH:CE,J194,FALSE),0)</f>
        <v>59</v>
      </c>
      <c r="I194" s="18">
        <f>ROUND(VLOOKUP(H$187&amp;"_2",管理者用人口入力シート!BH:CE,J194,FALSE),0)</f>
        <v>74</v>
      </c>
      <c r="J194" s="2">
        <v>9</v>
      </c>
      <c r="N194" s="2" t="s">
        <v>5</v>
      </c>
      <c r="O194" s="18">
        <f>ROUND(VLOOKUP(O$187&amp;"_1",管理者用人口入力シート!CO:DL,Q194,FALSE),0)</f>
        <v>62</v>
      </c>
      <c r="P194" s="18">
        <f>ROUND(VLOOKUP(O$187&amp;"_2",管理者用人口入力シート!CO:DL,Q194,FALSE),0)</f>
        <v>77</v>
      </c>
      <c r="Q194" s="2">
        <v>9</v>
      </c>
    </row>
    <row r="195" spans="7:17" x14ac:dyDescent="0.15">
      <c r="G195" s="2" t="s">
        <v>6</v>
      </c>
      <c r="H195" s="18">
        <f>ROUND(VLOOKUP(H$187&amp;"_1",管理者用人口入力シート!BH:CE,J195,FALSE),0)</f>
        <v>71</v>
      </c>
      <c r="I195" s="18">
        <f>ROUND(VLOOKUP(H$187&amp;"_2",管理者用人口入力シート!BH:CE,J195,FALSE),0)</f>
        <v>90</v>
      </c>
      <c r="J195" s="2">
        <v>10</v>
      </c>
      <c r="N195" s="2" t="s">
        <v>6</v>
      </c>
      <c r="O195" s="18">
        <f>ROUND(VLOOKUP(O$187&amp;"_1",管理者用人口入力シート!CO:DL,Q195,FALSE),0)</f>
        <v>74</v>
      </c>
      <c r="P195" s="18">
        <f>ROUND(VLOOKUP(O$187&amp;"_2",管理者用人口入力シート!CO:DL,Q195,FALSE),0)</f>
        <v>93</v>
      </c>
      <c r="Q195" s="2">
        <v>10</v>
      </c>
    </row>
    <row r="196" spans="7:17" x14ac:dyDescent="0.15">
      <c r="G196" s="2" t="s">
        <v>7</v>
      </c>
      <c r="H196" s="18">
        <f>ROUND(VLOOKUP(H$187&amp;"_1",管理者用人口入力シート!BH:CE,J196,FALSE),0)</f>
        <v>80</v>
      </c>
      <c r="I196" s="18">
        <f>ROUND(VLOOKUP(H$187&amp;"_2",管理者用人口入力シート!BH:CE,J196,FALSE),0)</f>
        <v>92</v>
      </c>
      <c r="J196" s="2">
        <v>11</v>
      </c>
      <c r="N196" s="2" t="s">
        <v>7</v>
      </c>
      <c r="O196" s="18">
        <f>ROUND(VLOOKUP(O$187&amp;"_1",管理者用人口入力シート!CO:DL,Q196,FALSE),0)</f>
        <v>83</v>
      </c>
      <c r="P196" s="18">
        <f>ROUND(VLOOKUP(O$187&amp;"_2",管理者用人口入力シート!CO:DL,Q196,FALSE),0)</f>
        <v>95</v>
      </c>
      <c r="Q196" s="2">
        <v>11</v>
      </c>
    </row>
    <row r="197" spans="7:17" x14ac:dyDescent="0.15">
      <c r="G197" s="2" t="s">
        <v>8</v>
      </c>
      <c r="H197" s="18">
        <f>ROUND(VLOOKUP(H$187&amp;"_1",管理者用人口入力シート!BH:CE,J197,FALSE),0)</f>
        <v>91</v>
      </c>
      <c r="I197" s="18">
        <f>ROUND(VLOOKUP(H$187&amp;"_2",管理者用人口入力シート!BH:CE,J197,FALSE),0)</f>
        <v>100</v>
      </c>
      <c r="J197" s="2">
        <v>12</v>
      </c>
      <c r="N197" s="2" t="s">
        <v>8</v>
      </c>
      <c r="O197" s="18">
        <f>ROUND(VLOOKUP(O$187&amp;"_1",管理者用人口入力シート!CO:DL,Q197,FALSE),0)</f>
        <v>93</v>
      </c>
      <c r="P197" s="18">
        <f>ROUND(VLOOKUP(O$187&amp;"_2",管理者用人口入力シート!CO:DL,Q197,FALSE),0)</f>
        <v>103</v>
      </c>
      <c r="Q197" s="2">
        <v>12</v>
      </c>
    </row>
    <row r="198" spans="7:17" x14ac:dyDescent="0.15">
      <c r="G198" s="2" t="s">
        <v>9</v>
      </c>
      <c r="H198" s="18">
        <f>ROUND(VLOOKUP(H$187&amp;"_1",管理者用人口入力シート!BH:CE,J198,FALSE),0)</f>
        <v>97</v>
      </c>
      <c r="I198" s="18">
        <f>ROUND(VLOOKUP(H$187&amp;"_2",管理者用人口入力シート!BH:CE,J198,FALSE),0)</f>
        <v>96</v>
      </c>
      <c r="J198" s="2">
        <v>13</v>
      </c>
      <c r="N198" s="2" t="s">
        <v>9</v>
      </c>
      <c r="O198" s="18">
        <f>ROUND(VLOOKUP(O$187&amp;"_1",管理者用人口入力シート!CO:DL,Q198,FALSE),0)</f>
        <v>100</v>
      </c>
      <c r="P198" s="18">
        <f>ROUND(VLOOKUP(O$187&amp;"_2",管理者用人口入力シート!CO:DL,Q198,FALSE),0)</f>
        <v>99</v>
      </c>
      <c r="Q198" s="2">
        <v>13</v>
      </c>
    </row>
    <row r="199" spans="7:17" x14ac:dyDescent="0.15">
      <c r="G199" s="2" t="s">
        <v>10</v>
      </c>
      <c r="H199" s="18">
        <f>ROUND(VLOOKUP(H$187&amp;"_1",管理者用人口入力シート!BH:CE,J199,FALSE),0)</f>
        <v>105</v>
      </c>
      <c r="I199" s="18">
        <f>ROUND(VLOOKUP(H$187&amp;"_2",管理者用人口入力シート!BH:CE,J199,FALSE),0)</f>
        <v>108</v>
      </c>
      <c r="J199" s="2">
        <v>14</v>
      </c>
      <c r="N199" s="2" t="s">
        <v>10</v>
      </c>
      <c r="O199" s="18">
        <f>ROUND(VLOOKUP(O$187&amp;"_1",管理者用人口入力シート!CO:DL,Q199,FALSE),0)</f>
        <v>107</v>
      </c>
      <c r="P199" s="18">
        <f>ROUND(VLOOKUP(O$187&amp;"_2",管理者用人口入力シート!CO:DL,Q199,FALSE),0)</f>
        <v>112</v>
      </c>
      <c r="Q199" s="2">
        <v>14</v>
      </c>
    </row>
    <row r="200" spans="7:17" x14ac:dyDescent="0.15">
      <c r="G200" s="2" t="s">
        <v>11</v>
      </c>
      <c r="H200" s="18">
        <f>ROUND(VLOOKUP(H$187&amp;"_1",管理者用人口入力シート!BH:CE,J200,FALSE),0)</f>
        <v>109</v>
      </c>
      <c r="I200" s="18">
        <f>ROUND(VLOOKUP(H$187&amp;"_2",管理者用人口入力シート!BH:CE,J200,FALSE),0)</f>
        <v>108</v>
      </c>
      <c r="J200" s="2">
        <v>15</v>
      </c>
      <c r="N200" s="2" t="s">
        <v>11</v>
      </c>
      <c r="O200" s="18">
        <f>ROUND(VLOOKUP(O$187&amp;"_1",管理者用人口入力シート!CO:DL,Q200,FALSE),0)</f>
        <v>109</v>
      </c>
      <c r="P200" s="18">
        <f>ROUND(VLOOKUP(O$187&amp;"_2",管理者用人口入力シート!CO:DL,Q200,FALSE),0)</f>
        <v>110</v>
      </c>
      <c r="Q200" s="2">
        <v>15</v>
      </c>
    </row>
    <row r="201" spans="7:17" x14ac:dyDescent="0.15">
      <c r="G201" s="2" t="s">
        <v>12</v>
      </c>
      <c r="H201" s="18">
        <f>ROUND(VLOOKUP(H$187&amp;"_1",管理者用人口入力シート!BH:CE,J201,FALSE),0)</f>
        <v>126</v>
      </c>
      <c r="I201" s="18">
        <f>ROUND(VLOOKUP(H$187&amp;"_2",管理者用人口入力シート!BH:CE,J201,FALSE),0)</f>
        <v>127</v>
      </c>
      <c r="J201" s="2">
        <v>16</v>
      </c>
      <c r="N201" s="2" t="s">
        <v>12</v>
      </c>
      <c r="O201" s="18">
        <f>ROUND(VLOOKUP(O$187&amp;"_1",管理者用人口入力シート!CO:DL,Q201,FALSE),0)</f>
        <v>126</v>
      </c>
      <c r="P201" s="18">
        <f>ROUND(VLOOKUP(O$187&amp;"_2",管理者用人口入力シート!CO:DL,Q201,FALSE),0)</f>
        <v>128</v>
      </c>
      <c r="Q201" s="2">
        <v>16</v>
      </c>
    </row>
    <row r="202" spans="7:17" x14ac:dyDescent="0.15">
      <c r="G202" s="2" t="s">
        <v>13</v>
      </c>
      <c r="H202" s="18">
        <f>ROUND(VLOOKUP(H$187&amp;"_1",管理者用人口入力シート!BH:CE,J202,FALSE),0)</f>
        <v>147</v>
      </c>
      <c r="I202" s="18">
        <f>ROUND(VLOOKUP(H$187&amp;"_2",管理者用人口入力シート!BH:CE,J202,FALSE),0)</f>
        <v>166</v>
      </c>
      <c r="J202" s="2">
        <v>17</v>
      </c>
      <c r="N202" s="2" t="s">
        <v>13</v>
      </c>
      <c r="O202" s="18">
        <f>ROUND(VLOOKUP(O$187&amp;"_1",管理者用人口入力シート!CO:DL,Q202,FALSE),0)</f>
        <v>147</v>
      </c>
      <c r="P202" s="18">
        <f>ROUND(VLOOKUP(O$187&amp;"_2",管理者用人口入力シート!CO:DL,Q202,FALSE),0)</f>
        <v>167</v>
      </c>
      <c r="Q202" s="2">
        <v>17</v>
      </c>
    </row>
    <row r="203" spans="7:17" x14ac:dyDescent="0.15">
      <c r="G203" s="2" t="s">
        <v>14</v>
      </c>
      <c r="H203" s="18">
        <f>ROUND(VLOOKUP(H$187&amp;"_1",管理者用人口入力シート!BH:CE,J203,FALSE),0)</f>
        <v>147</v>
      </c>
      <c r="I203" s="18">
        <f>ROUND(VLOOKUP(H$187&amp;"_2",管理者用人口入力シート!BH:CE,J203,FALSE),0)</f>
        <v>169</v>
      </c>
      <c r="J203" s="2">
        <v>18</v>
      </c>
      <c r="N203" s="2" t="s">
        <v>14</v>
      </c>
      <c r="O203" s="18">
        <f>ROUND(VLOOKUP(O$187&amp;"_1",管理者用人口入力シート!CO:DL,Q203,FALSE),0)</f>
        <v>147</v>
      </c>
      <c r="P203" s="18">
        <f>ROUND(VLOOKUP(O$187&amp;"_2",管理者用人口入力シート!CO:DL,Q203,FALSE),0)</f>
        <v>169</v>
      </c>
      <c r="Q203" s="2">
        <v>18</v>
      </c>
    </row>
    <row r="204" spans="7:17" x14ac:dyDescent="0.15">
      <c r="G204" s="2" t="s">
        <v>15</v>
      </c>
      <c r="H204" s="18">
        <f>ROUND(VLOOKUP(H$187&amp;"_1",管理者用人口入力シート!BH:CE,J204,FALSE),0)</f>
        <v>124</v>
      </c>
      <c r="I204" s="18">
        <f>ROUND(VLOOKUP(H$187&amp;"_2",管理者用人口入力シート!BH:CE,J204,FALSE),0)</f>
        <v>147</v>
      </c>
      <c r="J204" s="2">
        <v>19</v>
      </c>
      <c r="N204" s="2" t="s">
        <v>15</v>
      </c>
      <c r="O204" s="18">
        <f>ROUND(VLOOKUP(O$187&amp;"_1",管理者用人口入力シート!CO:DL,Q204,FALSE),0)</f>
        <v>124</v>
      </c>
      <c r="P204" s="18">
        <f>ROUND(VLOOKUP(O$187&amp;"_2",管理者用人口入力シート!CO:DL,Q204,FALSE),0)</f>
        <v>147</v>
      </c>
      <c r="Q204" s="2">
        <v>19</v>
      </c>
    </row>
    <row r="205" spans="7:17" x14ac:dyDescent="0.15">
      <c r="G205" s="2" t="s">
        <v>16</v>
      </c>
      <c r="H205" s="18">
        <f>ROUND(VLOOKUP(H$187&amp;"_1",管理者用人口入力シート!BH:CE,J205,FALSE),0)</f>
        <v>89</v>
      </c>
      <c r="I205" s="18">
        <f>ROUND(VLOOKUP(H$187&amp;"_2",管理者用人口入力シート!BH:CE,J205,FALSE),0)</f>
        <v>128</v>
      </c>
      <c r="J205" s="2">
        <v>20</v>
      </c>
      <c r="N205" s="2" t="s">
        <v>16</v>
      </c>
      <c r="O205" s="18">
        <f>ROUND(VLOOKUP(O$187&amp;"_1",管理者用人口入力シート!CO:DL,Q205,FALSE),0)</f>
        <v>89</v>
      </c>
      <c r="P205" s="18">
        <f>ROUND(VLOOKUP(O$187&amp;"_2",管理者用人口入力シート!CO:DL,Q205,FALSE),0)</f>
        <v>128</v>
      </c>
      <c r="Q205" s="2">
        <v>20</v>
      </c>
    </row>
    <row r="206" spans="7:17" x14ac:dyDescent="0.15">
      <c r="G206" s="2" t="s">
        <v>17</v>
      </c>
      <c r="H206" s="18">
        <f>ROUND(VLOOKUP(H$187&amp;"_1",管理者用人口入力シート!BH:CE,J206,FALSE),0)</f>
        <v>67</v>
      </c>
      <c r="I206" s="18">
        <f>ROUND(VLOOKUP(H$187&amp;"_2",管理者用人口入力シート!BH:CE,J206,FALSE),0)</f>
        <v>131</v>
      </c>
      <c r="J206" s="2">
        <v>21</v>
      </c>
      <c r="N206" s="2" t="s">
        <v>17</v>
      </c>
      <c r="O206" s="18">
        <f>ROUND(VLOOKUP(O$187&amp;"_1",管理者用人口入力シート!CO:DL,Q206,FALSE),0)</f>
        <v>67</v>
      </c>
      <c r="P206" s="18">
        <f>ROUND(VLOOKUP(O$187&amp;"_2",管理者用人口入力シート!CO:DL,Q206,FALSE),0)</f>
        <v>131</v>
      </c>
      <c r="Q206" s="2">
        <v>21</v>
      </c>
    </row>
    <row r="207" spans="7:17" x14ac:dyDescent="0.15">
      <c r="G207" s="2" t="s">
        <v>18</v>
      </c>
      <c r="H207" s="18">
        <f>ROUND(VLOOKUP(H$187&amp;"_1",管理者用人口入力シート!BH:CE,J207,FALSE),0)</f>
        <v>36</v>
      </c>
      <c r="I207" s="18">
        <f>ROUND(VLOOKUP(H$187&amp;"_2",管理者用人口入力シート!BH:CE,J207,FALSE),0)</f>
        <v>105</v>
      </c>
      <c r="J207" s="2">
        <v>22</v>
      </c>
      <c r="N207" s="2" t="s">
        <v>18</v>
      </c>
      <c r="O207" s="18">
        <f>ROUND(VLOOKUP(O$187&amp;"_1",管理者用人口入力シート!CO:DL,Q207,FALSE),0)</f>
        <v>36</v>
      </c>
      <c r="P207" s="18">
        <f>ROUND(VLOOKUP(O$187&amp;"_2",管理者用人口入力シート!CO:DL,Q207,FALSE),0)</f>
        <v>105</v>
      </c>
      <c r="Q207" s="2">
        <v>22</v>
      </c>
    </row>
    <row r="208" spans="7:17" x14ac:dyDescent="0.15">
      <c r="G208" s="2" t="s">
        <v>19</v>
      </c>
      <c r="H208" s="18">
        <f>ROUND(VLOOKUP(H$187&amp;"_1",管理者用人口入力シート!BH:CE,J208,FALSE),0)</f>
        <v>14</v>
      </c>
      <c r="I208" s="18">
        <f>ROUND(VLOOKUP(H$187&amp;"_2",管理者用人口入力シート!BH:CE,J208,FALSE),0)</f>
        <v>54</v>
      </c>
      <c r="J208" s="2">
        <v>23</v>
      </c>
      <c r="N208" s="2" t="s">
        <v>19</v>
      </c>
      <c r="O208" s="18">
        <f>ROUND(VLOOKUP(O$187&amp;"_1",管理者用人口入力シート!CO:DL,Q208,FALSE),0)</f>
        <v>14</v>
      </c>
      <c r="P208" s="18">
        <f>ROUND(VLOOKUP(O$187&amp;"_2",管理者用人口入力シート!CO:DL,Q208,FALSE),0)</f>
        <v>54</v>
      </c>
      <c r="Q208" s="2">
        <v>23</v>
      </c>
    </row>
    <row r="209" spans="7:17" x14ac:dyDescent="0.15">
      <c r="G209" s="2" t="s">
        <v>20</v>
      </c>
      <c r="H209" s="18">
        <f>ROUND(VLOOKUP(H$187&amp;"_1",管理者用人口入力シート!BH:CE,J209,FALSE),0)</f>
        <v>0</v>
      </c>
      <c r="I209" s="18">
        <f>ROUND(VLOOKUP(H$187&amp;"_2",管理者用人口入力シート!BH:CE,J209,FALSE),0)</f>
        <v>25</v>
      </c>
      <c r="J209" s="2">
        <v>24</v>
      </c>
      <c r="N209" s="2" t="s">
        <v>20</v>
      </c>
      <c r="O209" s="18">
        <f>ROUND(VLOOKUP(O$187&amp;"_1",管理者用人口入力シート!CO:DL,Q209,FALSE),0)</f>
        <v>0</v>
      </c>
      <c r="P209" s="18">
        <f>ROUND(VLOOKUP(O$187&amp;"_2",管理者用人口入力シート!CO:DL,Q209,FALSE),0)</f>
        <v>25</v>
      </c>
      <c r="Q209" s="2">
        <v>24</v>
      </c>
    </row>
    <row r="212" spans="7:17" x14ac:dyDescent="0.15">
      <c r="N212" s="2" t="s">
        <v>273</v>
      </c>
      <c r="O212" s="342">
        <f>O91</f>
        <v>2030</v>
      </c>
      <c r="P212" s="343"/>
      <c r="Q212" s="2" t="s">
        <v>114</v>
      </c>
    </row>
    <row r="213" spans="7:17" x14ac:dyDescent="0.15">
      <c r="N213" s="2" t="s">
        <v>115</v>
      </c>
      <c r="O213" s="84" t="s">
        <v>329</v>
      </c>
      <c r="P213" s="84" t="s">
        <v>330</v>
      </c>
    </row>
    <row r="214" spans="7:17" x14ac:dyDescent="0.15">
      <c r="N214" s="2" t="s">
        <v>0</v>
      </c>
      <c r="O214" s="18">
        <f>H93+I93</f>
        <v>171</v>
      </c>
      <c r="P214" s="18">
        <f>O93+P93</f>
        <v>175</v>
      </c>
      <c r="Q214" s="2">
        <v>4</v>
      </c>
    </row>
    <row r="215" spans="7:17" x14ac:dyDescent="0.15">
      <c r="N215" s="2" t="s">
        <v>1</v>
      </c>
      <c r="O215" s="18">
        <f t="shared" ref="O215:O233" si="37">H94+I94</f>
        <v>186</v>
      </c>
      <c r="P215" s="18">
        <f t="shared" ref="P215:P233" si="38">O94+P94</f>
        <v>188</v>
      </c>
      <c r="Q215" s="2">
        <v>5</v>
      </c>
    </row>
    <row r="216" spans="7:17" x14ac:dyDescent="0.15">
      <c r="N216" s="2" t="s">
        <v>2</v>
      </c>
      <c r="O216" s="18">
        <f t="shared" si="37"/>
        <v>213</v>
      </c>
      <c r="P216" s="18">
        <f t="shared" si="38"/>
        <v>215</v>
      </c>
      <c r="Q216" s="2">
        <v>6</v>
      </c>
    </row>
    <row r="217" spans="7:17" x14ac:dyDescent="0.15">
      <c r="N217" s="2" t="s">
        <v>3</v>
      </c>
      <c r="O217" s="18">
        <f t="shared" si="37"/>
        <v>200</v>
      </c>
      <c r="P217" s="18">
        <f t="shared" si="38"/>
        <v>202</v>
      </c>
      <c r="Q217" s="2">
        <v>7</v>
      </c>
    </row>
    <row r="218" spans="7:17" x14ac:dyDescent="0.15">
      <c r="N218" s="2" t="s">
        <v>4</v>
      </c>
      <c r="O218" s="18">
        <f t="shared" si="37"/>
        <v>134</v>
      </c>
      <c r="P218" s="18">
        <f t="shared" si="38"/>
        <v>134</v>
      </c>
      <c r="Q218" s="2">
        <v>8</v>
      </c>
    </row>
    <row r="219" spans="7:17" x14ac:dyDescent="0.15">
      <c r="N219" s="2" t="s">
        <v>5</v>
      </c>
      <c r="O219" s="18">
        <f t="shared" si="37"/>
        <v>166</v>
      </c>
      <c r="P219" s="18">
        <f t="shared" si="38"/>
        <v>170</v>
      </c>
      <c r="Q219" s="2">
        <v>9</v>
      </c>
    </row>
    <row r="220" spans="7:17" x14ac:dyDescent="0.15">
      <c r="N220" s="2" t="s">
        <v>6</v>
      </c>
      <c r="O220" s="18">
        <f t="shared" si="37"/>
        <v>189</v>
      </c>
      <c r="P220" s="18">
        <f t="shared" si="38"/>
        <v>193</v>
      </c>
      <c r="Q220" s="2">
        <v>10</v>
      </c>
    </row>
    <row r="221" spans="7:17" x14ac:dyDescent="0.15">
      <c r="N221" s="2" t="s">
        <v>7</v>
      </c>
      <c r="O221" s="18">
        <f t="shared" si="37"/>
        <v>195</v>
      </c>
      <c r="P221" s="18">
        <f t="shared" si="38"/>
        <v>195</v>
      </c>
      <c r="Q221" s="2">
        <v>11</v>
      </c>
    </row>
    <row r="222" spans="7:17" x14ac:dyDescent="0.15">
      <c r="N222" s="2" t="s">
        <v>8</v>
      </c>
      <c r="O222" s="18">
        <f t="shared" si="37"/>
        <v>238</v>
      </c>
      <c r="P222" s="18">
        <f t="shared" si="38"/>
        <v>239</v>
      </c>
      <c r="Q222" s="2">
        <v>12</v>
      </c>
    </row>
    <row r="223" spans="7:17" x14ac:dyDescent="0.15">
      <c r="N223" s="2" t="s">
        <v>9</v>
      </c>
      <c r="O223" s="18">
        <f t="shared" si="37"/>
        <v>314</v>
      </c>
      <c r="P223" s="18">
        <f t="shared" si="38"/>
        <v>315</v>
      </c>
      <c r="Q223" s="2">
        <v>13</v>
      </c>
    </row>
    <row r="224" spans="7:17" x14ac:dyDescent="0.15">
      <c r="N224" s="2" t="s">
        <v>10</v>
      </c>
      <c r="O224" s="18">
        <f t="shared" si="37"/>
        <v>335</v>
      </c>
      <c r="P224" s="18">
        <f t="shared" si="38"/>
        <v>335</v>
      </c>
      <c r="Q224" s="2">
        <v>14</v>
      </c>
    </row>
    <row r="225" spans="14:17" x14ac:dyDescent="0.15">
      <c r="N225" s="2" t="s">
        <v>11</v>
      </c>
      <c r="O225" s="18">
        <f t="shared" si="37"/>
        <v>308</v>
      </c>
      <c r="P225" s="18">
        <f t="shared" si="38"/>
        <v>308</v>
      </c>
      <c r="Q225" s="2">
        <v>15</v>
      </c>
    </row>
    <row r="226" spans="14:17" x14ac:dyDescent="0.15">
      <c r="N226" s="2" t="s">
        <v>12</v>
      </c>
      <c r="O226" s="18">
        <f t="shared" si="37"/>
        <v>288</v>
      </c>
      <c r="P226" s="18">
        <f t="shared" si="38"/>
        <v>288</v>
      </c>
      <c r="Q226" s="2">
        <v>16</v>
      </c>
    </row>
    <row r="227" spans="14:17" x14ac:dyDescent="0.15">
      <c r="N227" s="2" t="s">
        <v>13</v>
      </c>
      <c r="O227" s="18">
        <f t="shared" si="37"/>
        <v>323</v>
      </c>
      <c r="P227" s="18">
        <f t="shared" si="38"/>
        <v>323</v>
      </c>
      <c r="Q227" s="2">
        <v>17</v>
      </c>
    </row>
    <row r="228" spans="14:17" x14ac:dyDescent="0.15">
      <c r="N228" s="2" t="s">
        <v>14</v>
      </c>
      <c r="O228" s="18">
        <f t="shared" si="37"/>
        <v>371</v>
      </c>
      <c r="P228" s="18">
        <f t="shared" si="38"/>
        <v>371</v>
      </c>
      <c r="Q228" s="2">
        <v>18</v>
      </c>
    </row>
    <row r="229" spans="14:17" x14ac:dyDescent="0.15">
      <c r="N229" s="2" t="s">
        <v>15</v>
      </c>
      <c r="O229" s="18">
        <f t="shared" si="37"/>
        <v>402</v>
      </c>
      <c r="P229" s="18">
        <f t="shared" si="38"/>
        <v>402</v>
      </c>
      <c r="Q229" s="2">
        <v>19</v>
      </c>
    </row>
    <row r="230" spans="14:17" x14ac:dyDescent="0.15">
      <c r="N230" s="2" t="s">
        <v>16</v>
      </c>
      <c r="O230" s="18">
        <f t="shared" si="37"/>
        <v>328</v>
      </c>
      <c r="P230" s="18">
        <f t="shared" si="38"/>
        <v>328</v>
      </c>
      <c r="Q230" s="2">
        <v>20</v>
      </c>
    </row>
    <row r="231" spans="14:17" x14ac:dyDescent="0.15">
      <c r="N231" s="2" t="s">
        <v>17</v>
      </c>
      <c r="O231" s="18">
        <f t="shared" si="37"/>
        <v>207</v>
      </c>
      <c r="P231" s="18">
        <f t="shared" si="38"/>
        <v>207</v>
      </c>
      <c r="Q231" s="2">
        <v>21</v>
      </c>
    </row>
    <row r="232" spans="14:17" x14ac:dyDescent="0.15">
      <c r="N232" s="2" t="s">
        <v>18</v>
      </c>
      <c r="O232" s="18">
        <f t="shared" si="37"/>
        <v>147</v>
      </c>
      <c r="P232" s="18">
        <f t="shared" si="38"/>
        <v>147</v>
      </c>
      <c r="Q232" s="2">
        <v>22</v>
      </c>
    </row>
    <row r="233" spans="14:17" x14ac:dyDescent="0.15">
      <c r="N233" s="2" t="s">
        <v>19</v>
      </c>
      <c r="O233" s="18">
        <f t="shared" si="37"/>
        <v>60</v>
      </c>
      <c r="P233" s="18">
        <f t="shared" si="38"/>
        <v>60</v>
      </c>
      <c r="Q233" s="2">
        <v>23</v>
      </c>
    </row>
    <row r="234" spans="14:17" x14ac:dyDescent="0.15">
      <c r="N234" s="2" t="s">
        <v>20</v>
      </c>
      <c r="O234" s="18">
        <f>H113+I113</f>
        <v>19</v>
      </c>
      <c r="P234" s="18">
        <f>O113+P113</f>
        <v>19</v>
      </c>
      <c r="Q234" s="2">
        <v>24</v>
      </c>
    </row>
    <row r="236" spans="14:17" x14ac:dyDescent="0.15">
      <c r="N236" s="2" t="s">
        <v>273</v>
      </c>
      <c r="O236" s="342">
        <f>O139</f>
        <v>2040</v>
      </c>
      <c r="P236" s="343"/>
      <c r="Q236" s="2" t="s">
        <v>114</v>
      </c>
    </row>
    <row r="237" spans="14:17" x14ac:dyDescent="0.15">
      <c r="N237" s="2" t="s">
        <v>115</v>
      </c>
      <c r="O237" s="84" t="s">
        <v>329</v>
      </c>
      <c r="P237" s="84" t="s">
        <v>330</v>
      </c>
    </row>
    <row r="238" spans="14:17" x14ac:dyDescent="0.15">
      <c r="N238" s="2" t="s">
        <v>0</v>
      </c>
      <c r="O238" s="18">
        <f>H141+I141</f>
        <v>165</v>
      </c>
      <c r="P238" s="18">
        <f>O141+P141</f>
        <v>171</v>
      </c>
      <c r="Q238" s="2">
        <v>4</v>
      </c>
    </row>
    <row r="239" spans="14:17" x14ac:dyDescent="0.15">
      <c r="N239" s="2" t="s">
        <v>1</v>
      </c>
      <c r="O239" s="18">
        <f t="shared" ref="O239:O257" si="39">H142+I142</f>
        <v>174</v>
      </c>
      <c r="P239" s="18">
        <f t="shared" ref="P239:P257" si="40">O142+P142</f>
        <v>180</v>
      </c>
      <c r="Q239" s="2">
        <v>5</v>
      </c>
    </row>
    <row r="240" spans="14:17" x14ac:dyDescent="0.15">
      <c r="N240" s="2" t="s">
        <v>2</v>
      </c>
      <c r="O240" s="18">
        <f t="shared" si="39"/>
        <v>175</v>
      </c>
      <c r="P240" s="18">
        <f t="shared" si="40"/>
        <v>181</v>
      </c>
      <c r="Q240" s="2">
        <v>6</v>
      </c>
    </row>
    <row r="241" spans="14:17" x14ac:dyDescent="0.15">
      <c r="N241" s="2" t="s">
        <v>3</v>
      </c>
      <c r="O241" s="18">
        <f t="shared" si="39"/>
        <v>165</v>
      </c>
      <c r="P241" s="18">
        <f t="shared" si="40"/>
        <v>168</v>
      </c>
      <c r="Q241" s="2">
        <v>7</v>
      </c>
    </row>
    <row r="242" spans="14:17" x14ac:dyDescent="0.15">
      <c r="N242" s="2" t="s">
        <v>4</v>
      </c>
      <c r="O242" s="18">
        <f t="shared" si="39"/>
        <v>122</v>
      </c>
      <c r="P242" s="18">
        <f t="shared" si="40"/>
        <v>122</v>
      </c>
      <c r="Q242" s="2">
        <v>8</v>
      </c>
    </row>
    <row r="243" spans="14:17" x14ac:dyDescent="0.15">
      <c r="N243" s="2" t="s">
        <v>5</v>
      </c>
      <c r="O243" s="18">
        <f t="shared" si="39"/>
        <v>161</v>
      </c>
      <c r="P243" s="18">
        <f t="shared" si="40"/>
        <v>166</v>
      </c>
      <c r="Q243" s="2">
        <v>9</v>
      </c>
    </row>
    <row r="244" spans="14:17" x14ac:dyDescent="0.15">
      <c r="N244" s="2" t="s">
        <v>6</v>
      </c>
      <c r="O244" s="18">
        <f t="shared" si="39"/>
        <v>180</v>
      </c>
      <c r="P244" s="18">
        <f t="shared" si="40"/>
        <v>184</v>
      </c>
      <c r="Q244" s="2">
        <v>10</v>
      </c>
    </row>
    <row r="245" spans="14:17" x14ac:dyDescent="0.15">
      <c r="N245" s="2" t="s">
        <v>7</v>
      </c>
      <c r="O245" s="18">
        <f t="shared" si="39"/>
        <v>178</v>
      </c>
      <c r="P245" s="18">
        <f t="shared" si="40"/>
        <v>182</v>
      </c>
      <c r="Q245" s="2">
        <v>11</v>
      </c>
    </row>
    <row r="246" spans="14:17" x14ac:dyDescent="0.15">
      <c r="N246" s="2" t="s">
        <v>8</v>
      </c>
      <c r="O246" s="18">
        <f t="shared" si="39"/>
        <v>202</v>
      </c>
      <c r="P246" s="18">
        <f t="shared" si="40"/>
        <v>207</v>
      </c>
      <c r="Q246" s="2">
        <v>12</v>
      </c>
    </row>
    <row r="247" spans="14:17" x14ac:dyDescent="0.15">
      <c r="N247" s="2" t="s">
        <v>9</v>
      </c>
      <c r="O247" s="18">
        <f t="shared" si="39"/>
        <v>211</v>
      </c>
      <c r="P247" s="18">
        <f t="shared" si="40"/>
        <v>212</v>
      </c>
      <c r="Q247" s="2">
        <v>13</v>
      </c>
    </row>
    <row r="248" spans="14:17" x14ac:dyDescent="0.15">
      <c r="N248" s="2" t="s">
        <v>10</v>
      </c>
      <c r="O248" s="18">
        <f t="shared" si="39"/>
        <v>252</v>
      </c>
      <c r="P248" s="18">
        <f t="shared" si="40"/>
        <v>253</v>
      </c>
      <c r="Q248" s="2">
        <v>14</v>
      </c>
    </row>
    <row r="249" spans="14:17" x14ac:dyDescent="0.15">
      <c r="N249" s="2" t="s">
        <v>11</v>
      </c>
      <c r="O249" s="18">
        <f t="shared" si="39"/>
        <v>322</v>
      </c>
      <c r="P249" s="18">
        <f t="shared" si="40"/>
        <v>323</v>
      </c>
      <c r="Q249" s="2">
        <v>15</v>
      </c>
    </row>
    <row r="250" spans="14:17" x14ac:dyDescent="0.15">
      <c r="N250" s="2" t="s">
        <v>12</v>
      </c>
      <c r="O250" s="18">
        <f t="shared" si="39"/>
        <v>336</v>
      </c>
      <c r="P250" s="18">
        <f t="shared" si="40"/>
        <v>336</v>
      </c>
      <c r="Q250" s="2">
        <v>16</v>
      </c>
    </row>
    <row r="251" spans="14:17" x14ac:dyDescent="0.15">
      <c r="N251" s="2" t="s">
        <v>13</v>
      </c>
      <c r="O251" s="18">
        <f t="shared" si="39"/>
        <v>299</v>
      </c>
      <c r="P251" s="18">
        <f t="shared" si="40"/>
        <v>299</v>
      </c>
      <c r="Q251" s="2">
        <v>17</v>
      </c>
    </row>
    <row r="252" spans="14:17" x14ac:dyDescent="0.15">
      <c r="N252" s="2" t="s">
        <v>14</v>
      </c>
      <c r="O252" s="18">
        <f t="shared" si="39"/>
        <v>270</v>
      </c>
      <c r="P252" s="18">
        <f t="shared" si="40"/>
        <v>270</v>
      </c>
      <c r="Q252" s="2">
        <v>18</v>
      </c>
    </row>
    <row r="253" spans="14:17" x14ac:dyDescent="0.15">
      <c r="N253" s="2" t="s">
        <v>15</v>
      </c>
      <c r="O253" s="18">
        <f t="shared" si="39"/>
        <v>294</v>
      </c>
      <c r="P253" s="18">
        <f t="shared" si="40"/>
        <v>294</v>
      </c>
      <c r="Q253" s="2">
        <v>19</v>
      </c>
    </row>
    <row r="254" spans="14:17" x14ac:dyDescent="0.15">
      <c r="N254" s="2" t="s">
        <v>16</v>
      </c>
      <c r="O254" s="18">
        <f t="shared" si="39"/>
        <v>299</v>
      </c>
      <c r="P254" s="18">
        <f t="shared" si="40"/>
        <v>299</v>
      </c>
      <c r="Q254" s="2">
        <v>20</v>
      </c>
    </row>
    <row r="255" spans="14:17" x14ac:dyDescent="0.15">
      <c r="N255" s="2" t="s">
        <v>17</v>
      </c>
      <c r="O255" s="18">
        <f t="shared" si="39"/>
        <v>268</v>
      </c>
      <c r="P255" s="18">
        <f t="shared" si="40"/>
        <v>268</v>
      </c>
      <c r="Q255" s="2">
        <v>21</v>
      </c>
    </row>
    <row r="256" spans="14:17" x14ac:dyDescent="0.15">
      <c r="N256" s="2" t="s">
        <v>18</v>
      </c>
      <c r="O256" s="18">
        <f t="shared" si="39"/>
        <v>154</v>
      </c>
      <c r="P256" s="18">
        <f t="shared" si="40"/>
        <v>154</v>
      </c>
      <c r="Q256" s="2">
        <v>22</v>
      </c>
    </row>
    <row r="257" spans="14:17" x14ac:dyDescent="0.15">
      <c r="N257" s="2" t="s">
        <v>19</v>
      </c>
      <c r="O257" s="18">
        <f t="shared" si="39"/>
        <v>53</v>
      </c>
      <c r="P257" s="18">
        <f t="shared" si="40"/>
        <v>53</v>
      </c>
      <c r="Q257" s="2">
        <v>23</v>
      </c>
    </row>
    <row r="258" spans="14:17" x14ac:dyDescent="0.15">
      <c r="N258" s="2" t="s">
        <v>20</v>
      </c>
      <c r="O258" s="18">
        <f>H161+I161</f>
        <v>25</v>
      </c>
      <c r="P258" s="18">
        <f>O161+P161</f>
        <v>25</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2019-03-18T08:55:04Z</cp:lastPrinted>
  <dcterms:created xsi:type="dcterms:W3CDTF">2018-08-17T00:57:13Z</dcterms:created>
  <dcterms:modified xsi:type="dcterms:W3CDTF">2023-03-06T08:06:00Z</dcterms:modified>
</cp:coreProperties>
</file>