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3mNopTjB1A5gp+U2kXurl47gBQnzYTAU/VtRMBTiEBOgYsJFNloV0iu2OxybyWj590PFGdSyHehSb+DwOig0g==" workbookSaltValue="0j0nfC3M1i62Vc13ywuTlw=="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DD4" i="17"/>
  <c r="P81" i="18" s="1"/>
  <c r="BZ7" i="17"/>
  <c r="CA10" i="17" s="1"/>
  <c r="CB13" i="17" s="1"/>
  <c r="O75" i="18"/>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ER7" i="17"/>
  <c r="BU8" i="17"/>
  <c r="DE7" i="17"/>
  <c r="P82" i="18" s="1"/>
  <c r="CM5"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E8" i="17" l="1"/>
  <c r="DF10" i="17"/>
  <c r="DP7" i="17"/>
  <c r="DH8" i="17"/>
  <c r="DP8" i="17" s="1"/>
  <c r="DQ7" i="17"/>
  <c r="DI10" i="17"/>
  <c r="DJ13" i="17" s="1"/>
  <c r="DK16"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DQ10" i="17"/>
  <c r="P250" i="18"/>
  <c r="DB16" i="17"/>
  <c r="DC19" i="17" s="1"/>
  <c r="P200" i="18" s="1"/>
  <c r="DG19" i="17"/>
  <c r="P204" i="18" s="1"/>
  <c r="P134" i="18"/>
  <c r="Q45" i="18" s="1"/>
  <c r="DP10" i="17"/>
  <c r="DI11" i="17"/>
  <c r="DQ11" i="17"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DP11" i="17" l="1"/>
  <c r="DC20" i="17"/>
  <c r="P175" i="18"/>
  <c r="H142" i="18"/>
  <c r="Q37" i="18"/>
  <c r="DB17"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DW8" i="17"/>
  <c r="DW9" i="17" s="1"/>
  <c r="O239" i="18"/>
  <c r="DW16" i="17"/>
  <c r="CF12" i="17"/>
  <c r="CK12" i="17" s="1"/>
  <c r="EY14"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10" i="17"/>
  <c r="EG3" i="17"/>
  <c r="EF3" i="17"/>
  <c r="EE9" i="17"/>
  <c r="EF12" i="17" s="1"/>
  <c r="DX18" i="17"/>
  <c r="EE12" i="17"/>
  <c r="EE6" i="17"/>
  <c r="EE4" i="17"/>
  <c r="EF4" i="17"/>
  <c r="EF21" i="17" s="1"/>
  <c r="EE13" i="17"/>
  <c r="EE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E30" i="17"/>
  <c r="EG24" i="17"/>
  <c r="EE29" i="17"/>
  <c r="EE14" i="17"/>
  <c r="EE23" i="17"/>
  <c r="EE8" i="17"/>
  <c r="EE21" i="17"/>
  <c r="EU4" i="17"/>
  <c r="FB4" i="17"/>
  <c r="EF7" i="17"/>
  <c r="FB7" i="17" s="1"/>
  <c r="EE26" i="17"/>
  <c r="EE11" i="17"/>
  <c r="EG13" i="17"/>
  <c r="EG30" i="17" s="1"/>
  <c r="EF27" i="17"/>
  <c r="EG6" i="17"/>
  <c r="EF5" i="17"/>
  <c r="EF20" i="17"/>
  <c r="EF22" i="17" s="1"/>
  <c r="EF9" i="17"/>
  <c r="EH6" i="17"/>
  <c r="EG5" i="17"/>
  <c r="EG20" i="17"/>
  <c r="D38" i="21"/>
  <c r="C38" i="21"/>
  <c r="C39" i="21"/>
  <c r="D39" i="21"/>
  <c r="D37" i="21"/>
  <c r="EF13" i="17"/>
  <c r="EF30" i="17" s="1"/>
  <c r="EE27" i="17"/>
  <c r="EE28" i="17" s="1"/>
  <c r="EF29" i="17"/>
  <c r="EE24" i="17"/>
  <c r="EG21" i="17"/>
  <c r="EH7" i="17"/>
  <c r="EF6" i="17"/>
  <c r="FB3" i="17"/>
  <c r="EE5" i="17"/>
  <c r="EE20" i="17"/>
  <c r="EU3"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F31" i="17"/>
  <c r="FB30" i="17"/>
  <c r="EF14" i="17"/>
  <c r="EZ3" i="17"/>
  <c r="FA3" i="17"/>
  <c r="EG23" i="17"/>
  <c r="EH9" i="17"/>
  <c r="EE25" i="17"/>
  <c r="FB20" i="17"/>
  <c r="EU20" i="17"/>
  <c r="EE22" i="17"/>
  <c r="EE31" i="17"/>
  <c r="EG12" i="17"/>
  <c r="EF26" i="17"/>
  <c r="EF28" i="17" s="1"/>
  <c r="EF11" i="17"/>
  <c r="EF23" i="17"/>
  <c r="EG9" i="17"/>
  <c r="FB21" i="17"/>
  <c r="EU21" i="17"/>
  <c r="EI10" i="17"/>
  <c r="EH24" i="17"/>
  <c r="EH27" i="17"/>
  <c r="EI13" i="17"/>
  <c r="EI30" i="17" s="1"/>
  <c r="EU5" i="17"/>
  <c r="FB5" i="17"/>
  <c r="EG22" i="17"/>
  <c r="EF8" i="17"/>
  <c r="EF24" i="17"/>
  <c r="EG10" i="17"/>
  <c r="EG8" i="17"/>
  <c r="DZ7" i="17"/>
  <c r="DZ6" i="17"/>
  <c r="FB13" i="17"/>
  <c r="EI9" i="17"/>
  <c r="EH23" i="17"/>
  <c r="EH8" i="17"/>
  <c r="FA4" i="17"/>
  <c r="EZ4" i="17"/>
  <c r="D11" i="19"/>
  <c r="CK18" i="17"/>
  <c r="DS20" i="17"/>
  <c r="DS18" i="17"/>
  <c r="CK19" i="17"/>
  <c r="CL19" i="17"/>
  <c r="CF20" i="17"/>
  <c r="EF25" i="17" l="1"/>
  <c r="EH25" i="17"/>
  <c r="FB23" i="17"/>
  <c r="FB8" i="17"/>
  <c r="EA10" i="17"/>
  <c r="EU7" i="17"/>
  <c r="DZ24" i="17"/>
  <c r="EU24" i="17" s="1"/>
  <c r="EJ13" i="17"/>
  <c r="EJ30" i="17" s="1"/>
  <c r="EI27" i="17"/>
  <c r="FA20" i="17"/>
  <c r="EZ20" i="17"/>
  <c r="DZ23" i="17"/>
  <c r="DZ8" i="17"/>
  <c r="EU8" i="17" s="1"/>
  <c r="EU6" i="17"/>
  <c r="EA9" i="17"/>
  <c r="FA21" i="17"/>
  <c r="EZ21" i="17"/>
  <c r="FB22" i="17"/>
  <c r="EU22" i="17"/>
  <c r="FB10" i="17"/>
  <c r="EH13" i="17"/>
  <c r="EH30" i="17" s="1"/>
  <c r="EG27" i="17"/>
  <c r="EG25" i="17"/>
  <c r="FB25" i="17" s="1"/>
  <c r="EH26" i="17"/>
  <c r="EH28" i="17" s="1"/>
  <c r="EI12" i="17"/>
  <c r="EH11" i="17"/>
  <c r="EG26" i="17"/>
  <c r="FB26" i="17" s="1"/>
  <c r="EH12" i="17"/>
  <c r="EG11" i="17"/>
  <c r="FB11" i="17" s="1"/>
  <c r="EZ5" i="17"/>
  <c r="FA5" i="17"/>
  <c r="EI11" i="17"/>
  <c r="EJ12" i="17"/>
  <c r="EI26" i="17"/>
  <c r="EG29" i="17"/>
  <c r="EG14" i="17"/>
  <c r="FB14" i="17" s="1"/>
  <c r="FB12" i="17"/>
  <c r="FB24" i="17"/>
  <c r="DZ13" i="17"/>
  <c r="DZ12" i="17"/>
  <c r="FB9" i="17"/>
  <c r="CK20" i="17"/>
  <c r="CL20" i="17"/>
  <c r="EI28" i="17" l="1"/>
  <c r="EV9" i="17"/>
  <c r="EB12" i="17"/>
  <c r="EA26" i="17"/>
  <c r="EA11" i="17"/>
  <c r="EV11" i="17" s="1"/>
  <c r="DZ30" i="17"/>
  <c r="EI29" i="17"/>
  <c r="EI31" i="17" s="1"/>
  <c r="EI14" i="17"/>
  <c r="EZ6" i="17"/>
  <c r="FA6" i="17"/>
  <c r="FA8" i="17"/>
  <c r="EZ8" i="17"/>
  <c r="FB29" i="17"/>
  <c r="EG31" i="17"/>
  <c r="FB31" i="17" s="1"/>
  <c r="DZ25" i="17"/>
  <c r="EU25" i="17" s="1"/>
  <c r="EU23" i="17"/>
  <c r="EG28" i="17"/>
  <c r="FB28" i="17" s="1"/>
  <c r="FB27" i="17"/>
  <c r="DZ10" i="17"/>
  <c r="DZ9" i="17"/>
  <c r="EJ29" i="17"/>
  <c r="EJ31" i="17" s="1"/>
  <c r="EJ14" i="17"/>
  <c r="FA22" i="17"/>
  <c r="EZ22" i="17"/>
  <c r="H36" i="21"/>
  <c r="FA24" i="17"/>
  <c r="EZ24" i="17"/>
  <c r="DZ14" i="17"/>
  <c r="DZ29" i="17"/>
  <c r="FA7" i="17"/>
  <c r="EZ7" i="17"/>
  <c r="EH29" i="17"/>
  <c r="EH31" i="17" s="1"/>
  <c r="EH14" i="17"/>
  <c r="EA27" i="17"/>
  <c r="EV27" i="17" s="1"/>
  <c r="EB13" i="17"/>
  <c r="EV10" i="17"/>
  <c r="EA13" i="17" l="1"/>
  <c r="EV13" i="17" s="1"/>
  <c r="DZ27" i="17"/>
  <c r="EU27" i="17" s="1"/>
  <c r="EU10" i="17"/>
  <c r="EZ23" i="17"/>
  <c r="FA23" i="17"/>
  <c r="H37" i="21"/>
  <c r="FA25" i="17"/>
  <c r="EZ25" i="17"/>
  <c r="EA28" i="17"/>
  <c r="EV28" i="17" s="1"/>
  <c r="EV26" i="17"/>
  <c r="EB29" i="17"/>
  <c r="EW12" i="17"/>
  <c r="EB14" i="17"/>
  <c r="EW14" i="17" s="1"/>
  <c r="EA12" i="17"/>
  <c r="DZ11" i="17"/>
  <c r="EU11" i="17" s="1"/>
  <c r="DZ26" i="17"/>
  <c r="DZ31" i="17"/>
  <c r="EW13" i="17"/>
  <c r="EB30" i="17"/>
  <c r="EW30" i="17" s="1"/>
  <c r="EU9" i="17"/>
  <c r="EZ9" i="17" l="1"/>
  <c r="FA9" i="17"/>
  <c r="EZ11" i="17"/>
  <c r="FA11" i="17"/>
  <c r="EA29" i="17"/>
  <c r="EA14" i="17"/>
  <c r="EU12" i="17"/>
  <c r="EV12" i="17"/>
  <c r="FA10" i="17"/>
  <c r="EZ10" i="17"/>
  <c r="DZ28" i="17"/>
  <c r="EU28" i="17" s="1"/>
  <c r="EU26" i="17"/>
  <c r="EZ27" i="17"/>
  <c r="FA27" i="17"/>
  <c r="EA30" i="17"/>
  <c r="EU13" i="17"/>
  <c r="EB31" i="17"/>
  <c r="EW31" i="17" s="1"/>
  <c r="EW29" i="17"/>
  <c r="FA28" i="17" l="1"/>
  <c r="H38" i="21"/>
  <c r="EZ28" i="17"/>
  <c r="FA12" i="17"/>
  <c r="EZ12" i="17"/>
  <c r="EV14" i="17"/>
  <c r="EU14" i="17"/>
  <c r="EA31" i="17"/>
  <c r="EV29" i="17"/>
  <c r="EU29" i="17"/>
  <c r="EZ13" i="17"/>
  <c r="FA13" i="17"/>
  <c r="EV30" i="17"/>
  <c r="EU30" i="17"/>
  <c r="FA26" i="17"/>
  <c r="EZ26" i="17"/>
  <c r="EZ29" i="17" l="1"/>
  <c r="FA29" i="17"/>
  <c r="EV31" i="17"/>
  <c r="EU31" i="17"/>
  <c r="FA14" i="17"/>
  <c r="EZ14" i="17"/>
  <c r="EZ30" i="17"/>
  <c r="FA30" i="17"/>
  <c r="H39" i="21" l="1"/>
  <c r="EZ31" i="17"/>
  <c r="FA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<sst xmlns="http://schemas.openxmlformats.org/spreadsheetml/2006/main" count="1366" uniqueCount="450">
  <si>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</si>
  <si>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</si>
  <si>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</si>
  <si>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</si>
  <si>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</si>
  <si>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</si>
  <si>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</si>
  <si>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</si>
  <si>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</si>
  <si>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</si>
  <si>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</si>
  <si>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</si>
  <si>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</si>
  <si>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</si>
  <si>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</si>
  <si>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</si>
  <si>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</si>
  <si>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</si>
  <si>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</si>
  <si>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</si>
  <si>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</si>
  <si>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</si>
  <si>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</si>
  <si>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</si>
  <si>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</si>
  <si>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</si>
  <si>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</si>
  <si>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</si>
  <si>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</si>
  <si>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</si>
  <si>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</si>
  <si>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</si>
  <si>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</si>
  <si>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</si>
  <si>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</si>
  <si>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</si>
  <si>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</si>
  <si>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</si>
  <si>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</si>
  <si>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</si>
  <si>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</si>
  <si>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</si>
  <si>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</si>
  <si>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</si>
  <si>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</si>
  <si>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</si>
  <si>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</si>
  <si>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</si>
  <si>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</si>
  <si>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</si>
  <si>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</si>
  <si>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</si>
  <si>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</si>
  <si>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</si>
  <si>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</si>
  <si>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</si>
  <si>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</si>
  <si>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</si>
  <si>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</si>
  <si>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</si>
  <si>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</si>
  <si>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</si>
  <si>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</si>
  <si>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</si>
  <si>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</si>
  <si>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</si>
  <si>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</si>
  <si>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</si>
  <si>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</si>
  <si>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</si>
  <si>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</si>
  <si>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</si>
  <si>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</si>
  <si>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</si>
  <si>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</si>
  <si>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</si>
  <si>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</si>
  <si>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</si>
  <si>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</si>
  <si>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</si>
  <si>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</si>
  <si>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</si>
  <si>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</si>
  <si>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</si>
  <si>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</si>
  <si>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</si>
  <si>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</si>
  <si>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</si>
  <si>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</si>
  <si>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</si>
  <si>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</si>
  <si>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</si>
  <si>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</si>
  <si>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</si>
  <si>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</si>
  <si>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</si>
  <si>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</si>
  <si>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</si>
  <si>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</si>
  <si>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</si>
  <si>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</si>
  <si>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</si>
  <si>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</si>
  <si>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</si>
  <si>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</si>
  <si>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</si>
  <si>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</si>
  <si>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</si>
  <si>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</si>
  <si>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</si>
  <si>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</si>
  <si>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</si>
  <si>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</si>
  <si>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</si>
  <si>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</si>
  <si>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</si>
  <si>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</si>
  <si>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</si>
  <si>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</si>
  <si>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</si>
  <si>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</si>
  <si>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</si>
  <si>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</si>
  <si>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</si>
  <si>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</si>
  <si>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</si>
  <si>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</si>
  <si>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</si>
  <si>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</si>
  <si>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</si>
  <si>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</si>
  <si>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</si>
  <si>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</si>
  <si>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</si>
  <si>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</si>
  <si>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</si>
  <si>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</si>
  <si>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</si>
  <si>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</si>
  <si>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</si>
  <si>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</si>
  <si>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</si>
  <si>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</si>
  <si>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</si>
  <si>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</si>
  <si>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</si>
  <si>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</si>
  <si>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</si>
  <si>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</si>
  <si>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</si>
  <si>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</si>
  <si>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</si>
  <si>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</si>
  <si>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</si>
  <si>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</si>
  <si>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</si>
  <si>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</si>
  <si>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</si>
  <si>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</si>
  <si>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</si>
  <si>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</si>
  <si>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</si>
  <si>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</si>
  <si>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</si>
  <si>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</si>
  <si>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</si>
  <si>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</si>
  <si>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</si>
  <si>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</si>
  <si>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</si>
  <si>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</si>
  <si>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</si>
  <si>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</si>
  <si>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</si>
  <si>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</si>
  <si>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</si>
  <si>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</si>
  <si>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</si>
  <si>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</si>
  <si>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</si>
  <si>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</si>
  <si>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</si>
  <si>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</si>
  <si>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</si>
  <si>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</si>
  <si>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</si>
  <si>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</si>
  <si>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</si>
  <si>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</si>
  <si>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</si>
  <si>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</si>
  <si>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</si>
  <si>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</si>
  <si>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</si>
  <si>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</si>
  <si>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</si>
  <si>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</si>
  <si>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</si>
  <si>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</si>
  <si>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</si>
  <si>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</si>
  <si>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</si>
  <si>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</si>
  <si>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</si>
  <si>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</si>
  <si>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</si>
  <si>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</si>
  <si>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</si>
  <si>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</si>
  <si>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</si>
  <si>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</si>
  <si>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</si>
  <si>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</si>
  <si>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</si>
  <si>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</si>
  <si>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</si>
  <si>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</si>
  <si>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</si>
  <si>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</si>
  <si>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</si>
  <si>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</si>
  <si>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</si>
  <si>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</si>
  <si>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</si>
  <si>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</si>
  <si>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</si>
  <si>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</si>
  <si>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</si>
  <si>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</si>
  <si>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</si>
  <si>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</si>
  <si>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</si>
  <si>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</si>
  <si>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</si>
  <si>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</si>
  <si>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</si>
  <si>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</si>
  <si>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</si>
  <si>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</si>
  <si>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</si>
  <si>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</si>
  <si>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</si>
  <si>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</si>
  <si>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</si>
  <si>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</si>
  <si>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</si>
  <si>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</si>
  <si>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</si>
  <si>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</si>
  <si>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</si>
  <si>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</si>
  <si>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</si>
  <si>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</si>
  <si>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</si>
  <si>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</si>
  <si>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</si>
  <si>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</si>
  <si>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</si>
  <si>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</si>
  <si>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</si>
  <si>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</si>
  <si>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</si>
  <si>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</si>
  <si>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</si>
  <si>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</si>
  <si>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</si>
  <si>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</si>
  <si>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</si>
  <si>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</si>
  <si>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</si>
  <si>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</si>
  <si>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</si>
  <si>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</si>
  <si>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</si>
  <si>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</si>
  <si>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</si>
  <si>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</si>
  <si>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</si>
  <si>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</si>
  <si>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</si>
  <si>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</si>
  <si>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</si>
  <si>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</si>
  <si>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</si>
  <si>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</si>
  <si>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</si>
  <si>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</si>
  <si>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</si>
  <si>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</si>
  <si>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</si>
  <si>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</si>
  <si>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</si>
  <si>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</si>
  <si>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</si>
  <si>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</si>
  <si>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</si>
  <si>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</si>
  <si>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</si>
  <si>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</si>
  <si>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</si>
  <si>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</si>
  <si>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</si>
  <si>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</si>
  <si>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</si>
  <si>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</si>
  <si>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</si>
  <si>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</si>
  <si>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</si>
  <si>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</si>
  <si>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</si>
  <si>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</si>
  <si>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</si>
  <si>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</si>
  <si>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</si>
  <si>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</si>
  <si>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</si>
  <si>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</si>
  <si>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</si>
  <si>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</si>
  <si>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</si>
  <si>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</si>
  <si>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</si>
  <si>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</si>
  <si>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</si>
  <si>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</si>
  <si>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</si>
  <si>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</si>
  <si>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</si>
  <si>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</si>
  <si>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</si>
  <si>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</si>
  <si>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</si>
  <si>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</si>
  <si>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</si>
  <si>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</si>
  <si>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</si>
  <si>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</si>
  <si>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</si>
  <si>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</si>
  <si>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</si>
  <si>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</si>
  <si>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</si>
  <si>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</si>
  <si>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</si>
  <si>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</si>
  <si>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</si>
  <si>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</si>
  <si>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</si>
  <si>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</si>
  <si>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</si>
  <si>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</si>
  <si>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</si>
  <si>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</si>
  <si>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</si>
  <si>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</si>
  <si>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</si>
  <si>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</si>
  <si>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</si>
  <si>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</si>
  <si>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</si>
  <si>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</si>
  <si>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</si>
  <si>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</si>
  <si>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</si>
  <si>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</si>
  <si>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</si>
  <si>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</si>
  <si>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</si>
  <si>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</si>
  <si>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</si>
  <si>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</si>
  <si>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</si>
  <si>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</si>
  <si>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</si>
  <si>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</si>
  <si>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</si>
  <si>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</si>
  <si>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</si>
  <si>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</si>
  <si>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</si>
  <si>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</si>
  <si>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</si>
  <si>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</si>
  <si>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</si>
  <si>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</si>
  <si>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</si>
  <si>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</si>
  <si>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</si>
  <si>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</si>
  <si>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</si>
  <si>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</si>
  <si>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</si>
  <si>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</si>
  <si>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</si>
  <si>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</si>
  <si>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</si>
  <si>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</si>
  <si>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</si>
  <si>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</si>
  <si>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</si>
  <si>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</si>
  <si>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</si>
  <si>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</si>
  <si>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</si>
  <si>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</si>
  <si>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</si>
  <si>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</si>
  <si>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</si>
  <si>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</si>
  <si>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</si>
  <si>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</si>
  <si>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</si>
  <si>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</si>
  <si>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</si>
  <si>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</si>
  <si>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</si>
  <si>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</si>
  <si>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</si>
  <si>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</si>
  <si>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</si>
  <si>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</si>
  <si>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</si>
  <si>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</si>
  <si>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</si>
  <si>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</si>
  <si>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</si>
  <si>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</si>
  <si>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</si>
  <si>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</si>
  <si>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</si>
  <si>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</si>
  <si>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</si>
  <si>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</si>
  <si>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</si>
  <si>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</si>
  <si>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</si>
  <si>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</si>
  <si>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</si>
  <si>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</si>
  <si>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</si>
  <si>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</si>
  <si>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</si>
  <si>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</si>
  <si>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</si>
  <si>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</si>
  <si>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45205_9</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</si>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</sst>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59">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Border="1" applyAlignment="1">
      <alignment horizontal="center" vertical="center"/>
    </xf>
    <xf numFmtId="177" fontId="10" fillId="5" borderId="0" xfId="0" applyNumberFormat="1"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Border="1" applyAlignment="1">
      <alignment horizontal="center" vertical="center"/>
    </xf>
    <xf numFmtId="38" fontId="10" fillId="5" borderId="0" xfId="0" applyNumberFormat="1" applyFont="1" applyFill="1" applyBorder="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742</c:v>
                </c:pt>
                <c:pt idx="1">
                  <c:v>724</c:v>
                </c:pt>
                <c:pt idx="2">
                  <c:v>685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44920"/>
        <c:axId val="397739824"/>
      </c:barChart>
      <c:catAx>
        <c:axId val="39774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39824"/>
        <c:crosses val="autoZero"/>
        <c:auto val="1"/>
        <c:lblAlgn val="ctr"/>
        <c:lblOffset val="100"/>
        <c:noMultiLvlLbl val="0"/>
      </c:catAx>
      <c:valAx>
        <c:axId val="397739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4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390</c:v>
                </c:pt>
                <c:pt idx="1">
                  <c:v>365</c:v>
                </c:pt>
                <c:pt idx="2">
                  <c:v>355</c:v>
                </c:pt>
                <c:pt idx="3">
                  <c:v>334</c:v>
                </c:pt>
                <c:pt idx="4">
                  <c:v>300</c:v>
                </c:pt>
                <c:pt idx="5">
                  <c:v>265</c:v>
                </c:pt>
                <c:pt idx="6">
                  <c:v>244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745312"/>
        <c:axId val="397741392"/>
      </c:barChart>
      <c:catAx>
        <c:axId val="397745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1392"/>
        <c:crosses val="autoZero"/>
        <c:auto val="1"/>
        <c:lblAlgn val="ctr"/>
        <c:lblOffset val="100"/>
        <c:noMultiLvlLbl val="0"/>
      </c:catAx>
      <c:valAx>
        <c:axId val="397741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5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0.32</c:v>
                </c:pt>
                <c:pt idx="2">
                  <c:v>0.35</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631560"/>
        <c:axId val="398628816"/>
      </c:barChart>
      <c:catAx>
        <c:axId val="398631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28816"/>
        <c:crosses val="autoZero"/>
        <c:auto val="1"/>
        <c:lblAlgn val="ctr"/>
        <c:lblOffset val="100"/>
        <c:noMultiLvlLbl val="0"/>
      </c:catAx>
      <c:valAx>
        <c:axId val="398628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1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0.18</c:v>
                </c:pt>
                <c:pt idx="2">
                  <c:v>0.19</c:v>
                </c:pt>
                <c:pt idx="3">
                  <c:v>0.21</c:v>
                </c:pt>
                <c:pt idx="4">
                  <c:v>0.23</c:v>
                </c:pt>
                <c:pt idx="5">
                  <c:v>0.24</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632344"/>
        <c:axId val="398630384"/>
      </c:barChart>
      <c:catAx>
        <c:axId val="398632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0384"/>
        <c:crosses val="autoZero"/>
        <c:auto val="1"/>
        <c:lblAlgn val="ctr"/>
        <c:lblOffset val="100"/>
        <c:noMultiLvlLbl val="0"/>
      </c:catAx>
      <c:valAx>
        <c:axId val="398630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2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1282178804755355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565-43B0-8125-ECC0EEAE1CDA}"/>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565-43B0-8125-ECC0EEAE1C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219</c:v>
                </c:pt>
                <c:pt idx="1">
                  <c:v>234</c:v>
                </c:pt>
                <c:pt idx="2">
                  <c:v>261</c:v>
                </c:pt>
                <c:pt idx="3">
                  <c:v>285</c:v>
                </c:pt>
                <c:pt idx="4">
                  <c:v>153</c:v>
                </c:pt>
                <c:pt idx="5">
                  <c:v>208</c:v>
                </c:pt>
                <c:pt idx="6">
                  <c:v>219</c:v>
                </c:pt>
                <c:pt idx="7">
                  <c:v>253</c:v>
                </c:pt>
                <c:pt idx="8">
                  <c:v>283</c:v>
                </c:pt>
                <c:pt idx="9">
                  <c:v>307</c:v>
                </c:pt>
                <c:pt idx="10">
                  <c:v>317</c:v>
                </c:pt>
                <c:pt idx="11">
                  <c:v>314</c:v>
                </c:pt>
                <c:pt idx="12">
                  <c:v>269</c:v>
                </c:pt>
                <c:pt idx="13">
                  <c:v>331</c:v>
                </c:pt>
                <c:pt idx="14">
                  <c:v>352</c:v>
                </c:pt>
                <c:pt idx="15">
                  <c:v>387</c:v>
                </c:pt>
                <c:pt idx="16">
                  <c:v>313</c:v>
                </c:pt>
                <c:pt idx="17">
                  <c:v>180</c:v>
                </c:pt>
                <c:pt idx="18">
                  <c:v>68</c:v>
                </c:pt>
                <c:pt idx="19">
                  <c:v>23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630776"/>
        <c:axId val="39863116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193</c:v>
                </c:pt>
                <c:pt idx="1">
                  <c:v>200</c:v>
                </c:pt>
                <c:pt idx="2">
                  <c:v>218</c:v>
                </c:pt>
                <c:pt idx="3">
                  <c:v>258</c:v>
                </c:pt>
                <c:pt idx="4">
                  <c:v>153</c:v>
                </c:pt>
                <c:pt idx="5">
                  <c:v>201</c:v>
                </c:pt>
                <c:pt idx="6">
                  <c:v>267</c:v>
                </c:pt>
                <c:pt idx="7">
                  <c:v>230</c:v>
                </c:pt>
                <c:pt idx="8">
                  <c:v>246</c:v>
                </c:pt>
                <c:pt idx="9">
                  <c:v>326</c:v>
                </c:pt>
                <c:pt idx="10">
                  <c:v>360</c:v>
                </c:pt>
                <c:pt idx="11">
                  <c:v>365</c:v>
                </c:pt>
                <c:pt idx="12">
                  <c:v>348</c:v>
                </c:pt>
                <c:pt idx="13">
                  <c:v>382</c:v>
                </c:pt>
                <c:pt idx="14">
                  <c:v>440</c:v>
                </c:pt>
                <c:pt idx="15">
                  <c:v>439</c:v>
                </c:pt>
                <c:pt idx="16">
                  <c:v>437</c:v>
                </c:pt>
                <c:pt idx="17">
                  <c:v>288</c:v>
                </c:pt>
                <c:pt idx="18">
                  <c:v>198</c:v>
                </c:pt>
                <c:pt idx="19">
                  <c:v>85</c:v>
                </c:pt>
                <c:pt idx="20">
                  <c:v>20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631952"/>
        <c:axId val="398629208"/>
      </c:barChart>
      <c:catAx>
        <c:axId val="398630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1168"/>
        <c:crosses val="autoZero"/>
        <c:auto val="1"/>
        <c:lblAlgn val="ctr"/>
        <c:lblOffset val="100"/>
        <c:noMultiLvlLbl val="0"/>
      </c:catAx>
      <c:valAx>
        <c:axId val="3986311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0776"/>
        <c:crosses val="autoZero"/>
        <c:crossBetween val="between"/>
        <c:majorUnit val="150"/>
      </c:valAx>
      <c:valAx>
        <c:axId val="3986292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1952"/>
        <c:crosses val="max"/>
        <c:crossBetween val="between"/>
        <c:majorUnit val="150"/>
      </c:valAx>
      <c:catAx>
        <c:axId val="398631952"/>
        <c:scaling>
          <c:orientation val="minMax"/>
        </c:scaling>
        <c:delete val="1"/>
        <c:axPos val="l"/>
        <c:numFmt formatCode="General" sourceLinked="1"/>
        <c:majorTickMark val="out"/>
        <c:minorTickMark val="none"/>
        <c:tickLblPos val="nextTo"/>
        <c:crossAx val="398629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4834402913624142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95-47B5-B6F7-3EE959BFD15C}"/>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95-47B5-B6F7-3EE959BFD1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183</c:v>
                </c:pt>
                <c:pt idx="1">
                  <c:v>209</c:v>
                </c:pt>
                <c:pt idx="2">
                  <c:v>217</c:v>
                </c:pt>
                <c:pt idx="3">
                  <c:v>231</c:v>
                </c:pt>
                <c:pt idx="4">
                  <c:v>134</c:v>
                </c:pt>
                <c:pt idx="5">
                  <c:v>185</c:v>
                </c:pt>
                <c:pt idx="6">
                  <c:v>219</c:v>
                </c:pt>
                <c:pt idx="7">
                  <c:v>236</c:v>
                </c:pt>
                <c:pt idx="8">
                  <c:v>216</c:v>
                </c:pt>
                <c:pt idx="9">
                  <c:v>244</c:v>
                </c:pt>
                <c:pt idx="10">
                  <c:v>275</c:v>
                </c:pt>
                <c:pt idx="11">
                  <c:v>283</c:v>
                </c:pt>
                <c:pt idx="12">
                  <c:v>291</c:v>
                </c:pt>
                <c:pt idx="13">
                  <c:v>296</c:v>
                </c:pt>
                <c:pt idx="14">
                  <c:v>245</c:v>
                </c:pt>
                <c:pt idx="15">
                  <c:v>278</c:v>
                </c:pt>
                <c:pt idx="16">
                  <c:v>250</c:v>
                </c:pt>
                <c:pt idx="17">
                  <c:v>217</c:v>
                </c:pt>
                <c:pt idx="18">
                  <c:v>91</c:v>
                </c:pt>
                <c:pt idx="19">
                  <c:v>20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364536"/>
        <c:axId val="4623629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161</c:v>
                </c:pt>
                <c:pt idx="1">
                  <c:v>179</c:v>
                </c:pt>
                <c:pt idx="2">
                  <c:v>181</c:v>
                </c:pt>
                <c:pt idx="3">
                  <c:v>192</c:v>
                </c:pt>
                <c:pt idx="4">
                  <c:v>116</c:v>
                </c:pt>
                <c:pt idx="5">
                  <c:v>184</c:v>
                </c:pt>
                <c:pt idx="6">
                  <c:v>213</c:v>
                </c:pt>
                <c:pt idx="7">
                  <c:v>197</c:v>
                </c:pt>
                <c:pt idx="8">
                  <c:v>250</c:v>
                </c:pt>
                <c:pt idx="9">
                  <c:v>223</c:v>
                </c:pt>
                <c:pt idx="10">
                  <c:v>236</c:v>
                </c:pt>
                <c:pt idx="11">
                  <c:v>324</c:v>
                </c:pt>
                <c:pt idx="12">
                  <c:v>362</c:v>
                </c:pt>
                <c:pt idx="13">
                  <c:v>358</c:v>
                </c:pt>
                <c:pt idx="14">
                  <c:v>332</c:v>
                </c:pt>
                <c:pt idx="15">
                  <c:v>345</c:v>
                </c:pt>
                <c:pt idx="16">
                  <c:v>366</c:v>
                </c:pt>
                <c:pt idx="17">
                  <c:v>309</c:v>
                </c:pt>
                <c:pt idx="18">
                  <c:v>219</c:v>
                </c:pt>
                <c:pt idx="19">
                  <c:v>76</c:v>
                </c:pt>
                <c:pt idx="20">
                  <c:v>18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364144"/>
        <c:axId val="462361008"/>
      </c:barChart>
      <c:catAx>
        <c:axId val="462364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2968"/>
        <c:crosses val="autoZero"/>
        <c:auto val="1"/>
        <c:lblAlgn val="ctr"/>
        <c:lblOffset val="100"/>
        <c:noMultiLvlLbl val="0"/>
      </c:catAx>
      <c:valAx>
        <c:axId val="4623629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4536"/>
        <c:crosses val="autoZero"/>
        <c:crossBetween val="between"/>
        <c:majorUnit val="150"/>
      </c:valAx>
      <c:valAx>
        <c:axId val="4623610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4144"/>
        <c:crosses val="max"/>
        <c:crossBetween val="between"/>
        <c:majorUnit val="150"/>
      </c:valAx>
      <c:catAx>
        <c:axId val="462364144"/>
        <c:scaling>
          <c:orientation val="minMax"/>
        </c:scaling>
        <c:delete val="1"/>
        <c:axPos val="l"/>
        <c:numFmt formatCode="General" sourceLinked="1"/>
        <c:majorTickMark val="out"/>
        <c:minorTickMark val="none"/>
        <c:tickLblPos val="nextTo"/>
        <c:crossAx val="462361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13132</c:v>
                </c:pt>
                <c:pt idx="1">
                  <c:v>12618</c:v>
                </c:pt>
                <c:pt idx="2">
                  <c:v>12079</c:v>
                </c:pt>
                <c:pt idx="3">
                  <c:v>11363</c:v>
                </c:pt>
                <c:pt idx="4">
                  <c:v>10630</c:v>
                </c:pt>
                <c:pt idx="5">
                  <c:v>9903</c:v>
                </c:pt>
                <c:pt idx="6">
                  <c:v>9161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288-4A54-98BA-BCF119B9C70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288-4A54-98BA-BCF119B9C70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288-4A54-98BA-BCF119B9C70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288-4A54-98BA-BCF119B9C70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11372</c:v>
                </c:pt>
                <c:pt idx="4" formatCode="#,##0_);[Red]\(#,##0\)">
                  <c:v>10649</c:v>
                </c:pt>
                <c:pt idx="5" formatCode="#,##0_);[Red]\(#,##0\)">
                  <c:v>9935</c:v>
                </c:pt>
                <c:pt idx="6" formatCode="#,##0_);[Red]\(#,##0\)">
                  <c:v>9206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365320"/>
        <c:axId val="462368064"/>
      </c:barChart>
      <c:catAx>
        <c:axId val="46236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8064"/>
        <c:crosses val="autoZero"/>
        <c:auto val="1"/>
        <c:lblAlgn val="ctr"/>
        <c:lblOffset val="100"/>
        <c:noMultiLvlLbl val="0"/>
      </c:catAx>
      <c:valAx>
        <c:axId val="462368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53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742</c:v>
                </c:pt>
                <c:pt idx="1">
                  <c:v>724</c:v>
                </c:pt>
                <c:pt idx="2">
                  <c:v>685</c:v>
                </c:pt>
                <c:pt idx="3">
                  <c:v>621</c:v>
                </c:pt>
                <c:pt idx="4">
                  <c:v>548</c:v>
                </c:pt>
                <c:pt idx="5">
                  <c:v>499</c:v>
                </c:pt>
                <c:pt idx="6">
                  <c:v>472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622</c:v>
                </c:pt>
                <c:pt idx="4">
                  <c:v>550</c:v>
                </c:pt>
                <c:pt idx="5">
                  <c:v>504</c:v>
                </c:pt>
                <c:pt idx="6">
                  <c:v>479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363360"/>
        <c:axId val="462361400"/>
      </c:barChart>
      <c:catAx>
        <c:axId val="46236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1400"/>
        <c:crosses val="autoZero"/>
        <c:auto val="1"/>
        <c:lblAlgn val="ctr"/>
        <c:lblOffset val="100"/>
        <c:noMultiLvlLbl val="0"/>
      </c:catAx>
      <c:valAx>
        <c:axId val="462361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33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0.32</c:v>
                </c:pt>
                <c:pt idx="2">
                  <c:v>0.35</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354-4FB0-B412-34F68005AB1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354-4FB0-B412-34F68005AB1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354-4FB0-B412-34F68005AB1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354-4FB0-B412-34F68005AB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0.37</c:v>
                </c:pt>
                <c:pt idx="5" formatCode="0%">
                  <c:v>0.37</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364928"/>
        <c:axId val="462365712"/>
      </c:barChart>
      <c:catAx>
        <c:axId val="4623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5712"/>
        <c:crosses val="autoZero"/>
        <c:auto val="1"/>
        <c:lblAlgn val="ctr"/>
        <c:lblOffset val="100"/>
        <c:noMultiLvlLbl val="0"/>
      </c:catAx>
      <c:valAx>
        <c:axId val="462365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4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0.18</c:v>
                </c:pt>
                <c:pt idx="2">
                  <c:v>0.19</c:v>
                </c:pt>
                <c:pt idx="3">
                  <c:v>0.21</c:v>
                </c:pt>
                <c:pt idx="4">
                  <c:v>0.23</c:v>
                </c:pt>
                <c:pt idx="5">
                  <c:v>0.24</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996-44DF-AAD0-1528B559D5E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996-44DF-AAD0-1528B559D5E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996-44DF-AAD0-1528B559D5E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996-44DF-AAD0-1528B559D5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0.23</c:v>
                </c:pt>
                <c:pt idx="5" formatCode="0%">
                  <c:v>0.24</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366104"/>
        <c:axId val="462362184"/>
      </c:barChart>
      <c:catAx>
        <c:axId val="462366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2184"/>
        <c:crosses val="autoZero"/>
        <c:auto val="1"/>
        <c:lblAlgn val="ctr"/>
        <c:lblOffset val="100"/>
        <c:noMultiLvlLbl val="0"/>
      </c:catAx>
      <c:valAx>
        <c:axId val="462362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61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390</c:v>
                </c:pt>
                <c:pt idx="1">
                  <c:v>365</c:v>
                </c:pt>
                <c:pt idx="2">
                  <c:v>355</c:v>
                </c:pt>
                <c:pt idx="3">
                  <c:v>334</c:v>
                </c:pt>
                <c:pt idx="4">
                  <c:v>300</c:v>
                </c:pt>
                <c:pt idx="5">
                  <c:v>265</c:v>
                </c:pt>
                <c:pt idx="6">
                  <c:v>244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335</c:v>
                </c:pt>
                <c:pt idx="4">
                  <c:v>302</c:v>
                </c:pt>
                <c:pt idx="5">
                  <c:v>267</c:v>
                </c:pt>
                <c:pt idx="6">
                  <c:v>247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366888"/>
        <c:axId val="462367672"/>
      </c:barChart>
      <c:catAx>
        <c:axId val="462366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7672"/>
        <c:crosses val="autoZero"/>
        <c:auto val="1"/>
        <c:lblAlgn val="ctr"/>
        <c:lblOffset val="100"/>
        <c:noMultiLvlLbl val="0"/>
      </c:catAx>
      <c:valAx>
        <c:axId val="462367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68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390</c:v>
                </c:pt>
                <c:pt idx="1">
                  <c:v>365</c:v>
                </c:pt>
                <c:pt idx="2">
                  <c:v>355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43352"/>
        <c:axId val="397746880"/>
      </c:barChart>
      <c:catAx>
        <c:axId val="397743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6880"/>
        <c:crosses val="autoZero"/>
        <c:auto val="1"/>
        <c:lblAlgn val="ctr"/>
        <c:lblOffset val="100"/>
        <c:noMultiLvlLbl val="0"/>
      </c:catAx>
      <c:valAx>
        <c:axId val="397746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3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529780199547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FA-4CE5-8030-2B00620B502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FA-4CE5-8030-2B00620B502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221</c:v>
                </c:pt>
                <c:pt idx="1">
                  <c:v>235</c:v>
                </c:pt>
                <c:pt idx="2">
                  <c:v>262</c:v>
                </c:pt>
                <c:pt idx="3">
                  <c:v>286</c:v>
                </c:pt>
                <c:pt idx="4">
                  <c:v>153</c:v>
                </c:pt>
                <c:pt idx="5">
                  <c:v>210</c:v>
                </c:pt>
                <c:pt idx="6">
                  <c:v>221</c:v>
                </c:pt>
                <c:pt idx="7">
                  <c:v>253</c:v>
                </c:pt>
                <c:pt idx="8">
                  <c:v>283</c:v>
                </c:pt>
                <c:pt idx="9">
                  <c:v>307</c:v>
                </c:pt>
                <c:pt idx="10">
                  <c:v>317</c:v>
                </c:pt>
                <c:pt idx="11">
                  <c:v>314</c:v>
                </c:pt>
                <c:pt idx="12">
                  <c:v>269</c:v>
                </c:pt>
                <c:pt idx="13">
                  <c:v>331</c:v>
                </c:pt>
                <c:pt idx="14">
                  <c:v>352</c:v>
                </c:pt>
                <c:pt idx="15">
                  <c:v>387</c:v>
                </c:pt>
                <c:pt idx="16">
                  <c:v>313</c:v>
                </c:pt>
                <c:pt idx="17">
                  <c:v>180</c:v>
                </c:pt>
                <c:pt idx="18">
                  <c:v>68</c:v>
                </c:pt>
                <c:pt idx="19">
                  <c:v>23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157416"/>
        <c:axId val="46315192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194</c:v>
                </c:pt>
                <c:pt idx="1">
                  <c:v>201</c:v>
                </c:pt>
                <c:pt idx="2">
                  <c:v>219</c:v>
                </c:pt>
                <c:pt idx="3">
                  <c:v>259</c:v>
                </c:pt>
                <c:pt idx="4">
                  <c:v>153</c:v>
                </c:pt>
                <c:pt idx="5">
                  <c:v>203</c:v>
                </c:pt>
                <c:pt idx="6">
                  <c:v>269</c:v>
                </c:pt>
                <c:pt idx="7">
                  <c:v>230</c:v>
                </c:pt>
                <c:pt idx="8">
                  <c:v>247</c:v>
                </c:pt>
                <c:pt idx="9">
                  <c:v>327</c:v>
                </c:pt>
                <c:pt idx="10">
                  <c:v>360</c:v>
                </c:pt>
                <c:pt idx="11">
                  <c:v>365</c:v>
                </c:pt>
                <c:pt idx="12">
                  <c:v>348</c:v>
                </c:pt>
                <c:pt idx="13">
                  <c:v>382</c:v>
                </c:pt>
                <c:pt idx="14">
                  <c:v>440</c:v>
                </c:pt>
                <c:pt idx="15">
                  <c:v>439</c:v>
                </c:pt>
                <c:pt idx="16">
                  <c:v>437</c:v>
                </c:pt>
                <c:pt idx="17">
                  <c:v>288</c:v>
                </c:pt>
                <c:pt idx="18">
                  <c:v>198</c:v>
                </c:pt>
                <c:pt idx="19">
                  <c:v>85</c:v>
                </c:pt>
                <c:pt idx="20">
                  <c:v>20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157024"/>
        <c:axId val="463155848"/>
      </c:barChart>
      <c:catAx>
        <c:axId val="463157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1928"/>
        <c:crosses val="autoZero"/>
        <c:auto val="1"/>
        <c:lblAlgn val="ctr"/>
        <c:lblOffset val="100"/>
        <c:noMultiLvlLbl val="0"/>
      </c:catAx>
      <c:valAx>
        <c:axId val="4631519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7416"/>
        <c:crosses val="autoZero"/>
        <c:crossBetween val="between"/>
        <c:majorUnit val="150"/>
      </c:valAx>
      <c:valAx>
        <c:axId val="4631558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7024"/>
        <c:crosses val="max"/>
        <c:crossBetween val="between"/>
        <c:majorUnit val="150"/>
      </c:valAx>
      <c:catAx>
        <c:axId val="463157024"/>
        <c:scaling>
          <c:orientation val="minMax"/>
        </c:scaling>
        <c:delete val="1"/>
        <c:axPos val="l"/>
        <c:numFmt formatCode="General" sourceLinked="1"/>
        <c:majorTickMark val="out"/>
        <c:minorTickMark val="none"/>
        <c:tickLblPos val="nextTo"/>
        <c:crossAx val="463155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370584424976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958-4497-8963-56FFF83AB7A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958-4497-8963-56FFF83AB7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186</c:v>
                </c:pt>
                <c:pt idx="1">
                  <c:v>212</c:v>
                </c:pt>
                <c:pt idx="2">
                  <c:v>220</c:v>
                </c:pt>
                <c:pt idx="3">
                  <c:v>233</c:v>
                </c:pt>
                <c:pt idx="4">
                  <c:v>135</c:v>
                </c:pt>
                <c:pt idx="5">
                  <c:v>188</c:v>
                </c:pt>
                <c:pt idx="6">
                  <c:v>221</c:v>
                </c:pt>
                <c:pt idx="7">
                  <c:v>238</c:v>
                </c:pt>
                <c:pt idx="8">
                  <c:v>219</c:v>
                </c:pt>
                <c:pt idx="9">
                  <c:v>244</c:v>
                </c:pt>
                <c:pt idx="10">
                  <c:v>275</c:v>
                </c:pt>
                <c:pt idx="11">
                  <c:v>283</c:v>
                </c:pt>
                <c:pt idx="12">
                  <c:v>291</c:v>
                </c:pt>
                <c:pt idx="13">
                  <c:v>296</c:v>
                </c:pt>
                <c:pt idx="14">
                  <c:v>245</c:v>
                </c:pt>
                <c:pt idx="15">
                  <c:v>278</c:v>
                </c:pt>
                <c:pt idx="16">
                  <c:v>250</c:v>
                </c:pt>
                <c:pt idx="17">
                  <c:v>217</c:v>
                </c:pt>
                <c:pt idx="18">
                  <c:v>91</c:v>
                </c:pt>
                <c:pt idx="19">
                  <c:v>20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56240"/>
        <c:axId val="4631538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163</c:v>
                </c:pt>
                <c:pt idx="1">
                  <c:v>181</c:v>
                </c:pt>
                <c:pt idx="2">
                  <c:v>184</c:v>
                </c:pt>
                <c:pt idx="3">
                  <c:v>194</c:v>
                </c:pt>
                <c:pt idx="4">
                  <c:v>117</c:v>
                </c:pt>
                <c:pt idx="5">
                  <c:v>186</c:v>
                </c:pt>
                <c:pt idx="6">
                  <c:v>216</c:v>
                </c:pt>
                <c:pt idx="7">
                  <c:v>199</c:v>
                </c:pt>
                <c:pt idx="8">
                  <c:v>253</c:v>
                </c:pt>
                <c:pt idx="9">
                  <c:v>224</c:v>
                </c:pt>
                <c:pt idx="10">
                  <c:v>237</c:v>
                </c:pt>
                <c:pt idx="11">
                  <c:v>325</c:v>
                </c:pt>
                <c:pt idx="12">
                  <c:v>362</c:v>
                </c:pt>
                <c:pt idx="13">
                  <c:v>358</c:v>
                </c:pt>
                <c:pt idx="14">
                  <c:v>332</c:v>
                </c:pt>
                <c:pt idx="15">
                  <c:v>345</c:v>
                </c:pt>
                <c:pt idx="16">
                  <c:v>366</c:v>
                </c:pt>
                <c:pt idx="17">
                  <c:v>309</c:v>
                </c:pt>
                <c:pt idx="18">
                  <c:v>219</c:v>
                </c:pt>
                <c:pt idx="19">
                  <c:v>76</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56632"/>
        <c:axId val="463154672"/>
      </c:barChart>
      <c:catAx>
        <c:axId val="463156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3888"/>
        <c:crosses val="autoZero"/>
        <c:auto val="1"/>
        <c:lblAlgn val="ctr"/>
        <c:lblOffset val="100"/>
        <c:noMultiLvlLbl val="0"/>
      </c:catAx>
      <c:valAx>
        <c:axId val="4631538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6240"/>
        <c:crosses val="autoZero"/>
        <c:crossBetween val="between"/>
        <c:majorUnit val="150"/>
      </c:valAx>
      <c:valAx>
        <c:axId val="4631546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6632"/>
        <c:crosses val="max"/>
        <c:crossBetween val="between"/>
        <c:majorUnit val="150"/>
      </c:valAx>
      <c:catAx>
        <c:axId val="463156632"/>
        <c:scaling>
          <c:orientation val="minMax"/>
        </c:scaling>
        <c:delete val="1"/>
        <c:axPos val="l"/>
        <c:numFmt formatCode="General" sourceLinked="1"/>
        <c:majorTickMark val="out"/>
        <c:minorTickMark val="none"/>
        <c:tickLblPos val="nextTo"/>
        <c:crossAx val="463154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B14-479B-82F6-65404FB223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412</c:v>
                </c:pt>
                <c:pt idx="1">
                  <c:v>434</c:v>
                </c:pt>
                <c:pt idx="2">
                  <c:v>479</c:v>
                </c:pt>
                <c:pt idx="3">
                  <c:v>543</c:v>
                </c:pt>
                <c:pt idx="4">
                  <c:v>306</c:v>
                </c:pt>
                <c:pt idx="5">
                  <c:v>409</c:v>
                </c:pt>
                <c:pt idx="6">
                  <c:v>486</c:v>
                </c:pt>
                <c:pt idx="7">
                  <c:v>483</c:v>
                </c:pt>
                <c:pt idx="8">
                  <c:v>529</c:v>
                </c:pt>
                <c:pt idx="9">
                  <c:v>633</c:v>
                </c:pt>
                <c:pt idx="10">
                  <c:v>677</c:v>
                </c:pt>
                <c:pt idx="11">
                  <c:v>679</c:v>
                </c:pt>
                <c:pt idx="12">
                  <c:v>617</c:v>
                </c:pt>
                <c:pt idx="13">
                  <c:v>713</c:v>
                </c:pt>
                <c:pt idx="14">
                  <c:v>792</c:v>
                </c:pt>
                <c:pt idx="15">
                  <c:v>826</c:v>
                </c:pt>
                <c:pt idx="16">
                  <c:v>750</c:v>
                </c:pt>
                <c:pt idx="17">
                  <c:v>468</c:v>
                </c:pt>
                <c:pt idx="18">
                  <c:v>266</c:v>
                </c:pt>
                <c:pt idx="19">
                  <c:v>108</c:v>
                </c:pt>
                <c:pt idx="20">
                  <c:v>20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58200"/>
        <c:axId val="4631511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415</c:v>
                </c:pt>
                <c:pt idx="1">
                  <c:v>436</c:v>
                </c:pt>
                <c:pt idx="2">
                  <c:v>481</c:v>
                </c:pt>
                <c:pt idx="3">
                  <c:v>545</c:v>
                </c:pt>
                <c:pt idx="4">
                  <c:v>306</c:v>
                </c:pt>
                <c:pt idx="5">
                  <c:v>413</c:v>
                </c:pt>
                <c:pt idx="6">
                  <c:v>490</c:v>
                </c:pt>
                <c:pt idx="7">
                  <c:v>483</c:v>
                </c:pt>
                <c:pt idx="8">
                  <c:v>530</c:v>
                </c:pt>
                <c:pt idx="9">
                  <c:v>634</c:v>
                </c:pt>
                <c:pt idx="10">
                  <c:v>677</c:v>
                </c:pt>
                <c:pt idx="11">
                  <c:v>679</c:v>
                </c:pt>
                <c:pt idx="12">
                  <c:v>617</c:v>
                </c:pt>
                <c:pt idx="13">
                  <c:v>713</c:v>
                </c:pt>
                <c:pt idx="14">
                  <c:v>792</c:v>
                </c:pt>
                <c:pt idx="15">
                  <c:v>826</c:v>
                </c:pt>
                <c:pt idx="16">
                  <c:v>750</c:v>
                </c:pt>
                <c:pt idx="17">
                  <c:v>468</c:v>
                </c:pt>
                <c:pt idx="18">
                  <c:v>266</c:v>
                </c:pt>
                <c:pt idx="19">
                  <c:v>108</c:v>
                </c:pt>
                <c:pt idx="20">
                  <c:v>20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51536"/>
        <c:axId val="463158592"/>
      </c:barChart>
      <c:catAx>
        <c:axId val="463158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1144"/>
        <c:crosses val="autoZero"/>
        <c:auto val="1"/>
        <c:lblAlgn val="ctr"/>
        <c:lblOffset val="100"/>
        <c:noMultiLvlLbl val="0"/>
      </c:catAx>
      <c:valAx>
        <c:axId val="4631511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8200"/>
        <c:crosses val="autoZero"/>
        <c:crossBetween val="between"/>
        <c:majorUnit val="250"/>
      </c:valAx>
      <c:valAx>
        <c:axId val="4631585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1536"/>
        <c:crosses val="max"/>
        <c:crossBetween val="between"/>
        <c:majorUnit val="250"/>
      </c:valAx>
      <c:catAx>
        <c:axId val="463151536"/>
        <c:scaling>
          <c:orientation val="minMax"/>
        </c:scaling>
        <c:delete val="1"/>
        <c:axPos val="l"/>
        <c:numFmt formatCode="General" sourceLinked="1"/>
        <c:majorTickMark val="out"/>
        <c:minorTickMark val="none"/>
        <c:tickLblPos val="nextTo"/>
        <c:crossAx val="4631585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344</c:v>
                </c:pt>
                <c:pt idx="1">
                  <c:v>388</c:v>
                </c:pt>
                <c:pt idx="2">
                  <c:v>398</c:v>
                </c:pt>
                <c:pt idx="3">
                  <c:v>423</c:v>
                </c:pt>
                <c:pt idx="4">
                  <c:v>250</c:v>
                </c:pt>
                <c:pt idx="5">
                  <c:v>369</c:v>
                </c:pt>
                <c:pt idx="6">
                  <c:v>432</c:v>
                </c:pt>
                <c:pt idx="7">
                  <c:v>433</c:v>
                </c:pt>
                <c:pt idx="8">
                  <c:v>466</c:v>
                </c:pt>
                <c:pt idx="9">
                  <c:v>467</c:v>
                </c:pt>
                <c:pt idx="10">
                  <c:v>511</c:v>
                </c:pt>
                <c:pt idx="11">
                  <c:v>607</c:v>
                </c:pt>
                <c:pt idx="12">
                  <c:v>653</c:v>
                </c:pt>
                <c:pt idx="13">
                  <c:v>654</c:v>
                </c:pt>
                <c:pt idx="14">
                  <c:v>577</c:v>
                </c:pt>
                <c:pt idx="15">
                  <c:v>623</c:v>
                </c:pt>
                <c:pt idx="16">
                  <c:v>616</c:v>
                </c:pt>
                <c:pt idx="17">
                  <c:v>526</c:v>
                </c:pt>
                <c:pt idx="18">
                  <c:v>310</c:v>
                </c:pt>
                <c:pt idx="19">
                  <c:v>96</c:v>
                </c:pt>
                <c:pt idx="20">
                  <c:v>18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55064"/>
        <c:axId val="4631523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349</c:v>
                </c:pt>
                <c:pt idx="1">
                  <c:v>393</c:v>
                </c:pt>
                <c:pt idx="2">
                  <c:v>404</c:v>
                </c:pt>
                <c:pt idx="3">
                  <c:v>427</c:v>
                </c:pt>
                <c:pt idx="4">
                  <c:v>252</c:v>
                </c:pt>
                <c:pt idx="5">
                  <c:v>374</c:v>
                </c:pt>
                <c:pt idx="6">
                  <c:v>437</c:v>
                </c:pt>
                <c:pt idx="7">
                  <c:v>437</c:v>
                </c:pt>
                <c:pt idx="8">
                  <c:v>472</c:v>
                </c:pt>
                <c:pt idx="9">
                  <c:v>468</c:v>
                </c:pt>
                <c:pt idx="10">
                  <c:v>512</c:v>
                </c:pt>
                <c:pt idx="11">
                  <c:v>608</c:v>
                </c:pt>
                <c:pt idx="12">
                  <c:v>653</c:v>
                </c:pt>
                <c:pt idx="13">
                  <c:v>654</c:v>
                </c:pt>
                <c:pt idx="14">
                  <c:v>577</c:v>
                </c:pt>
                <c:pt idx="15">
                  <c:v>623</c:v>
                </c:pt>
                <c:pt idx="16">
                  <c:v>616</c:v>
                </c:pt>
                <c:pt idx="17">
                  <c:v>526</c:v>
                </c:pt>
                <c:pt idx="18">
                  <c:v>310</c:v>
                </c:pt>
                <c:pt idx="19">
                  <c:v>96</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53104"/>
        <c:axId val="463152712"/>
      </c:barChart>
      <c:catAx>
        <c:axId val="463155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2320"/>
        <c:crosses val="autoZero"/>
        <c:auto val="1"/>
        <c:lblAlgn val="ctr"/>
        <c:lblOffset val="100"/>
        <c:noMultiLvlLbl val="0"/>
      </c:catAx>
      <c:valAx>
        <c:axId val="4631523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5064"/>
        <c:crosses val="autoZero"/>
        <c:crossBetween val="between"/>
        <c:majorUnit val="250"/>
      </c:valAx>
      <c:valAx>
        <c:axId val="4631527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3104"/>
        <c:crosses val="max"/>
        <c:crossBetween val="between"/>
        <c:majorUnit val="250"/>
      </c:valAx>
      <c:catAx>
        <c:axId val="463153104"/>
        <c:scaling>
          <c:orientation val="minMax"/>
        </c:scaling>
        <c:delete val="1"/>
        <c:axPos val="l"/>
        <c:numFmt formatCode="General" sourceLinked="1"/>
        <c:majorTickMark val="out"/>
        <c:minorTickMark val="none"/>
        <c:tickLblPos val="nextTo"/>
        <c:crossAx val="4631527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小林小学校区</c:v>
                </c:pt>
              </c:strCache>
            </c:strRef>
          </c:cat>
          <c:val>
            <c:numRef>
              <c:f>管理者用地域特徴シート!$H$3:$H$5</c:f>
              <c:numCache>
                <c:formatCode>0.0%</c:formatCode>
                <c:ptCount val="3"/>
                <c:pt idx="0">
                  <c:v>0.46108733927332846</c:v>
                </c:pt>
                <c:pt idx="1">
                  <c:v>0.52369717940652194</c:v>
                </c:pt>
                <c:pt idx="2">
                  <c:v>0.49049833262881032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8544144"/>
        <c:axId val="398545712"/>
      </c:barChart>
      <c:catAx>
        <c:axId val="398544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5712"/>
        <c:crosses val="autoZero"/>
        <c:auto val="1"/>
        <c:lblAlgn val="ctr"/>
        <c:lblOffset val="100"/>
        <c:noMultiLvlLbl val="0"/>
      </c:catAx>
      <c:valAx>
        <c:axId val="398545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4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小林小学校区</c:v>
                </c:pt>
              </c:strCache>
            </c:strRef>
          </c:cat>
          <c:val>
            <c:numRef>
              <c:f>管理者用地域特徴シート!$J$3:$J$5</c:f>
              <c:numCache>
                <c:formatCode>0.0%</c:formatCode>
                <c:ptCount val="3"/>
                <c:pt idx="0">
                  <c:v>0.15075281438403673</c:v>
                </c:pt>
                <c:pt idx="1">
                  <c:v>0.1831812939079375</c:v>
                </c:pt>
                <c:pt idx="2">
                  <c:v>0.18372082100418013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550808"/>
        <c:axId val="398548848"/>
      </c:barChart>
      <c:catAx>
        <c:axId val="398550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8848"/>
        <c:crosses val="autoZero"/>
        <c:auto val="1"/>
        <c:lblAlgn val="ctr"/>
        <c:lblOffset val="100"/>
        <c:noMultiLvlLbl val="0"/>
      </c:catAx>
      <c:valAx>
        <c:axId val="398548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50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小林小学校区</c:v>
                </c:pt>
              </c:strCache>
            </c:strRef>
          </c:cat>
          <c:val>
            <c:numRef>
              <c:f>管理者用地域特徴シート!$P$3:$P$5</c:f>
              <c:numCache>
                <c:formatCode>0.0%</c:formatCode>
                <c:ptCount val="3"/>
                <c:pt idx="0">
                  <c:v>0.34758352842621743</c:v>
                </c:pt>
                <c:pt idx="1">
                  <c:v>0.33377604762995189</c:v>
                </c:pt>
                <c:pt idx="2">
                  <c:v>0.37198551474392139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547280"/>
        <c:axId val="398548456"/>
      </c:barChart>
      <c:catAx>
        <c:axId val="398547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8456"/>
        <c:crosses val="autoZero"/>
        <c:auto val="1"/>
        <c:lblAlgn val="ctr"/>
        <c:lblOffset val="100"/>
        <c:noMultiLvlLbl val="0"/>
      </c:catAx>
      <c:valAx>
        <c:axId val="398548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7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小林小学校区</c:v>
                </c:pt>
              </c:strCache>
            </c:strRef>
          </c:cat>
          <c:val>
            <c:numRef>
              <c:f>管理者用地域特徴シート!$AO$3:$AO$5</c:f>
              <c:numCache>
                <c:formatCode>0.0%</c:formatCode>
                <c:ptCount val="3"/>
                <c:pt idx="0">
                  <c:v>0.5259093009439566</c:v>
                </c:pt>
                <c:pt idx="1">
                  <c:v>0.53970016657412545</c:v>
                </c:pt>
                <c:pt idx="2">
                  <c:v>0.53393065422542674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548064"/>
        <c:axId val="398546104"/>
      </c:barChart>
      <c:catAx>
        <c:axId val="398548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6104"/>
        <c:crosses val="autoZero"/>
        <c:auto val="1"/>
        <c:lblAlgn val="ctr"/>
        <c:lblOffset val="100"/>
        <c:noMultiLvlLbl val="0"/>
      </c:catAx>
      <c:valAx>
        <c:axId val="398546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8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小林小学校区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0.10888111950323376</c:v>
                </c:pt>
                <c:pt idx="1">
                  <c:v>1.8682110544716962E-4</c:v>
                </c:pt>
                <c:pt idx="2">
                  <c:v>0</c:v>
                </c:pt>
                <c:pt idx="3">
                  <c:v>7.9016431361036227E-2</c:v>
                </c:pt>
                <c:pt idx="4">
                  <c:v>0.12213652174686628</c:v>
                </c:pt>
                <c:pt idx="5">
                  <c:v>1.4678801142277615E-3</c:v>
                </c:pt>
                <c:pt idx="6">
                  <c:v>2.2507495084825675E-3</c:v>
                </c:pt>
                <c:pt idx="7">
                  <c:v>2.8290053110571405E-2</c:v>
                </c:pt>
                <c:pt idx="8">
                  <c:v>0.14715275739055397</c:v>
                </c:pt>
                <c:pt idx="9">
                  <c:v>1.6395776063768269E-2</c:v>
                </c:pt>
                <c:pt idx="10">
                  <c:v>7.9354488599464434E-3</c:v>
                </c:pt>
                <c:pt idx="11">
                  <c:v>1.9206988888592343E-2</c:v>
                </c:pt>
                <c:pt idx="12">
                  <c:v>5.0557349631250713E-2</c:v>
                </c:pt>
                <c:pt idx="13">
                  <c:v>3.6892720204257747E-2</c:v>
                </c:pt>
                <c:pt idx="14">
                  <c:v>4.7052229843337151E-2</c:v>
                </c:pt>
                <c:pt idx="15">
                  <c:v>0.20141984040139846</c:v>
                </c:pt>
                <c:pt idx="16">
                  <c:v>1.7232022916722267E-2</c:v>
                </c:pt>
                <c:pt idx="17">
                  <c:v>5.1909578584963569E-2</c:v>
                </c:pt>
                <c:pt idx="18">
                  <c:v>5.0993265543960789E-2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547672"/>
        <c:axId val="398545320"/>
      </c:barChart>
      <c:catAx>
        <c:axId val="39854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5320"/>
        <c:crosses val="autoZero"/>
        <c:auto val="1"/>
        <c:lblAlgn val="ctr"/>
        <c:lblOffset val="100"/>
        <c:noMultiLvlLbl val="0"/>
      </c:catAx>
      <c:valAx>
        <c:axId val="3985453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7672"/>
        <c:crosses val="autoZero"/>
        <c:crossBetween val="between"/>
      </c:valAx>
      <c:spPr>
        <a:noFill/>
        <a:ln>
          <a:noFill/>
        </a:ln>
        <a:effectLst/>
      </c:spPr>
    </c:plotArea>
    <c:legend>
      <c:legendPos val="b"/>
      <c:layout>
        <c:manualLayout>
          <c:xMode val="edge"/>
          <c:yMode val="edge"/>
          <c:x val="0.5476894754352889"/>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小林小学校区</c:v>
                </c:pt>
              </c:strCache>
            </c:strRef>
          </c:cat>
          <c:val>
            <c:numRef>
              <c:f>管理者用地域特徴シート!$CK$3:$CK$5</c:f>
              <c:numCache>
                <c:formatCode>0.0%</c:formatCode>
                <c:ptCount val="3"/>
                <c:pt idx="0">
                  <c:v>0.82747216160708559</c:v>
                </c:pt>
                <c:pt idx="1">
                  <c:v>0.8212977744389145</c:v>
                </c:pt>
                <c:pt idx="2">
                  <c:v>0.81013637940697636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546888"/>
        <c:axId val="398549240"/>
      </c:barChart>
      <c:catAx>
        <c:axId val="398546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9240"/>
        <c:crosses val="autoZero"/>
        <c:auto val="1"/>
        <c:lblAlgn val="ctr"/>
        <c:lblOffset val="100"/>
        <c:noMultiLvlLbl val="0"/>
      </c:catAx>
      <c:valAx>
        <c:axId val="398549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6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0.32</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40608"/>
        <c:axId val="397743744"/>
      </c:barChart>
      <c:catAx>
        <c:axId val="39774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3744"/>
        <c:crosses val="autoZero"/>
        <c:auto val="1"/>
        <c:lblAlgn val="ctr"/>
        <c:lblOffset val="100"/>
        <c:noMultiLvlLbl val="0"/>
      </c:catAx>
      <c:valAx>
        <c:axId val="397743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0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0.18</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46096"/>
        <c:axId val="397746488"/>
      </c:barChart>
      <c:catAx>
        <c:axId val="39774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6488"/>
        <c:crosses val="autoZero"/>
        <c:auto val="1"/>
        <c:lblAlgn val="ctr"/>
        <c:lblOffset val="100"/>
        <c:noMultiLvlLbl val="0"/>
      </c:catAx>
      <c:valAx>
        <c:axId val="397746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46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8EF-4EF7-A0D4-E9A3D0EF8EAE}"/>
                </c:ext>
                <c:ext xmlns:c15="http://schemas.microsoft.com/office/drawing/2012/chart" uri="{CE6537A1-D6FC-4f65-9D91-7224C49458BB}"/>
              </c:extLst>
            </c:dLbl>
            <c:dLbl>
              <c:idx val="20"/>
              <c:layout>
                <c:manualLayout>
                  <c:x val="-4.022887331085055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EF-4EF7-A0D4-E9A3D0EF8E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306</c:v>
                </c:pt>
                <c:pt idx="1">
                  <c:v>305</c:v>
                </c:pt>
                <c:pt idx="2">
                  <c:v>303</c:v>
                </c:pt>
                <c:pt idx="3">
                  <c:v>340</c:v>
                </c:pt>
                <c:pt idx="4">
                  <c:v>198</c:v>
                </c:pt>
                <c:pt idx="5">
                  <c:v>288</c:v>
                </c:pt>
                <c:pt idx="6">
                  <c:v>338</c:v>
                </c:pt>
                <c:pt idx="7">
                  <c:v>346</c:v>
                </c:pt>
                <c:pt idx="8">
                  <c:v>304</c:v>
                </c:pt>
                <c:pt idx="9">
                  <c:v>368</c:v>
                </c:pt>
                <c:pt idx="10">
                  <c:v>415</c:v>
                </c:pt>
                <c:pt idx="11">
                  <c:v>505</c:v>
                </c:pt>
                <c:pt idx="12">
                  <c:v>478</c:v>
                </c:pt>
                <c:pt idx="13">
                  <c:v>377</c:v>
                </c:pt>
                <c:pt idx="14">
                  <c:v>319</c:v>
                </c:pt>
                <c:pt idx="15">
                  <c:v>380</c:v>
                </c:pt>
                <c:pt idx="16">
                  <c:v>243</c:v>
                </c:pt>
                <c:pt idx="17">
                  <c:v>125</c:v>
                </c:pt>
                <c:pt idx="18">
                  <c:v>39</c:v>
                </c:pt>
                <c:pt idx="19">
                  <c:v>13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449968"/>
        <c:axId val="398457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292</c:v>
                </c:pt>
                <c:pt idx="1">
                  <c:v>305</c:v>
                </c:pt>
                <c:pt idx="2">
                  <c:v>324</c:v>
                </c:pt>
                <c:pt idx="3">
                  <c:v>356</c:v>
                </c:pt>
                <c:pt idx="4">
                  <c:v>202</c:v>
                </c:pt>
                <c:pt idx="5">
                  <c:v>318</c:v>
                </c:pt>
                <c:pt idx="6">
                  <c:v>401</c:v>
                </c:pt>
                <c:pt idx="7">
                  <c:v>382</c:v>
                </c:pt>
                <c:pt idx="8">
                  <c:v>345</c:v>
                </c:pt>
                <c:pt idx="9">
                  <c:v>404</c:v>
                </c:pt>
                <c:pt idx="10">
                  <c:v>461</c:v>
                </c:pt>
                <c:pt idx="11">
                  <c:v>495</c:v>
                </c:pt>
                <c:pt idx="12">
                  <c:v>550</c:v>
                </c:pt>
                <c:pt idx="13">
                  <c:v>452</c:v>
                </c:pt>
                <c:pt idx="14">
                  <c:v>476</c:v>
                </c:pt>
                <c:pt idx="15">
                  <c:v>464</c:v>
                </c:pt>
                <c:pt idx="16">
                  <c:v>405</c:v>
                </c:pt>
                <c:pt idx="17">
                  <c:v>293</c:v>
                </c:pt>
                <c:pt idx="18">
                  <c:v>142</c:v>
                </c:pt>
                <c:pt idx="19">
                  <c:v>65</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450360"/>
        <c:axId val="398453104"/>
      </c:barChart>
      <c:catAx>
        <c:axId val="398449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7024"/>
        <c:crosses val="autoZero"/>
        <c:auto val="1"/>
        <c:lblAlgn val="ctr"/>
        <c:lblOffset val="100"/>
        <c:noMultiLvlLbl val="0"/>
      </c:catAx>
      <c:valAx>
        <c:axId val="398457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9968"/>
        <c:crosses val="autoZero"/>
        <c:crossBetween val="between"/>
        <c:majorUnit val="150"/>
      </c:valAx>
      <c:valAx>
        <c:axId val="3984531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0360"/>
        <c:crosses val="max"/>
        <c:crossBetween val="between"/>
        <c:majorUnit val="150"/>
      </c:valAx>
      <c:catAx>
        <c:axId val="398450360"/>
        <c:scaling>
          <c:orientation val="minMax"/>
        </c:scaling>
        <c:delete val="1"/>
        <c:axPos val="l"/>
        <c:numFmt formatCode="General" sourceLinked="1"/>
        <c:majorTickMark val="out"/>
        <c:minorTickMark val="none"/>
        <c:tickLblPos val="nextTo"/>
        <c:crossAx val="398453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5990</c:v>
                </c:pt>
                <c:pt idx="1">
                  <c:v>5773</c:v>
                </c:pt>
                <c:pt idx="2">
                  <c:v>5601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7142</c:v>
                </c:pt>
                <c:pt idx="1">
                  <c:v>6845</c:v>
                </c:pt>
                <c:pt idx="2">
                  <c:v>6478</c:v>
                </c:pt>
              </c:numCache>
            </c:numRef>
          </c:val>
          <c:extLst xmlns:c16r2="http://schemas.microsoft.com/office/drawing/2015/06/chart">
            <c:ext xmlns:c16="http://schemas.microsoft.com/office/drawing/2014/chart" uri="{C3380CC4-5D6E-409C-BE32-E72D297353CC}">
              <c16:uniqueId val="{00000000-85DC-48B1-ADCD-CB2903291CC2}"/>
            </c:ext>
          </c:extLst>
        </c:ser>
        <c:dLbls>
          <c:showLegendKey val="0"/>
          <c:showVal val="0"/>
          <c:showCatName val="0"/>
          <c:showSerName val="0"/>
          <c:showPercent val="0"/>
          <c:showBubbleSize val="0"/>
        </c:dLbls>
        <c:gapWidth val="219"/>
        <c:overlap val="100"/>
        <c:axId val="398452320"/>
        <c:axId val="3984507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5DC-48B1-ADCD-CB2903291CC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13132</c:v>
                </c:pt>
                <c:pt idx="1">
                  <c:v>12618</c:v>
                </c:pt>
                <c:pt idx="2">
                  <c:v>12079</c:v>
                </c:pt>
              </c:numCache>
            </c:numRef>
          </c:val>
          <c:smooth val="0"/>
          <c:extLst xmlns:c16r2="http://schemas.microsoft.com/office/drawing/2015/06/chart">
            <c:ext xmlns:c16="http://schemas.microsoft.com/office/drawing/2014/chart" uri="{C3380CC4-5D6E-409C-BE32-E72D297353CC}">
              <c16:uniqueId val="{00000002-85DC-48B1-ADCD-CB2903291CC2}"/>
            </c:ext>
          </c:extLst>
        </c:ser>
        <c:dLbls>
          <c:showLegendKey val="0"/>
          <c:showVal val="0"/>
          <c:showCatName val="0"/>
          <c:showSerName val="0"/>
          <c:showPercent val="0"/>
          <c:showBubbleSize val="0"/>
        </c:dLbls>
        <c:marker val="1"/>
        <c:smooth val="0"/>
        <c:axId val="398452320"/>
        <c:axId val="398450752"/>
      </c:lineChart>
      <c:catAx>
        <c:axId val="398452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0752"/>
        <c:crosses val="autoZero"/>
        <c:auto val="1"/>
        <c:lblAlgn val="ctr"/>
        <c:lblOffset val="100"/>
        <c:noMultiLvlLbl val="0"/>
      </c:catAx>
      <c:valAx>
        <c:axId val="398450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23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6352402035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79-4139-A938-371E940192EE}"/>
                </c:ext>
                <c:ext xmlns:c15="http://schemas.microsoft.com/office/drawing/2012/chart" uri="{CE6537A1-D6FC-4f65-9D91-7224C49458BB}"/>
              </c:extLst>
            </c:dLbl>
            <c:dLbl>
              <c:idx val="20"/>
              <c:layout>
                <c:manualLayout>
                  <c:x val="-3.2416273855229317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79-4139-A938-371E940192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263</c:v>
                </c:pt>
                <c:pt idx="1">
                  <c:v>289</c:v>
                </c:pt>
                <c:pt idx="2">
                  <c:v>297</c:v>
                </c:pt>
                <c:pt idx="3">
                  <c:v>321</c:v>
                </c:pt>
                <c:pt idx="4">
                  <c:v>152</c:v>
                </c:pt>
                <c:pt idx="5">
                  <c:v>223</c:v>
                </c:pt>
                <c:pt idx="6">
                  <c:v>286</c:v>
                </c:pt>
                <c:pt idx="7">
                  <c:v>318</c:v>
                </c:pt>
                <c:pt idx="8">
                  <c:v>325</c:v>
                </c:pt>
                <c:pt idx="9">
                  <c:v>340</c:v>
                </c:pt>
                <c:pt idx="10">
                  <c:v>294</c:v>
                </c:pt>
                <c:pt idx="11">
                  <c:v>351</c:v>
                </c:pt>
                <c:pt idx="12">
                  <c:v>387</c:v>
                </c:pt>
                <c:pt idx="13">
                  <c:v>461</c:v>
                </c:pt>
                <c:pt idx="14">
                  <c:v>441</c:v>
                </c:pt>
                <c:pt idx="15">
                  <c:v>321</c:v>
                </c:pt>
                <c:pt idx="16">
                  <c:v>235</c:v>
                </c:pt>
                <c:pt idx="17">
                  <c:v>209</c:v>
                </c:pt>
                <c:pt idx="18">
                  <c:v>73</c:v>
                </c:pt>
                <c:pt idx="19">
                  <c:v>15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451928"/>
        <c:axId val="3984558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231</c:v>
                </c:pt>
                <c:pt idx="1">
                  <c:v>268</c:v>
                </c:pt>
                <c:pt idx="2">
                  <c:v>288</c:v>
                </c:pt>
                <c:pt idx="3">
                  <c:v>282</c:v>
                </c:pt>
                <c:pt idx="4">
                  <c:v>192</c:v>
                </c:pt>
                <c:pt idx="5">
                  <c:v>234</c:v>
                </c:pt>
                <c:pt idx="6">
                  <c:v>262</c:v>
                </c:pt>
                <c:pt idx="7">
                  <c:v>336</c:v>
                </c:pt>
                <c:pt idx="8">
                  <c:v>374</c:v>
                </c:pt>
                <c:pt idx="9">
                  <c:v>367</c:v>
                </c:pt>
                <c:pt idx="10">
                  <c:v>347</c:v>
                </c:pt>
                <c:pt idx="11">
                  <c:v>390</c:v>
                </c:pt>
                <c:pt idx="12">
                  <c:v>461</c:v>
                </c:pt>
                <c:pt idx="13">
                  <c:v>487</c:v>
                </c:pt>
                <c:pt idx="14">
                  <c:v>525</c:v>
                </c:pt>
                <c:pt idx="15">
                  <c:v>408</c:v>
                </c:pt>
                <c:pt idx="16">
                  <c:v>394</c:v>
                </c:pt>
                <c:pt idx="17">
                  <c:v>322</c:v>
                </c:pt>
                <c:pt idx="18">
                  <c:v>214</c:v>
                </c:pt>
                <c:pt idx="19">
                  <c:v>78</c:v>
                </c:pt>
                <c:pt idx="20">
                  <c:v>18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455456"/>
        <c:axId val="398452712"/>
      </c:barChart>
      <c:catAx>
        <c:axId val="398451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5848"/>
        <c:crosses val="autoZero"/>
        <c:auto val="1"/>
        <c:lblAlgn val="ctr"/>
        <c:lblOffset val="100"/>
        <c:noMultiLvlLbl val="0"/>
      </c:catAx>
      <c:valAx>
        <c:axId val="39845584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1928"/>
        <c:crosses val="autoZero"/>
        <c:crossBetween val="between"/>
        <c:majorUnit val="150"/>
      </c:valAx>
      <c:valAx>
        <c:axId val="3984527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5456"/>
        <c:crosses val="max"/>
        <c:crossBetween val="between"/>
        <c:majorUnit val="150"/>
      </c:valAx>
      <c:catAx>
        <c:axId val="398455456"/>
        <c:scaling>
          <c:orientation val="minMax"/>
        </c:scaling>
        <c:delete val="1"/>
        <c:axPos val="l"/>
        <c:numFmt formatCode="General" sourceLinked="1"/>
        <c:majorTickMark val="out"/>
        <c:minorTickMark val="none"/>
        <c:tickLblPos val="nextTo"/>
        <c:crossAx val="398452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0E9-448F-AAD5-6E4998F722E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0E9-448F-AAD5-6E4998F722E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0E9-448F-AAD5-6E4998F722E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E9-448F-AAD5-6E4998F722E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0E9-448F-AAD5-6E4998F722E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5990</c:v>
                </c:pt>
                <c:pt idx="1">
                  <c:v>5773</c:v>
                </c:pt>
                <c:pt idx="2">
                  <c:v>5601</c:v>
                </c:pt>
                <c:pt idx="3">
                  <c:v>5291</c:v>
                </c:pt>
                <c:pt idx="4">
                  <c:v>4976</c:v>
                </c:pt>
                <c:pt idx="5">
                  <c:v>4658</c:v>
                </c:pt>
                <c:pt idx="6">
                  <c:v>4320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0E9-448F-AAD5-6E4998F722E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0E9-448F-AAD5-6E4998F722E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0E9-448F-AAD5-6E4998F722E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7142</c:v>
                </c:pt>
                <c:pt idx="1">
                  <c:v>6845</c:v>
                </c:pt>
                <c:pt idx="2">
                  <c:v>6478</c:v>
                </c:pt>
                <c:pt idx="3">
                  <c:v>6072</c:v>
                </c:pt>
                <c:pt idx="4">
                  <c:v>5654</c:v>
                </c:pt>
                <c:pt idx="5">
                  <c:v>5245</c:v>
                </c:pt>
                <c:pt idx="6">
                  <c:v>4841</c:v>
                </c:pt>
              </c:numCache>
            </c:numRef>
          </c:val>
          <c:extLst xmlns:c16r2="http://schemas.microsoft.com/office/drawing/2015/06/chart">
            <c:ext xmlns:c16="http://schemas.microsoft.com/office/drawing/2014/chart" uri="{C3380CC4-5D6E-409C-BE32-E72D297353CC}">
              <c16:uniqueId val="{00000010-20E9-448F-AAD5-6E4998F722EA}"/>
            </c:ext>
          </c:extLst>
        </c:ser>
        <c:dLbls>
          <c:showLegendKey val="0"/>
          <c:showVal val="0"/>
          <c:showCatName val="0"/>
          <c:showSerName val="0"/>
          <c:showPercent val="0"/>
          <c:showBubbleSize val="0"/>
        </c:dLbls>
        <c:gapWidth val="219"/>
        <c:overlap val="100"/>
        <c:axId val="398453888"/>
        <c:axId val="3984542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13132</c:v>
                </c:pt>
                <c:pt idx="1">
                  <c:v>12618</c:v>
                </c:pt>
                <c:pt idx="2">
                  <c:v>12079</c:v>
                </c:pt>
                <c:pt idx="3">
                  <c:v>11363</c:v>
                </c:pt>
                <c:pt idx="4">
                  <c:v>10630</c:v>
                </c:pt>
                <c:pt idx="5">
                  <c:v>9903</c:v>
                </c:pt>
                <c:pt idx="6">
                  <c:v>9161</c:v>
                </c:pt>
              </c:numCache>
            </c:numRef>
          </c:val>
          <c:smooth val="0"/>
          <c:extLst xmlns:c16r2="http://schemas.microsoft.com/office/drawing/2015/06/chart">
            <c:ext xmlns:c16="http://schemas.microsoft.com/office/drawing/2014/chart" uri="{C3380CC4-5D6E-409C-BE32-E72D297353CC}">
              <c16:uniqueId val="{00000011-20E9-448F-AAD5-6E4998F722EA}"/>
            </c:ext>
          </c:extLst>
        </c:ser>
        <c:dLbls>
          <c:showLegendKey val="0"/>
          <c:showVal val="0"/>
          <c:showCatName val="0"/>
          <c:showSerName val="0"/>
          <c:showPercent val="0"/>
          <c:showBubbleSize val="0"/>
        </c:dLbls>
        <c:marker val="1"/>
        <c:smooth val="0"/>
        <c:axId val="398453888"/>
        <c:axId val="398454280"/>
      </c:lineChart>
      <c:catAx>
        <c:axId val="398453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4280"/>
        <c:crosses val="autoZero"/>
        <c:auto val="1"/>
        <c:lblAlgn val="ctr"/>
        <c:lblOffset val="100"/>
        <c:noMultiLvlLbl val="0"/>
      </c:catAx>
      <c:valAx>
        <c:axId val="398454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38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742</c:v>
                </c:pt>
                <c:pt idx="1">
                  <c:v>724</c:v>
                </c:pt>
                <c:pt idx="2">
                  <c:v>685</c:v>
                </c:pt>
                <c:pt idx="3">
                  <c:v>621</c:v>
                </c:pt>
                <c:pt idx="4">
                  <c:v>548</c:v>
                </c:pt>
                <c:pt idx="5">
                  <c:v>499</c:v>
                </c:pt>
                <c:pt idx="6">
                  <c:v>472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455064"/>
        <c:axId val="398456632"/>
      </c:barChart>
      <c:catAx>
        <c:axId val="398455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6632"/>
        <c:crosses val="autoZero"/>
        <c:auto val="1"/>
        <c:lblAlgn val="ctr"/>
        <c:lblOffset val="100"/>
        <c:noMultiLvlLbl val="0"/>
      </c:catAx>
      <c:valAx>
        <c:axId val="398456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5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7" t="s">
        <v>322</v>
      </c>
      <c r="B8" s="267"/>
      <c r="C8" s="267"/>
      <c r="D8" s="267"/>
      <c r="E8" s="267"/>
      <c r="F8" s="267"/>
      <c r="G8" s="267"/>
      <c r="H8" s="267"/>
      <c r="I8" s="267"/>
      <c r="J8" s="267"/>
    </row>
    <row r="9" spans="1:10" x14ac:dyDescent="0.15">
      <c r="A9" s="270" t="s">
        <v>357</v>
      </c>
      <c r="B9" s="270"/>
      <c r="C9" s="270"/>
      <c r="D9" s="270"/>
      <c r="E9" s="270"/>
      <c r="F9" s="270"/>
      <c r="G9" s="270"/>
      <c r="H9" s="270"/>
      <c r="I9" s="270"/>
      <c r="J9" s="270"/>
    </row>
    <row r="10" spans="1:10" x14ac:dyDescent="0.15">
      <c r="A10" s="270"/>
      <c r="B10" s="270"/>
      <c r="C10" s="270"/>
      <c r="D10" s="270"/>
      <c r="E10" s="270"/>
      <c r="F10" s="270"/>
      <c r="G10" s="270"/>
      <c r="H10" s="270"/>
      <c r="I10" s="270"/>
      <c r="J10" s="270"/>
    </row>
    <row r="11" spans="1:10" x14ac:dyDescent="0.15">
      <c r="A11" s="270"/>
      <c r="B11" s="270"/>
      <c r="C11" s="270"/>
      <c r="D11" s="270"/>
      <c r="E11" s="270"/>
      <c r="F11" s="270"/>
      <c r="G11" s="270"/>
      <c r="H11" s="270"/>
      <c r="I11" s="270"/>
      <c r="J11" s="270"/>
    </row>
    <row r="12" spans="1:10" x14ac:dyDescent="0.15">
      <c r="A12" s="270"/>
      <c r="B12" s="270"/>
      <c r="C12" s="270"/>
      <c r="D12" s="270"/>
      <c r="E12" s="270"/>
      <c r="F12" s="270"/>
      <c r="G12" s="270"/>
      <c r="H12" s="270"/>
      <c r="I12" s="270"/>
      <c r="J12" s="270"/>
    </row>
    <row r="15" spans="1:10" ht="18.75" customHeight="1" x14ac:dyDescent="0.15">
      <c r="A15" s="268" t="str">
        <f>管理者入力シート!B4</f>
        <v>小林小学校区</v>
      </c>
      <c r="B15" s="268"/>
      <c r="C15" s="268"/>
      <c r="D15" s="268"/>
      <c r="E15" s="268"/>
      <c r="F15" s="268"/>
      <c r="G15" s="268"/>
      <c r="H15" s="268"/>
      <c r="I15" s="268"/>
      <c r="J15" s="268"/>
    </row>
    <row r="16" spans="1:10" ht="18.75" customHeight="1" x14ac:dyDescent="0.15">
      <c r="A16" s="268"/>
      <c r="B16" s="268"/>
      <c r="C16" s="268"/>
      <c r="D16" s="268"/>
      <c r="E16" s="268"/>
      <c r="F16" s="268"/>
      <c r="G16" s="268"/>
      <c r="H16" s="268"/>
      <c r="I16" s="268"/>
      <c r="J16" s="268"/>
    </row>
    <row r="19" spans="1:10" ht="18.75" customHeight="1" x14ac:dyDescent="0.15">
      <c r="A19" s="269" t="s">
        <v>358</v>
      </c>
      <c r="B19" s="269"/>
      <c r="C19" s="269"/>
      <c r="D19" s="269"/>
      <c r="E19" s="269"/>
      <c r="F19" s="269"/>
      <c r="G19" s="269"/>
      <c r="H19" s="269"/>
      <c r="I19" s="269"/>
      <c r="J19" s="269"/>
    </row>
    <row r="20" spans="1:10" x14ac:dyDescent="0.15">
      <c r="A20" s="269"/>
      <c r="B20" s="269"/>
      <c r="C20" s="269"/>
      <c r="D20" s="269"/>
      <c r="E20" s="269"/>
      <c r="F20" s="269"/>
      <c r="G20" s="269"/>
      <c r="H20" s="269"/>
      <c r="I20" s="269"/>
      <c r="J20" s="269"/>
    </row>
    <row r="21" spans="1:10" x14ac:dyDescent="0.15">
      <c r="A21" s="269"/>
      <c r="B21" s="269"/>
      <c r="C21" s="269"/>
      <c r="D21" s="269"/>
      <c r="E21" s="269"/>
      <c r="F21" s="269"/>
      <c r="G21" s="269"/>
      <c r="H21" s="269"/>
      <c r="I21" s="269"/>
      <c r="J21" s="269"/>
    </row>
    <row r="22" spans="1:10" x14ac:dyDescent="0.15">
      <c r="A22" s="269"/>
      <c r="B22" s="269"/>
      <c r="C22" s="269"/>
      <c r="D22" s="269"/>
      <c r="E22" s="269"/>
      <c r="F22" s="269"/>
      <c r="G22" s="269"/>
      <c r="H22" s="269"/>
      <c r="I22" s="269"/>
      <c r="J22" s="269"/>
    </row>
    <row r="23" spans="1:10" x14ac:dyDescent="0.15">
      <c r="A23" s="269"/>
      <c r="B23" s="269"/>
      <c r="C23" s="269"/>
      <c r="D23" s="269"/>
      <c r="E23" s="269"/>
      <c r="F23" s="269"/>
      <c r="G23" s="269"/>
      <c r="H23" s="269"/>
      <c r="I23" s="269"/>
      <c r="J23" s="269"/>
    </row>
    <row r="24" spans="1:10" x14ac:dyDescent="0.15">
      <c r="A24" s="269"/>
      <c r="B24" s="269"/>
      <c r="C24" s="269"/>
      <c r="D24" s="269"/>
      <c r="E24" s="269"/>
      <c r="F24" s="269"/>
      <c r="G24" s="269"/>
      <c r="H24" s="269"/>
      <c r="I24" s="269"/>
      <c r="J24" s="269"/>
    </row>
    <row r="25" spans="1:10" x14ac:dyDescent="0.15">
      <c r="A25" s="269"/>
      <c r="B25" s="269"/>
      <c r="C25" s="269"/>
      <c r="D25" s="269"/>
      <c r="E25" s="269"/>
      <c r="F25" s="269"/>
      <c r="G25" s="269"/>
      <c r="H25" s="269"/>
      <c r="I25" s="269"/>
      <c r="J25" s="269"/>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0" t="s">
        <v>127</v>
      </c>
      <c r="B1" s="351" t="s">
        <v>128</v>
      </c>
      <c r="C1" s="353" t="s">
        <v>129</v>
      </c>
      <c r="D1" s="355" t="s">
        <v>130</v>
      </c>
      <c r="E1" s="355"/>
      <c r="F1" s="355"/>
      <c r="G1" s="355"/>
      <c r="H1" s="355"/>
      <c r="I1" s="355"/>
      <c r="J1" s="355"/>
      <c r="K1" s="332" t="s">
        <v>131</v>
      </c>
      <c r="L1" s="332"/>
      <c r="M1" s="332"/>
      <c r="N1" s="332"/>
      <c r="O1" s="332"/>
      <c r="P1" s="332"/>
      <c r="Q1" s="332"/>
      <c r="R1" s="356" t="s">
        <v>132</v>
      </c>
      <c r="S1" s="357"/>
      <c r="T1" s="357"/>
      <c r="U1" s="357"/>
      <c r="V1" s="357"/>
      <c r="W1" s="357"/>
      <c r="X1" s="357"/>
      <c r="Y1" s="357"/>
      <c r="Z1" s="357"/>
      <c r="AA1" s="357"/>
      <c r="AB1" s="357"/>
      <c r="AC1" s="357"/>
      <c r="AD1" s="357"/>
      <c r="AE1" s="357"/>
      <c r="AF1" s="357"/>
      <c r="AG1" s="357"/>
      <c r="AH1" s="357"/>
      <c r="AI1" s="357"/>
      <c r="AJ1" s="357"/>
      <c r="AK1" s="357"/>
      <c r="AL1" s="357"/>
      <c r="AM1" s="357"/>
      <c r="AN1" s="357"/>
      <c r="AO1" s="358"/>
      <c r="AP1" s="344" t="s">
        <v>133</v>
      </c>
      <c r="AQ1" s="345"/>
      <c r="AR1" s="345"/>
      <c r="AS1" s="345"/>
      <c r="AT1" s="345"/>
      <c r="AU1" s="345"/>
      <c r="AV1" s="345"/>
      <c r="AW1" s="345"/>
      <c r="AX1" s="345"/>
      <c r="AY1" s="345"/>
      <c r="AZ1" s="345"/>
      <c r="BA1" s="345"/>
      <c r="BB1" s="345"/>
      <c r="BC1" s="345"/>
      <c r="BD1" s="345"/>
      <c r="BE1" s="345"/>
      <c r="BF1" s="345"/>
      <c r="BG1" s="345"/>
      <c r="BH1" s="345"/>
      <c r="BI1" s="345"/>
      <c r="BJ1" s="345"/>
      <c r="BK1" s="345"/>
      <c r="BL1" s="345"/>
      <c r="BM1" s="345"/>
      <c r="BN1" s="345"/>
      <c r="BO1" s="345"/>
      <c r="BP1" s="345"/>
      <c r="BQ1" s="345"/>
      <c r="BR1" s="345"/>
      <c r="BS1" s="345"/>
      <c r="BT1" s="345"/>
      <c r="BU1" s="345"/>
      <c r="BV1" s="345"/>
      <c r="BW1" s="345"/>
      <c r="BX1" s="345"/>
      <c r="BY1" s="345"/>
      <c r="BZ1" s="345"/>
      <c r="CA1" s="345"/>
      <c r="CB1" s="346"/>
      <c r="CC1" s="347" t="s">
        <v>134</v>
      </c>
      <c r="CD1" s="348"/>
      <c r="CE1" s="348"/>
      <c r="CF1" s="348"/>
      <c r="CG1" s="348"/>
      <c r="CH1" s="348"/>
      <c r="CI1" s="348"/>
      <c r="CJ1" s="348"/>
      <c r="CK1" s="348"/>
      <c r="CL1" s="348"/>
      <c r="CM1" s="348"/>
      <c r="CN1" s="348"/>
      <c r="CO1" s="348"/>
      <c r="CP1" s="349"/>
    </row>
    <row r="2" spans="1:94" s="86" customFormat="1" ht="60" x14ac:dyDescent="0.15">
      <c r="A2" s="351"/>
      <c r="B2" s="352"/>
      <c r="C2" s="354"/>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2" t="str">
        <f>B5&amp;"平均"</f>
        <v>小林市平均</v>
      </c>
      <c r="C4" s="262"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45205_9</v>
      </c>
      <c r="B5" s="221" t="str">
        <f>VLOOKUP($A$5,$A$7:$CP$50,2,FALSE)</f>
        <v>小林市</v>
      </c>
      <c r="C5" s="221" t="str">
        <f>VLOOKUP($A$5,$A$7:$CP$50,3,FALSE)</f>
        <v>小林小学校区</v>
      </c>
      <c r="D5" s="206">
        <f>VLOOKUP($A$5,$A$7:$CP$70,4,FALSE)</f>
        <v>5322.75</v>
      </c>
      <c r="E5" s="207">
        <f>VLOOKUP($A$5,$A$7:$CP$70,5,FALSE)</f>
        <v>2610.8000000000002</v>
      </c>
      <c r="F5" s="207">
        <f>VLOOKUP($A$5,$A$7:$CP$70,6,FALSE)</f>
        <v>942.15</v>
      </c>
      <c r="G5" s="208">
        <f>VLOOKUP($A$5,$A$7:$CP$70,7,FALSE)</f>
        <v>977.89999999999986</v>
      </c>
      <c r="H5" s="196">
        <f>VLOOKUP($A$5,$A$7:$CP$70,8,FALSE)</f>
        <v>0.49049833262881032</v>
      </c>
      <c r="I5" s="197">
        <f>VLOOKUP($A$5,$A$7:$CP$70,9,FALSE)</f>
        <v>0.17700436804283501</v>
      </c>
      <c r="J5" s="198">
        <f>VLOOKUP($A$5,$A$7:$CP$70,10,FALSE)</f>
        <v>0.18372082100418013</v>
      </c>
      <c r="K5" s="206">
        <f>VLOOKUP($A$5,$A$7:$CP$70,11,FALSE)</f>
        <v>12081.25</v>
      </c>
      <c r="L5" s="207">
        <f>VLOOKUP($A$5,$A$7:$CP$70,12,FALSE)</f>
        <v>1318.9</v>
      </c>
      <c r="M5" s="207">
        <f>VLOOKUP($A$5,$A$7:$CP$70,13,FALSE)</f>
        <v>4494.05</v>
      </c>
      <c r="N5" s="208">
        <f>VLOOKUP($A$5,$A$7:$CP$70,14,FALSE)</f>
        <v>6173.2</v>
      </c>
      <c r="O5" s="196">
        <f>VLOOKUP($A$5,$A$7:$CP$70,15,FALSE)</f>
        <v>0.10916916709777548</v>
      </c>
      <c r="P5" s="197">
        <f>VLOOKUP($A$5,$A$7:$CP$70,16,FALSE)</f>
        <v>0.37198551474392139</v>
      </c>
      <c r="Q5" s="198">
        <f>VLOOKUP($A$5,$A$7:$CP$70,17,FALSE)</f>
        <v>0.5109736161407139</v>
      </c>
      <c r="R5" s="206">
        <f>VLOOKUP($A$5,$A$7:$CP$70,18,FALSE)</f>
        <v>12081.25</v>
      </c>
      <c r="S5" s="207">
        <f>VLOOKUP($A$5,$A$7:$CP$70,19,FALSE)</f>
        <v>1653.8000000000002</v>
      </c>
      <c r="T5" s="207">
        <f>VLOOKUP($A$5,$A$7:$CP$70,20,FALSE)</f>
        <v>601.9</v>
      </c>
      <c r="U5" s="207">
        <f>VLOOKUP($A$5,$A$7:$CP$70,21,FALSE)</f>
        <v>511.5</v>
      </c>
      <c r="V5" s="207">
        <f>VLOOKUP($A$5,$A$7:$CP$70,22,FALSE)</f>
        <v>62.099999999999994</v>
      </c>
      <c r="W5" s="208">
        <f>VLOOKUP($A$5,$A$7:$CP$70,23,FALSE)</f>
        <v>2829.3</v>
      </c>
      <c r="X5" s="206">
        <f>VLOOKUP($A$5,$A$7:$CP$70,24,FALSE)</f>
        <v>5602.7000000000007</v>
      </c>
      <c r="Y5" s="207">
        <f>VLOOKUP($A$5,$A$7:$CP$70,25,FALSE)</f>
        <v>723.55</v>
      </c>
      <c r="Z5" s="207">
        <f>VLOOKUP($A$5,$A$7:$CP$70,26,FALSE)</f>
        <v>296.89999999999998</v>
      </c>
      <c r="AA5" s="207">
        <f>VLOOKUP($A$5,$A$7:$CP$70,27,FALSE)</f>
        <v>286.35000000000002</v>
      </c>
      <c r="AB5" s="207">
        <f>VLOOKUP($A$5,$A$7:$CP$70,28,FALSE)</f>
        <v>11.849999999999998</v>
      </c>
      <c r="AC5" s="209">
        <f>VLOOKUP($A$5,$A$7:$CP$70,29,FALSE)</f>
        <v>1318.6499999999999</v>
      </c>
      <c r="AD5" s="206">
        <f>VLOOKUP($A$5,$A$7:$CP$70,30,FALSE)</f>
        <v>6478.5499999999993</v>
      </c>
      <c r="AE5" s="207">
        <f>VLOOKUP($A$5,$A$7:$CP$70,31,FALSE)</f>
        <v>930.25</v>
      </c>
      <c r="AF5" s="207">
        <f>VLOOKUP($A$5,$A$7:$CP$70,32,FALSE)</f>
        <v>305</v>
      </c>
      <c r="AG5" s="207">
        <f>VLOOKUP($A$5,$A$7:$CP$70,33,FALSE)</f>
        <v>225.14999999999998</v>
      </c>
      <c r="AH5" s="207">
        <f>VLOOKUP($A$5,$A$7:$CP$70,34,FALSE)</f>
        <v>50.25</v>
      </c>
      <c r="AI5" s="209">
        <f>VLOOKUP($A$5,$A$7:$CP$70,35,FALSE)</f>
        <v>1510.65</v>
      </c>
      <c r="AJ5" s="196">
        <f>VLOOKUP($A$5,$A$7:$CP$70,36,FALSE)</f>
        <v>0.23418934299017075</v>
      </c>
      <c r="AK5" s="197">
        <f>VLOOKUP($A$5,$A$7:$CP$70,37,FALSE)</f>
        <v>0.21273813310712894</v>
      </c>
      <c r="AL5" s="197">
        <f>VLOOKUP($A$5,$A$7:$CP$70,38,FALSE)</f>
        <v>0.18078676704485208</v>
      </c>
      <c r="AM5" s="197">
        <f>VLOOKUP($A$5,$A$7:$CP$70,39,FALSE)</f>
        <v>2.1948891952072946E-2</v>
      </c>
      <c r="AN5" s="200">
        <f>VLOOKUP($A$5,$A$7:$CP$70,40,FALSE)</f>
        <v>0.46606934577457315</v>
      </c>
      <c r="AO5" s="198">
        <f>VLOOKUP($A$5,$A$7:$CP$70,41,FALSE)</f>
        <v>0.53393065422542674</v>
      </c>
      <c r="AP5" s="210">
        <f>VLOOKUP($A$5,$A$7:$CP$70,42,FALSE)</f>
        <v>5620.35</v>
      </c>
      <c r="AQ5" s="207">
        <f>VLOOKUP($A$5,$A$7:$CP$70,43,FALSE)</f>
        <v>611.94999999999993</v>
      </c>
      <c r="AR5" s="207">
        <f>VLOOKUP($A$5,$A$7:$CP$70,44,FALSE)</f>
        <v>1.0499999999999998</v>
      </c>
      <c r="AS5" s="207">
        <f>VLOOKUP($A$5,$A$7:$CP$70,45,FALSE)</f>
        <v>0</v>
      </c>
      <c r="AT5" s="207">
        <f>VLOOKUP($A$5,$A$7:$CP$70,46,FALSE)</f>
        <v>444.09999999999997</v>
      </c>
      <c r="AU5" s="207">
        <f>VLOOKUP($A$5,$A$7:$CP$70,47,FALSE)</f>
        <v>686.44999999999993</v>
      </c>
      <c r="AV5" s="207">
        <f>VLOOKUP($A$5,$A$7:$CP$70,48,FALSE)</f>
        <v>8.25</v>
      </c>
      <c r="AW5" s="207">
        <f>VLOOKUP($A$5,$A$7:$CP$70,49,FALSE)</f>
        <v>12.649999999999999</v>
      </c>
      <c r="AX5" s="207">
        <f>VLOOKUP($A$5,$A$7:$CP$70,50,FALSE)</f>
        <v>159</v>
      </c>
      <c r="AY5" s="207">
        <f>VLOOKUP($A$5,$A$7:$CP$70,51,FALSE)</f>
        <v>827.05000000000007</v>
      </c>
      <c r="AZ5" s="207">
        <f>VLOOKUP($A$5,$A$7:$CP$70,52,FALSE)</f>
        <v>92.149999999999991</v>
      </c>
      <c r="BA5" s="207">
        <f>VLOOKUP($A$5,$A$7:$CP$70,53,FALSE)</f>
        <v>44.599999999999994</v>
      </c>
      <c r="BB5" s="207">
        <f>VLOOKUP($A$5,$A$7:$CP$70,54,FALSE)</f>
        <v>107.94999999999999</v>
      </c>
      <c r="BC5" s="207">
        <f>VLOOKUP($A$5,$A$7:$CP$70,55,FALSE)</f>
        <v>284.14999999999998</v>
      </c>
      <c r="BD5" s="207">
        <f>VLOOKUP($A$5,$A$7:$CP$70,56,FALSE)</f>
        <v>207.35000000000002</v>
      </c>
      <c r="BE5" s="207">
        <f>VLOOKUP($A$5,$A$7:$CP$70,57,FALSE)</f>
        <v>264.45</v>
      </c>
      <c r="BF5" s="207">
        <f>VLOOKUP($A$5,$A$7:$CP$70,58,FALSE)</f>
        <v>1132.05</v>
      </c>
      <c r="BG5" s="207">
        <f>VLOOKUP($A$5,$A$7:$CP$70,59,FALSE)</f>
        <v>96.85</v>
      </c>
      <c r="BH5" s="207">
        <f>VLOOKUP($A$5,$A$7:$CP$70,60,FALSE)</f>
        <v>291.75</v>
      </c>
      <c r="BI5" s="207">
        <f>VLOOKUP($A$5,$A$7:$CP$70,61,FALSE)</f>
        <v>286.60000000000002</v>
      </c>
      <c r="BJ5" s="196">
        <f>VLOOKUP($A$5,$A$7:$CP$70,62,FALSE)</f>
        <v>0.10888111950323376</v>
      </c>
      <c r="BK5" s="197">
        <f>VLOOKUP($A$5,$A$7:$CP$70,63,FALSE)</f>
        <v>1.8682110544716962E-4</v>
      </c>
      <c r="BL5" s="197">
        <f>VLOOKUP($A$5,$A$7:$CP$70,64,FALSE)</f>
        <v>0</v>
      </c>
      <c r="BM5" s="197">
        <f>VLOOKUP($A$5,$A$7:$CP$70,65,FALSE)</f>
        <v>7.9016431361036227E-2</v>
      </c>
      <c r="BN5" s="197">
        <f>VLOOKUP($A$5,$A$7:$CP$70,66,FALSE)</f>
        <v>0.12213652174686628</v>
      </c>
      <c r="BO5" s="197">
        <f>VLOOKUP($A$5,$A$7:$CP$70,67,FALSE)</f>
        <v>1.4678801142277615E-3</v>
      </c>
      <c r="BP5" s="197">
        <f>VLOOKUP($A$5,$A$7:$CP$70,68,FALSE)</f>
        <v>2.2507495084825675E-3</v>
      </c>
      <c r="BQ5" s="197">
        <f>VLOOKUP($A$5,$A$7:$CP$70,69,FALSE)</f>
        <v>2.8290053110571405E-2</v>
      </c>
      <c r="BR5" s="197">
        <f>VLOOKUP($A$5,$A$7:$CP$70,70,FALSE)</f>
        <v>0.14715275739055397</v>
      </c>
      <c r="BS5" s="197">
        <f>VLOOKUP($A$5,$A$7:$CP$70,71,FALSE)</f>
        <v>1.6395776063768269E-2</v>
      </c>
      <c r="BT5" s="197">
        <f>VLOOKUP($A$5,$A$7:$CP$70,72,FALSE)</f>
        <v>7.9354488599464434E-3</v>
      </c>
      <c r="BU5" s="197">
        <f>VLOOKUP($A$5,$A$7:$CP$70,73,FALSE)</f>
        <v>1.9206988888592343E-2</v>
      </c>
      <c r="BV5" s="197">
        <f>VLOOKUP($A$5,$A$7:$CP$70,74,FALSE)</f>
        <v>5.0557349631250713E-2</v>
      </c>
      <c r="BW5" s="197">
        <f>VLOOKUP($A$5,$A$7:$CP$70,75,FALSE)</f>
        <v>3.6892720204257747E-2</v>
      </c>
      <c r="BX5" s="197">
        <f>VLOOKUP($A$5,$A$7:$CP$70,76,FALSE)</f>
        <v>4.7052229843337151E-2</v>
      </c>
      <c r="BY5" s="197">
        <f>VLOOKUP($A$5,$A$7:$CP$70,77,FALSE)</f>
        <v>0.20141984040139846</v>
      </c>
      <c r="BZ5" s="197">
        <f>VLOOKUP($A$5,$A$7:$CP$70,78,FALSE)</f>
        <v>1.7232022916722267E-2</v>
      </c>
      <c r="CA5" s="197">
        <f>VLOOKUP($A$5,$A$7:$CP$70,79,FALSE)</f>
        <v>5.1909578584963569E-2</v>
      </c>
      <c r="CB5" s="198">
        <f>VLOOKUP($A$5,$A$7:$CP$70,80,FALSE)</f>
        <v>5.0993265543960789E-2</v>
      </c>
      <c r="CC5" s="206">
        <f>VLOOKUP($A$5,$A$7:$CP$70,81,FALSE)</f>
        <v>5620.35</v>
      </c>
      <c r="CD5" s="208">
        <f>VLOOKUP($A$5,$A$7:$CP$70,82,FALSE)</f>
        <v>4553.25</v>
      </c>
      <c r="CE5" s="207">
        <f>VLOOKUP($A$5,$A$7:$CP$70,83,FALSE)</f>
        <v>960.5</v>
      </c>
      <c r="CF5" s="209">
        <f>VLOOKUP($A$5,$A$7:$CP$70,84,FALSE)</f>
        <v>57.349999999999994</v>
      </c>
      <c r="CG5" s="206">
        <f>VLOOKUP($A$5,$A$7:$CP$70,85,FALSE)</f>
        <v>567.5</v>
      </c>
      <c r="CH5" s="207">
        <f>VLOOKUP($A$5,$A$7:$CP$70,86,FALSE)</f>
        <v>445.29999999999995</v>
      </c>
      <c r="CI5" s="207">
        <f>VLOOKUP($A$5,$A$7:$CP$70,87,FALSE)</f>
        <v>103.64999999999999</v>
      </c>
      <c r="CJ5" s="209">
        <f>VLOOKUP($A$5,$A$7:$CP$70,88,FALSE)</f>
        <v>10.6</v>
      </c>
      <c r="CK5" s="196">
        <f>VLOOKUP($A$5,$A$7:$CP$70,89,FALSE)</f>
        <v>0.81013637940697636</v>
      </c>
      <c r="CL5" s="197">
        <f>VLOOKUP($A$5,$A$7:$CP$70,90,FALSE)</f>
        <v>0.17089683026857758</v>
      </c>
      <c r="CM5" s="198">
        <f>VLOOKUP($A$5,$A$7:$CP$70,91,FALSE)</f>
        <v>1.0203990854662075E-2</v>
      </c>
      <c r="CN5" s="196">
        <f>VLOOKUP($A$5,$A$7:$CP$70,92,FALSE)</f>
        <v>0.78466960352422899</v>
      </c>
      <c r="CO5" s="197">
        <f>VLOOKUP($A$5,$A$7:$CP$70,93,FALSE)</f>
        <v>0.18264317180616738</v>
      </c>
      <c r="CP5" s="198">
        <f>VLOOKUP($A$5,$A$7:$CP$70,94,FALSE)</f>
        <v>1.8678414096916299E-2</v>
      </c>
    </row>
    <row r="6" spans="1:94" s="265"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v>5322.75</v>
      </c>
      <c r="E15">
        <v>2610.8000000000002</v>
      </c>
      <c r="F15">
        <v>942.15</v>
      </c>
      <c r="G15">
        <v>977.89999999999986</v>
      </c>
      <c r="H15">
        <v>0.49049833262881032</v>
      </c>
      <c r="I15">
        <v>0.17700436804283501</v>
      </c>
      <c r="J15">
        <v>0.18372082100418013</v>
      </c>
      <c r="K15">
        <v>12081.25</v>
      </c>
      <c r="L15">
        <v>1318.9</v>
      </c>
      <c r="M15">
        <v>4494.05</v>
      </c>
      <c r="N15">
        <v>6173.2</v>
      </c>
      <c r="O15">
        <v>0.10916916709777548</v>
      </c>
      <c r="P15">
        <v>0.37198551474392139</v>
      </c>
      <c r="Q15">
        <v>0.5109736161407139</v>
      </c>
      <c r="R15">
        <v>12081.25</v>
      </c>
      <c r="S15">
        <v>1653.8000000000002</v>
      </c>
      <c r="T15">
        <v>601.9</v>
      </c>
      <c r="U15">
        <v>511.5</v>
      </c>
      <c r="V15">
        <v>62.099999999999994</v>
      </c>
      <c r="W15">
        <v>2829.3</v>
      </c>
      <c r="X15">
        <v>5602.7000000000007</v>
      </c>
      <c r="Y15">
        <v>723.55</v>
      </c>
      <c r="Z15">
        <v>296.89999999999998</v>
      </c>
      <c r="AA15">
        <v>286.35000000000002</v>
      </c>
      <c r="AB15">
        <v>11.849999999999998</v>
      </c>
      <c r="AC15">
        <v>1318.6499999999999</v>
      </c>
      <c r="AD15">
        <v>6478.5499999999993</v>
      </c>
      <c r="AE15">
        <v>930.25</v>
      </c>
      <c r="AF15">
        <v>305</v>
      </c>
      <c r="AG15">
        <v>225.14999999999998</v>
      </c>
      <c r="AH15">
        <v>50.25</v>
      </c>
      <c r="AI15">
        <v>1510.65</v>
      </c>
      <c r="AJ15">
        <v>0.23418934299017075</v>
      </c>
      <c r="AK15">
        <v>0.21273813310712894</v>
      </c>
      <c r="AL15">
        <v>0.18078676704485208</v>
      </c>
      <c r="AM15">
        <v>2.1948891952072946E-2</v>
      </c>
      <c r="AN15">
        <v>0.46606934577457315</v>
      </c>
      <c r="AO15">
        <v>0.53393065422542674</v>
      </c>
      <c r="AP15">
        <v>5620.35</v>
      </c>
      <c r="AQ15">
        <v>611.94999999999993</v>
      </c>
      <c r="AR15">
        <v>1.0499999999999998</v>
      </c>
      <c r="AS15">
        <v>0</v>
      </c>
      <c r="AT15">
        <v>444.09999999999997</v>
      </c>
      <c r="AU15">
        <v>686.44999999999993</v>
      </c>
      <c r="AV15">
        <v>8.25</v>
      </c>
      <c r="AW15">
        <v>12.649999999999999</v>
      </c>
      <c r="AX15">
        <v>159</v>
      </c>
      <c r="AY15">
        <v>827.05000000000007</v>
      </c>
      <c r="AZ15">
        <v>92.149999999999991</v>
      </c>
      <c r="BA15">
        <v>44.599999999999994</v>
      </c>
      <c r="BB15">
        <v>107.94999999999999</v>
      </c>
      <c r="BC15">
        <v>284.14999999999998</v>
      </c>
      <c r="BD15">
        <v>207.35000000000002</v>
      </c>
      <c r="BE15">
        <v>264.45</v>
      </c>
      <c r="BF15">
        <v>1132.05</v>
      </c>
      <c r="BG15">
        <v>96.85</v>
      </c>
      <c r="BH15">
        <v>291.75</v>
      </c>
      <c r="BI15">
        <v>286.60000000000002</v>
      </c>
      <c r="BJ15">
        <v>0.10888111950323376</v>
      </c>
      <c r="BK15">
        <v>1.8682110544716962E-4</v>
      </c>
      <c r="BL15">
        <v>0</v>
      </c>
      <c r="BM15">
        <v>7.9016431361036227E-2</v>
      </c>
      <c r="BN15">
        <v>0.12213652174686628</v>
      </c>
      <c r="BO15">
        <v>1.4678801142277615E-3</v>
      </c>
      <c r="BP15">
        <v>2.2507495084825675E-3</v>
      </c>
      <c r="BQ15">
        <v>2.8290053110571405E-2</v>
      </c>
      <c r="BR15">
        <v>0.14715275739055397</v>
      </c>
      <c r="BS15">
        <v>1.6395776063768269E-2</v>
      </c>
      <c r="BT15">
        <v>7.9354488599464434E-3</v>
      </c>
      <c r="BU15">
        <v>1.9206988888592343E-2</v>
      </c>
      <c r="BV15">
        <v>5.0557349631250713E-2</v>
      </c>
      <c r="BW15">
        <v>3.6892720204257747E-2</v>
      </c>
      <c r="BX15">
        <v>4.7052229843337151E-2</v>
      </c>
      <c r="BY15">
        <v>0.20141984040139846</v>
      </c>
      <c r="BZ15">
        <v>1.7232022916722267E-2</v>
      </c>
      <c r="CA15">
        <v>5.1909578584963569E-2</v>
      </c>
      <c r="CB15">
        <v>5.0993265543960789E-2</v>
      </c>
      <c r="CC15">
        <v>5620.35</v>
      </c>
      <c r="CD15">
        <v>4553.25</v>
      </c>
      <c r="CE15">
        <v>960.5</v>
      </c>
      <c r="CF15">
        <v>57.349999999999994</v>
      </c>
      <c r="CG15">
        <v>567.5</v>
      </c>
      <c r="CH15">
        <v>445.29999999999995</v>
      </c>
      <c r="CI15">
        <v>103.64999999999999</v>
      </c>
      <c r="CJ15">
        <v>10.6</v>
      </c>
      <c r="CK15">
        <v>0.81013637940697636</v>
      </c>
      <c r="CL15">
        <v>0.17089683026857758</v>
      </c>
      <c r="CM15">
        <v>1.0203990854662075E-2</v>
      </c>
      <c r="CN15">
        <v>0.78466960352422899</v>
      </c>
      <c r="CO15">
        <v>0.18264317180616738</v>
      </c>
      <c r="CP15">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5" t="str">
        <f>管理者入力シート!B4</f>
        <v>小林小学校区</v>
      </c>
      <c r="C2" s="275"/>
      <c r="D2" s="275"/>
      <c r="E2" s="274" t="s">
        <v>225</v>
      </c>
      <c r="F2" s="274"/>
      <c r="G2" s="274"/>
      <c r="H2" s="274"/>
      <c r="I2" s="274"/>
      <c r="J2" s="95"/>
    </row>
    <row r="3" spans="1:10" ht="22.5" customHeight="1" x14ac:dyDescent="0.15">
      <c r="B3" s="275"/>
      <c r="C3" s="275"/>
      <c r="D3" s="275"/>
      <c r="E3" s="274"/>
      <c r="F3" s="274"/>
      <c r="G3" s="274"/>
      <c r="H3" s="274"/>
      <c r="I3" s="274"/>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2">
        <f>管理者入力シート!B5</f>
        <v>2020</v>
      </c>
      <c r="B6" s="272"/>
      <c r="C6" s="21" t="s">
        <v>248</v>
      </c>
      <c r="E6" s="280">
        <f>管理者用グラフシート!E6</f>
        <v>12079</v>
      </c>
      <c r="F6" s="280"/>
      <c r="G6" s="21" t="s">
        <v>54</v>
      </c>
    </row>
    <row r="7" spans="1:10" ht="22.5" customHeight="1" x14ac:dyDescent="0.15">
      <c r="A7" s="272">
        <f>管理者用グラフシート!B4</f>
        <v>2010</v>
      </c>
      <c r="B7" s="272"/>
      <c r="C7" s="88" t="s">
        <v>226</v>
      </c>
      <c r="D7" s="271">
        <f>E6-管理者用グラフシート!E4</f>
        <v>-1053</v>
      </c>
      <c r="E7" s="271"/>
      <c r="F7" s="36" t="s">
        <v>356</v>
      </c>
      <c r="G7" s="36"/>
      <c r="H7" s="36"/>
    </row>
    <row r="8" spans="1:10" ht="22.5" customHeight="1" x14ac:dyDescent="0.15">
      <c r="A8" s="281" t="s">
        <v>380</v>
      </c>
      <c r="B8" s="281"/>
      <c r="C8" s="223">
        <f>管理者用グラフシート!C6-管理者用グラフシート!C4</f>
        <v>-389</v>
      </c>
      <c r="D8" s="228" t="s">
        <v>381</v>
      </c>
      <c r="F8" s="263">
        <f>管理者用グラフシート!D6-管理者用グラフシート!D4</f>
        <v>-664</v>
      </c>
      <c r="G8" s="228"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7">
        <f>管理者用グラフシート!C12</f>
        <v>685</v>
      </c>
      <c r="G36" s="277"/>
      <c r="H36" s="36" t="s">
        <v>54</v>
      </c>
      <c r="I36" s="36"/>
    </row>
    <row r="37" spans="1:9" ht="22.5" customHeight="1" x14ac:dyDescent="0.15">
      <c r="A37" s="36" t="s">
        <v>66</v>
      </c>
      <c r="B37" s="36"/>
      <c r="C37" s="36"/>
      <c r="D37" s="36"/>
      <c r="E37" s="36"/>
      <c r="F37" s="277">
        <f>管理者用グラフシート!C16</f>
        <v>355</v>
      </c>
      <c r="G37" s="277"/>
      <c r="H37" s="36" t="s">
        <v>54</v>
      </c>
      <c r="I37" s="36"/>
    </row>
    <row r="38" spans="1:9" ht="22.5" customHeight="1" x14ac:dyDescent="0.15">
      <c r="A38" s="36"/>
      <c r="B38" s="36"/>
      <c r="C38" s="36"/>
      <c r="D38" s="279"/>
      <c r="E38" s="279"/>
      <c r="F38" s="38"/>
      <c r="G38" s="35"/>
      <c r="H38" s="36"/>
      <c r="I38" s="36"/>
    </row>
    <row r="39" spans="1:9" ht="22.5" customHeight="1" x14ac:dyDescent="0.15">
      <c r="A39" s="273">
        <f>管理者用グラフシート!B4</f>
        <v>2010</v>
      </c>
      <c r="B39" s="273"/>
      <c r="C39" s="39" t="s">
        <v>228</v>
      </c>
      <c r="D39" s="39"/>
      <c r="E39" s="40"/>
      <c r="F39" s="37"/>
      <c r="G39" s="36"/>
      <c r="H39" s="36"/>
    </row>
    <row r="40" spans="1:9" ht="22.5" customHeight="1" x14ac:dyDescent="0.15">
      <c r="B40" s="21" t="s">
        <v>67</v>
      </c>
      <c r="D40" s="271">
        <f>F36-管理者用グラフシート!C10</f>
        <v>-57</v>
      </c>
      <c r="E40" s="271"/>
      <c r="F40" s="21" t="s">
        <v>60</v>
      </c>
    </row>
    <row r="41" spans="1:9" ht="22.5" customHeight="1" x14ac:dyDescent="0.15">
      <c r="B41" s="21" t="s">
        <v>69</v>
      </c>
      <c r="D41" s="271">
        <f>F37-管理者用グラフシート!C14</f>
        <v>-35</v>
      </c>
      <c r="E41" s="271"/>
      <c r="F41" s="21" t="s">
        <v>70</v>
      </c>
    </row>
    <row r="53" spans="1:13" ht="22.5" customHeight="1" x14ac:dyDescent="0.15">
      <c r="M53" s="78"/>
    </row>
    <row r="62" spans="1:13" ht="22.5" customHeight="1" thickBot="1" x14ac:dyDescent="0.2"/>
    <row r="63" spans="1:13" ht="22.5" customHeight="1" x14ac:dyDescent="0.15">
      <c r="A63" s="266"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7">
        <f>管理者用グラフシート!C22</f>
        <v>4201</v>
      </c>
      <c r="D70" s="277"/>
      <c r="E70" s="39" t="s">
        <v>76</v>
      </c>
      <c r="F70" s="42"/>
      <c r="G70" s="276">
        <f>管理者用グラフシート!C32</f>
        <v>0.35</v>
      </c>
      <c r="H70" s="276"/>
      <c r="I70" s="36" t="s">
        <v>77</v>
      </c>
    </row>
    <row r="71" spans="1:9" ht="22.5" customHeight="1" x14ac:dyDescent="0.15">
      <c r="A71" s="39" t="s">
        <v>78</v>
      </c>
      <c r="B71" s="39"/>
      <c r="C71" s="277">
        <f>管理者用グラフシート!C26</f>
        <v>2287</v>
      </c>
      <c r="D71" s="277"/>
      <c r="E71" s="39" t="s">
        <v>76</v>
      </c>
      <c r="F71" s="42"/>
      <c r="G71" s="276">
        <f>管理者用グラフシート!C36</f>
        <v>0.19</v>
      </c>
      <c r="H71" s="276"/>
      <c r="I71" s="36" t="s">
        <v>77</v>
      </c>
    </row>
    <row r="72" spans="1:9" ht="22.5" customHeight="1" x14ac:dyDescent="0.15">
      <c r="A72" s="36"/>
      <c r="B72" s="36"/>
      <c r="C72" s="36"/>
      <c r="D72" s="279"/>
      <c r="E72" s="279"/>
      <c r="F72" s="38"/>
      <c r="G72" s="35"/>
      <c r="H72" s="36"/>
      <c r="I72" s="36"/>
    </row>
    <row r="73" spans="1:9" ht="22.5" customHeight="1" x14ac:dyDescent="0.15">
      <c r="A73" s="273">
        <f>管理者用グラフシート!B4</f>
        <v>2010</v>
      </c>
      <c r="B73" s="273"/>
      <c r="C73" s="39" t="s">
        <v>228</v>
      </c>
      <c r="D73" s="39"/>
      <c r="E73" s="40"/>
      <c r="F73" s="37"/>
      <c r="G73" s="36"/>
      <c r="H73" s="36"/>
    </row>
    <row r="74" spans="1:9" ht="22.5" customHeight="1" x14ac:dyDescent="0.15">
      <c r="B74" s="21" t="s">
        <v>81</v>
      </c>
      <c r="D74" s="42"/>
      <c r="E74" s="277"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77"/>
      <c r="G74" s="277"/>
      <c r="H74" s="21" t="s">
        <v>82</v>
      </c>
    </row>
    <row r="75" spans="1:9" ht="22.5" customHeight="1" x14ac:dyDescent="0.15">
      <c r="B75" s="21" t="s">
        <v>83</v>
      </c>
      <c r="D75" s="42"/>
      <c r="E75" s="27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78"/>
      <c r="G75" s="278"/>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2">
        <f>管理者用グラフシート!B39</f>
        <v>2010</v>
      </c>
      <c r="B104" s="272"/>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2">
        <f>管理者用グラフシート!B87</f>
        <v>2020</v>
      </c>
      <c r="B134" s="272"/>
      <c r="C134" s="42" t="s">
        <v>326</v>
      </c>
      <c r="D134" s="41"/>
      <c r="E134" s="39"/>
      <c r="F134" s="42"/>
      <c r="G134" s="119"/>
      <c r="H134" s="119"/>
      <c r="I134" s="36"/>
    </row>
    <row r="135" spans="1:9" ht="22.5" customHeight="1" x14ac:dyDescent="0.15">
      <c r="A135" s="272">
        <f>管理者用グラフシート!B4</f>
        <v>2010</v>
      </c>
      <c r="B135" s="272"/>
      <c r="C135" s="39" t="s">
        <v>385</v>
      </c>
      <c r="D135" s="41"/>
      <c r="E135" s="39"/>
      <c r="F135" s="227">
        <f>SUM(管理者用グラフシート!B93:C94)-SUM(管理者用グラフシート!B45:C46)</f>
        <v>-205</v>
      </c>
      <c r="G135" s="229" t="s">
        <v>386</v>
      </c>
      <c r="H135" s="119"/>
      <c r="I135" s="36"/>
    </row>
    <row r="136" spans="1:9" ht="22.5" customHeight="1" x14ac:dyDescent="0.15">
      <c r="A136" s="38" t="s">
        <v>387</v>
      </c>
      <c r="B136" s="36"/>
      <c r="C136" s="227">
        <f>SUM(管理者用グラフシート!B95:C96)-SUM(管理者用グラフシート!B47:C48)</f>
        <v>-265</v>
      </c>
      <c r="D136" s="39" t="s">
        <v>388</v>
      </c>
      <c r="E136" s="40"/>
      <c r="F136" s="227">
        <f>SUM(管理者用グラフシート!B97:C98)-SUM(管理者用グラフシート!B49:C50)</f>
        <v>-15</v>
      </c>
      <c r="G136" s="36" t="s">
        <v>386</v>
      </c>
      <c r="H136" s="36"/>
      <c r="I136" s="36"/>
    </row>
    <row r="137" spans="1:9" ht="18.75" x14ac:dyDescent="0.15">
      <c r="A137" s="95" t="s">
        <v>389</v>
      </c>
      <c r="B137" s="95"/>
      <c r="C137" s="227">
        <f>SUM(管理者用グラフシート!B99:C100)-SUM(管理者用グラフシート!B51:C52)</f>
        <v>-494</v>
      </c>
      <c r="D137" s="39" t="s">
        <v>390</v>
      </c>
      <c r="E137" s="40"/>
      <c r="F137" s="224"/>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5" t="str">
        <f>管理者入力シート!B4</f>
        <v>小林小学校区</v>
      </c>
      <c r="B2" s="275"/>
      <c r="C2" s="275"/>
      <c r="D2" s="274" t="s">
        <v>230</v>
      </c>
      <c r="E2" s="274"/>
      <c r="F2" s="274"/>
      <c r="G2" s="274"/>
      <c r="H2" s="274"/>
      <c r="I2" s="274"/>
    </row>
    <row r="3" spans="1:9" ht="27.75" customHeight="1" x14ac:dyDescent="0.15">
      <c r="A3" s="275"/>
      <c r="B3" s="275"/>
      <c r="C3" s="275"/>
      <c r="D3" s="274"/>
      <c r="E3" s="274"/>
      <c r="F3" s="274"/>
      <c r="G3" s="274"/>
      <c r="H3" s="274"/>
      <c r="I3" s="274"/>
    </row>
    <row r="4" spans="1:9" ht="27.75" customHeight="1" x14ac:dyDescent="0.15"/>
    <row r="5" spans="1:9" s="44" customFormat="1" ht="40.5" customHeight="1" x14ac:dyDescent="0.15">
      <c r="A5" s="116" t="s">
        <v>64</v>
      </c>
    </row>
    <row r="6" spans="1:9" ht="22.5" customHeight="1" x14ac:dyDescent="0.15">
      <c r="A6" s="272">
        <f>管理者入力シート!B9</f>
        <v>2030</v>
      </c>
      <c r="B6" s="272"/>
      <c r="C6" s="39" t="s">
        <v>361</v>
      </c>
      <c r="D6" s="277">
        <f>管理者用グラフシート!K8</f>
        <v>10630</v>
      </c>
      <c r="E6" s="277"/>
      <c r="F6" s="39" t="s">
        <v>231</v>
      </c>
      <c r="G6" s="39"/>
      <c r="H6" s="40"/>
      <c r="I6" s="40"/>
    </row>
    <row r="7" spans="1:9" ht="22.5" customHeight="1" x14ac:dyDescent="0.15">
      <c r="A7" s="272">
        <f>管理者入力シート!B5</f>
        <v>2020</v>
      </c>
      <c r="B7" s="272"/>
      <c r="C7" s="214" t="s">
        <v>362</v>
      </c>
      <c r="D7" s="271">
        <f>D6-現況シート!E6</f>
        <v>-1449</v>
      </c>
      <c r="E7" s="271"/>
      <c r="F7" s="39" t="s">
        <v>232</v>
      </c>
      <c r="I7" s="40"/>
    </row>
    <row r="8" spans="1:9" ht="22.5" customHeight="1" x14ac:dyDescent="0.15">
      <c r="A8" s="281" t="s">
        <v>397</v>
      </c>
      <c r="B8" s="281"/>
      <c r="C8" s="227">
        <f>管理者用グラフシート!I8-管理者用グラフシート!C6</f>
        <v>-625</v>
      </c>
      <c r="D8" s="228" t="s">
        <v>398</v>
      </c>
      <c r="F8" s="282">
        <f>管理者用グラフシート!J8-管理者用グラフシート!D6</f>
        <v>-824</v>
      </c>
      <c r="G8" s="282"/>
      <c r="H8" s="21" t="s">
        <v>399</v>
      </c>
      <c r="I8" s="39"/>
    </row>
    <row r="9" spans="1:9" ht="22.5" customHeight="1" x14ac:dyDescent="0.15">
      <c r="I9" s="39"/>
    </row>
    <row r="10" spans="1:9" ht="22.5" customHeight="1" x14ac:dyDescent="0.15">
      <c r="A10" s="272">
        <f>管理者入力シート!B11</f>
        <v>2040</v>
      </c>
      <c r="B10" s="272"/>
      <c r="C10" s="39" t="s">
        <v>361</v>
      </c>
      <c r="D10" s="277">
        <f>管理者用グラフシート!K10</f>
        <v>9161</v>
      </c>
      <c r="E10" s="277"/>
      <c r="F10" s="39" t="s">
        <v>231</v>
      </c>
      <c r="G10" s="39"/>
      <c r="H10" s="40"/>
    </row>
    <row r="11" spans="1:9" ht="22.5" customHeight="1" x14ac:dyDescent="0.15">
      <c r="A11" s="272">
        <f>管理者入力シート!B5</f>
        <v>2020</v>
      </c>
      <c r="B11" s="272"/>
      <c r="C11" s="214" t="s">
        <v>362</v>
      </c>
      <c r="D11" s="271">
        <f>D10-現況シート!E6</f>
        <v>-2918</v>
      </c>
      <c r="E11" s="271"/>
      <c r="F11" s="39" t="s">
        <v>232</v>
      </c>
      <c r="G11" s="39"/>
      <c r="H11" s="40"/>
    </row>
    <row r="12" spans="1:9" ht="22.5" customHeight="1" x14ac:dyDescent="0.15">
      <c r="A12" s="281" t="s">
        <v>397</v>
      </c>
      <c r="B12" s="281"/>
      <c r="C12" s="227">
        <f>管理者用グラフシート!I10-管理者用グラフシート!C6</f>
        <v>-1281</v>
      </c>
      <c r="D12" s="228" t="s">
        <v>398</v>
      </c>
      <c r="F12" s="282">
        <f>管理者用グラフシート!J10-管理者用グラフシート!D6</f>
        <v>-1637</v>
      </c>
      <c r="G12" s="282"/>
      <c r="H12" s="21" t="s">
        <v>399</v>
      </c>
      <c r="I12" s="39"/>
    </row>
    <row r="22" spans="7:7" ht="22.5" customHeight="1" x14ac:dyDescent="0.15">
      <c r="G22" s="21">
        <v>15</v>
      </c>
    </row>
    <row r="34" spans="1:12" s="44" customFormat="1" ht="40.5" customHeight="1" x14ac:dyDescent="0.15">
      <c r="A34" s="116" t="s">
        <v>68</v>
      </c>
    </row>
    <row r="35" spans="1:12" ht="22.5" customHeight="1" x14ac:dyDescent="0.15">
      <c r="A35" s="272">
        <f>管理者用グラフシート!H20</f>
        <v>2040</v>
      </c>
      <c r="B35" s="272"/>
      <c r="C35" s="283" t="s">
        <v>363</v>
      </c>
      <c r="D35" s="283"/>
      <c r="E35" s="39"/>
      <c r="F35" s="41"/>
      <c r="G35" s="41"/>
      <c r="H35" s="280"/>
      <c r="I35" s="279"/>
    </row>
    <row r="36" spans="1:12" ht="22.5" customHeight="1" x14ac:dyDescent="0.15">
      <c r="A36" s="39" t="s">
        <v>237</v>
      </c>
      <c r="B36" s="36"/>
      <c r="C36" s="36"/>
      <c r="D36" s="36"/>
      <c r="E36" s="36"/>
      <c r="F36" s="277">
        <f>管理者用グラフシート!I20</f>
        <v>472</v>
      </c>
      <c r="G36" s="277"/>
      <c r="H36" s="88" t="s">
        <v>233</v>
      </c>
      <c r="I36" s="40"/>
    </row>
    <row r="37" spans="1:12" ht="22.5" customHeight="1" x14ac:dyDescent="0.15">
      <c r="A37" s="39" t="s">
        <v>234</v>
      </c>
      <c r="B37" s="36"/>
      <c r="C37" s="36"/>
      <c r="D37" s="36"/>
      <c r="E37" s="36"/>
      <c r="F37" s="277">
        <f>管理者用グラフシート!I28</f>
        <v>244</v>
      </c>
      <c r="G37" s="277"/>
      <c r="H37" s="117" t="s">
        <v>235</v>
      </c>
      <c r="I37" s="92"/>
    </row>
    <row r="38" spans="1:12" ht="22.5" customHeight="1" x14ac:dyDescent="0.15">
      <c r="A38" s="36"/>
      <c r="B38" s="36"/>
      <c r="C38" s="36"/>
      <c r="D38" s="279"/>
      <c r="E38" s="279"/>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1">
        <f>F36-現況シート!F36</f>
        <v>-213</v>
      </c>
      <c r="G40" s="271"/>
      <c r="H40" s="212" t="s">
        <v>60</v>
      </c>
    </row>
    <row r="41" spans="1:12" ht="22.5" customHeight="1" x14ac:dyDescent="0.15">
      <c r="A41" s="21" t="s">
        <v>69</v>
      </c>
      <c r="B41" s="36"/>
      <c r="C41" s="219">
        <f>管理者入力シート!B5</f>
        <v>2020</v>
      </c>
      <c r="D41" s="21" t="s">
        <v>374</v>
      </c>
      <c r="F41" s="271">
        <f>F37-現況シート!F37</f>
        <v>-111</v>
      </c>
      <c r="G41" s="271"/>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2">
        <f>管理者用グラフシート!H38</f>
        <v>2040</v>
      </c>
      <c r="B69" s="272"/>
      <c r="C69" s="283" t="s">
        <v>363</v>
      </c>
      <c r="D69" s="283"/>
      <c r="E69" s="39"/>
      <c r="F69" s="40"/>
      <c r="G69" s="42"/>
      <c r="H69" s="73"/>
      <c r="I69" s="77"/>
    </row>
    <row r="70" spans="1:9" ht="22.5" customHeight="1" x14ac:dyDescent="0.15">
      <c r="A70" s="39" t="s">
        <v>238</v>
      </c>
      <c r="B70" s="36"/>
      <c r="C70" s="277">
        <f>管理者用グラフシート!I38</f>
        <v>3420</v>
      </c>
      <c r="D70" s="277"/>
      <c r="E70" s="88" t="s">
        <v>239</v>
      </c>
      <c r="F70" s="40"/>
      <c r="G70" s="276">
        <f>管理者用グラフシート!I56</f>
        <v>0.37</v>
      </c>
      <c r="H70" s="276"/>
      <c r="I70" s="118" t="s">
        <v>240</v>
      </c>
    </row>
    <row r="71" spans="1:9" ht="22.5" customHeight="1" x14ac:dyDescent="0.15">
      <c r="A71" s="39" t="s">
        <v>241</v>
      </c>
      <c r="B71" s="39"/>
      <c r="C71" s="277">
        <f>管理者用グラフシート!I46</f>
        <v>2189</v>
      </c>
      <c r="D71" s="277"/>
      <c r="E71" s="39" t="s">
        <v>239</v>
      </c>
      <c r="F71" s="39"/>
      <c r="G71" s="284">
        <f>管理者用グラフシート!I64</f>
        <v>0.24</v>
      </c>
      <c r="H71" s="279"/>
      <c r="I71" s="39" t="s">
        <v>242</v>
      </c>
    </row>
    <row r="72" spans="1:9" ht="27.75" customHeight="1" x14ac:dyDescent="0.15">
      <c r="A72" s="39"/>
      <c r="B72" s="39"/>
      <c r="C72" s="87"/>
      <c r="D72" s="87"/>
      <c r="E72" s="39"/>
      <c r="F72" s="39"/>
      <c r="G72" s="285" t="s">
        <v>236</v>
      </c>
      <c r="H72" s="285"/>
      <c r="I72" s="285"/>
    </row>
    <row r="73" spans="1:9" ht="22.5" customHeight="1" x14ac:dyDescent="0.15">
      <c r="A73" s="272">
        <f>管理者入力シート!B5</f>
        <v>2020</v>
      </c>
      <c r="B73" s="272"/>
      <c r="C73" s="21" t="s">
        <v>228</v>
      </c>
      <c r="D73" s="40"/>
      <c r="E73" s="40"/>
      <c r="F73" s="37"/>
      <c r="G73" s="36"/>
      <c r="H73" s="36"/>
    </row>
    <row r="74" spans="1:9" ht="22.5" customHeight="1" x14ac:dyDescent="0.15">
      <c r="B74" s="21" t="s">
        <v>81</v>
      </c>
      <c r="D74" s="42"/>
      <c r="E74" s="277"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77"/>
      <c r="G74" s="277"/>
      <c r="H74" s="21" t="s">
        <v>82</v>
      </c>
    </row>
    <row r="75" spans="1:9" ht="22.5" customHeight="1" x14ac:dyDescent="0.15">
      <c r="B75" s="21" t="s">
        <v>83</v>
      </c>
      <c r="D75" s="42"/>
      <c r="E75" s="27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78"/>
      <c r="G75" s="278"/>
      <c r="H75" s="21" t="s">
        <v>77</v>
      </c>
    </row>
    <row r="101" spans="1:9" s="44" customFormat="1" ht="40.5" customHeight="1" x14ac:dyDescent="0.15">
      <c r="A101" s="116" t="s">
        <v>112</v>
      </c>
    </row>
    <row r="102" spans="1:9" ht="22.5" customHeight="1" x14ac:dyDescent="0.15">
      <c r="A102" s="273">
        <f>管理者用グラフシート!H91</f>
        <v>2030</v>
      </c>
      <c r="B102" s="273"/>
      <c r="C102" s="21" t="s">
        <v>364</v>
      </c>
      <c r="D102" s="215"/>
    </row>
    <row r="103" spans="1:9" ht="27.75" customHeight="1" x14ac:dyDescent="0.15">
      <c r="A103" s="272">
        <f>管理者入力シート!B5</f>
        <v>2020</v>
      </c>
      <c r="B103" s="272"/>
      <c r="C103" s="39" t="s">
        <v>385</v>
      </c>
      <c r="D103" s="41"/>
      <c r="E103" s="39"/>
      <c r="G103" s="227">
        <f>SUM(管理者用グラフシート!H97:I98)-SUM(管理者用グラフシート!B93:C94)</f>
        <v>-86</v>
      </c>
      <c r="H103" s="229" t="s">
        <v>60</v>
      </c>
      <c r="I103" s="36"/>
    </row>
    <row r="104" spans="1:9" ht="22.5" customHeight="1" x14ac:dyDescent="0.15">
      <c r="A104" s="38" t="s">
        <v>387</v>
      </c>
      <c r="B104" s="36"/>
      <c r="C104" s="227">
        <f>SUM(管理者用グラフシート!H99:I100)-SUM(管理者用グラフシート!B95:C96)</f>
        <v>-233</v>
      </c>
      <c r="D104" s="39" t="s">
        <v>423</v>
      </c>
      <c r="E104" s="40"/>
      <c r="G104" s="227">
        <f>SUM(管理者用グラフシート!H101:I102)-SUM(管理者用グラフシート!B97:C98)</f>
        <v>-244</v>
      </c>
      <c r="H104" s="36" t="s">
        <v>60</v>
      </c>
      <c r="I104" s="36"/>
    </row>
    <row r="105" spans="1:9" ht="22.5" customHeight="1" x14ac:dyDescent="0.15">
      <c r="A105" s="95" t="s">
        <v>389</v>
      </c>
      <c r="B105" s="95"/>
      <c r="C105" s="227">
        <f>SUM(管理者用グラフシート!H103:I104)-SUM(管理者用グラフシート!B99:C100)</f>
        <v>-26</v>
      </c>
      <c r="D105" s="39" t="s">
        <v>70</v>
      </c>
      <c r="E105" s="40"/>
      <c r="F105" s="225"/>
      <c r="G105" s="36"/>
      <c r="H105" s="36"/>
    </row>
    <row r="136" spans="1:9" ht="22.5" customHeight="1" x14ac:dyDescent="0.15">
      <c r="A136" s="273">
        <f>管理者用グラフシート!H139</f>
        <v>2040</v>
      </c>
      <c r="B136" s="273"/>
      <c r="C136" s="21" t="s">
        <v>364</v>
      </c>
      <c r="E136" s="95"/>
      <c r="F136" s="95"/>
      <c r="G136" s="95"/>
      <c r="H136" s="95"/>
      <c r="I136" s="95"/>
    </row>
    <row r="137" spans="1:9" ht="22.5" customHeight="1" x14ac:dyDescent="0.15">
      <c r="A137" s="272">
        <f>管理者入力シート!B5</f>
        <v>2020</v>
      </c>
      <c r="B137" s="272"/>
      <c r="C137" s="39" t="s">
        <v>385</v>
      </c>
      <c r="D137" s="41"/>
      <c r="E137" s="39"/>
      <c r="G137" s="227">
        <f>SUM(管理者用グラフシート!H145:I146)-SUM(管理者用グラフシート!B93:C94)</f>
        <v>-182</v>
      </c>
      <c r="H137" s="229" t="s">
        <v>60</v>
      </c>
      <c r="I137" s="36"/>
    </row>
    <row r="138" spans="1:9" ht="22.5" customHeight="1" x14ac:dyDescent="0.15">
      <c r="A138" s="38" t="s">
        <v>387</v>
      </c>
      <c r="B138" s="36"/>
      <c r="C138" s="227">
        <f>SUM(管理者用グラフシート!H147:I148)-SUM(管理者用グラフシート!B95:C96)</f>
        <v>-337</v>
      </c>
      <c r="D138" s="39" t="s">
        <v>423</v>
      </c>
      <c r="E138" s="40"/>
      <c r="G138" s="227">
        <f>SUM(管理者用グラフシート!H149:I150)-SUM(管理者用グラフシート!B97:C98)</f>
        <v>-473</v>
      </c>
      <c r="H138" s="36" t="s">
        <v>60</v>
      </c>
      <c r="I138" s="36"/>
    </row>
    <row r="139" spans="1:9" ht="22.5" customHeight="1" x14ac:dyDescent="0.15">
      <c r="A139" s="95" t="s">
        <v>389</v>
      </c>
      <c r="B139" s="95"/>
      <c r="C139" s="227">
        <f>SUM(管理者用グラフシート!H151:I152)-SUM(管理者用グラフシート!B99:C100)</f>
        <v>-264</v>
      </c>
      <c r="D139" s="39" t="s">
        <v>70</v>
      </c>
      <c r="E139" s="40"/>
      <c r="F139" s="225"/>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86" t="str">
        <f>管理者入力シート!B4</f>
        <v>小林小学校区</v>
      </c>
      <c r="B2" s="286"/>
      <c r="C2" s="286"/>
      <c r="D2" s="274" t="s">
        <v>249</v>
      </c>
      <c r="E2" s="274"/>
      <c r="F2" s="274"/>
      <c r="G2" s="274"/>
      <c r="H2" s="274"/>
      <c r="I2" s="274"/>
    </row>
    <row r="3" spans="1:14" ht="31.5" customHeight="1" x14ac:dyDescent="0.15">
      <c r="A3" s="286"/>
      <c r="B3" s="286"/>
      <c r="C3" s="286"/>
      <c r="D3" s="274"/>
      <c r="E3" s="274"/>
      <c r="F3" s="274"/>
      <c r="G3" s="274"/>
      <c r="H3" s="274"/>
      <c r="I3" s="274"/>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290" t="s">
        <v>254</v>
      </c>
      <c r="B15" s="290"/>
      <c r="C15" s="290"/>
      <c r="D15" s="291" t="s">
        <v>258</v>
      </c>
      <c r="E15" s="292"/>
      <c r="F15" s="287" t="s">
        <v>257</v>
      </c>
      <c r="G15" s="288"/>
      <c r="H15" s="289"/>
      <c r="I15" s="89"/>
      <c r="N15" s="89"/>
    </row>
    <row r="16" spans="1:14" ht="17.25" customHeight="1" x14ac:dyDescent="0.15">
      <c r="A16" s="135" t="s">
        <v>254</v>
      </c>
      <c r="B16" s="135" t="s">
        <v>21</v>
      </c>
      <c r="C16" s="135" t="s">
        <v>22</v>
      </c>
      <c r="D16" s="291"/>
      <c r="E16" s="292"/>
      <c r="F16" s="137"/>
      <c r="G16" s="138" t="s">
        <v>21</v>
      </c>
      <c r="H16" s="139" t="s">
        <v>22</v>
      </c>
      <c r="I16" s="36"/>
      <c r="N16" s="36"/>
    </row>
    <row r="17" spans="1:14" ht="18.75" customHeight="1" x14ac:dyDescent="0.15">
      <c r="A17" s="136" t="s">
        <v>0</v>
      </c>
      <c r="B17" s="127">
        <v>1</v>
      </c>
      <c r="C17" s="127">
        <v>1</v>
      </c>
      <c r="D17" s="291"/>
      <c r="E17" s="292"/>
      <c r="F17" s="130" t="s">
        <v>0</v>
      </c>
      <c r="G17" s="127">
        <v>1</v>
      </c>
      <c r="H17" s="129">
        <v>1</v>
      </c>
      <c r="I17" s="36"/>
      <c r="N17" s="36"/>
    </row>
    <row r="18" spans="1:14" ht="18.75" customHeight="1" x14ac:dyDescent="0.15">
      <c r="A18" s="136" t="s">
        <v>1</v>
      </c>
      <c r="B18" s="127"/>
      <c r="C18" s="127"/>
      <c r="D18" s="291"/>
      <c r="E18" s="292"/>
      <c r="F18" s="130" t="s">
        <v>1</v>
      </c>
      <c r="G18" s="127"/>
      <c r="H18" s="129"/>
      <c r="I18" s="36"/>
      <c r="N18" s="36"/>
    </row>
    <row r="19" spans="1:14" ht="18.75" customHeight="1" x14ac:dyDescent="0.15">
      <c r="A19" s="136" t="s">
        <v>2</v>
      </c>
      <c r="B19" s="79">
        <v>1</v>
      </c>
      <c r="C19" s="79">
        <v>1</v>
      </c>
      <c r="D19" s="291"/>
      <c r="E19" s="292"/>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4"/>
      <c r="B30" s="255"/>
      <c r="C30" s="255"/>
      <c r="F30" s="254"/>
      <c r="G30" s="242"/>
      <c r="H30" s="242"/>
      <c r="I30" s="124"/>
    </row>
    <row r="31" spans="1:14" s="123" customFormat="1" ht="24" customHeight="1" x14ac:dyDescent="0.15">
      <c r="A31" s="184" t="s">
        <v>328</v>
      </c>
      <c r="B31" s="302">
        <f>管理者入力シート!B5</f>
        <v>2020</v>
      </c>
      <c r="C31" s="302"/>
      <c r="D31" s="126" t="s">
        <v>412</v>
      </c>
      <c r="E31" s="142"/>
      <c r="F31" s="142"/>
      <c r="G31" s="142"/>
      <c r="H31" s="142"/>
      <c r="I31" s="258"/>
    </row>
    <row r="32" spans="1:14" s="142" customFormat="1" ht="17.25" customHeight="1" x14ac:dyDescent="0.15">
      <c r="A32" s="173" t="s">
        <v>409</v>
      </c>
      <c r="B32" s="301">
        <f>管理者入力シート!B5</f>
        <v>2020</v>
      </c>
      <c r="C32" s="301"/>
      <c r="D32" s="234" t="s">
        <v>425</v>
      </c>
      <c r="E32" s="234"/>
      <c r="F32" s="234"/>
      <c r="G32" s="234"/>
      <c r="H32" s="234"/>
      <c r="I32" s="235"/>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0"/>
      <c r="H34" s="240"/>
      <c r="I34" s="241"/>
    </row>
    <row r="35" spans="1:11" s="141" customFormat="1" ht="17.25" customHeight="1" thickTop="1" x14ac:dyDescent="0.15">
      <c r="A35" s="180"/>
      <c r="B35" s="297" t="s">
        <v>257</v>
      </c>
      <c r="C35" s="298"/>
      <c r="D35" s="299"/>
      <c r="E35" s="181"/>
      <c r="F35" s="176"/>
      <c r="G35" s="261"/>
      <c r="H35" s="303" t="s">
        <v>410</v>
      </c>
      <c r="I35" s="304"/>
    </row>
    <row r="36" spans="1:11" s="143" customFormat="1" ht="17.25" customHeight="1" x14ac:dyDescent="0.15">
      <c r="A36" s="174"/>
      <c r="B36" s="236"/>
      <c r="C36" s="138" t="s">
        <v>21</v>
      </c>
      <c r="D36" s="237" t="s">
        <v>22</v>
      </c>
      <c r="E36" s="179"/>
      <c r="F36" s="176"/>
      <c r="G36" s="259">
        <f>管理者入力シート!B8</f>
        <v>2025</v>
      </c>
      <c r="H36" s="293">
        <f>管理者用人口入力シート!EU22</f>
        <v>11897</v>
      </c>
      <c r="I36" s="294"/>
    </row>
    <row r="37" spans="1:11" s="141" customFormat="1" ht="17.25" customHeight="1" x14ac:dyDescent="0.15">
      <c r="A37" s="180"/>
      <c r="B37" s="247" t="s">
        <v>5</v>
      </c>
      <c r="C37" s="248">
        <f>管理者用人口入力シート!DX1</f>
        <v>89</v>
      </c>
      <c r="D37" s="249">
        <f>C37</f>
        <v>89</v>
      </c>
      <c r="E37" s="181"/>
      <c r="F37" s="176"/>
      <c r="G37" s="259">
        <f>管理者入力シート!B9</f>
        <v>2030</v>
      </c>
      <c r="H37" s="293">
        <f>管理者用人口入力シート!EU25</f>
        <v>11919</v>
      </c>
      <c r="I37" s="294"/>
    </row>
    <row r="38" spans="1:11" s="143" customFormat="1" ht="17.25" customHeight="1" x14ac:dyDescent="0.15">
      <c r="A38" s="174"/>
      <c r="B38" s="247" t="s">
        <v>6</v>
      </c>
      <c r="C38" s="248">
        <f>C37</f>
        <v>89</v>
      </c>
      <c r="D38" s="249">
        <f>C37</f>
        <v>89</v>
      </c>
      <c r="E38" s="179"/>
      <c r="F38" s="176"/>
      <c r="G38" s="259">
        <f>管理者入力シート!B10</f>
        <v>2035</v>
      </c>
      <c r="H38" s="293">
        <f>管理者用人口入力シート!EU28</f>
        <v>11982</v>
      </c>
      <c r="I38" s="294"/>
    </row>
    <row r="39" spans="1:11" ht="17.25" customHeight="1" thickBot="1" x14ac:dyDescent="0.2">
      <c r="A39" s="182"/>
      <c r="B39" s="250" t="s">
        <v>7</v>
      </c>
      <c r="C39" s="251">
        <f>C37</f>
        <v>89</v>
      </c>
      <c r="D39" s="252">
        <f>C37</f>
        <v>89</v>
      </c>
      <c r="E39" s="36"/>
      <c r="F39" s="176"/>
      <c r="G39" s="260">
        <f>管理者入力シート!B11</f>
        <v>2040</v>
      </c>
      <c r="H39" s="295">
        <f>管理者用人口入力シート!EU31</f>
        <v>12020</v>
      </c>
      <c r="I39" s="296"/>
    </row>
    <row r="40" spans="1:11" s="143" customFormat="1" ht="17.25" customHeight="1" thickTop="1" x14ac:dyDescent="0.15">
      <c r="A40" s="174"/>
      <c r="E40" s="179"/>
      <c r="F40" s="89"/>
      <c r="G40" s="253"/>
      <c r="H40" s="238"/>
      <c r="I40" s="239"/>
    </row>
    <row r="41" spans="1:11" ht="17.25" customHeight="1" x14ac:dyDescent="0.15">
      <c r="A41" s="243"/>
      <c r="B41" s="256" t="s">
        <v>411</v>
      </c>
      <c r="C41" s="183"/>
      <c r="D41" s="244"/>
      <c r="E41" s="244"/>
      <c r="F41" s="245"/>
      <c r="G41" s="245"/>
      <c r="H41" s="245"/>
      <c r="I41" s="246"/>
    </row>
    <row r="42" spans="1:11" s="123" customFormat="1" ht="40.5" customHeight="1" x14ac:dyDescent="0.15">
      <c r="A42" s="116" t="s">
        <v>64</v>
      </c>
      <c r="I42" s="124"/>
    </row>
    <row r="43" spans="1:11" ht="22.5" customHeight="1" x14ac:dyDescent="0.15">
      <c r="A43" s="272">
        <f>管理者入力シート!B9</f>
        <v>2030</v>
      </c>
      <c r="B43" s="272"/>
      <c r="C43" s="39" t="s">
        <v>417</v>
      </c>
      <c r="D43" s="277">
        <f>管理者用グラフシート!U8</f>
        <v>10649</v>
      </c>
      <c r="E43" s="277"/>
      <c r="F43" s="39" t="s">
        <v>231</v>
      </c>
      <c r="G43" s="39"/>
      <c r="H43" s="40"/>
      <c r="I43" s="40"/>
    </row>
    <row r="44" spans="1:11" ht="22.5" customHeight="1" x14ac:dyDescent="0.15">
      <c r="A44" s="272">
        <f>管理者入力シート!B11</f>
        <v>2040</v>
      </c>
      <c r="B44" s="272"/>
      <c r="C44" s="39" t="s">
        <v>417</v>
      </c>
      <c r="D44" s="277">
        <f>管理者用グラフシート!U10</f>
        <v>9206</v>
      </c>
      <c r="E44" s="277"/>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2">
        <f>管理者入力シート!B9</f>
        <v>2030</v>
      </c>
      <c r="B46" s="272"/>
      <c r="C46" s="39" t="s">
        <v>418</v>
      </c>
      <c r="D46" s="280">
        <f>D43-将来予測シート①!D6</f>
        <v>19</v>
      </c>
      <c r="E46" s="280"/>
      <c r="F46" s="39" t="s">
        <v>122</v>
      </c>
      <c r="G46" s="39"/>
      <c r="H46" s="39"/>
      <c r="I46" s="39"/>
      <c r="J46" s="39"/>
      <c r="K46" s="39"/>
    </row>
    <row r="47" spans="1:11" ht="22.5" customHeight="1" x14ac:dyDescent="0.15">
      <c r="A47" s="272">
        <f>管理者入力シート!B11</f>
        <v>2040</v>
      </c>
      <c r="B47" s="272"/>
      <c r="C47" s="39" t="s">
        <v>418</v>
      </c>
      <c r="D47" s="280">
        <f>D44-将来予測シート①!D10</f>
        <v>45</v>
      </c>
      <c r="E47" s="280"/>
      <c r="F47" s="39" t="s">
        <v>123</v>
      </c>
    </row>
    <row r="76" spans="1:9" s="44" customFormat="1" ht="40.5" customHeight="1" x14ac:dyDescent="0.15">
      <c r="A76" s="116" t="s">
        <v>68</v>
      </c>
      <c r="I76" s="125"/>
    </row>
    <row r="77" spans="1:9" ht="22.5" customHeight="1" x14ac:dyDescent="0.15">
      <c r="A77" s="272">
        <f>管理者用グラフシート!O20</f>
        <v>2040</v>
      </c>
      <c r="B77" s="272"/>
      <c r="C77" s="39" t="s">
        <v>263</v>
      </c>
      <c r="E77" s="39"/>
      <c r="F77" s="41"/>
      <c r="G77" s="41"/>
      <c r="H77" s="73"/>
      <c r="I77" s="40"/>
    </row>
    <row r="78" spans="1:9" ht="22.5" customHeight="1" x14ac:dyDescent="0.15">
      <c r="A78" s="39" t="s">
        <v>237</v>
      </c>
      <c r="B78" s="39"/>
      <c r="C78" s="36"/>
      <c r="D78" s="36"/>
      <c r="E78" s="40"/>
      <c r="F78" s="277">
        <f>管理者用グラフシート!Q20</f>
        <v>479</v>
      </c>
      <c r="G78" s="277"/>
      <c r="H78" s="88" t="s">
        <v>264</v>
      </c>
      <c r="I78" s="40"/>
    </row>
    <row r="79" spans="1:9" ht="22.5" customHeight="1" x14ac:dyDescent="0.15">
      <c r="A79" s="39" t="s">
        <v>234</v>
      </c>
      <c r="B79" s="36"/>
      <c r="C79" s="36"/>
      <c r="D79" s="36"/>
      <c r="E79" s="36"/>
      <c r="F79" s="277">
        <f>管理者用グラフシート!Q28</f>
        <v>247</v>
      </c>
      <c r="G79" s="277"/>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1">
        <f>F78-将来予測シート①!F36</f>
        <v>7</v>
      </c>
      <c r="D82" s="271"/>
      <c r="E82" s="39" t="s">
        <v>60</v>
      </c>
      <c r="F82" s="39"/>
      <c r="G82" s="39"/>
      <c r="H82" s="39"/>
      <c r="I82" s="39"/>
      <c r="J82" s="39"/>
      <c r="K82" s="39"/>
    </row>
    <row r="83" spans="1:13" ht="22.5" customHeight="1" x14ac:dyDescent="0.15">
      <c r="A83" s="21" t="s">
        <v>69</v>
      </c>
      <c r="C83" s="271">
        <f>F79-将来予測シート①!F37</f>
        <v>3</v>
      </c>
      <c r="D83" s="271"/>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2">
        <f>管理者用グラフシート!O38</f>
        <v>2040</v>
      </c>
      <c r="B111" s="272"/>
      <c r="C111" s="39" t="s">
        <v>371</v>
      </c>
      <c r="E111" s="39"/>
      <c r="F111" s="41"/>
      <c r="G111" s="41"/>
      <c r="H111" s="73"/>
      <c r="I111" s="40"/>
    </row>
    <row r="112" spans="1:9" ht="22.5" customHeight="1" x14ac:dyDescent="0.15">
      <c r="A112" s="39" t="s">
        <v>269</v>
      </c>
      <c r="B112" s="39"/>
      <c r="C112" s="277">
        <f>管理者用グラフシート!Q38</f>
        <v>3420</v>
      </c>
      <c r="D112" s="277"/>
      <c r="E112" s="39" t="s">
        <v>270</v>
      </c>
      <c r="F112" s="41"/>
      <c r="G112" s="119">
        <f>管理者用グラフシート!Q56</f>
        <v>0.37</v>
      </c>
      <c r="H112" s="88" t="s">
        <v>271</v>
      </c>
      <c r="I112" s="40"/>
    </row>
    <row r="113" spans="1:9" ht="22.5" customHeight="1" x14ac:dyDescent="0.15">
      <c r="A113" s="39" t="s">
        <v>268</v>
      </c>
      <c r="B113" s="36"/>
      <c r="C113" s="277">
        <f>管理者用グラフシート!Q46</f>
        <v>2189</v>
      </c>
      <c r="D113" s="277"/>
      <c r="E113" s="88" t="s">
        <v>270</v>
      </c>
      <c r="F113" s="40"/>
      <c r="G113" s="119">
        <f>管理者用グラフシート!Q64</f>
        <v>0.24</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7"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77"/>
      <c r="G116" s="277"/>
      <c r="H116" s="21" t="s">
        <v>82</v>
      </c>
    </row>
    <row r="117" spans="1:9" ht="22.5" customHeight="1" x14ac:dyDescent="0.15">
      <c r="B117" s="21" t="s">
        <v>83</v>
      </c>
      <c r="D117" s="42"/>
      <c r="E117" s="27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78"/>
      <c r="G117" s="278"/>
      <c r="H117" s="21" t="s">
        <v>77</v>
      </c>
    </row>
    <row r="143" spans="1:9" s="123" customFormat="1" ht="46.5" customHeight="1" x14ac:dyDescent="0.15">
      <c r="A143" s="116" t="s">
        <v>112</v>
      </c>
      <c r="I143" s="124"/>
    </row>
    <row r="144" spans="1:9" ht="22.5" customHeight="1" x14ac:dyDescent="0.15">
      <c r="A144" s="273">
        <f>管理者用グラフシート!O91</f>
        <v>2030</v>
      </c>
      <c r="B144" s="273"/>
      <c r="C144" s="21" t="s">
        <v>364</v>
      </c>
    </row>
    <row r="145" spans="5:9" ht="22.5" customHeight="1" x14ac:dyDescent="0.15">
      <c r="E145" s="95"/>
      <c r="F145" s="95"/>
      <c r="G145" s="95"/>
      <c r="H145" s="95"/>
      <c r="I145" s="95"/>
    </row>
    <row r="177" spans="1:9" ht="22.5" customHeight="1" x14ac:dyDescent="0.15">
      <c r="A177" s="273">
        <f>管理者用グラフシート!O139</f>
        <v>2040</v>
      </c>
      <c r="B177" s="273"/>
      <c r="C177" s="21" t="s">
        <v>364</v>
      </c>
    </row>
    <row r="178" spans="1:9" ht="22.5" customHeight="1" x14ac:dyDescent="0.15">
      <c r="E178" s="300"/>
      <c r="F178" s="300"/>
      <c r="G178" s="300"/>
      <c r="H178" s="300"/>
      <c r="I178" s="300"/>
    </row>
    <row r="210" spans="1:13" ht="22.5" customHeight="1" x14ac:dyDescent="0.15">
      <c r="A210" s="21" t="s">
        <v>274</v>
      </c>
      <c r="B210" s="273">
        <f>管理者用グラフシート!O212</f>
        <v>2030</v>
      </c>
      <c r="C210" s="273"/>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3">
        <f>管理者用グラフシート!O236</f>
        <v>2040</v>
      </c>
      <c r="C245" s="273"/>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5" t="str">
        <f>管理者入力シート!B4</f>
        <v>小林小学校区</v>
      </c>
      <c r="B1" s="275"/>
      <c r="C1" s="275"/>
      <c r="D1" s="274" t="s">
        <v>278</v>
      </c>
      <c r="E1" s="274"/>
      <c r="F1" s="274"/>
      <c r="G1" s="274"/>
      <c r="H1" s="274"/>
    </row>
    <row r="2" spans="1:8" ht="22.5" customHeight="1" x14ac:dyDescent="0.15">
      <c r="A2" s="275"/>
      <c r="B2" s="275"/>
      <c r="C2" s="275"/>
      <c r="D2" s="274"/>
      <c r="E2" s="274"/>
      <c r="F2" s="274"/>
      <c r="G2" s="274"/>
      <c r="H2" s="274"/>
    </row>
    <row r="3" spans="1:8" ht="22.5" customHeight="1" x14ac:dyDescent="0.15">
      <c r="A3" s="21" t="s">
        <v>279</v>
      </c>
    </row>
    <row r="5" spans="1:8" s="123" customFormat="1" ht="40.5" customHeight="1" x14ac:dyDescent="0.15">
      <c r="A5" s="116" t="s">
        <v>280</v>
      </c>
    </row>
    <row r="6" spans="1:8" ht="22.5" customHeight="1" x14ac:dyDescent="0.15">
      <c r="A6" s="273">
        <f>管理者用グラフシート!B6</f>
        <v>2020</v>
      </c>
      <c r="B6" s="273"/>
      <c r="C6" s="21" t="s">
        <v>419</v>
      </c>
    </row>
    <row r="7" spans="1:8" ht="22.5" customHeight="1" x14ac:dyDescent="0.15">
      <c r="A7" s="21" t="s">
        <v>281</v>
      </c>
      <c r="F7" s="305">
        <f>管理者用地域特徴シート!H5</f>
        <v>0.49049833262881032</v>
      </c>
      <c r="G7" s="305"/>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低く、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7" t="str">
        <f>地域特徴シート!A1</f>
        <v>小林小学校区</v>
      </c>
      <c r="B11" s="307"/>
      <c r="C11" s="308">
        <f>管理者用地域特徴シート!D5</f>
        <v>5322.75</v>
      </c>
      <c r="D11" s="307"/>
      <c r="E11" s="21" t="s">
        <v>413</v>
      </c>
    </row>
    <row r="12" spans="1:8" ht="22.5" customHeight="1" x14ac:dyDescent="0.15">
      <c r="A12" s="307" t="str">
        <f>A8</f>
        <v>小林市</v>
      </c>
      <c r="B12" s="307"/>
      <c r="C12" s="308">
        <f>管理者用地域特徴シート!D4</f>
        <v>19074</v>
      </c>
      <c r="D12" s="307"/>
      <c r="E12" s="21" t="s">
        <v>413</v>
      </c>
    </row>
    <row r="13" spans="1:8" ht="22.5" customHeight="1" x14ac:dyDescent="0.15">
      <c r="A13" s="307" t="s">
        <v>414</v>
      </c>
      <c r="B13" s="307"/>
      <c r="C13" s="308">
        <f>管理者用地域特徴シート!D3</f>
        <v>468575.00000000006</v>
      </c>
      <c r="D13" s="307"/>
      <c r="E13" s="21" t="s">
        <v>416</v>
      </c>
    </row>
    <row r="23" spans="1:8" ht="22.5" customHeight="1" x14ac:dyDescent="0.15">
      <c r="A23" s="21" t="s">
        <v>285</v>
      </c>
      <c r="G23" s="264">
        <f>管理者用地域特徴シート!J5</f>
        <v>0.18372082100418013</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同程度で、</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3">
        <f>管理者用グラフシート!B36</f>
        <v>2020</v>
      </c>
      <c r="B36" s="273"/>
      <c r="C36" s="21" t="s">
        <v>420</v>
      </c>
    </row>
    <row r="37" spans="1:8" ht="22.5" customHeight="1" x14ac:dyDescent="0.15">
      <c r="A37" s="21" t="s">
        <v>287</v>
      </c>
      <c r="F37" s="305">
        <f>管理者用地域特徴シート!P5</f>
        <v>0.37198551474392139</v>
      </c>
      <c r="G37" s="305"/>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高く、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23" customFormat="1" ht="40.5" customHeight="1" x14ac:dyDescent="0.15">
      <c r="A69" s="116" t="s">
        <v>207</v>
      </c>
    </row>
    <row r="70" spans="1:8" ht="22.5" customHeight="1" x14ac:dyDescent="0.15">
      <c r="A70" s="95" t="s">
        <v>289</v>
      </c>
      <c r="B70" s="166"/>
      <c r="E70" s="306">
        <f>管理者用地域特徴シート!W5</f>
        <v>2829.3</v>
      </c>
      <c r="F70" s="306"/>
      <c r="G70" s="21" t="s">
        <v>290</v>
      </c>
    </row>
    <row r="71" spans="1:8" ht="22.5" customHeight="1" x14ac:dyDescent="0.15">
      <c r="A71" s="21" t="s">
        <v>295</v>
      </c>
      <c r="F71" s="305">
        <f>管理者用地域特徴シート!AK5</f>
        <v>0.21273813310712894</v>
      </c>
      <c r="G71" s="305"/>
      <c r="H71" s="21" t="s">
        <v>271</v>
      </c>
    </row>
    <row r="72" spans="1:8" ht="22.5" customHeight="1" x14ac:dyDescent="0.15">
      <c r="A72" s="21" t="s">
        <v>296</v>
      </c>
      <c r="F72" s="305">
        <f>管理者用地域特徴シート!AL5</f>
        <v>0.18078676704485208</v>
      </c>
      <c r="G72" s="305"/>
      <c r="H72" s="21" t="s">
        <v>297</v>
      </c>
    </row>
    <row r="73" spans="1:8" ht="22.5" customHeight="1" x14ac:dyDescent="0.15">
      <c r="A73" s="21" t="s">
        <v>298</v>
      </c>
      <c r="E73" s="305"/>
      <c r="F73" s="305"/>
    </row>
    <row r="74" spans="1:8" ht="22.5" customHeight="1" x14ac:dyDescent="0.15">
      <c r="A74" s="21" t="s">
        <v>339</v>
      </c>
      <c r="C74" s="195">
        <f>管理者用地域特徴シート!AN5</f>
        <v>0.46606934577457315</v>
      </c>
      <c r="D74" s="170" t="s">
        <v>299</v>
      </c>
      <c r="E74" s="195">
        <f>管理者用地域特徴シート!AO5</f>
        <v>0.53393065422542674</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3">
        <f>管理者入力シート!B5</f>
        <v>2020</v>
      </c>
      <c r="B104" s="273"/>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3">
        <f>管理者入力シート!B5</f>
        <v>2020</v>
      </c>
      <c r="B138" s="273"/>
      <c r="C138" s="21" t="s">
        <v>422</v>
      </c>
    </row>
    <row r="139" spans="1:8" ht="22.5" customHeight="1" x14ac:dyDescent="0.15">
      <c r="A139" s="21" t="s">
        <v>315</v>
      </c>
      <c r="C139" s="305">
        <f>管理者用地域特徴シート!CK5</f>
        <v>0.81013637940697636</v>
      </c>
      <c r="D139" s="305"/>
      <c r="E139" s="21" t="s">
        <v>316</v>
      </c>
      <c r="F139" s="171" t="str">
        <f>管理者入力シート!B3</f>
        <v>小林市</v>
      </c>
      <c r="G139" s="172" t="s">
        <v>317</v>
      </c>
    </row>
    <row r="140" spans="1:8" ht="22.5" customHeight="1" x14ac:dyDescent="0.15">
      <c r="A140" s="21" t="s">
        <v>318</v>
      </c>
    </row>
    <row r="141" spans="1:8" ht="22.5" customHeight="1" x14ac:dyDescent="0.15">
      <c r="C141" s="305">
        <f>管理者用地域特徴シート!CN5</f>
        <v>0.78466960352422899</v>
      </c>
      <c r="D141" s="305"/>
      <c r="E141" s="21" t="s">
        <v>316</v>
      </c>
      <c r="F141" s="171" t="str">
        <f>管理者入力シート!B3</f>
        <v>小林市</v>
      </c>
      <c r="G141" s="172" t="s">
        <v>317</v>
      </c>
    </row>
    <row r="142" spans="1:8" ht="22.5" customHeight="1" x14ac:dyDescent="0.15">
      <c r="A142" s="309" t="s">
        <v>319</v>
      </c>
      <c r="B142" s="309"/>
      <c r="C142" s="309"/>
      <c r="D142" s="309"/>
      <c r="E142" s="309"/>
      <c r="F142" s="309"/>
      <c r="G142" s="309"/>
      <c r="H142" s="309"/>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2" t="s">
        <v>292</v>
      </c>
      <c r="B3" s="33" t="str">
        <f>管理者用地域特徴シート!B5</f>
        <v>小林市</v>
      </c>
    </row>
    <row r="4" spans="1:3" x14ac:dyDescent="0.15">
      <c r="A4" s="167" t="s">
        <v>24</v>
      </c>
      <c r="B4" s="168" t="str">
        <f>管理者用地域特徴シート!C5</f>
        <v>小林小学校区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45205_9</v>
      </c>
      <c r="B1" s="25" t="s">
        <v>44</v>
      </c>
      <c r="C1" s="26"/>
      <c r="D1" s="330" t="s">
        <v>0</v>
      </c>
      <c r="E1" s="330" t="s">
        <v>1</v>
      </c>
      <c r="F1" s="330" t="s">
        <v>2</v>
      </c>
      <c r="G1" s="330" t="s">
        <v>3</v>
      </c>
      <c r="H1" s="330" t="s">
        <v>4</v>
      </c>
      <c r="I1" s="330" t="s">
        <v>5</v>
      </c>
      <c r="J1" s="330" t="s">
        <v>6</v>
      </c>
      <c r="K1" s="330" t="s">
        <v>7</v>
      </c>
      <c r="L1" s="330" t="s">
        <v>8</v>
      </c>
      <c r="M1" s="330" t="s">
        <v>9</v>
      </c>
      <c r="N1" s="330" t="s">
        <v>10</v>
      </c>
      <c r="O1" s="330" t="s">
        <v>11</v>
      </c>
      <c r="P1" s="330" t="s">
        <v>12</v>
      </c>
      <c r="Q1" s="330" t="s">
        <v>13</v>
      </c>
      <c r="R1" s="330" t="s">
        <v>14</v>
      </c>
      <c r="S1" s="330" t="s">
        <v>15</v>
      </c>
      <c r="T1" s="330" t="s">
        <v>16</v>
      </c>
      <c r="U1" s="330" t="s">
        <v>17</v>
      </c>
      <c r="V1" s="330" t="s">
        <v>18</v>
      </c>
      <c r="W1" s="330" t="s">
        <v>19</v>
      </c>
      <c r="X1" s="330" t="s">
        <v>20</v>
      </c>
      <c r="Y1" s="330" t="s">
        <v>23</v>
      </c>
      <c r="Z1" s="327" t="s">
        <v>50</v>
      </c>
      <c r="AA1" s="327" t="s">
        <v>51</v>
      </c>
      <c r="AB1" s="328" t="s">
        <v>79</v>
      </c>
      <c r="AC1" s="328" t="s">
        <v>80</v>
      </c>
      <c r="AD1" s="327" t="s">
        <v>48</v>
      </c>
      <c r="AE1" s="327" t="s">
        <v>49</v>
      </c>
      <c r="AF1" s="327" t="s">
        <v>97</v>
      </c>
      <c r="AH1" s="60"/>
      <c r="AI1" s="47" t="s">
        <v>25</v>
      </c>
      <c r="AJ1" s="45" t="s">
        <v>90</v>
      </c>
      <c r="AK1" s="46"/>
      <c r="AL1" s="332" t="s">
        <v>89</v>
      </c>
      <c r="AM1" s="326" t="s">
        <v>27</v>
      </c>
      <c r="AN1" s="326" t="s">
        <v>28</v>
      </c>
      <c r="AO1" s="326" t="s">
        <v>26</v>
      </c>
      <c r="AP1" s="326" t="s">
        <v>29</v>
      </c>
      <c r="AQ1" s="326" t="s">
        <v>30</v>
      </c>
      <c r="AR1" s="326" t="s">
        <v>31</v>
      </c>
      <c r="AS1" s="326" t="s">
        <v>32</v>
      </c>
      <c r="AT1" s="326" t="s">
        <v>33</v>
      </c>
      <c r="AU1" s="326" t="s">
        <v>34</v>
      </c>
      <c r="AV1" s="326" t="s">
        <v>35</v>
      </c>
      <c r="AW1" s="326" t="s">
        <v>36</v>
      </c>
      <c r="AX1" s="326" t="s">
        <v>37</v>
      </c>
      <c r="AY1" s="326" t="s">
        <v>38</v>
      </c>
      <c r="AZ1" s="326" t="s">
        <v>39</v>
      </c>
      <c r="BA1" s="326" t="s">
        <v>40</v>
      </c>
      <c r="BB1" s="326" t="s">
        <v>45</v>
      </c>
      <c r="BC1" s="326" t="s">
        <v>41</v>
      </c>
      <c r="BD1" s="326" t="s">
        <v>42</v>
      </c>
      <c r="BE1" s="326" t="s">
        <v>46</v>
      </c>
      <c r="BF1" s="326" t="s">
        <v>43</v>
      </c>
      <c r="BI1" s="62" t="s">
        <v>44</v>
      </c>
      <c r="BJ1" s="63"/>
      <c r="BK1" s="325" t="s">
        <v>0</v>
      </c>
      <c r="BL1" s="325" t="s">
        <v>1</v>
      </c>
      <c r="BM1" s="325" t="s">
        <v>2</v>
      </c>
      <c r="BN1" s="325" t="s">
        <v>3</v>
      </c>
      <c r="BO1" s="325" t="s">
        <v>4</v>
      </c>
      <c r="BP1" s="325" t="s">
        <v>5</v>
      </c>
      <c r="BQ1" s="325" t="s">
        <v>6</v>
      </c>
      <c r="BR1" s="325" t="s">
        <v>7</v>
      </c>
      <c r="BS1" s="325" t="s">
        <v>8</v>
      </c>
      <c r="BT1" s="325" t="s">
        <v>9</v>
      </c>
      <c r="BU1" s="325" t="s">
        <v>10</v>
      </c>
      <c r="BV1" s="325" t="s">
        <v>11</v>
      </c>
      <c r="BW1" s="325" t="s">
        <v>12</v>
      </c>
      <c r="BX1" s="325" t="s">
        <v>13</v>
      </c>
      <c r="BY1" s="325" t="s">
        <v>14</v>
      </c>
      <c r="BZ1" s="325" t="s">
        <v>15</v>
      </c>
      <c r="CA1" s="325" t="s">
        <v>16</v>
      </c>
      <c r="CB1" s="325" t="s">
        <v>17</v>
      </c>
      <c r="CC1" s="325" t="s">
        <v>18</v>
      </c>
      <c r="CD1" s="325" t="s">
        <v>19</v>
      </c>
      <c r="CE1" s="325" t="s">
        <v>20</v>
      </c>
      <c r="CF1" s="325" t="s">
        <v>23</v>
      </c>
      <c r="CG1" s="322" t="s">
        <v>50</v>
      </c>
      <c r="CH1" s="322" t="s">
        <v>51</v>
      </c>
      <c r="CI1" s="323" t="s">
        <v>79</v>
      </c>
      <c r="CJ1" s="323" t="s">
        <v>80</v>
      </c>
      <c r="CK1" s="322" t="s">
        <v>48</v>
      </c>
      <c r="CL1" s="322" t="s">
        <v>49</v>
      </c>
      <c r="CM1" s="322" t="s">
        <v>97</v>
      </c>
      <c r="CP1" s="80" t="s">
        <v>44</v>
      </c>
      <c r="CQ1" s="81"/>
      <c r="CR1" s="321" t="s">
        <v>0</v>
      </c>
      <c r="CS1" s="321" t="s">
        <v>1</v>
      </c>
      <c r="CT1" s="321" t="s">
        <v>2</v>
      </c>
      <c r="CU1" s="321" t="s">
        <v>3</v>
      </c>
      <c r="CV1" s="321" t="s">
        <v>4</v>
      </c>
      <c r="CW1" s="321" t="s">
        <v>5</v>
      </c>
      <c r="CX1" s="321" t="s">
        <v>6</v>
      </c>
      <c r="CY1" s="321" t="s">
        <v>7</v>
      </c>
      <c r="CZ1" s="321" t="s">
        <v>8</v>
      </c>
      <c r="DA1" s="321" t="s">
        <v>9</v>
      </c>
      <c r="DB1" s="321" t="s">
        <v>10</v>
      </c>
      <c r="DC1" s="321" t="s">
        <v>11</v>
      </c>
      <c r="DD1" s="321" t="s">
        <v>12</v>
      </c>
      <c r="DE1" s="321" t="s">
        <v>13</v>
      </c>
      <c r="DF1" s="321" t="s">
        <v>14</v>
      </c>
      <c r="DG1" s="321" t="s">
        <v>15</v>
      </c>
      <c r="DH1" s="321" t="s">
        <v>16</v>
      </c>
      <c r="DI1" s="321" t="s">
        <v>17</v>
      </c>
      <c r="DJ1" s="321" t="s">
        <v>18</v>
      </c>
      <c r="DK1" s="321" t="s">
        <v>19</v>
      </c>
      <c r="DL1" s="321" t="s">
        <v>20</v>
      </c>
      <c r="DM1" s="321" t="s">
        <v>23</v>
      </c>
      <c r="DN1" s="318" t="s">
        <v>50</v>
      </c>
      <c r="DO1" s="318" t="s">
        <v>51</v>
      </c>
      <c r="DP1" s="319" t="s">
        <v>79</v>
      </c>
      <c r="DQ1" s="319" t="s">
        <v>80</v>
      </c>
      <c r="DR1" s="318" t="s">
        <v>48</v>
      </c>
      <c r="DS1" s="318" t="s">
        <v>49</v>
      </c>
      <c r="DT1" s="318" t="s">
        <v>97</v>
      </c>
      <c r="DV1" s="338" t="s">
        <v>449</v>
      </c>
      <c r="DW1" s="339"/>
      <c r="DX1" s="334">
        <f>DW17</f>
        <v>89</v>
      </c>
      <c r="DY1" s="335"/>
      <c r="DZ1" s="331" t="s">
        <v>0</v>
      </c>
      <c r="EA1" s="331" t="s">
        <v>1</v>
      </c>
      <c r="EB1" s="331" t="s">
        <v>2</v>
      </c>
      <c r="EC1" s="331" t="s">
        <v>3</v>
      </c>
      <c r="ED1" s="331" t="s">
        <v>4</v>
      </c>
      <c r="EE1" s="331" t="s">
        <v>5</v>
      </c>
      <c r="EF1" s="331" t="s">
        <v>6</v>
      </c>
      <c r="EG1" s="331" t="s">
        <v>7</v>
      </c>
      <c r="EH1" s="331" t="s">
        <v>8</v>
      </c>
      <c r="EI1" s="331" t="s">
        <v>9</v>
      </c>
      <c r="EJ1" s="331" t="s">
        <v>10</v>
      </c>
      <c r="EK1" s="331" t="s">
        <v>11</v>
      </c>
      <c r="EL1" s="331" t="s">
        <v>12</v>
      </c>
      <c r="EM1" s="331" t="s">
        <v>13</v>
      </c>
      <c r="EN1" s="331" t="s">
        <v>14</v>
      </c>
      <c r="EO1" s="331" t="s">
        <v>15</v>
      </c>
      <c r="EP1" s="331" t="s">
        <v>16</v>
      </c>
      <c r="EQ1" s="331" t="s">
        <v>17</v>
      </c>
      <c r="ER1" s="331" t="s">
        <v>18</v>
      </c>
      <c r="ES1" s="331" t="s">
        <v>19</v>
      </c>
      <c r="ET1" s="331" t="s">
        <v>20</v>
      </c>
      <c r="EU1" s="331" t="s">
        <v>23</v>
      </c>
      <c r="EV1" s="333" t="s">
        <v>50</v>
      </c>
      <c r="EW1" s="333" t="s">
        <v>51</v>
      </c>
      <c r="EX1" s="340" t="s">
        <v>79</v>
      </c>
      <c r="EY1" s="340" t="s">
        <v>80</v>
      </c>
      <c r="EZ1" s="333" t="s">
        <v>48</v>
      </c>
      <c r="FA1" s="333" t="s">
        <v>49</v>
      </c>
      <c r="FB1" s="333" t="s">
        <v>97</v>
      </c>
    </row>
    <row r="2" spans="1:158" x14ac:dyDescent="0.15">
      <c r="A2" s="60" t="s">
        <v>56</v>
      </c>
      <c r="B2" s="27"/>
      <c r="C2" s="28"/>
      <c r="D2" s="330"/>
      <c r="E2" s="330"/>
      <c r="F2" s="330"/>
      <c r="G2" s="330"/>
      <c r="H2" s="330"/>
      <c r="I2" s="330"/>
      <c r="J2" s="330"/>
      <c r="K2" s="330"/>
      <c r="L2" s="330"/>
      <c r="M2" s="330"/>
      <c r="N2" s="330"/>
      <c r="O2" s="330"/>
      <c r="P2" s="330"/>
      <c r="Q2" s="330"/>
      <c r="R2" s="330"/>
      <c r="S2" s="330"/>
      <c r="T2" s="330"/>
      <c r="U2" s="330"/>
      <c r="V2" s="330"/>
      <c r="W2" s="330"/>
      <c r="X2" s="330"/>
      <c r="Y2" s="330"/>
      <c r="Z2" s="327"/>
      <c r="AA2" s="327"/>
      <c r="AB2" s="329"/>
      <c r="AC2" s="329"/>
      <c r="AD2" s="327"/>
      <c r="AE2" s="327"/>
      <c r="AF2" s="327"/>
      <c r="AI2" s="48"/>
      <c r="AJ2" s="49"/>
      <c r="AK2" s="50"/>
      <c r="AL2" s="332"/>
      <c r="AM2" s="326"/>
      <c r="AN2" s="326"/>
      <c r="AO2" s="326"/>
      <c r="AP2" s="326"/>
      <c r="AQ2" s="326"/>
      <c r="AR2" s="326"/>
      <c r="AS2" s="326"/>
      <c r="AT2" s="326"/>
      <c r="AU2" s="326"/>
      <c r="AV2" s="326"/>
      <c r="AW2" s="326"/>
      <c r="AX2" s="326"/>
      <c r="AY2" s="326"/>
      <c r="AZ2" s="326"/>
      <c r="BA2" s="326"/>
      <c r="BB2" s="326"/>
      <c r="BC2" s="326"/>
      <c r="BD2" s="326"/>
      <c r="BE2" s="326"/>
      <c r="BF2" s="326"/>
      <c r="BH2" s="60" t="s">
        <v>56</v>
      </c>
      <c r="BI2" s="64" t="s">
        <v>116</v>
      </c>
      <c r="BJ2" s="65"/>
      <c r="BK2" s="325"/>
      <c r="BL2" s="325"/>
      <c r="BM2" s="325"/>
      <c r="BN2" s="325"/>
      <c r="BO2" s="325"/>
      <c r="BP2" s="325"/>
      <c r="BQ2" s="325"/>
      <c r="BR2" s="325"/>
      <c r="BS2" s="325"/>
      <c r="BT2" s="325"/>
      <c r="BU2" s="325"/>
      <c r="BV2" s="325"/>
      <c r="BW2" s="325"/>
      <c r="BX2" s="325"/>
      <c r="BY2" s="325"/>
      <c r="BZ2" s="325"/>
      <c r="CA2" s="325"/>
      <c r="CB2" s="325"/>
      <c r="CC2" s="325"/>
      <c r="CD2" s="325"/>
      <c r="CE2" s="325"/>
      <c r="CF2" s="325"/>
      <c r="CG2" s="322"/>
      <c r="CH2" s="322"/>
      <c r="CI2" s="324"/>
      <c r="CJ2" s="324"/>
      <c r="CK2" s="322"/>
      <c r="CL2" s="322"/>
      <c r="CM2" s="322"/>
      <c r="CO2" s="60" t="s">
        <v>56</v>
      </c>
      <c r="CP2" s="82" t="s">
        <v>117</v>
      </c>
      <c r="CQ2" s="83"/>
      <c r="CR2" s="321"/>
      <c r="CS2" s="321"/>
      <c r="CT2" s="321"/>
      <c r="CU2" s="321"/>
      <c r="CV2" s="321"/>
      <c r="CW2" s="321"/>
      <c r="CX2" s="321"/>
      <c r="CY2" s="321"/>
      <c r="CZ2" s="321"/>
      <c r="DA2" s="321"/>
      <c r="DB2" s="321"/>
      <c r="DC2" s="321"/>
      <c r="DD2" s="321"/>
      <c r="DE2" s="321"/>
      <c r="DF2" s="321"/>
      <c r="DG2" s="321"/>
      <c r="DH2" s="321"/>
      <c r="DI2" s="321"/>
      <c r="DJ2" s="321"/>
      <c r="DK2" s="321"/>
      <c r="DL2" s="321"/>
      <c r="DM2" s="321"/>
      <c r="DN2" s="318"/>
      <c r="DO2" s="318"/>
      <c r="DP2" s="320"/>
      <c r="DQ2" s="320"/>
      <c r="DR2" s="318"/>
      <c r="DS2" s="318"/>
      <c r="DT2" s="318"/>
      <c r="DV2" s="338"/>
      <c r="DW2" s="339"/>
      <c r="DX2" s="336"/>
      <c r="DY2" s="337"/>
      <c r="DZ2" s="331"/>
      <c r="EA2" s="331"/>
      <c r="EB2" s="331"/>
      <c r="EC2" s="331"/>
      <c r="ED2" s="331"/>
      <c r="EE2" s="331"/>
      <c r="EF2" s="331"/>
      <c r="EG2" s="331"/>
      <c r="EH2" s="331"/>
      <c r="EI2" s="331"/>
      <c r="EJ2" s="331"/>
      <c r="EK2" s="331"/>
      <c r="EL2" s="331"/>
      <c r="EM2" s="331"/>
      <c r="EN2" s="331"/>
      <c r="EO2" s="331"/>
      <c r="EP2" s="331"/>
      <c r="EQ2" s="331"/>
      <c r="ER2" s="331"/>
      <c r="ES2" s="331"/>
      <c r="ET2" s="331"/>
      <c r="EU2" s="331"/>
      <c r="EV2" s="333"/>
      <c r="EW2" s="333"/>
      <c r="EX2" s="341"/>
      <c r="EY2" s="341"/>
      <c r="EZ2" s="333"/>
      <c r="FA2" s="333"/>
      <c r="FB2" s="333"/>
    </row>
    <row r="3" spans="1:158" x14ac:dyDescent="0.15">
      <c r="A3" s="60" t="str">
        <f>B3&amp;"_"&amp;IF(C3="男性",1,IF(C3="女性",2,IF(C3="合計",3)))</f>
        <v>2005_1</v>
      </c>
      <c r="B3" s="29">
        <v>2005</v>
      </c>
      <c r="C3" s="4" t="s">
        <v>21</v>
      </c>
      <c r="D3" s="202">
        <v>310.84999999999997</v>
      </c>
      <c r="E3" s="10">
        <v>313.95</v>
      </c>
      <c r="F3" s="10">
        <v>353.25</v>
      </c>
      <c r="G3" s="10">
        <v>396.35</v>
      </c>
      <c r="H3" s="10">
        <v>231.2</v>
      </c>
      <c r="I3" s="10">
        <v>318.39999999999998</v>
      </c>
      <c r="J3" s="10">
        <v>353.29999999999995</v>
      </c>
      <c r="K3" s="10">
        <v>299.7</v>
      </c>
      <c r="L3" s="10">
        <v>356.3</v>
      </c>
      <c r="M3" s="10">
        <v>414.75</v>
      </c>
      <c r="N3" s="10">
        <v>488.45</v>
      </c>
      <c r="O3" s="10">
        <v>473.94999999999993</v>
      </c>
      <c r="P3" s="10">
        <v>374.84999999999997</v>
      </c>
      <c r="Q3" s="10">
        <v>341.05</v>
      </c>
      <c r="R3" s="10">
        <v>431.5</v>
      </c>
      <c r="S3" s="10">
        <v>313.34999999999997</v>
      </c>
      <c r="T3" s="10">
        <v>174.65</v>
      </c>
      <c r="U3" s="10">
        <v>90.95</v>
      </c>
      <c r="V3" s="10">
        <v>31.299999999999997</v>
      </c>
      <c r="W3" s="10">
        <v>4.5</v>
      </c>
      <c r="X3" s="10">
        <v>0.35</v>
      </c>
      <c r="Y3" s="10">
        <v>6072.9500000000007</v>
      </c>
      <c r="Z3" s="10">
        <f>E3*3/5+F3*3/5</f>
        <v>400.31999999999994</v>
      </c>
      <c r="AA3" s="10">
        <f>F3*2/5+G3*1/5</f>
        <v>220.57000000000002</v>
      </c>
      <c r="AB3" s="10">
        <f t="shared" ref="AB3:AB20" si="0">SUM(Q3:X3)</f>
        <v>1387.6499999999999</v>
      </c>
      <c r="AC3" s="10">
        <f>SUM(S3:X3)</f>
        <v>615.1</v>
      </c>
      <c r="AD3" s="14">
        <f>AB3/Y3</f>
        <v>0.22849685902238612</v>
      </c>
      <c r="AE3" s="14">
        <f>AC3/Y3</f>
        <v>0.10128520735392189</v>
      </c>
      <c r="AF3" s="10">
        <f>SUM(H3:K3)</f>
        <v>1202.5999999999999</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0.997245496266563</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0.94551215434116731</v>
      </c>
      <c r="AO3" s="7">
        <f t="shared" si="1"/>
        <v>1.0350043841872827</v>
      </c>
      <c r="AP3" s="7">
        <f t="shared" si="1"/>
        <v>0.51241979485036615</v>
      </c>
      <c r="AQ3" s="7">
        <f t="shared" si="1"/>
        <v>1.2947210597660737</v>
      </c>
      <c r="AR3" s="7">
        <f t="shared" si="1"/>
        <v>1.1539229207358113</v>
      </c>
      <c r="AS3" s="7">
        <f t="shared" si="1"/>
        <v>1.0054125905487616</v>
      </c>
      <c r="AT3" s="7">
        <f t="shared" si="1"/>
        <v>0.95606418642312085</v>
      </c>
      <c r="AU3" s="7">
        <f t="shared" si="1"/>
        <v>0.97093998999059561</v>
      </c>
      <c r="AV3" s="7">
        <f t="shared" si="1"/>
        <v>0.97614533208833143</v>
      </c>
      <c r="AW3" s="7">
        <f t="shared" si="1"/>
        <v>0.94142097564953764</v>
      </c>
      <c r="AX3" s="7">
        <f t="shared" si="1"/>
        <v>1.0142471059196245</v>
      </c>
      <c r="AY3" s="7">
        <f t="shared" si="1"/>
        <v>0.95324570059343772</v>
      </c>
      <c r="AZ3" s="7">
        <f t="shared" si="1"/>
        <v>0.95946798689939961</v>
      </c>
      <c r="BA3" s="7">
        <f t="shared" si="1"/>
        <v>0.90556897548993376</v>
      </c>
      <c r="BB3" s="7">
        <f t="shared" si="1"/>
        <v>0.85655078366451953</v>
      </c>
      <c r="BC3" s="7">
        <f t="shared" si="1"/>
        <v>0.72985771216429474</v>
      </c>
      <c r="BD3" s="7">
        <f t="shared" si="1"/>
        <v>0.45005655187285687</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0.32035353666155891</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231.05748761442345</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266.5806899120513</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283.09484898490894</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299.66662912662218</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163.46738972828547</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194.22986809077133</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251.4796870083818</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287.68173710273629</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312.65930981536059</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318.98563194155037</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337.48326027415493</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272.98784211793458</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345.73913293304929</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370.42966614749315</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438.25310306143274</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390.08983543882204</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257.7604132735903</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164.15825677787365</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87.004971712477143</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19.393492216968703</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0.18084269086003241</v>
      </c>
      <c r="CF3" s="10">
        <f t="shared" ref="CF3:CF14" si="2">SUM(BK3:CE3)</f>
        <v>5292.3840959697491</v>
      </c>
      <c r="CG3" s="10">
        <f>BL3*3/5+BM3*3/5</f>
        <v>329.80532333817615</v>
      </c>
      <c r="CH3" s="10">
        <f>BM3*2/5+BN3*1/5</f>
        <v>173.17126541928801</v>
      </c>
      <c r="CI3" s="10">
        <f t="shared" ref="CI3:CI14" si="3">SUM(BX3:CE3)</f>
        <v>1727.270581319518</v>
      </c>
      <c r="CJ3" s="10">
        <f>SUM(BZ3:CE3)</f>
        <v>918.58781211059204</v>
      </c>
      <c r="CK3" s="14">
        <f>CI3/CF3</f>
        <v>0.32636908999761888</v>
      </c>
      <c r="CL3" s="14">
        <f>CJ3/CF3</f>
        <v>0.17356786572050092</v>
      </c>
      <c r="CM3" s="10">
        <f>SUM(BO3:BR3)</f>
        <v>896.85868193017484</v>
      </c>
      <c r="CO3" s="60" t="str">
        <f>CP3&amp;"_"&amp;IF(CQ3="男性",1,IF(CQ3="女性",2,IF(CQ3="合計",3)))</f>
        <v>2025_1</v>
      </c>
      <c r="CP3" s="29">
        <f>管理者入力シート!B8</f>
        <v>2025</v>
      </c>
      <c r="CQ3" s="4" t="s">
        <v>21</v>
      </c>
      <c r="CR3" s="10">
        <f>BK3+将来予測シート②!$G17</f>
        <v>232.05748761442345</v>
      </c>
      <c r="CS3" s="10">
        <f>BL3+将来予測シート②!$G18</f>
        <v>266.5806899120513</v>
      </c>
      <c r="CT3" s="10">
        <f>BM3+将来予測シート②!$G19</f>
        <v>284.09484898490894</v>
      </c>
      <c r="CU3" s="10">
        <f>BN3+将来予測シート②!$G20</f>
        <v>299.66662912662218</v>
      </c>
      <c r="CV3" s="10">
        <f>BO3+将来予測シート②!$G21</f>
        <v>163.46738972828547</v>
      </c>
      <c r="CW3" s="10">
        <f>BP3+将来予測シート②!$G22</f>
        <v>196.22986809077133</v>
      </c>
      <c r="CX3" s="10">
        <f>BQ3+将来予測シート②!$G23</f>
        <v>251.4796870083818</v>
      </c>
      <c r="CY3" s="10">
        <f>BR3+将来予測シート②!$G24</f>
        <v>287.68173710273629</v>
      </c>
      <c r="CZ3" s="10">
        <f>BS3+将来予測シート②!$G25</f>
        <v>312.65930981536059</v>
      </c>
      <c r="DA3" s="10">
        <f>BT3+将来予測シート②!$G26</f>
        <v>318.98563194155037</v>
      </c>
      <c r="DB3" s="10">
        <f>BU3+将来予測シート②!$G27</f>
        <v>337.48326027415493</v>
      </c>
      <c r="DC3" s="10">
        <f>BV3+将来予測シート②!$G28</f>
        <v>272.98784211793458</v>
      </c>
      <c r="DD3" s="10">
        <f>BW3+将来予測シート②!$G29</f>
        <v>345.73913293304929</v>
      </c>
      <c r="DE3" s="10">
        <f>BX3</f>
        <v>370.42966614749315</v>
      </c>
      <c r="DF3" s="10">
        <f t="shared" ref="DF3:DL3" si="4">BY3</f>
        <v>438.25310306143274</v>
      </c>
      <c r="DG3" s="10">
        <f t="shared" si="4"/>
        <v>390.08983543882204</v>
      </c>
      <c r="DH3" s="10">
        <f t="shared" si="4"/>
        <v>257.7604132735903</v>
      </c>
      <c r="DI3" s="10">
        <f t="shared" si="4"/>
        <v>164.15825677787365</v>
      </c>
      <c r="DJ3" s="10">
        <f t="shared" si="4"/>
        <v>87.004971712477143</v>
      </c>
      <c r="DK3" s="10">
        <f t="shared" si="4"/>
        <v>19.393492216968703</v>
      </c>
      <c r="DL3" s="10">
        <f t="shared" si="4"/>
        <v>0.18084269086003241</v>
      </c>
      <c r="DM3" s="10">
        <f t="shared" ref="DM3:DM4" si="5">SUM(CR3:DL3)</f>
        <v>5296.3840959697491</v>
      </c>
      <c r="DN3" s="10">
        <f>CS3*3/5+CT3*3/5</f>
        <v>330.40532333817612</v>
      </c>
      <c r="DO3" s="10">
        <f>CT3*2/5+CU3*1/5</f>
        <v>173.57126541928801</v>
      </c>
      <c r="DP3" s="10">
        <f t="shared" ref="DP3:DP14" si="6">SUM(DE3:DL3)</f>
        <v>1727.270581319518</v>
      </c>
      <c r="DQ3" s="10">
        <f>SUM(DG3:DL3)</f>
        <v>918.58781211059204</v>
      </c>
      <c r="DR3" s="14">
        <f>DP3/DM3</f>
        <v>0.32612260554023526</v>
      </c>
      <c r="DS3" s="14">
        <f>DQ3/DM3</f>
        <v>0.17343678167329024</v>
      </c>
      <c r="DT3" s="10">
        <f>SUM(CV3:CY3)</f>
        <v>898.85868193017484</v>
      </c>
      <c r="DV3" s="338"/>
      <c r="DW3" s="339"/>
      <c r="DX3" s="29">
        <f>管理者入力シート!B8</f>
        <v>2025</v>
      </c>
      <c r="DY3" s="4" t="s">
        <v>21</v>
      </c>
      <c r="DZ3" s="10">
        <f>BK$3</f>
        <v>231.05748761442345</v>
      </c>
      <c r="EA3" s="10">
        <f>BL$3</f>
        <v>266.5806899120513</v>
      </c>
      <c r="EB3" s="10">
        <f t="shared" ref="EB3:ED3" si="7">BM$3</f>
        <v>283.09484898490894</v>
      </c>
      <c r="EC3" s="10">
        <f t="shared" si="7"/>
        <v>299.66662912662218</v>
      </c>
      <c r="ED3" s="10">
        <f t="shared" si="7"/>
        <v>163.46738972828547</v>
      </c>
      <c r="EE3" s="10">
        <f>BP$3+DX1</f>
        <v>283.22986809077133</v>
      </c>
      <c r="EF3" s="10">
        <f>BQ$3+DX1</f>
        <v>340.4796870083818</v>
      </c>
      <c r="EG3" s="10">
        <f>BR$3+DX1</f>
        <v>376.68173710273629</v>
      </c>
      <c r="EH3" s="10">
        <f t="shared" ref="EH3:ET3" si="8">BS$3</f>
        <v>312.65930981536059</v>
      </c>
      <c r="EI3" s="10">
        <f t="shared" si="8"/>
        <v>318.98563194155037</v>
      </c>
      <c r="EJ3" s="10">
        <f t="shared" si="8"/>
        <v>337.48326027415493</v>
      </c>
      <c r="EK3" s="10">
        <f t="shared" si="8"/>
        <v>272.98784211793458</v>
      </c>
      <c r="EL3" s="10">
        <f t="shared" si="8"/>
        <v>345.73913293304929</v>
      </c>
      <c r="EM3" s="10">
        <f t="shared" si="8"/>
        <v>370.42966614749315</v>
      </c>
      <c r="EN3" s="10">
        <f t="shared" si="8"/>
        <v>438.25310306143274</v>
      </c>
      <c r="EO3" s="10">
        <f t="shared" si="8"/>
        <v>390.08983543882204</v>
      </c>
      <c r="EP3" s="10">
        <f t="shared" si="8"/>
        <v>257.7604132735903</v>
      </c>
      <c r="EQ3" s="10">
        <f t="shared" si="8"/>
        <v>164.15825677787365</v>
      </c>
      <c r="ER3" s="10">
        <f t="shared" si="8"/>
        <v>87.004971712477143</v>
      </c>
      <c r="ES3" s="10">
        <f t="shared" si="8"/>
        <v>19.393492216968703</v>
      </c>
      <c r="ET3" s="10">
        <f t="shared" si="8"/>
        <v>0.18084269086003241</v>
      </c>
      <c r="EU3" s="10">
        <f t="shared" ref="EU3:EU4" si="9">SUM(DZ3:ET3)</f>
        <v>5559.3840959697482</v>
      </c>
      <c r="EV3" s="10">
        <f>EA3*3/5+EB3*3/5</f>
        <v>329.80532333817615</v>
      </c>
      <c r="EW3" s="10">
        <f>EB3*2/5+EC3*1/5</f>
        <v>173.17126541928801</v>
      </c>
      <c r="EX3" s="10">
        <f t="shared" ref="EX3:EX14" si="10">SUM(EM3:ET3)</f>
        <v>1727.270581319518</v>
      </c>
      <c r="EY3" s="10">
        <f>SUM(EO3:ET3)</f>
        <v>918.58781211059204</v>
      </c>
      <c r="EZ3" s="14">
        <f>EX3/EU3</f>
        <v>0.3106945934121903</v>
      </c>
      <c r="FA3" s="14">
        <f>EY3/EU3</f>
        <v>0.16523193869200697</v>
      </c>
      <c r="FB3" s="10">
        <f>SUM(ED3:EG3)</f>
        <v>1163.858681930175</v>
      </c>
    </row>
    <row r="4" spans="1:158" x14ac:dyDescent="0.15">
      <c r="A4" s="60" t="str">
        <f t="shared" ref="A4:A14" si="11">B4&amp;"_"&amp;IF(C4="男性",1,IF(C4="女性",2,IF(C4="合計",3)))</f>
        <v>2005_2</v>
      </c>
      <c r="B4" s="30">
        <v>2005</v>
      </c>
      <c r="C4" s="5" t="s">
        <v>22</v>
      </c>
      <c r="D4" s="11">
        <v>290.10000000000002</v>
      </c>
      <c r="E4" s="11">
        <v>315.29999999999995</v>
      </c>
      <c r="F4" s="11">
        <v>366.9</v>
      </c>
      <c r="G4" s="11">
        <v>378.15</v>
      </c>
      <c r="H4" s="11">
        <v>263.8</v>
      </c>
      <c r="I4" s="11">
        <v>367.59999999999997</v>
      </c>
      <c r="J4" s="11">
        <v>382.9</v>
      </c>
      <c r="K4" s="11">
        <v>341.09999999999997</v>
      </c>
      <c r="L4" s="11">
        <v>415.95</v>
      </c>
      <c r="M4" s="11">
        <v>467.09999999999997</v>
      </c>
      <c r="N4" s="11">
        <v>494.84999999999997</v>
      </c>
      <c r="O4" s="11">
        <v>546.20000000000005</v>
      </c>
      <c r="P4" s="11">
        <v>446.65</v>
      </c>
      <c r="Q4" s="11">
        <v>486.40000000000003</v>
      </c>
      <c r="R4" s="11">
        <v>486.99999999999994</v>
      </c>
      <c r="S4" s="11">
        <v>430.04999999999995</v>
      </c>
      <c r="T4" s="11">
        <v>341.35</v>
      </c>
      <c r="U4" s="11">
        <v>196.2</v>
      </c>
      <c r="V4" s="11">
        <v>113.05</v>
      </c>
      <c r="W4" s="11">
        <v>37.65</v>
      </c>
      <c r="X4" s="11">
        <v>4.75</v>
      </c>
      <c r="Y4" s="11">
        <v>7173.0499999999984</v>
      </c>
      <c r="Z4" s="11">
        <f t="shared" ref="Z4:Z11" si="12">E4*3/5+F4*3/5</f>
        <v>409.31999999999994</v>
      </c>
      <c r="AA4" s="11">
        <f t="shared" ref="AA4:AA11" si="13">F4*2/5+G4*1/5</f>
        <v>222.39</v>
      </c>
      <c r="AB4" s="11">
        <f t="shared" si="0"/>
        <v>2096.4499999999998</v>
      </c>
      <c r="AC4" s="11">
        <f t="shared" ref="AC4:AC11" si="14">SUM(S4:X4)</f>
        <v>1123.05</v>
      </c>
      <c r="AD4" s="15">
        <f t="shared" ref="AD4:AD11" si="15">AB4/Y4</f>
        <v>0.29226758491854932</v>
      </c>
      <c r="AE4" s="15">
        <f t="shared" ref="AE4:AE11" si="16">AC4/Y4</f>
        <v>0.15656519890423184</v>
      </c>
      <c r="AF4" s="11">
        <f t="shared" ref="AF4:AF20" si="17">SUM(H4:K4)</f>
        <v>1355.3999999999999</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0.95594937811144165</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0.97637371980116894</v>
      </c>
      <c r="AO4" s="211">
        <f t="shared" si="18"/>
        <v>0.98323595434763711</v>
      </c>
      <c r="AP4" s="211">
        <f t="shared" si="18"/>
        <v>0.57738112892845495</v>
      </c>
      <c r="AQ4" s="211">
        <f t="shared" si="18"/>
        <v>1.3449548518589813</v>
      </c>
      <c r="AR4" s="211">
        <f t="shared" si="18"/>
        <v>0.96929599717430437</v>
      </c>
      <c r="AS4" s="211">
        <f t="shared" si="18"/>
        <v>0.94872831380793754</v>
      </c>
      <c r="AT4" s="211">
        <f t="shared" si="18"/>
        <v>0.98979891553103971</v>
      </c>
      <c r="AU4" s="211">
        <f t="shared" si="18"/>
        <v>0.96398211655197619</v>
      </c>
      <c r="AV4" s="211">
        <f t="shared" si="18"/>
        <v>1.0115158309051384</v>
      </c>
      <c r="AW4" s="211">
        <f t="shared" si="18"/>
        <v>1.0122255679123862</v>
      </c>
      <c r="AX4" s="211">
        <f t="shared" si="18"/>
        <v>0.99075809350330801</v>
      </c>
      <c r="AY4" s="211">
        <f t="shared" si="18"/>
        <v>0.98809095561573734</v>
      </c>
      <c r="AZ4" s="211">
        <f t="shared" si="18"/>
        <v>0.96980583616997518</v>
      </c>
      <c r="BA4" s="211">
        <f t="shared" si="18"/>
        <v>0.93592064453441948</v>
      </c>
      <c r="BB4" s="211">
        <f t="shared" si="18"/>
        <v>0.89080508039809081</v>
      </c>
      <c r="BC4" s="211">
        <f t="shared" si="18"/>
        <v>0.7760299241521833</v>
      </c>
      <c r="BD4" s="211">
        <f t="shared" si="18"/>
        <v>0.65623325246279296</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0.43268359142627599</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0.32671112708569544</v>
      </c>
      <c r="BH4" s="60" t="str">
        <f t="shared" ref="BH4:BH20" si="19">BI4&amp;"_"&amp;IF(BJ4="男性",1,IF(BJ4="女性",2,IF(BJ4="合計",3)))</f>
        <v>2025_2</v>
      </c>
      <c r="BI4" s="30">
        <f>BI3</f>
        <v>2025</v>
      </c>
      <c r="BJ4" s="5" t="s">
        <v>22</v>
      </c>
      <c r="BK4" s="11">
        <f>CM4*AK$14</f>
        <v>202.98079825028302</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227.53948411931384</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257.26499069506542</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288.70838415895241</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149.9189178279544</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256.62441844299087</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242.90179941650234</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247.30714459892334</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333.35877771928995</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366.28656819837789</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361.19921155421719</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350.66237597796118</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387.7534368624502</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454.87559558958992</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471.10598880835965</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489.35010544241419</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364.17370862100898</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311.17658391710938</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204.19437792134184</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88.476796780976301</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17.438391889589614</v>
      </c>
      <c r="CF4" s="11">
        <f t="shared" si="2"/>
        <v>6073.2978567926721</v>
      </c>
      <c r="CG4" s="11">
        <f t="shared" ref="CG4:CG14" si="20">BL4*3/5+BM4*3/5</f>
        <v>290.88268488862752</v>
      </c>
      <c r="CH4" s="11">
        <f t="shared" ref="CH4:CH14" si="21">BM4*2/5+BN4*1/5</f>
        <v>160.64767310981665</v>
      </c>
      <c r="CI4" s="11">
        <f t="shared" si="3"/>
        <v>2400.7915489703896</v>
      </c>
      <c r="CJ4" s="11">
        <f t="shared" ref="CJ4:CJ14" si="22">SUM(BZ4:CE4)</f>
        <v>1474.8099645724403</v>
      </c>
      <c r="CK4" s="15">
        <f t="shared" ref="CK4:CK14" si="23">CI4/CF4</f>
        <v>0.39530278369028576</v>
      </c>
      <c r="CL4" s="15">
        <f t="shared" ref="CL4:CL14" si="24">CJ4/CF4</f>
        <v>0.24283511188619558</v>
      </c>
      <c r="CM4" s="11">
        <f t="shared" ref="CM4:CM14" si="25">SUM(BO4:BR4)</f>
        <v>896.75228028637093</v>
      </c>
      <c r="CO4" s="60" t="str">
        <f t="shared" ref="CO4:CO20" si="26">CP4&amp;"_"&amp;IF(CQ4="男性",1,IF(CQ4="女性",2,IF(CQ4="合計",3)))</f>
        <v>2025_2</v>
      </c>
      <c r="CP4" s="30">
        <f>CP3</f>
        <v>2025</v>
      </c>
      <c r="CQ4" s="5" t="s">
        <v>22</v>
      </c>
      <c r="CR4" s="11">
        <f>BK4+将来予測シート②!$H17</f>
        <v>203.98079825028302</v>
      </c>
      <c r="CS4" s="11">
        <f>BL4+将来予測シート②!$H18</f>
        <v>227.53948411931384</v>
      </c>
      <c r="CT4" s="11">
        <f>BM4+将来予測シート②!$H19</f>
        <v>258.26499069506542</v>
      </c>
      <c r="CU4" s="11">
        <f>BN4+将来予測シート②!$H20</f>
        <v>288.70838415895241</v>
      </c>
      <c r="CV4" s="11">
        <f>BO4+将来予測シート②!$H21</f>
        <v>149.9189178279544</v>
      </c>
      <c r="CW4" s="11">
        <f>BP4+将来予測シート②!$H22</f>
        <v>258.62441844299087</v>
      </c>
      <c r="CX4" s="11">
        <f>BQ4+将来予測シート②!$H23</f>
        <v>242.90179941650234</v>
      </c>
      <c r="CY4" s="11">
        <f>BR4+将来予測シート②!$H24</f>
        <v>247.30714459892334</v>
      </c>
      <c r="CZ4" s="11">
        <f>BS4+将来予測シート②!$H25</f>
        <v>334.35877771928995</v>
      </c>
      <c r="DA4" s="11">
        <f>BT4+将来予測シート②!$H26</f>
        <v>366.28656819837789</v>
      </c>
      <c r="DB4" s="11">
        <f>BU4+将来予測シート②!$H27</f>
        <v>361.19921155421719</v>
      </c>
      <c r="DC4" s="11">
        <f>BV4+将来予測シート②!$H28</f>
        <v>350.66237597796118</v>
      </c>
      <c r="DD4" s="11">
        <f>BW4+将来予測シート②!$H29</f>
        <v>387.7534368624502</v>
      </c>
      <c r="DE4" s="11">
        <f>BX4</f>
        <v>454.87559558958992</v>
      </c>
      <c r="DF4" s="11">
        <f t="shared" ref="DF4" si="27">BY4</f>
        <v>471.10598880835965</v>
      </c>
      <c r="DG4" s="11">
        <f t="shared" ref="DG4" si="28">BZ4</f>
        <v>489.35010544241419</v>
      </c>
      <c r="DH4" s="11">
        <f t="shared" ref="DH4" si="29">CA4</f>
        <v>364.17370862100898</v>
      </c>
      <c r="DI4" s="11">
        <f t="shared" ref="DI4" si="30">CB4</f>
        <v>311.17658391710938</v>
      </c>
      <c r="DJ4" s="11">
        <f t="shared" ref="DJ4" si="31">CC4</f>
        <v>204.19437792134184</v>
      </c>
      <c r="DK4" s="11">
        <f t="shared" ref="DK4" si="32">CD4</f>
        <v>88.476796780976301</v>
      </c>
      <c r="DL4" s="11">
        <f t="shared" ref="DL4" si="33">CE4</f>
        <v>17.438391889589614</v>
      </c>
      <c r="DM4" s="11">
        <f t="shared" si="5"/>
        <v>6078.2978567926721</v>
      </c>
      <c r="DN4" s="11">
        <f t="shared" ref="DN4:DN14" si="34">CS4*3/5+CT4*3/5</f>
        <v>291.48268488862755</v>
      </c>
      <c r="DO4" s="11">
        <f t="shared" ref="DO4:DO14" si="35">CT4*2/5+CU4*1/5</f>
        <v>161.04767310981666</v>
      </c>
      <c r="DP4" s="11">
        <f t="shared" si="6"/>
        <v>2400.7915489703896</v>
      </c>
      <c r="DQ4" s="11">
        <f t="shared" ref="DQ4:DQ14" si="36">SUM(DG4:DL4)</f>
        <v>1474.8099645724403</v>
      </c>
      <c r="DR4" s="15">
        <f t="shared" ref="DR4:DR14" si="37">DP4/DM4</f>
        <v>0.39497760812880145</v>
      </c>
      <c r="DS4" s="15">
        <f t="shared" ref="DS4:DS14" si="38">DQ4/DM4</f>
        <v>0.24263535603545619</v>
      </c>
      <c r="DT4" s="11">
        <f>SUM(CV4:CY4)</f>
        <v>898.75228028637093</v>
      </c>
      <c r="DV4" s="338"/>
      <c r="DW4" s="339"/>
      <c r="DX4" s="30">
        <f>DX3</f>
        <v>2025</v>
      </c>
      <c r="DY4" s="5" t="s">
        <v>22</v>
      </c>
      <c r="DZ4" s="11">
        <f>BK$4</f>
        <v>202.98079825028302</v>
      </c>
      <c r="EA4" s="11">
        <f>BL$4</f>
        <v>227.53948411931384</v>
      </c>
      <c r="EB4" s="11">
        <f t="shared" ref="EB4:ED4" si="39">BM$4</f>
        <v>257.26499069506542</v>
      </c>
      <c r="EC4" s="11">
        <f t="shared" si="39"/>
        <v>288.70838415895241</v>
      </c>
      <c r="ED4" s="11">
        <f t="shared" si="39"/>
        <v>149.9189178279544</v>
      </c>
      <c r="EE4" s="11">
        <f>BP$4+DX1</f>
        <v>345.62441844299087</v>
      </c>
      <c r="EF4" s="11">
        <f>BQ$4+DX1</f>
        <v>331.90179941650234</v>
      </c>
      <c r="EG4" s="11">
        <f>BR$4+DX1</f>
        <v>336.30714459892334</v>
      </c>
      <c r="EH4" s="11">
        <f t="shared" ref="EH4:ET4" si="40">BS$4</f>
        <v>333.35877771928995</v>
      </c>
      <c r="EI4" s="11">
        <f t="shared" si="40"/>
        <v>366.28656819837789</v>
      </c>
      <c r="EJ4" s="11">
        <f t="shared" si="40"/>
        <v>361.19921155421719</v>
      </c>
      <c r="EK4" s="11">
        <f t="shared" si="40"/>
        <v>350.66237597796118</v>
      </c>
      <c r="EL4" s="11">
        <f t="shared" si="40"/>
        <v>387.7534368624502</v>
      </c>
      <c r="EM4" s="11">
        <f t="shared" si="40"/>
        <v>454.87559558958992</v>
      </c>
      <c r="EN4" s="11">
        <f t="shared" si="40"/>
        <v>471.10598880835965</v>
      </c>
      <c r="EO4" s="11">
        <f t="shared" si="40"/>
        <v>489.35010544241419</v>
      </c>
      <c r="EP4" s="11">
        <f t="shared" si="40"/>
        <v>364.17370862100898</v>
      </c>
      <c r="EQ4" s="11">
        <f t="shared" si="40"/>
        <v>311.17658391710938</v>
      </c>
      <c r="ER4" s="11">
        <f t="shared" si="40"/>
        <v>204.19437792134184</v>
      </c>
      <c r="ES4" s="11">
        <f t="shared" si="40"/>
        <v>88.476796780976301</v>
      </c>
      <c r="ET4" s="11">
        <f t="shared" si="40"/>
        <v>17.438391889589614</v>
      </c>
      <c r="EU4" s="11">
        <f t="shared" si="9"/>
        <v>6340.2978567926721</v>
      </c>
      <c r="EV4" s="11">
        <f t="shared" ref="EV4:EV14" si="41">EA4*3/5+EB4*3/5</f>
        <v>290.88268488862752</v>
      </c>
      <c r="EW4" s="11">
        <f t="shared" ref="EW4:EW14" si="42">EB4*2/5+EC4*1/5</f>
        <v>160.64767310981665</v>
      </c>
      <c r="EX4" s="11">
        <f t="shared" si="10"/>
        <v>2400.7915489703896</v>
      </c>
      <c r="EY4" s="11">
        <f t="shared" ref="EY4:EY14" si="43">SUM(EO4:ET4)</f>
        <v>1474.8099645724403</v>
      </c>
      <c r="EZ4" s="15">
        <f t="shared" ref="EZ4:EZ14" si="44">EX4/EU4</f>
        <v>0.37865595642297845</v>
      </c>
      <c r="FA4" s="15">
        <f t="shared" ref="FA4:FA14" si="45">EY4/EU4</f>
        <v>0.23260894012927233</v>
      </c>
      <c r="FB4" s="11">
        <f>SUM(ED4:EG4)</f>
        <v>1163.7522802863709</v>
      </c>
    </row>
    <row r="5" spans="1:158" x14ac:dyDescent="0.15">
      <c r="A5" s="60" t="str">
        <f t="shared" si="11"/>
        <v>2005_3</v>
      </c>
      <c r="B5" s="31">
        <v>2005</v>
      </c>
      <c r="C5" s="6" t="s">
        <v>23</v>
      </c>
      <c r="D5" s="12">
        <v>600.95000000000005</v>
      </c>
      <c r="E5" s="12">
        <v>629.25</v>
      </c>
      <c r="F5" s="12">
        <v>720.15</v>
      </c>
      <c r="G5" s="12">
        <v>774.5</v>
      </c>
      <c r="H5" s="12">
        <v>495</v>
      </c>
      <c r="I5" s="12">
        <v>686</v>
      </c>
      <c r="J5" s="12">
        <v>736.19999999999993</v>
      </c>
      <c r="K5" s="12">
        <v>640.79999999999995</v>
      </c>
      <c r="L5" s="12">
        <v>772.25</v>
      </c>
      <c r="M5" s="12">
        <v>881.84999999999991</v>
      </c>
      <c r="N5" s="12">
        <v>983.3</v>
      </c>
      <c r="O5" s="12">
        <v>1020.15</v>
      </c>
      <c r="P5" s="12">
        <v>821.5</v>
      </c>
      <c r="Q5" s="12">
        <v>827.45</v>
      </c>
      <c r="R5" s="12">
        <v>918.5</v>
      </c>
      <c r="S5" s="12">
        <v>743.39999999999986</v>
      </c>
      <c r="T5" s="12">
        <v>516</v>
      </c>
      <c r="U5" s="12">
        <v>287.14999999999998</v>
      </c>
      <c r="V5" s="12">
        <v>144.35</v>
      </c>
      <c r="W5" s="12">
        <v>42.15</v>
      </c>
      <c r="X5" s="12">
        <v>5.0999999999999996</v>
      </c>
      <c r="Y5" s="12">
        <v>13246.000000000002</v>
      </c>
      <c r="Z5" s="12">
        <f t="shared" si="12"/>
        <v>809.64</v>
      </c>
      <c r="AA5" s="12">
        <f t="shared" si="13"/>
        <v>442.96000000000004</v>
      </c>
      <c r="AB5" s="12">
        <f t="shared" si="0"/>
        <v>3484.1</v>
      </c>
      <c r="AC5" s="12">
        <f t="shared" si="14"/>
        <v>1738.1499999999996</v>
      </c>
      <c r="AD5" s="16">
        <f t="shared" si="15"/>
        <v>0.26303034878453868</v>
      </c>
      <c r="AE5" s="16">
        <f t="shared" si="16"/>
        <v>0.1312207458855503</v>
      </c>
      <c r="AF5" s="12">
        <f t="shared" si="17"/>
        <v>2558</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1.0265651859457372</v>
      </c>
      <c r="AN5" s="7">
        <f t="shared" si="1"/>
        <v>1.0168708736857457</v>
      </c>
      <c r="AO5" s="7">
        <f t="shared" si="1"/>
        <v>0.98205020583512292</v>
      </c>
      <c r="AP5" s="7">
        <f t="shared" si="1"/>
        <v>0.50649603268257648</v>
      </c>
      <c r="AQ5" s="7">
        <f t="shared" si="1"/>
        <v>1.2545029281039577</v>
      </c>
      <c r="AR5" s="7">
        <f t="shared" si="1"/>
        <v>1.0997612362822835</v>
      </c>
      <c r="AS5" s="7">
        <f t="shared" si="1"/>
        <v>1.0067576907416849</v>
      </c>
      <c r="AT5" s="7">
        <f t="shared" si="1"/>
        <v>1.0096300832452048</v>
      </c>
      <c r="AU5" s="7">
        <f t="shared" si="1"/>
        <v>0.9897642434722248</v>
      </c>
      <c r="AV5" s="7">
        <f t="shared" si="1"/>
        <v>1.0114421171254755</v>
      </c>
      <c r="AW5" s="7">
        <f t="shared" si="1"/>
        <v>0.9187805194234091</v>
      </c>
      <c r="AX5" s="7">
        <f t="shared" si="1"/>
        <v>0.95848034822884098</v>
      </c>
      <c r="AY5" s="7">
        <f t="shared" si="1"/>
        <v>0.96187891160937855</v>
      </c>
      <c r="AZ5" s="7">
        <f t="shared" si="1"/>
        <v>0.94150736566796633</v>
      </c>
      <c r="BA5" s="7">
        <f t="shared" si="1"/>
        <v>0.86243706490379268</v>
      </c>
      <c r="BB5" s="7">
        <f t="shared" si="1"/>
        <v>0.75204374434881993</v>
      </c>
      <c r="BC5" s="7">
        <f t="shared" si="1"/>
        <v>0.66662910410615384</v>
      </c>
      <c r="BD5" s="7">
        <f t="shared" si="1"/>
        <v>0.38627785642412438</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0.22031868136630808</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0.13632273315289953</v>
      </c>
      <c r="BH5" s="60" t="str">
        <f t="shared" si="19"/>
        <v>2025_3</v>
      </c>
      <c r="BI5" s="31">
        <f>BI4</f>
        <v>2025</v>
      </c>
      <c r="BJ5" s="6" t="s">
        <v>23</v>
      </c>
      <c r="BK5" s="17">
        <f>BK3+BK4</f>
        <v>434.03828586470649</v>
      </c>
      <c r="BL5" s="17">
        <f t="shared" ref="BL5:CE5" si="46">BL3+BL4</f>
        <v>494.12017403136514</v>
      </c>
      <c r="BM5" s="17">
        <f t="shared" si="46"/>
        <v>540.35983967997436</v>
      </c>
      <c r="BN5" s="17">
        <f t="shared" si="46"/>
        <v>588.3750132855746</v>
      </c>
      <c r="BO5" s="17">
        <f t="shared" si="46"/>
        <v>313.3863075562399</v>
      </c>
      <c r="BP5" s="17">
        <f t="shared" si="46"/>
        <v>450.85428653376221</v>
      </c>
      <c r="BQ5" s="17">
        <f t="shared" si="46"/>
        <v>494.38148642488414</v>
      </c>
      <c r="BR5" s="17">
        <f t="shared" si="46"/>
        <v>534.98888170165969</v>
      </c>
      <c r="BS5" s="17">
        <f t="shared" si="46"/>
        <v>646.01808753465048</v>
      </c>
      <c r="BT5" s="17">
        <f t="shared" si="46"/>
        <v>685.27220013992826</v>
      </c>
      <c r="BU5" s="17">
        <f t="shared" si="46"/>
        <v>698.68247182837217</v>
      </c>
      <c r="BV5" s="17">
        <f t="shared" si="46"/>
        <v>623.65021809589575</v>
      </c>
      <c r="BW5" s="17">
        <f t="shared" si="46"/>
        <v>733.49256979549955</v>
      </c>
      <c r="BX5" s="17">
        <f t="shared" si="46"/>
        <v>825.30526173708313</v>
      </c>
      <c r="BY5" s="17">
        <f t="shared" si="46"/>
        <v>909.35909186979234</v>
      </c>
      <c r="BZ5" s="17">
        <f t="shared" si="46"/>
        <v>879.43994088123623</v>
      </c>
      <c r="CA5" s="17">
        <f t="shared" si="46"/>
        <v>621.93412189459923</v>
      </c>
      <c r="CB5" s="17">
        <f t="shared" si="46"/>
        <v>475.33484069498303</v>
      </c>
      <c r="CC5" s="17">
        <f t="shared" si="46"/>
        <v>291.199349633819</v>
      </c>
      <c r="CD5" s="17">
        <f t="shared" si="46"/>
        <v>107.87028899794501</v>
      </c>
      <c r="CE5" s="17">
        <f t="shared" si="46"/>
        <v>17.619234580449646</v>
      </c>
      <c r="CF5" s="12">
        <f>SUM(BK5:CE5)</f>
        <v>11365.681952762421</v>
      </c>
      <c r="CG5" s="12">
        <f t="shared" si="20"/>
        <v>620.68800822680373</v>
      </c>
      <c r="CH5" s="12">
        <f t="shared" si="21"/>
        <v>333.81893852910468</v>
      </c>
      <c r="CI5" s="12">
        <f t="shared" si="3"/>
        <v>4128.0621302899081</v>
      </c>
      <c r="CJ5" s="12">
        <f t="shared" si="22"/>
        <v>2393.3977766830321</v>
      </c>
      <c r="CK5" s="16">
        <f t="shared" si="23"/>
        <v>0.363204086428495</v>
      </c>
      <c r="CL5" s="16">
        <f t="shared" si="24"/>
        <v>0.2105810972566691</v>
      </c>
      <c r="CM5" s="12">
        <f t="shared" si="25"/>
        <v>1793.6109622165459</v>
      </c>
      <c r="CO5" s="60" t="str">
        <f t="shared" si="26"/>
        <v>2025_3</v>
      </c>
      <c r="CP5" s="31">
        <f>CP4</f>
        <v>2025</v>
      </c>
      <c r="CQ5" s="6" t="s">
        <v>23</v>
      </c>
      <c r="CR5" s="17">
        <f>CR3+CR4</f>
        <v>436.03828586470649</v>
      </c>
      <c r="CS5" s="17">
        <f t="shared" ref="CS5" si="47">CS3+CS4</f>
        <v>494.12017403136514</v>
      </c>
      <c r="CT5" s="17">
        <f t="shared" ref="CT5" si="48">CT3+CT4</f>
        <v>542.35983967997436</v>
      </c>
      <c r="CU5" s="17">
        <f t="shared" ref="CU5" si="49">CU3+CU4</f>
        <v>588.3750132855746</v>
      </c>
      <c r="CV5" s="17">
        <f t="shared" ref="CV5" si="50">CV3+CV4</f>
        <v>313.3863075562399</v>
      </c>
      <c r="CW5" s="17">
        <f t="shared" ref="CW5" si="51">CW3+CW4</f>
        <v>454.85428653376221</v>
      </c>
      <c r="CX5" s="17">
        <f t="shared" ref="CX5" si="52">CX3+CX4</f>
        <v>494.38148642488414</v>
      </c>
      <c r="CY5" s="17">
        <f t="shared" ref="CY5" si="53">CY3+CY4</f>
        <v>534.98888170165969</v>
      </c>
      <c r="CZ5" s="17">
        <f t="shared" ref="CZ5" si="54">CZ3+CZ4</f>
        <v>647.01808753465048</v>
      </c>
      <c r="DA5" s="17">
        <f t="shared" ref="DA5" si="55">DA3+DA4</f>
        <v>685.27220013992826</v>
      </c>
      <c r="DB5" s="17">
        <f t="shared" ref="DB5" si="56">DB3+DB4</f>
        <v>698.68247182837217</v>
      </c>
      <c r="DC5" s="17">
        <f t="shared" ref="DC5" si="57">DC3+DC4</f>
        <v>623.65021809589575</v>
      </c>
      <c r="DD5" s="17">
        <f t="shared" ref="DD5" si="58">DD3+DD4</f>
        <v>733.49256979549955</v>
      </c>
      <c r="DE5" s="17">
        <f t="shared" ref="DE5" si="59">DE3+DE4</f>
        <v>825.30526173708313</v>
      </c>
      <c r="DF5" s="17">
        <f t="shared" ref="DF5" si="60">DF3+DF4</f>
        <v>909.35909186979234</v>
      </c>
      <c r="DG5" s="17">
        <f t="shared" ref="DG5" si="61">DG3+DG4</f>
        <v>879.43994088123623</v>
      </c>
      <c r="DH5" s="17">
        <f t="shared" ref="DH5" si="62">DH3+DH4</f>
        <v>621.93412189459923</v>
      </c>
      <c r="DI5" s="17">
        <f t="shared" ref="DI5" si="63">DI3+DI4</f>
        <v>475.33484069498303</v>
      </c>
      <c r="DJ5" s="17">
        <f t="shared" ref="DJ5" si="64">DJ3+DJ4</f>
        <v>291.199349633819</v>
      </c>
      <c r="DK5" s="17">
        <f t="shared" ref="DK5" si="65">DK3+DK4</f>
        <v>107.87028899794501</v>
      </c>
      <c r="DL5" s="17">
        <f t="shared" ref="DL5" si="66">DL3+DL4</f>
        <v>17.619234580449646</v>
      </c>
      <c r="DM5" s="12">
        <f>SUM(CR5:DL5)</f>
        <v>11374.681952762421</v>
      </c>
      <c r="DN5" s="12">
        <f t="shared" si="34"/>
        <v>621.88800822680366</v>
      </c>
      <c r="DO5" s="12">
        <f t="shared" si="35"/>
        <v>334.61893852910464</v>
      </c>
      <c r="DP5" s="12">
        <f t="shared" si="6"/>
        <v>4128.0621302899081</v>
      </c>
      <c r="DQ5" s="12">
        <f t="shared" si="36"/>
        <v>2393.3977766830321</v>
      </c>
      <c r="DR5" s="16">
        <f t="shared" si="37"/>
        <v>0.36291670812715598</v>
      </c>
      <c r="DS5" s="16">
        <f t="shared" si="38"/>
        <v>0.21041447898257751</v>
      </c>
      <c r="DT5" s="12">
        <f>SUM(CV5:CY5)</f>
        <v>1797.6109622165459</v>
      </c>
      <c r="DV5" s="338"/>
      <c r="DW5" s="339"/>
      <c r="DX5" s="31">
        <f>DX4</f>
        <v>2025</v>
      </c>
      <c r="DY5" s="6" t="s">
        <v>23</v>
      </c>
      <c r="DZ5" s="17">
        <f>DZ3+DZ4</f>
        <v>434.03828586470649</v>
      </c>
      <c r="EA5" s="17">
        <f t="shared" ref="EA5:ET5" si="67">EA3+EA4</f>
        <v>494.12017403136514</v>
      </c>
      <c r="EB5" s="17">
        <f t="shared" si="67"/>
        <v>540.35983967997436</v>
      </c>
      <c r="EC5" s="17">
        <f t="shared" si="67"/>
        <v>588.3750132855746</v>
      </c>
      <c r="ED5" s="17">
        <f t="shared" si="67"/>
        <v>313.3863075562399</v>
      </c>
      <c r="EE5" s="17">
        <f t="shared" si="67"/>
        <v>628.85428653376221</v>
      </c>
      <c r="EF5" s="17">
        <f t="shared" si="67"/>
        <v>672.38148642488409</v>
      </c>
      <c r="EG5" s="17">
        <f t="shared" si="67"/>
        <v>712.98888170165969</v>
      </c>
      <c r="EH5" s="17">
        <f t="shared" si="67"/>
        <v>646.01808753465048</v>
      </c>
      <c r="EI5" s="17">
        <f t="shared" si="67"/>
        <v>685.27220013992826</v>
      </c>
      <c r="EJ5" s="17">
        <f t="shared" si="67"/>
        <v>698.68247182837217</v>
      </c>
      <c r="EK5" s="17">
        <f t="shared" si="67"/>
        <v>623.65021809589575</v>
      </c>
      <c r="EL5" s="17">
        <f t="shared" si="67"/>
        <v>733.49256979549955</v>
      </c>
      <c r="EM5" s="17">
        <f t="shared" si="67"/>
        <v>825.30526173708313</v>
      </c>
      <c r="EN5" s="17">
        <f t="shared" si="67"/>
        <v>909.35909186979234</v>
      </c>
      <c r="EO5" s="17">
        <f t="shared" si="67"/>
        <v>879.43994088123623</v>
      </c>
      <c r="EP5" s="17">
        <f t="shared" si="67"/>
        <v>621.93412189459923</v>
      </c>
      <c r="EQ5" s="17">
        <f t="shared" si="67"/>
        <v>475.33484069498303</v>
      </c>
      <c r="ER5" s="17">
        <f t="shared" si="67"/>
        <v>291.199349633819</v>
      </c>
      <c r="ES5" s="17">
        <f t="shared" si="67"/>
        <v>107.87028899794501</v>
      </c>
      <c r="ET5" s="17">
        <f t="shared" si="67"/>
        <v>17.619234580449646</v>
      </c>
      <c r="EU5" s="12">
        <f>SUM(DZ5:ET5)</f>
        <v>11899.681952762421</v>
      </c>
      <c r="EV5" s="12">
        <f t="shared" si="41"/>
        <v>620.68800822680373</v>
      </c>
      <c r="EW5" s="12">
        <f t="shared" si="42"/>
        <v>333.81893852910468</v>
      </c>
      <c r="EX5" s="12">
        <f t="shared" si="10"/>
        <v>4128.0621302899081</v>
      </c>
      <c r="EY5" s="12">
        <f t="shared" si="43"/>
        <v>2393.3977766830321</v>
      </c>
      <c r="EZ5" s="16">
        <f t="shared" si="44"/>
        <v>0.34690524895344871</v>
      </c>
      <c r="FA5" s="16">
        <f t="shared" si="45"/>
        <v>0.20113123915277609</v>
      </c>
      <c r="FB5" s="12">
        <f>SUM(ED5:EG5)</f>
        <v>2327.6109622165459</v>
      </c>
    </row>
    <row r="6" spans="1:158" x14ac:dyDescent="0.15">
      <c r="A6" s="60" t="str">
        <f t="shared" si="11"/>
        <v>2010_1</v>
      </c>
      <c r="B6" s="29">
        <v>2010</v>
      </c>
      <c r="C6" s="4" t="s">
        <v>21</v>
      </c>
      <c r="D6" s="10">
        <v>306.22933731283291</v>
      </c>
      <c r="E6" s="10">
        <v>304.87524146818066</v>
      </c>
      <c r="F6" s="10">
        <v>302.85341849397685</v>
      </c>
      <c r="G6" s="10">
        <v>340.41841638921971</v>
      </c>
      <c r="H6" s="10">
        <v>197.52823150145403</v>
      </c>
      <c r="I6" s="10">
        <v>287.80873538120773</v>
      </c>
      <c r="J6" s="10">
        <v>338.06253291992851</v>
      </c>
      <c r="K6" s="10">
        <v>346.47332742252945</v>
      </c>
      <c r="L6" s="10">
        <v>303.80802327196966</v>
      </c>
      <c r="M6" s="10">
        <v>368.26474018138902</v>
      </c>
      <c r="N6" s="10">
        <v>415.13330345302575</v>
      </c>
      <c r="O6" s="10">
        <v>504.67271608617756</v>
      </c>
      <c r="P6" s="10">
        <v>478.28776102666984</v>
      </c>
      <c r="Q6" s="10">
        <v>376.68025192433777</v>
      </c>
      <c r="R6" s="10">
        <v>318.58180316461818</v>
      </c>
      <c r="S6" s="10">
        <v>380.17128877892253</v>
      </c>
      <c r="T6" s="10">
        <v>243.3123974545714</v>
      </c>
      <c r="U6" s="10">
        <v>125.16631964243247</v>
      </c>
      <c r="V6" s="10">
        <v>39.266903370644854</v>
      </c>
      <c r="W6" s="10">
        <v>12.953171981293822</v>
      </c>
      <c r="X6" s="10">
        <v>0.35207877461706782</v>
      </c>
      <c r="Y6" s="10">
        <v>5990.9000000000015</v>
      </c>
      <c r="Z6" s="10">
        <f t="shared" si="12"/>
        <v>364.63719597729448</v>
      </c>
      <c r="AA6" s="10">
        <f t="shared" si="13"/>
        <v>189.22505067543469</v>
      </c>
      <c r="AB6" s="10">
        <f t="shared" si="0"/>
        <v>1496.484215091438</v>
      </c>
      <c r="AC6" s="10">
        <f t="shared" si="14"/>
        <v>801.22216000248216</v>
      </c>
      <c r="AD6" s="14">
        <f t="shared" si="15"/>
        <v>0.24979288839597349</v>
      </c>
      <c r="AE6" s="14">
        <f t="shared" si="16"/>
        <v>0.1337398654630326</v>
      </c>
      <c r="AF6" s="10">
        <f t="shared" si="17"/>
        <v>1169.8728272251196</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1.0109741821759355</v>
      </c>
      <c r="AN6" s="211">
        <f t="shared" si="18"/>
        <v>0.94061123626972198</v>
      </c>
      <c r="AO6" s="211">
        <f t="shared" si="18"/>
        <v>1.023011566399729</v>
      </c>
      <c r="AP6" s="211">
        <f t="shared" si="18"/>
        <v>0.48866413387334623</v>
      </c>
      <c r="AQ6" s="211">
        <f t="shared" si="18"/>
        <v>1.3340598137333521</v>
      </c>
      <c r="AR6" s="211">
        <f t="shared" si="18"/>
        <v>1.1141005706234552</v>
      </c>
      <c r="AS6" s="211">
        <f t="shared" si="18"/>
        <v>0.94181083036089108</v>
      </c>
      <c r="AT6" s="211">
        <f t="shared" si="18"/>
        <v>0.99685212105520316</v>
      </c>
      <c r="AU6" s="211">
        <f t="shared" si="18"/>
        <v>0.99445719238412</v>
      </c>
      <c r="AV6" s="211">
        <f t="shared" si="18"/>
        <v>0.95518813425653504</v>
      </c>
      <c r="AW6" s="211">
        <f t="shared" si="18"/>
        <v>1.0106473963954619</v>
      </c>
      <c r="AX6" s="211">
        <f t="shared" si="18"/>
        <v>0.99556300399965214</v>
      </c>
      <c r="AY6" s="211">
        <f t="shared" si="18"/>
        <v>0.98352156256738488</v>
      </c>
      <c r="AZ6" s="211">
        <f t="shared" si="18"/>
        <v>0.96425874283269608</v>
      </c>
      <c r="BA6" s="211">
        <f t="shared" si="18"/>
        <v>0.92862730191519316</v>
      </c>
      <c r="BB6" s="211">
        <f t="shared" si="18"/>
        <v>0.8933799300895966</v>
      </c>
      <c r="BC6" s="211">
        <f t="shared" si="18"/>
        <v>0.80358532899991086</v>
      </c>
      <c r="BD6" s="211">
        <f t="shared" si="18"/>
        <v>0.61470355465032434</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0.39663249971326575</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0.15308266271817519</v>
      </c>
      <c r="BH6" s="60" t="str">
        <f t="shared" si="19"/>
        <v>2030_1</v>
      </c>
      <c r="BI6" s="29">
        <f>管理者入力シート!B9</f>
        <v>2030</v>
      </c>
      <c r="BJ6" s="4" t="s">
        <v>21</v>
      </c>
      <c r="BK6" s="10">
        <f>CM7*$AK$13</f>
        <v>219.12851356933223</v>
      </c>
      <c r="BL6" s="10">
        <f>IF(管理者入力シート!$B$14=1,BK3*管理者用人口入力シート!AM$3,IF(管理者入力シート!$B$14=2,BK3*管理者用人口入力シート!AM$7))</f>
        <v>233.78376824121696</v>
      </c>
      <c r="BM6" s="10">
        <f>IF(管理者入力シート!$B$14=1,BL3*管理者用人口入力シート!AN$3,IF(管理者入力シート!$B$14=2,BL3*管理者用人口入力シート!AN$7))</f>
        <v>261.39372008433372</v>
      </c>
      <c r="BN6" s="10">
        <f>IF(管理者入力シート!$B$14=1,BM3*管理者用人口入力シート!AO$3,IF(管理者入力シート!$B$14=2,BM3*管理者用人口入力シート!AO$7))</f>
        <v>285.4104744511053</v>
      </c>
      <c r="BO6" s="10">
        <f>IF(管理者入力シート!$B$14=1,BN3*管理者用人口入力シート!AP$3,IF(管理者入力シート!$B$14=2,BN3*管理者用人口入力シート!AP$7))</f>
        <v>152.66495558577546</v>
      </c>
      <c r="BP6" s="10">
        <f>IF(管理者入力シート!$B$14=1,BO3*管理者用人口入力シート!AQ$3,IF(管理者入力シート!$B$14=2,BO3*管理者用人口入力シート!AQ$7))</f>
        <v>208.33156368811723</v>
      </c>
      <c r="BQ6" s="10">
        <f>IF(管理者入力シート!$B$14=1,BP3*管理者用人口入力シート!AR$3,IF(管理者入力シート!$B$14=2,BP3*管理者用人口入力シート!AR$7))</f>
        <v>218.80317474144564</v>
      </c>
      <c r="BR6" s="10">
        <f>IF(管理者入力シート!$B$14=1,BQ3*管理者用人口入力シート!AS$3,IF(管理者入力シート!$B$14=2,BQ3*管理者用人口入力シート!AS$7))</f>
        <v>253.0099197421352</v>
      </c>
      <c r="BS6" s="10">
        <f>IF(管理者入力シート!$B$14=1,BR3*管理者用人口入力シート!AT$3,IF(管理者入力シート!$B$14=2,BR3*管理者用人口入力シート!AT$7))</f>
        <v>282.64216998238982</v>
      </c>
      <c r="BT6" s="10">
        <f>IF(管理者入力シート!$B$14=1,BS3*管理者用人口入力シート!AU$3,IF(管理者入力シート!$B$14=2,BS3*管理者用人口入力シート!AU$7))</f>
        <v>306.50208935999598</v>
      </c>
      <c r="BU6" s="10">
        <f>IF(管理者入力シート!$B$14=1,BT3*管理者用人口入力シート!AV$3,IF(管理者入力シート!$B$14=2,BT3*管理者用人口入力シート!AV$7))</f>
        <v>316.95592853895994</v>
      </c>
      <c r="BV6" s="10">
        <f>IF(管理者入力シート!$B$14=1,BU3*管理者用人口入力シート!AW$3,IF(管理者入力シート!$B$14=2,BU3*管理者用人口入力シート!AW$7))</f>
        <v>313.87018289059972</v>
      </c>
      <c r="BW6" s="10">
        <f>IF(管理者入力シート!$B$14=1,BV3*管理者用人口入力シート!AX$3,IF(管理者入力シート!$B$14=2,BV3*管理者用人口入力シート!AX$7))</f>
        <v>269.15769510632049</v>
      </c>
      <c r="BX6" s="10">
        <f>IF(管理者入力シート!$B$14=1,BW3*管理者用人口入力シート!AY$3,IF(管理者入力シート!$B$14=2,BW3*管理者用人口入力シート!AY$7))</f>
        <v>331.06339757687772</v>
      </c>
      <c r="BY6" s="10">
        <f>IF(管理者入力シート!$B$14=1,BX3*管理者用人口入力シート!AZ$3,IF(管理者入力シート!$B$14=2,BX3*管理者用人口入力シート!AZ$7))</f>
        <v>352.07311733897961</v>
      </c>
      <c r="BZ6" s="10">
        <f>IF(管理者入力シート!$B$14=1,BY3*管理者用人口入力シート!BA$3,IF(管理者入力シート!$B$14=2,BY3*管理者用人口入力シート!BA$7))</f>
        <v>387.30176300491019</v>
      </c>
      <c r="CA6" s="10">
        <f>IF(管理者入力シート!$B$14=1,BZ3*管理者用人口入力シート!BB$3,IF(管理者入力シート!$B$14=2,BZ3*管理者用人口入力シート!BB$7))</f>
        <v>313.08534822459302</v>
      </c>
      <c r="CB6" s="10">
        <f>IF(管理者入力シート!$B$14=1,CA3*管理者用人口入力シート!BC$3,IF(管理者入力シート!$B$14=2,CA3*管理者用人口入力シート!BC$7))</f>
        <v>179.7949359338424</v>
      </c>
      <c r="CC6" s="10">
        <f>IF(管理者入力シート!$B$14=1,CB3*管理者用人口入力シート!BD$3,IF(管理者入力シート!$B$14=2,CB3*管理者用人口入力シート!BD$7))</f>
        <v>68.445702016820917</v>
      </c>
      <c r="CD6" s="10">
        <f>IF(管理者入力シート!$B$14=1,CC3*管理者用人口入力シート!BE$3,IF(管理者入力シート!$B$14=2,CC3*管理者用人口入力シート!BE$7))</f>
        <v>23.114499465521192</v>
      </c>
      <c r="CE6" s="10">
        <f>IF(管理者入力シート!$B$14=1,CD3*管理者用人口入力シート!BF$3,IF(管理者入力シート!$B$14=2,CD3*管理者用人口入力シート!BF$7))</f>
        <v>0.2264332304733602</v>
      </c>
      <c r="CF6" s="10">
        <f t="shared" si="2"/>
        <v>4976.7593527737463</v>
      </c>
      <c r="CG6" s="10">
        <f t="shared" si="20"/>
        <v>297.10649299533043</v>
      </c>
      <c r="CH6" s="10">
        <f t="shared" si="21"/>
        <v>161.63958292395455</v>
      </c>
      <c r="CI6" s="10">
        <f t="shared" si="3"/>
        <v>1655.1051967920184</v>
      </c>
      <c r="CJ6" s="10">
        <f t="shared" si="22"/>
        <v>971.96868187616121</v>
      </c>
      <c r="CK6" s="14">
        <f t="shared" si="23"/>
        <v>0.33256685314100276</v>
      </c>
      <c r="CL6" s="14">
        <f t="shared" si="24"/>
        <v>0.19530152313562124</v>
      </c>
      <c r="CM6" s="10">
        <f t="shared" si="25"/>
        <v>832.80961375747347</v>
      </c>
      <c r="CO6" s="60" t="str">
        <f t="shared" si="26"/>
        <v>2030_1</v>
      </c>
      <c r="CP6" s="29">
        <f>管理者入力シート!B9</f>
        <v>2030</v>
      </c>
      <c r="CQ6" s="4" t="s">
        <v>21</v>
      </c>
      <c r="CR6" s="10">
        <f>DT7*$AK$13+将来予測シート②!$G17</f>
        <v>221.17934469050073</v>
      </c>
      <c r="CS6" s="10">
        <f>IF(管理者入力シート!$B$14=1,CR3*管理者用人口入力シート!AM$3,IF(管理者入力シート!$B$14=2,CR3*管理者用人口入力シート!AM$7))+将来予測シート②!$G18</f>
        <v>234.79556738546864</v>
      </c>
      <c r="CT6" s="10">
        <f>IF(管理者入力シート!$B$14=1,CS3*管理者用人口入力シート!AN$3,IF(管理者入力シート!$B$14=2,CS3*管理者用人口入力シート!AN$7))+将来予測シート②!$G19</f>
        <v>262.39372008433372</v>
      </c>
      <c r="CU6" s="10">
        <f>IF(管理者入力シート!$B$14=1,CT3*管理者用人口入力シート!AO$3,IF(管理者入力シート!$B$14=2,CT3*管理者用人口入力シート!AO$7))+将来予測シート②!$G20</f>
        <v>286.418654131783</v>
      </c>
      <c r="CV6" s="10">
        <f>IF(管理者入力シート!$B$14=1,CU3*管理者用人口入力シート!AP$3,IF(管理者入力シート!$B$14=2,CU3*管理者用人口入力シート!AP$7))+将来予測シート②!$G21</f>
        <v>152.66495558577546</v>
      </c>
      <c r="CW6" s="10">
        <f>IF(管理者入力シート!$B$14=1,CV3*管理者用人口入力シート!AQ$3,IF(管理者入力シート!$B$14=2,CV3*管理者用人口入力シート!AQ$7))+将来予測シート②!$G22</f>
        <v>210.33156368811723</v>
      </c>
      <c r="CX6" s="10">
        <f>IF(管理者入力シート!$B$14=1,CW3*管理者用人口入力シート!AR$3,IF(管理者入力シート!$B$14=2,CW3*管理者用人口入力シート!AR$7))+将来予測シート②!$G23</f>
        <v>221.05620798388384</v>
      </c>
      <c r="CY6" s="10">
        <f>IF(管理者入力シート!$B$14=1,CX3*管理者用人口入力シート!AS$3,IF(管理者入力シート!$B$14=2,CX3*管理者用人口入力シート!AS$7))+将来予測シート②!$G24</f>
        <v>253.0099197421352</v>
      </c>
      <c r="CZ6" s="10">
        <f>IF(管理者入力シート!$B$14=1,CY3*管理者用人口入力シート!AT$3,IF(管理者入力シート!$B$14=2,CY3*管理者用人口入力シート!AT$7))+将来予測シート②!$G25</f>
        <v>282.64216998238982</v>
      </c>
      <c r="DA6" s="10">
        <f>IF(管理者入力シート!$B$14=1,CZ3*管理者用人口入力シート!AU$3,IF(管理者入力シート!$B$14=2,CZ3*管理者用人口入力シート!AU$7))+将来予測シート②!$G26</f>
        <v>306.50208935999598</v>
      </c>
      <c r="DB6" s="10">
        <f>IF(管理者入力シート!$B$14=1,DA3*管理者用人口入力シート!AV$3,IF(管理者入力シート!$B$14=2,DA3*管理者用人口入力シート!AV$7))+将来予測シート②!$G27</f>
        <v>316.95592853895994</v>
      </c>
      <c r="DC6" s="10">
        <f>IF(管理者入力シート!$B$14=1,DB3*管理者用人口入力シート!AW$3,IF(管理者入力シート!$B$14=2,DB3*管理者用人口入力シート!AW$7))+将来予測シート②!$G28</f>
        <v>313.87018289059972</v>
      </c>
      <c r="DD6" s="10">
        <f>IF(管理者入力シート!$B$14=1,DC3*管理者用人口入力シート!AX$3,IF(管理者入力シート!$B$14=2,DC3*管理者用人口入力シート!AX$7))+将来予測シート②!$G29</f>
        <v>269.15769510632049</v>
      </c>
      <c r="DE6" s="10">
        <f>IF(管理者入力シート!$B$14=1,DD3*管理者用人口入力シート!AY$3,IF(管理者入力シート!$B$14=2,DD3*管理者用人口入力シート!AY$7))</f>
        <v>331.06339757687772</v>
      </c>
      <c r="DF6" s="10">
        <f>IF(管理者入力シート!$B$14=1,DE3*管理者用人口入力シート!AZ$3,IF(管理者入力シート!$B$14=2,DE3*管理者用人口入力シート!AZ$7))</f>
        <v>352.07311733897961</v>
      </c>
      <c r="DG6" s="10">
        <f>IF(管理者入力シート!$B$14=1,DF3*管理者用人口入力シート!BA$3,IF(管理者入力シート!$B$14=2,DF3*管理者用人口入力シート!BA$7))</f>
        <v>387.30176300491019</v>
      </c>
      <c r="DH6" s="10">
        <f>IF(管理者入力シート!$B$14=1,DG3*管理者用人口入力シート!BB$3,IF(管理者入力シート!$B$14=2,DG3*管理者用人口入力シート!BB$7))</f>
        <v>313.08534822459302</v>
      </c>
      <c r="DI6" s="10">
        <f>IF(管理者入力シート!$B$14=1,DH3*管理者用人口入力シート!BC$3,IF(管理者入力シート!$B$14=2,DH3*管理者用人口入力シート!BC$7))</f>
        <v>179.7949359338424</v>
      </c>
      <c r="DJ6" s="10">
        <f>IF(管理者入力シート!$B$14=1,DI3*管理者用人口入力シート!BD$3,IF(管理者入力シート!$B$14=2,DI3*管理者用人口入力シート!BD$7))</f>
        <v>68.445702016820917</v>
      </c>
      <c r="DK6" s="10">
        <f>IF(管理者入力シート!$B$14=1,DJ3*管理者用人口入力シート!BE$3,IF(管理者入力シート!$B$14=2,DJ3*管理者用人口入力シート!BE$7))</f>
        <v>23.114499465521192</v>
      </c>
      <c r="DL6" s="10">
        <f>IF(管理者入力シート!$B$14=1,DK3*管理者用人口入力シート!BF$3,IF(管理者入力シート!$B$14=2,DK3*管理者用人口入力シート!BF$7))</f>
        <v>0.2264332304733602</v>
      </c>
      <c r="DM6" s="10">
        <f t="shared" ref="DM6:DM14" si="68">SUM(CR6:DL6)</f>
        <v>4986.0831959622819</v>
      </c>
      <c r="DN6" s="10">
        <f t="shared" si="34"/>
        <v>298.31357248188147</v>
      </c>
      <c r="DO6" s="10">
        <f t="shared" si="35"/>
        <v>162.2412188600901</v>
      </c>
      <c r="DP6" s="10">
        <f t="shared" si="6"/>
        <v>1655.1051967920184</v>
      </c>
      <c r="DQ6" s="10">
        <f t="shared" si="36"/>
        <v>971.96868187616121</v>
      </c>
      <c r="DR6" s="14">
        <f t="shared" si="37"/>
        <v>0.33194496195577294</v>
      </c>
      <c r="DS6" s="14">
        <f t="shared" si="38"/>
        <v>0.1949363144729031</v>
      </c>
      <c r="DT6" s="10">
        <f t="shared" ref="DT6:DT14" si="69">SUM(CV6:CY6)</f>
        <v>837.06264699991175</v>
      </c>
      <c r="DV6" s="60" t="s">
        <v>400</v>
      </c>
      <c r="DX6" s="29">
        <f>管理者入力シート!B9</f>
        <v>2030</v>
      </c>
      <c r="DY6" s="4" t="s">
        <v>21</v>
      </c>
      <c r="DZ6" s="10">
        <f>FB7*$AK$13</f>
        <v>333.43059566426331</v>
      </c>
      <c r="EA6" s="140">
        <f>IF(管理者入力シート!$B$14=1,DZ3*管理者用人口入力シート!AM$3,IF(管理者入力シート!$B$14=2,DZ3*管理者用人口入力シート!AM$7))</f>
        <v>233.78376824121696</v>
      </c>
      <c r="EB6" s="10">
        <f>IF(管理者入力シート!$B$14=1,EA3*管理者用人口入力シート!AN$3,IF(管理者入力シート!$B$14=2,EA3*管理者用人口入力シート!AN$7))</f>
        <v>261.39372008433372</v>
      </c>
      <c r="EC6" s="10">
        <f>IF(管理者入力シート!$B$14=1,EB3*管理者用人口入力シート!AO$3,IF(管理者入力シート!$B$14=2,EB3*管理者用人口入力シート!AO$7))</f>
        <v>285.4104744511053</v>
      </c>
      <c r="ED6" s="10">
        <f>IF(管理者入力シート!$B$14=1,EC3*管理者用人口入力シート!AP$3,IF(管理者入力シート!$B$14=2,EC3*管理者用人口入力シート!AP$7))</f>
        <v>152.66495558577546</v>
      </c>
      <c r="EE6" s="10">
        <f>IF(管理者入力シート!$B$14=1,ED3*管理者用人口入力シート!AQ$3,IF(管理者入力シート!$B$14=2,ED3*管理者用人口入力シート!AQ$7))+DX1</f>
        <v>297.33156368811723</v>
      </c>
      <c r="EF6" s="10">
        <f>IF(管理者入力シート!$B$14=1,EE3*管理者用人口入力シート!AR$3,IF(管理者入力シート!$B$14=2,EE3*管理者用人口入力シート!AR$7))+DX1</f>
        <v>408.06315402994483</v>
      </c>
      <c r="EG6" s="10">
        <f>IF(管理者入力シート!$B$14=1,EF3*管理者用人口入力シート!AS$3,IF(管理者入力シート!$B$14=2,EF3*管理者用人口入力シート!AS$7))+DX1</f>
        <v>431.55147725289953</v>
      </c>
      <c r="EH6" s="10">
        <f>IF(管理者入力シート!$B$14=1,EG3*管理者用人口入力シート!AT$3,IF(管理者入力シート!$B$14=2,EG3*管理者用人口入力シート!AT$7))</f>
        <v>370.08308083676684</v>
      </c>
      <c r="EI6" s="10">
        <f>IF(管理者入力シート!$B$14=1,EH3*管理者用人口入力シート!AU$3,IF(管理者入力シート!$B$14=2,EH3*管理者用人口入力シート!AU$7))</f>
        <v>306.50208935999598</v>
      </c>
      <c r="EJ6" s="10">
        <f>IF(管理者入力シート!$B$14=1,EI3*管理者用人口入力シート!AV$3,IF(管理者入力シート!$B$14=2,EI3*管理者用人口入力シート!AV$7))</f>
        <v>316.95592853895994</v>
      </c>
      <c r="EK6" s="10">
        <f>IF(管理者入力シート!$B$14=1,EJ3*管理者用人口入力シート!AW$3,IF(管理者入力シート!$B$14=2,EJ3*管理者用人口入力シート!AW$7))</f>
        <v>313.87018289059972</v>
      </c>
      <c r="EL6" s="10">
        <f>IF(管理者入力シート!$B$14=1,EK3*管理者用人口入力シート!AX$3,IF(管理者入力シート!$B$14=2,EK3*管理者用人口入力シート!AX$7))</f>
        <v>269.15769510632049</v>
      </c>
      <c r="EM6" s="10">
        <f>IF(管理者入力シート!$B$14=1,EL3*管理者用人口入力シート!AY$3,IF(管理者入力シート!$B$14=2,EL3*管理者用人口入力シート!AY$7))</f>
        <v>331.06339757687772</v>
      </c>
      <c r="EN6" s="10">
        <f>IF(管理者入力シート!$B$14=1,EM3*管理者用人口入力シート!AZ$3,IF(管理者入力シート!$B$14=2,EM3*管理者用人口入力シート!AZ$7))</f>
        <v>352.07311733897961</v>
      </c>
      <c r="EO6" s="10">
        <f>IF(管理者入力シート!$B$14=1,EN3*管理者用人口入力シート!BA$3,IF(管理者入力シート!$B$14=2,EN3*管理者用人口入力シート!BA$7))</f>
        <v>387.30176300491019</v>
      </c>
      <c r="EP6" s="10">
        <f>IF(管理者入力シート!$B$14=1,EO3*管理者用人口入力シート!BB$3,IF(管理者入力シート!$B$14=2,EO3*管理者用人口入力シート!BB$7))</f>
        <v>313.08534822459302</v>
      </c>
      <c r="EQ6" s="10">
        <f>IF(管理者入力シート!$B$14=1,EP3*管理者用人口入力シート!BC$3,IF(管理者入力シート!$B$14=2,EP3*管理者用人口入力シート!BC$7))</f>
        <v>179.7949359338424</v>
      </c>
      <c r="ER6" s="10">
        <f>IF(管理者入力シート!$B$14=1,EQ3*管理者用人口入力シート!BD$3,IF(管理者入力シート!$B$14=2,EQ3*管理者用人口入力シート!BD$7))</f>
        <v>68.445702016820917</v>
      </c>
      <c r="ES6" s="10">
        <f>IF(管理者入力シート!$B$14=1,ER3*管理者用人口入力シート!BE$3,IF(管理者入力シート!$B$14=2,ER3*管理者用人口入力シート!BE$7))</f>
        <v>23.114499465521192</v>
      </c>
      <c r="ET6" s="10">
        <f>IF(管理者入力シート!$B$14=1,ES3*管理者用人口入力シート!BF$3,IF(管理者入力シート!$B$14=2,ES3*管理者用人口入力シート!BF$7))</f>
        <v>0.2264332304733602</v>
      </c>
      <c r="EU6" s="10">
        <f t="shared" ref="EU6:EU14" si="70">SUM(DZ6:ET6)</f>
        <v>5635.3038825223175</v>
      </c>
      <c r="EV6" s="10">
        <f t="shared" si="41"/>
        <v>297.10649299533043</v>
      </c>
      <c r="EW6" s="10">
        <f t="shared" si="42"/>
        <v>161.63958292395455</v>
      </c>
      <c r="EX6" s="10">
        <f t="shared" si="10"/>
        <v>1655.1051967920184</v>
      </c>
      <c r="EY6" s="10">
        <f t="shared" si="43"/>
        <v>971.96868187616121</v>
      </c>
      <c r="EZ6" s="14">
        <f t="shared" si="44"/>
        <v>0.29370291847530439</v>
      </c>
      <c r="FA6" s="14">
        <f t="shared" si="45"/>
        <v>0.17247848601220697</v>
      </c>
      <c r="FB6" s="10">
        <f t="shared" ref="FB6:FB14" si="71">SUM(ED6:EG6)</f>
        <v>1289.6111505567369</v>
      </c>
    </row>
    <row r="7" spans="1:158" x14ac:dyDescent="0.15">
      <c r="A7" s="60" t="str">
        <f t="shared" si="11"/>
        <v>2010_2</v>
      </c>
      <c r="B7" s="30">
        <v>2010</v>
      </c>
      <c r="C7" s="5" t="s">
        <v>22</v>
      </c>
      <c r="D7" s="11">
        <v>291.63127879328232</v>
      </c>
      <c r="E7" s="11">
        <v>305.17714101494613</v>
      </c>
      <c r="F7" s="11">
        <v>324.34958374131423</v>
      </c>
      <c r="G7" s="11">
        <v>355.64945993109234</v>
      </c>
      <c r="H7" s="11">
        <v>202.32622139058566</v>
      </c>
      <c r="I7" s="11">
        <v>317.50954170521192</v>
      </c>
      <c r="J7" s="11">
        <v>401.31260808061069</v>
      </c>
      <c r="K7" s="11">
        <v>382.39858604721792</v>
      </c>
      <c r="L7" s="11">
        <v>344.66081574840399</v>
      </c>
      <c r="M7" s="11">
        <v>403.80458415806288</v>
      </c>
      <c r="N7" s="11">
        <v>460.8238437172659</v>
      </c>
      <c r="O7" s="11">
        <v>495.23777338948298</v>
      </c>
      <c r="P7" s="11">
        <v>550.31426390483136</v>
      </c>
      <c r="Q7" s="11">
        <v>452.34160855447544</v>
      </c>
      <c r="R7" s="11">
        <v>476.35150530887938</v>
      </c>
      <c r="S7" s="11">
        <v>463.73208130756865</v>
      </c>
      <c r="T7" s="11">
        <v>405.00445205167949</v>
      </c>
      <c r="U7" s="11">
        <v>293.17390792496144</v>
      </c>
      <c r="V7" s="11">
        <v>142.46872688624049</v>
      </c>
      <c r="W7" s="11">
        <v>64.711808979019892</v>
      </c>
      <c r="X7" s="11">
        <v>9.8702073648667259</v>
      </c>
      <c r="Y7" s="11">
        <v>7142.85</v>
      </c>
      <c r="Z7" s="11">
        <f t="shared" si="12"/>
        <v>377.71603485375624</v>
      </c>
      <c r="AA7" s="11">
        <f t="shared" si="13"/>
        <v>200.86972548274417</v>
      </c>
      <c r="AB7" s="11">
        <f t="shared" si="0"/>
        <v>2307.6542983776912</v>
      </c>
      <c r="AC7" s="11">
        <f t="shared" si="14"/>
        <v>1378.9611845143368</v>
      </c>
      <c r="AD7" s="15">
        <f t="shared" si="15"/>
        <v>0.32307192484480163</v>
      </c>
      <c r="AE7" s="15">
        <f t="shared" si="16"/>
        <v>0.19305475888676601</v>
      </c>
      <c r="AF7" s="11">
        <f t="shared" si="17"/>
        <v>1303.5469572236261</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1.0117991442516807</v>
      </c>
      <c r="AN7" s="53">
        <f t="shared" si="72"/>
        <v>0.98054258982738451</v>
      </c>
      <c r="AO7" s="53">
        <f t="shared" si="72"/>
        <v>1.0081796806776933</v>
      </c>
      <c r="AP7" s="53">
        <f t="shared" si="72"/>
        <v>0.50944930381710229</v>
      </c>
      <c r="AQ7" s="53">
        <f t="shared" si="72"/>
        <v>1.2744533575436956</v>
      </c>
      <c r="AR7" s="53">
        <f t="shared" si="72"/>
        <v>1.126516621219092</v>
      </c>
      <c r="AS7" s="53">
        <f t="shared" si="72"/>
        <v>1.0060849158512846</v>
      </c>
      <c r="AT7" s="53">
        <f t="shared" si="72"/>
        <v>0.98248214443120263</v>
      </c>
      <c r="AU7" s="53">
        <f t="shared" si="72"/>
        <v>0.98030693389875156</v>
      </c>
      <c r="AV7" s="53">
        <f t="shared" si="72"/>
        <v>0.99363700681364131</v>
      </c>
      <c r="AW7" s="53">
        <f t="shared" si="72"/>
        <v>0.93003185590783644</v>
      </c>
      <c r="AX7" s="53">
        <f t="shared" si="72"/>
        <v>0.98596953262863851</v>
      </c>
      <c r="AY7" s="53">
        <f t="shared" si="72"/>
        <v>0.95755257661557958</v>
      </c>
      <c r="AZ7" s="53">
        <f t="shared" si="72"/>
        <v>0.95044525186272599</v>
      </c>
      <c r="BA7" s="53">
        <f t="shared" si="72"/>
        <v>0.88373992174704497</v>
      </c>
      <c r="BB7" s="53">
        <f t="shared" si="72"/>
        <v>0.80259806788453047</v>
      </c>
      <c r="BC7" s="53">
        <f t="shared" si="72"/>
        <v>0.69752734196234267</v>
      </c>
      <c r="BD7" s="53">
        <f t="shared" si="72"/>
        <v>0.41694949349661031</v>
      </c>
      <c r="BE7" s="53">
        <f t="shared" si="72"/>
        <v>0.2656687199658776</v>
      </c>
      <c r="BF7" s="53">
        <f t="shared" si="72"/>
        <v>1.167573266021878E-2</v>
      </c>
      <c r="BH7" s="60" t="str">
        <f t="shared" si="19"/>
        <v>2030_2</v>
      </c>
      <c r="BI7" s="30">
        <f>BI6</f>
        <v>2030</v>
      </c>
      <c r="BJ7" s="5" t="s">
        <v>22</v>
      </c>
      <c r="BK7" s="11">
        <f>CM7*$AK$14</f>
        <v>192.50135999888062</v>
      </c>
      <c r="BL7" s="11">
        <f>IF(管理者入力シート!$B$14=1,BK4*管理者用人口入力シート!AM$4,IF(管理者入力シート!$B$14=2,BK4*管理者用人口入力シート!AM$8))</f>
        <v>199.54572868209442</v>
      </c>
      <c r="BM7" s="11">
        <f>IF(管理者入力シート!$B$14=1,BL4*管理者用人口入力シート!AN$4,IF(管理者入力シート!$B$14=2,BL4*管理者用人口入力シート!AN$8))</f>
        <v>218.05692879120608</v>
      </c>
      <c r="BN7" s="11">
        <f>IF(管理者入力シート!$B$14=1,BM4*管理者用人口入力シート!AO$4,IF(管理者入力シート!$B$14=2,BM4*管理者用人口入力シート!AO$8))</f>
        <v>258.01790098165526</v>
      </c>
      <c r="BO7" s="11">
        <f>IF(管理者入力シート!$B$14=1,BN4*管理者用人口入力シート!AP$4,IF(管理者入力シート!$B$14=2,BN4*管理者用人口入力シート!AP$8))</f>
        <v>153.35428696794901</v>
      </c>
      <c r="BP7" s="11">
        <f>IF(管理者入力シート!$B$14=1,BO4*管理者用人口入力シート!AQ$4,IF(管理者入力シート!$B$14=2,BO4*管理者用人口入力シート!AQ$8))</f>
        <v>200.81582909565705</v>
      </c>
      <c r="BQ7" s="11">
        <f>IF(管理者入力シート!$B$14=1,BP4*管理者用人口入力シート!AR$4,IF(管理者入力シート!$B$14=2,BP4*管理者用人口入力シート!AR$8))</f>
        <v>266.67873487230673</v>
      </c>
      <c r="BR7" s="11">
        <f>IF(管理者入力シート!$B$14=1,BQ4*管理者用人口入力シート!AS$4,IF(管理者入力シート!$B$14=2,BQ4*管理者用人口入力シート!AS$8))</f>
        <v>229.60614296143777</v>
      </c>
      <c r="BS7" s="11">
        <f>IF(管理者入力シート!$B$14=1,BR4*管理者用人口入力シート!AT$4,IF(管理者入力シート!$B$14=2,BR4*管理者用人口入力シート!AT$8))</f>
        <v>245.654949377523</v>
      </c>
      <c r="BT7" s="11">
        <f>IF(管理者入力シート!$B$14=1,BS4*管理者用人口入力シート!AU$4,IF(管理者入力シート!$B$14=2,BS4*管理者用人口入力シート!AU$8))</f>
        <v>326.39194342538872</v>
      </c>
      <c r="BU7" s="11">
        <f>IF(管理者入力シート!$B$14=1,BT4*管理者用人口入力シート!AV$4,IF(管理者入力シート!$B$14=2,BT4*管理者用人口入力シート!AV$8))</f>
        <v>360.04086364302276</v>
      </c>
      <c r="BV7" s="11">
        <f>IF(管理者入力シート!$B$14=1,BU4*管理者用人口入力シート!AW$4,IF(管理者入力シート!$B$14=2,BU4*管理者用人口入力シート!AW$8))</f>
        <v>365.32994871117086</v>
      </c>
      <c r="BW7" s="11">
        <f>IF(管理者入力シート!$B$14=1,BV4*管理者用人口入力シート!AX$4,IF(管理者入力シート!$B$14=2,BV4*管理者用人口入力シート!AX$8))</f>
        <v>348.26301880724975</v>
      </c>
      <c r="BX7" s="11">
        <f>IF(管理者入力シート!$B$14=1,BW4*管理者用人口入力シート!AY$4,IF(管理者入力シート!$B$14=2,BW4*管理者用人口入力シート!AY$8))</f>
        <v>382.24873846583239</v>
      </c>
      <c r="BY7" s="11">
        <f>IF(管理者入力シート!$B$14=1,BX4*管理者用人口入力シート!AZ$4,IF(管理者入力シート!$B$14=2,BX4*管理者用人口入力シート!AZ$8))</f>
        <v>439.87757941239113</v>
      </c>
      <c r="BZ7" s="11">
        <f>IF(管理者入力シート!$B$14=1,BY4*管理者用人口入力シート!BA$4,IF(管理者入力シート!$B$14=2,BY4*管理者用人口入力シート!BA$8))</f>
        <v>439.19649199100297</v>
      </c>
      <c r="CA7" s="11">
        <f>IF(管理者入力シート!$B$14=1,BZ4*管理者用人口入力シート!BB$4,IF(管理者入力シート!$B$14=2,BZ4*管理者用人口入力シート!BB$8))</f>
        <v>436.54510691135863</v>
      </c>
      <c r="CB7" s="11">
        <f>IF(管理者入力シート!$B$14=1,CA4*管理者用人口入力シート!BC$4,IF(管理者入力シート!$B$14=2,CA4*管理者用人口入力シート!BC$8))</f>
        <v>287.58340575603683</v>
      </c>
      <c r="CC7" s="11">
        <f>IF(管理者入力シート!$B$14=1,CB4*管理者用人口入力シート!BD$4,IF(管理者入力シート!$B$14=2,CB4*管理者用人口入力シート!BD$8))</f>
        <v>197.63728881504417</v>
      </c>
      <c r="CD7" s="11">
        <f>IF(管理者入力シート!$B$14=1,CC4*管理者用人口入力シート!BE$4,IF(管理者入力シート!$B$14=2,CC4*管理者用人口入力シート!BE$8))</f>
        <v>84.590801890498113</v>
      </c>
      <c r="CE7" s="11">
        <f>IF(管理者入力シート!$B$14=1,CD4*管理者用人口入力シート!BF$4,IF(管理者入力シート!$B$14=2,CD4*管理者用人口入力シート!BF$8))</f>
        <v>19.786745043337618</v>
      </c>
      <c r="CF7" s="11">
        <f t="shared" si="2"/>
        <v>5651.7237946010455</v>
      </c>
      <c r="CG7" s="11">
        <f t="shared" si="20"/>
        <v>250.56159448398029</v>
      </c>
      <c r="CH7" s="11">
        <f t="shared" si="21"/>
        <v>138.82635171281348</v>
      </c>
      <c r="CI7" s="11">
        <f t="shared" si="3"/>
        <v>2287.4661582855019</v>
      </c>
      <c r="CJ7" s="11">
        <f t="shared" si="22"/>
        <v>1465.3398404072784</v>
      </c>
      <c r="CK7" s="15">
        <f t="shared" si="23"/>
        <v>0.40473778291689744</v>
      </c>
      <c r="CL7" s="15">
        <f t="shared" si="24"/>
        <v>0.25927308086199857</v>
      </c>
      <c r="CM7" s="11">
        <f t="shared" si="25"/>
        <v>850.45499389735062</v>
      </c>
      <c r="CO7" s="60" t="str">
        <f t="shared" si="26"/>
        <v>2030_2</v>
      </c>
      <c r="CP7" s="30">
        <f>CP6</f>
        <v>2030</v>
      </c>
      <c r="CQ7" s="5" t="s">
        <v>22</v>
      </c>
      <c r="CR7" s="11">
        <f>DT7*$AK$14+将来予測シート②!$H17</f>
        <v>194.42450056447424</v>
      </c>
      <c r="CS7" s="11">
        <f>IF(管理者入力シート!$B$14=1,CR4*管理者用人口入力シート!AM$4,IF(管理者入力シート!$B$14=2,CR4*管理者用人口入力シート!AM$8))+将来予測シート②!$H18</f>
        <v>200.5288055563712</v>
      </c>
      <c r="CT7" s="11">
        <f>IF(管理者入力シート!$B$14=1,CS4*管理者用人口入力シート!AN$4,IF(管理者入力シート!$B$14=2,CS4*管理者用人口入力シート!AN$8))+将来予測シート②!$H19</f>
        <v>219.05692879120608</v>
      </c>
      <c r="CU7" s="11">
        <f>IF(管理者入力シート!$B$14=1,CT4*管理者用人口入力シート!AO$4,IF(管理者入力シート!$B$14=2,CT4*管理者用人口入力シート!AO$8))+将来予測シート②!$H20</f>
        <v>259.02082757607667</v>
      </c>
      <c r="CV7" s="11">
        <f>IF(管理者入力シート!$B$14=1,CU4*管理者用人口入力シート!AP$4,IF(管理者入力シート!$B$14=2,CU4*管理者用人口入力シート!AP$8))+将来予測シート②!$H21</f>
        <v>153.35428696794901</v>
      </c>
      <c r="CW7" s="11">
        <f>IF(管理者入力シート!$B$14=1,CV4*管理者用人口入力シート!AQ$4,IF(管理者入力シート!$B$14=2,CV4*管理者用人口入力シート!AQ$8))+将来予測シート②!$H22</f>
        <v>202.81582909565705</v>
      </c>
      <c r="CX7" s="11">
        <f>IF(管理者入力シート!$B$14=1,CW4*管理者用人口入力シート!AR$4,IF(管理者入力シート!$B$14=2,CW4*管理者用人口入力シート!AR$8))+将来予測シート②!$H23</f>
        <v>268.75709309316755</v>
      </c>
      <c r="CY7" s="11">
        <f>IF(管理者入力シート!$B$14=1,CX4*管理者用人口入力シート!AS$4,IF(管理者入力シート!$B$14=2,CX4*管理者用人口入力シート!AS$8))+将来予測シート②!$H24</f>
        <v>229.60614296143777</v>
      </c>
      <c r="CZ7" s="11">
        <f>IF(管理者入力シート!$B$14=1,CY4*管理者用人口入力シート!AT$4,IF(管理者入力シート!$B$14=2,CY4*管理者用人口入力シート!AT$8))+将来予測シート②!$H25</f>
        <v>246.654949377523</v>
      </c>
      <c r="DA7" s="11">
        <f>IF(管理者入力シート!$B$14=1,CZ4*管理者用人口入力シート!AU$4,IF(管理者入力シート!$B$14=2,CZ4*管理者用人口入力シート!AU$8))+将来予測シート②!$H26</f>
        <v>327.37104451778663</v>
      </c>
      <c r="DB7" s="11">
        <f>IF(管理者入力シート!$B$14=1,DA4*管理者用人口入力シート!AV$4,IF(管理者入力シート!$B$14=2,DA4*管理者用人口入力シート!AV$8))+将来予測シート②!$H27</f>
        <v>360.04086364302276</v>
      </c>
      <c r="DC7" s="11">
        <f>IF(管理者入力シート!$B$14=1,DB4*管理者用人口入力シート!AW$4,IF(管理者入力シート!$B$14=2,DB4*管理者用人口入力シート!AW$8))+将来予測シート②!$H28</f>
        <v>365.32994871117086</v>
      </c>
      <c r="DD7" s="11">
        <f>IF(管理者入力シート!$B$14=1,DC4*管理者用人口入力シート!AX$4,IF(管理者入力シート!$B$14=2,DC4*管理者用人口入力シート!AX$8))+将来予測シート②!$H29</f>
        <v>348.26301880724975</v>
      </c>
      <c r="DE7" s="11">
        <f>IF(管理者入力シート!$B$14=1,DD4*管理者用人口入力シート!AY$4,IF(管理者入力シート!$B$14=2,DD4*管理者用人口入力シート!AY$8))</f>
        <v>382.24873846583239</v>
      </c>
      <c r="DF7" s="11">
        <f>IF(管理者入力シート!$B$14=1,DE4*管理者用人口入力シート!AZ$4,IF(管理者入力シート!$B$14=2,DE4*管理者用人口入力シート!AZ$8))</f>
        <v>439.87757941239113</v>
      </c>
      <c r="DG7" s="11">
        <f>IF(管理者入力シート!$B$14=1,DF4*管理者用人口入力シート!BA$4,IF(管理者入力シート!$B$14=2,DF4*管理者用人口入力シート!BA$8))</f>
        <v>439.19649199100297</v>
      </c>
      <c r="DH7" s="11">
        <f>IF(管理者入力シート!$B$14=1,DG4*管理者用人口入力シート!BB$4,IF(管理者入力シート!$B$14=2,DG4*管理者用人口入力シート!BB$8))</f>
        <v>436.54510691135863</v>
      </c>
      <c r="DI7" s="11">
        <f>IF(管理者入力シート!$B$14=1,DH4*管理者用人口入力シート!BC$4,IF(管理者入力シート!$B$14=2,DH4*管理者用人口入力シート!BC$8))</f>
        <v>287.58340575603683</v>
      </c>
      <c r="DJ7" s="11">
        <f>IF(管理者入力シート!$B$14=1,DI4*管理者用人口入力シート!BD$4,IF(管理者入力シート!$B$14=2,DI4*管理者用人口入力シート!BD$8))</f>
        <v>197.63728881504417</v>
      </c>
      <c r="DK7" s="11">
        <f>IF(管理者入力シート!$B$14=1,DJ4*管理者用人口入力シート!BE$4,IF(管理者入力シート!$B$14=2,DJ4*管理者用人口入力シート!BE$8))</f>
        <v>84.590801890498113</v>
      </c>
      <c r="DL7" s="11">
        <f>IF(管理者入力シート!$B$14=1,DK4*管理者用人口入力シート!BF$4,IF(管理者入力シート!$B$14=2,DK4*管理者用人口入力シート!BF$8))</f>
        <v>19.786745043337618</v>
      </c>
      <c r="DM7" s="11">
        <f t="shared" si="68"/>
        <v>5662.690397948596</v>
      </c>
      <c r="DN7" s="11">
        <f t="shared" si="34"/>
        <v>251.75144060854635</v>
      </c>
      <c r="DO7" s="11">
        <f t="shared" si="35"/>
        <v>139.42693703169778</v>
      </c>
      <c r="DP7" s="11">
        <f t="shared" si="6"/>
        <v>2287.4661582855019</v>
      </c>
      <c r="DQ7" s="11">
        <f t="shared" si="36"/>
        <v>1465.3398404072784</v>
      </c>
      <c r="DR7" s="15">
        <f t="shared" si="37"/>
        <v>0.40395395077826868</v>
      </c>
      <c r="DS7" s="15">
        <f t="shared" si="38"/>
        <v>0.25877096175664527</v>
      </c>
      <c r="DT7" s="11">
        <f t="shared" si="69"/>
        <v>854.53335211821138</v>
      </c>
      <c r="DV7" s="60" t="s">
        <v>401</v>
      </c>
      <c r="DW7" s="231">
        <f>(SUM(BK12:BW12)-SUM(D12:P12))/4</f>
        <v>-230.29561598297471</v>
      </c>
      <c r="DX7" s="30">
        <f>DX6</f>
        <v>2030</v>
      </c>
      <c r="DY7" s="5" t="s">
        <v>22</v>
      </c>
      <c r="DZ7" s="11">
        <f>FB7*$AK$14</f>
        <v>292.91415382279382</v>
      </c>
      <c r="EA7" s="11">
        <f>IF(管理者入力シート!$B$14=1,DZ4*管理者用人口入力シート!AM$4,IF(管理者入力シート!$B$14=2,DZ4*管理者用人口入力シート!AM$8))</f>
        <v>199.54572868209442</v>
      </c>
      <c r="EB7" s="11">
        <f>IF(管理者入力シート!$B$14=1,EA4*管理者用人口入力シート!AN$4,IF(管理者入力シート!$B$14=2,EA4*管理者用人口入力シート!AN$8))</f>
        <v>218.05692879120608</v>
      </c>
      <c r="EC7" s="11">
        <f>IF(管理者入力シート!$B$14=1,EB4*管理者用人口入力シート!AO$4,IF(管理者入力シート!$B$14=2,EB4*管理者用人口入力シート!AO$8))</f>
        <v>258.01790098165526</v>
      </c>
      <c r="ED7" s="11">
        <f>IF(管理者入力シート!$B$14=1,EC4*管理者用人口入力シート!AP$4,IF(管理者入力シート!$B$14=2,EC4*管理者用人口入力シート!AP$8))</f>
        <v>153.35428696794901</v>
      </c>
      <c r="EE7" s="11">
        <f>IF(管理者入力シート!$B$14=1,ED4*管理者用人口入力シート!AQ$4,IF(管理者入力シート!$B$14=2,ED4*管理者用人口入力シート!AQ$8))+DX1</f>
        <v>289.81582909565702</v>
      </c>
      <c r="EF7" s="11">
        <f>IF(管理者入力シート!$B$14=1,EE4*管理者用人口入力シート!AR$4,IF(管理者入力シート!$B$14=2,EE4*管理者用人口入力シート!AR$8))+DX1</f>
        <v>448.16567570061261</v>
      </c>
      <c r="EG7" s="11">
        <f>IF(管理者入力シート!$B$14=1,EF4*管理者用人口入力シート!AS$4,IF(管理者入力シート!$B$14=2,EF4*管理者用人口入力シート!AS$8))+DX1</f>
        <v>402.73457170365663</v>
      </c>
      <c r="EH7" s="11">
        <f>IF(管理者入力シート!$B$14=1,EG4*管理者用人口入力シート!AT$4,IF(管理者入力シート!$B$14=2,EG4*管理者用人口入力シート!AT$8))</f>
        <v>334.06036334183403</v>
      </c>
      <c r="EI7" s="11">
        <f>IF(管理者入力シート!$B$14=1,EH4*管理者用人口入力シート!AU$4,IF(管理者入力シート!$B$14=2,EH4*管理者用人口入力シート!AU$8))</f>
        <v>326.39194342538872</v>
      </c>
      <c r="EJ7" s="11">
        <f>IF(管理者入力シート!$B$14=1,EI4*管理者用人口入力シート!AV$4,IF(管理者入力シート!$B$14=2,EI4*管理者用人口入力シート!AV$8))</f>
        <v>360.04086364302276</v>
      </c>
      <c r="EK7" s="11">
        <f>IF(管理者入力シート!$B$14=1,EJ4*管理者用人口入力シート!AW$4,IF(管理者入力シート!$B$14=2,EJ4*管理者用人口入力シート!AW$8))</f>
        <v>365.32994871117086</v>
      </c>
      <c r="EL7" s="11">
        <f>IF(管理者入力シート!$B$14=1,EK4*管理者用人口入力シート!AX$4,IF(管理者入力シート!$B$14=2,EK4*管理者用人口入力シート!AX$8))</f>
        <v>348.26301880724975</v>
      </c>
      <c r="EM7" s="11">
        <f>IF(管理者入力シート!$B$14=1,EL4*管理者用人口入力シート!AY$4,IF(管理者入力シート!$B$14=2,EL4*管理者用人口入力シート!AY$8))</f>
        <v>382.24873846583239</v>
      </c>
      <c r="EN7" s="11">
        <f>IF(管理者入力シート!$B$14=1,EM4*管理者用人口入力シート!AZ$4,IF(管理者入力シート!$B$14=2,EM4*管理者用人口入力シート!AZ$8))</f>
        <v>439.87757941239113</v>
      </c>
      <c r="EO7" s="11">
        <f>IF(管理者入力シート!$B$14=1,EN4*管理者用人口入力シート!BA$4,IF(管理者入力シート!$B$14=2,EN4*管理者用人口入力シート!BA$8))</f>
        <v>439.19649199100297</v>
      </c>
      <c r="EP7" s="11">
        <f>IF(管理者入力シート!$B$14=1,EO4*管理者用人口入力シート!BB$4,IF(管理者入力シート!$B$14=2,EO4*管理者用人口入力シート!BB$8))</f>
        <v>436.54510691135863</v>
      </c>
      <c r="EQ7" s="11">
        <f>IF(管理者入力シート!$B$14=1,EP4*管理者用人口入力シート!BC$4,IF(管理者入力シート!$B$14=2,EP4*管理者用人口入力シート!BC$8))</f>
        <v>287.58340575603683</v>
      </c>
      <c r="ER7" s="11">
        <f>IF(管理者入力シート!$B$14=1,EQ4*管理者用人口入力シート!BD$4,IF(管理者入力シート!$B$14=2,EQ4*管理者用人口入力シート!BD$8))</f>
        <v>197.63728881504417</v>
      </c>
      <c r="ES7" s="11">
        <f>IF(管理者入力シート!$B$14=1,ER4*管理者用人口入力シート!BE$4,IF(管理者入力シート!$B$14=2,ER4*管理者用人口入力シート!BE$8))</f>
        <v>84.590801890498113</v>
      </c>
      <c r="ET7" s="11">
        <f>IF(管理者入力シート!$B$14=1,ES4*管理者用人口入力シート!BF$4,IF(管理者入力シート!$B$14=2,ES4*管理者用人口入力シート!BF$8))</f>
        <v>19.786745043337618</v>
      </c>
      <c r="EU7" s="11">
        <f t="shared" si="70"/>
        <v>6284.1573719597945</v>
      </c>
      <c r="EV7" s="11">
        <f t="shared" si="41"/>
        <v>250.56159448398029</v>
      </c>
      <c r="EW7" s="11">
        <f t="shared" si="42"/>
        <v>138.82635171281348</v>
      </c>
      <c r="EX7" s="11">
        <f t="shared" si="10"/>
        <v>2287.4661582855019</v>
      </c>
      <c r="EY7" s="11">
        <f t="shared" si="43"/>
        <v>1465.3398404072784</v>
      </c>
      <c r="EZ7" s="15">
        <f t="shared" si="44"/>
        <v>0.36400523139224417</v>
      </c>
      <c r="FA7" s="15">
        <f t="shared" si="45"/>
        <v>0.23318000388495896</v>
      </c>
      <c r="FB7" s="11">
        <f t="shared" si="71"/>
        <v>1294.0703634678753</v>
      </c>
    </row>
    <row r="8" spans="1:158" x14ac:dyDescent="0.15">
      <c r="A8" s="60" t="str">
        <f t="shared" si="11"/>
        <v>2010_3</v>
      </c>
      <c r="B8" s="31">
        <v>2010</v>
      </c>
      <c r="C8" s="6" t="s">
        <v>23</v>
      </c>
      <c r="D8" s="12">
        <v>597.86061610611523</v>
      </c>
      <c r="E8" s="12">
        <v>610.05238248312685</v>
      </c>
      <c r="F8" s="12">
        <v>627.20300223529102</v>
      </c>
      <c r="G8" s="12">
        <v>696.06787632031205</v>
      </c>
      <c r="H8" s="12">
        <v>399.85445289203972</v>
      </c>
      <c r="I8" s="12">
        <v>605.31827708641958</v>
      </c>
      <c r="J8" s="12">
        <v>739.3751410005392</v>
      </c>
      <c r="K8" s="12">
        <v>728.87191346974737</v>
      </c>
      <c r="L8" s="12">
        <v>648.46883902037371</v>
      </c>
      <c r="M8" s="12">
        <v>772.0693243394519</v>
      </c>
      <c r="N8" s="12">
        <v>875.95714717029159</v>
      </c>
      <c r="O8" s="12">
        <v>999.9104894756606</v>
      </c>
      <c r="P8" s="12">
        <v>1028.6020249315011</v>
      </c>
      <c r="Q8" s="12">
        <v>829.02186047881321</v>
      </c>
      <c r="R8" s="12">
        <v>794.93330847349762</v>
      </c>
      <c r="S8" s="12">
        <v>843.90337008649112</v>
      </c>
      <c r="T8" s="12">
        <v>648.31684950625095</v>
      </c>
      <c r="U8" s="12">
        <v>418.34022756739392</v>
      </c>
      <c r="V8" s="12">
        <v>181.73563025688534</v>
      </c>
      <c r="W8" s="12">
        <v>77.664980960313713</v>
      </c>
      <c r="X8" s="12">
        <v>10.222286139483794</v>
      </c>
      <c r="Y8" s="12">
        <v>13133.749999999998</v>
      </c>
      <c r="Z8" s="12">
        <f t="shared" si="12"/>
        <v>742.35323083105072</v>
      </c>
      <c r="AA8" s="12">
        <f t="shared" si="13"/>
        <v>390.09477615817877</v>
      </c>
      <c r="AB8" s="12">
        <f t="shared" si="0"/>
        <v>3804.13851346913</v>
      </c>
      <c r="AC8" s="12">
        <f t="shared" si="14"/>
        <v>2180.183344516819</v>
      </c>
      <c r="AD8" s="16">
        <f t="shared" si="15"/>
        <v>0.28964602748408724</v>
      </c>
      <c r="AE8" s="16">
        <f t="shared" si="16"/>
        <v>0.16599854150694351</v>
      </c>
      <c r="AF8" s="12">
        <f t="shared" si="17"/>
        <v>2473.4197844487462</v>
      </c>
      <c r="AH8" s="60"/>
      <c r="AI8" s="31" t="s">
        <v>88</v>
      </c>
      <c r="AJ8" s="6">
        <f>AJ7</f>
        <v>2010</v>
      </c>
      <c r="AK8" s="6">
        <f>AK7</f>
        <v>2020</v>
      </c>
      <c r="AL8" s="34" t="s">
        <v>22</v>
      </c>
      <c r="AM8" s="52">
        <f t="shared" si="72"/>
        <v>0.98307687427678248</v>
      </c>
      <c r="AN8" s="52">
        <f t="shared" si="72"/>
        <v>0.9583256709717447</v>
      </c>
      <c r="AO8" s="52">
        <f t="shared" si="72"/>
        <v>1.0029265944214005</v>
      </c>
      <c r="AP8" s="52">
        <f t="shared" si="72"/>
        <v>0.53117365266232686</v>
      </c>
      <c r="AQ8" s="52">
        <f t="shared" si="72"/>
        <v>1.3394962557434644</v>
      </c>
      <c r="AR8" s="52">
        <f t="shared" si="72"/>
        <v>1.0391791104304029</v>
      </c>
      <c r="AS8" s="52">
        <f t="shared" si="72"/>
        <v>0.94526324429459418</v>
      </c>
      <c r="AT8" s="52">
        <f t="shared" si="72"/>
        <v>0.99331925802596666</v>
      </c>
      <c r="AU8" s="52">
        <f t="shared" si="72"/>
        <v>0.97910109239790954</v>
      </c>
      <c r="AV8" s="52">
        <f t="shared" si="72"/>
        <v>0.982948584257197</v>
      </c>
      <c r="AW8" s="52">
        <f t="shared" si="72"/>
        <v>1.0114361743459499</v>
      </c>
      <c r="AX8" s="52">
        <f t="shared" si="72"/>
        <v>0.99315764297775078</v>
      </c>
      <c r="AY8" s="52">
        <f t="shared" si="72"/>
        <v>0.98580361159101593</v>
      </c>
      <c r="AZ8" s="52">
        <f t="shared" si="72"/>
        <v>0.96702831208660689</v>
      </c>
      <c r="BA8" s="52">
        <f t="shared" si="72"/>
        <v>0.93226684106039437</v>
      </c>
      <c r="BB8" s="52">
        <f t="shared" si="72"/>
        <v>0.89209157626866076</v>
      </c>
      <c r="BC8" s="52">
        <f t="shared" si="72"/>
        <v>0.78968744571102822</v>
      </c>
      <c r="BD8" s="52">
        <f t="shared" si="72"/>
        <v>0.63512905221586469</v>
      </c>
      <c r="BE8" s="52">
        <f t="shared" si="72"/>
        <v>0.41426606722288661</v>
      </c>
      <c r="BF8" s="52">
        <f t="shared" si="72"/>
        <v>0.22363767409346394</v>
      </c>
      <c r="BH8" s="60" t="str">
        <f t="shared" si="19"/>
        <v>2030_3</v>
      </c>
      <c r="BI8" s="31">
        <f>BI7</f>
        <v>2030</v>
      </c>
      <c r="BJ8" s="6" t="s">
        <v>23</v>
      </c>
      <c r="BK8" s="17">
        <f>BK6+BK7</f>
        <v>411.62987356821282</v>
      </c>
      <c r="BL8" s="17">
        <f t="shared" ref="BL8" si="73">BL6+BL7</f>
        <v>433.32949692331135</v>
      </c>
      <c r="BM8" s="17">
        <f t="shared" ref="BM8" si="74">BM6+BM7</f>
        <v>479.4506488755398</v>
      </c>
      <c r="BN8" s="17">
        <f t="shared" ref="BN8" si="75">BN6+BN7</f>
        <v>543.4283754327605</v>
      </c>
      <c r="BO8" s="17">
        <f t="shared" ref="BO8" si="76">BO6+BO7</f>
        <v>306.01924255372444</v>
      </c>
      <c r="BP8" s="17">
        <f t="shared" ref="BP8" si="77">BP6+BP7</f>
        <v>409.14739278377431</v>
      </c>
      <c r="BQ8" s="17">
        <f t="shared" ref="BQ8" si="78">BQ6+BQ7</f>
        <v>485.48190961375235</v>
      </c>
      <c r="BR8" s="17">
        <f t="shared" ref="BR8" si="79">BR6+BR7</f>
        <v>482.61606270357299</v>
      </c>
      <c r="BS8" s="17">
        <f t="shared" ref="BS8" si="80">BS6+BS7</f>
        <v>528.29711935991281</v>
      </c>
      <c r="BT8" s="17">
        <f t="shared" ref="BT8" si="81">BT6+BT7</f>
        <v>632.89403278538475</v>
      </c>
      <c r="BU8" s="17">
        <f t="shared" ref="BU8" si="82">BU6+BU7</f>
        <v>676.99679218198276</v>
      </c>
      <c r="BV8" s="17">
        <f t="shared" ref="BV8" si="83">BV6+BV7</f>
        <v>679.20013160177064</v>
      </c>
      <c r="BW8" s="17">
        <f t="shared" ref="BW8" si="84">BW6+BW7</f>
        <v>617.42071391357024</v>
      </c>
      <c r="BX8" s="17">
        <f t="shared" ref="BX8" si="85">BX6+BX7</f>
        <v>713.31213604271011</v>
      </c>
      <c r="BY8" s="17">
        <f t="shared" ref="BY8" si="86">BY6+BY7</f>
        <v>791.95069675137074</v>
      </c>
      <c r="BZ8" s="17">
        <f t="shared" ref="BZ8" si="87">BZ6+BZ7</f>
        <v>826.49825499591316</v>
      </c>
      <c r="CA8" s="17">
        <f t="shared" ref="CA8" si="88">CA6+CA7</f>
        <v>749.63045513595171</v>
      </c>
      <c r="CB8" s="17">
        <f t="shared" ref="CB8" si="89">CB6+CB7</f>
        <v>467.37834168987922</v>
      </c>
      <c r="CC8" s="17">
        <f t="shared" ref="CC8" si="90">CC6+CC7</f>
        <v>266.08299083186512</v>
      </c>
      <c r="CD8" s="17">
        <f t="shared" ref="CD8" si="91">CD6+CD7</f>
        <v>107.70530135601931</v>
      </c>
      <c r="CE8" s="17">
        <f t="shared" ref="CE8" si="92">CE6+CE7</f>
        <v>20.013178273810979</v>
      </c>
      <c r="CF8" s="12">
        <f t="shared" si="2"/>
        <v>10628.483147374789</v>
      </c>
      <c r="CG8" s="12">
        <f t="shared" si="20"/>
        <v>547.66808747931066</v>
      </c>
      <c r="CH8" s="12">
        <f t="shared" si="21"/>
        <v>300.465934636768</v>
      </c>
      <c r="CI8" s="12">
        <f t="shared" si="3"/>
        <v>3942.5713550775204</v>
      </c>
      <c r="CJ8" s="12">
        <f t="shared" si="22"/>
        <v>2437.3085222834393</v>
      </c>
      <c r="CK8" s="16">
        <f t="shared" si="23"/>
        <v>0.37094393437047757</v>
      </c>
      <c r="CL8" s="16">
        <f t="shared" si="24"/>
        <v>0.22931856676890428</v>
      </c>
      <c r="CM8" s="12">
        <f t="shared" si="25"/>
        <v>1683.264607654824</v>
      </c>
      <c r="CO8" s="60" t="str">
        <f t="shared" si="26"/>
        <v>2030_3</v>
      </c>
      <c r="CP8" s="31">
        <f>CP7</f>
        <v>2030</v>
      </c>
      <c r="CQ8" s="6" t="s">
        <v>23</v>
      </c>
      <c r="CR8" s="17">
        <f>CR6+CR7</f>
        <v>415.603845254975</v>
      </c>
      <c r="CS8" s="17">
        <f t="shared" ref="CS8" si="93">CS6+CS7</f>
        <v>435.32437294183984</v>
      </c>
      <c r="CT8" s="17">
        <f t="shared" ref="CT8" si="94">CT6+CT7</f>
        <v>481.4506488755398</v>
      </c>
      <c r="CU8" s="17">
        <f t="shared" ref="CU8" si="95">CU6+CU7</f>
        <v>545.43948170785961</v>
      </c>
      <c r="CV8" s="17">
        <f t="shared" ref="CV8" si="96">CV6+CV7</f>
        <v>306.01924255372444</v>
      </c>
      <c r="CW8" s="17">
        <f t="shared" ref="CW8" si="97">CW6+CW7</f>
        <v>413.14739278377431</v>
      </c>
      <c r="CX8" s="17">
        <f t="shared" ref="CX8" si="98">CX6+CX7</f>
        <v>489.81330107705139</v>
      </c>
      <c r="CY8" s="17">
        <f t="shared" ref="CY8" si="99">CY6+CY7</f>
        <v>482.61606270357299</v>
      </c>
      <c r="CZ8" s="17">
        <f t="shared" ref="CZ8" si="100">CZ6+CZ7</f>
        <v>529.29711935991281</v>
      </c>
      <c r="DA8" s="17">
        <f t="shared" ref="DA8" si="101">DA6+DA7</f>
        <v>633.87313387778261</v>
      </c>
      <c r="DB8" s="17">
        <f t="shared" ref="DB8" si="102">DB6+DB7</f>
        <v>676.99679218198276</v>
      </c>
      <c r="DC8" s="17">
        <f t="shared" ref="DC8" si="103">DC6+DC7</f>
        <v>679.20013160177064</v>
      </c>
      <c r="DD8" s="17">
        <f t="shared" ref="DD8" si="104">DD6+DD7</f>
        <v>617.42071391357024</v>
      </c>
      <c r="DE8" s="17">
        <f t="shared" ref="DE8" si="105">DE6+DE7</f>
        <v>713.31213604271011</v>
      </c>
      <c r="DF8" s="17">
        <f t="shared" ref="DF8" si="106">DF6+DF7</f>
        <v>791.95069675137074</v>
      </c>
      <c r="DG8" s="17">
        <f t="shared" ref="DG8" si="107">DG6+DG7</f>
        <v>826.49825499591316</v>
      </c>
      <c r="DH8" s="17">
        <f t="shared" ref="DH8" si="108">DH6+DH7</f>
        <v>749.63045513595171</v>
      </c>
      <c r="DI8" s="17">
        <f t="shared" ref="DI8" si="109">DI6+DI7</f>
        <v>467.37834168987922</v>
      </c>
      <c r="DJ8" s="17">
        <f t="shared" ref="DJ8" si="110">DJ6+DJ7</f>
        <v>266.08299083186512</v>
      </c>
      <c r="DK8" s="17">
        <f t="shared" ref="DK8" si="111">DK6+DK7</f>
        <v>107.70530135601931</v>
      </c>
      <c r="DL8" s="17">
        <f t="shared" ref="DL8" si="112">DL6+DL7</f>
        <v>20.013178273810979</v>
      </c>
      <c r="DM8" s="12">
        <f t="shared" si="68"/>
        <v>10648.773593910877</v>
      </c>
      <c r="DN8" s="12">
        <f t="shared" si="34"/>
        <v>550.06501309042778</v>
      </c>
      <c r="DO8" s="12">
        <f t="shared" si="35"/>
        <v>301.66815589178782</v>
      </c>
      <c r="DP8" s="12">
        <f t="shared" si="6"/>
        <v>3942.5713550775204</v>
      </c>
      <c r="DQ8" s="12">
        <f t="shared" si="36"/>
        <v>2437.3085222834393</v>
      </c>
      <c r="DR8" s="16">
        <f t="shared" si="37"/>
        <v>0.37023712827662519</v>
      </c>
      <c r="DS8" s="16">
        <f t="shared" si="38"/>
        <v>0.22888161728568701</v>
      </c>
      <c r="DT8" s="12">
        <f t="shared" si="69"/>
        <v>1691.595999118123</v>
      </c>
      <c r="DV8" s="60" t="s">
        <v>402</v>
      </c>
      <c r="DW8" s="231">
        <f>(SUM(BK13:BW13)-SUM(D13:P13))/4</f>
        <v>-303.30821108061582</v>
      </c>
      <c r="DX8" s="31">
        <f>DX7</f>
        <v>2030</v>
      </c>
      <c r="DY8" s="6" t="s">
        <v>23</v>
      </c>
      <c r="DZ8" s="17">
        <f>DZ6+DZ7</f>
        <v>626.34474948705713</v>
      </c>
      <c r="EA8" s="17">
        <f t="shared" ref="EA8:ET8" si="113">EA6+EA7</f>
        <v>433.32949692331135</v>
      </c>
      <c r="EB8" s="17">
        <f t="shared" si="113"/>
        <v>479.4506488755398</v>
      </c>
      <c r="EC8" s="17">
        <f t="shared" si="113"/>
        <v>543.4283754327605</v>
      </c>
      <c r="ED8" s="17">
        <f t="shared" si="113"/>
        <v>306.01924255372444</v>
      </c>
      <c r="EE8" s="17">
        <f t="shared" si="113"/>
        <v>587.14739278377419</v>
      </c>
      <c r="EF8" s="17">
        <f t="shared" si="113"/>
        <v>856.22882973055744</v>
      </c>
      <c r="EG8" s="17">
        <f t="shared" si="113"/>
        <v>834.28604895655621</v>
      </c>
      <c r="EH8" s="17">
        <f t="shared" si="113"/>
        <v>704.14344417860093</v>
      </c>
      <c r="EI8" s="17">
        <f t="shared" si="113"/>
        <v>632.89403278538475</v>
      </c>
      <c r="EJ8" s="17">
        <f t="shared" si="113"/>
        <v>676.99679218198276</v>
      </c>
      <c r="EK8" s="17">
        <f t="shared" si="113"/>
        <v>679.20013160177064</v>
      </c>
      <c r="EL8" s="17">
        <f t="shared" si="113"/>
        <v>617.42071391357024</v>
      </c>
      <c r="EM8" s="17">
        <f t="shared" si="113"/>
        <v>713.31213604271011</v>
      </c>
      <c r="EN8" s="17">
        <f t="shared" si="113"/>
        <v>791.95069675137074</v>
      </c>
      <c r="EO8" s="17">
        <f t="shared" si="113"/>
        <v>826.49825499591316</v>
      </c>
      <c r="EP8" s="17">
        <f t="shared" si="113"/>
        <v>749.63045513595171</v>
      </c>
      <c r="EQ8" s="17">
        <f t="shared" si="113"/>
        <v>467.37834168987922</v>
      </c>
      <c r="ER8" s="17">
        <f t="shared" si="113"/>
        <v>266.08299083186512</v>
      </c>
      <c r="ES8" s="17">
        <f t="shared" si="113"/>
        <v>107.70530135601931</v>
      </c>
      <c r="ET8" s="17">
        <f t="shared" si="113"/>
        <v>20.013178273810979</v>
      </c>
      <c r="EU8" s="12">
        <f t="shared" si="70"/>
        <v>11919.461254482112</v>
      </c>
      <c r="EV8" s="12">
        <f t="shared" si="41"/>
        <v>547.66808747931066</v>
      </c>
      <c r="EW8" s="12">
        <f t="shared" si="42"/>
        <v>300.465934636768</v>
      </c>
      <c r="EX8" s="12">
        <f t="shared" si="10"/>
        <v>3942.5713550775204</v>
      </c>
      <c r="EY8" s="12">
        <f t="shared" si="43"/>
        <v>2437.3085222834393</v>
      </c>
      <c r="EZ8" s="16">
        <f t="shared" si="44"/>
        <v>0.33076758008630491</v>
      </c>
      <c r="FA8" s="16">
        <f t="shared" si="45"/>
        <v>0.20448143336737898</v>
      </c>
      <c r="FB8" s="12">
        <f t="shared" si="71"/>
        <v>2583.6815140246126</v>
      </c>
    </row>
    <row r="9" spans="1:158" x14ac:dyDescent="0.15">
      <c r="A9" s="60" t="str">
        <f t="shared" si="11"/>
        <v>2015_1</v>
      </c>
      <c r="B9" s="29">
        <v>2015</v>
      </c>
      <c r="C9" s="4" t="s">
        <v>21</v>
      </c>
      <c r="D9" s="10">
        <v>289.50990156284843</v>
      </c>
      <c r="E9" s="10">
        <v>314.36437660058817</v>
      </c>
      <c r="F9" s="10">
        <v>310.01875315690154</v>
      </c>
      <c r="G9" s="10">
        <v>297.4172619698806</v>
      </c>
      <c r="H9" s="10">
        <v>172.42057735322516</v>
      </c>
      <c r="I9" s="10">
        <v>247.79974480177049</v>
      </c>
      <c r="J9" s="10">
        <v>316.52089063567757</v>
      </c>
      <c r="K9" s="10">
        <v>340.34705496875205</v>
      </c>
      <c r="L9" s="10">
        <v>349.80989440785152</v>
      </c>
      <c r="M9" s="10">
        <v>300.6983183145731</v>
      </c>
      <c r="N9" s="10">
        <v>372.4784684717273</v>
      </c>
      <c r="O9" s="10">
        <v>381.4163921765267</v>
      </c>
      <c r="P9" s="10">
        <v>483.71888065587444</v>
      </c>
      <c r="Q9" s="10">
        <v>460.05491101241972</v>
      </c>
      <c r="R9" s="10">
        <v>354.64723168842914</v>
      </c>
      <c r="S9" s="10">
        <v>274.7567552530511</v>
      </c>
      <c r="T9" s="10">
        <v>285.90543950721741</v>
      </c>
      <c r="U9" s="10">
        <v>162.19912553306136</v>
      </c>
      <c r="V9" s="10">
        <v>48.348977647975588</v>
      </c>
      <c r="W9" s="10">
        <v>8.651232371958713</v>
      </c>
      <c r="X9" s="10">
        <v>1.7658118074895326</v>
      </c>
      <c r="Y9" s="10">
        <v>5772.8499998977995</v>
      </c>
      <c r="Z9" s="10">
        <f t="shared" si="12"/>
        <v>374.62987785449377</v>
      </c>
      <c r="AA9" s="10">
        <f t="shared" si="13"/>
        <v>183.49095365673674</v>
      </c>
      <c r="AB9" s="10">
        <f t="shared" si="0"/>
        <v>1596.3294848216024</v>
      </c>
      <c r="AC9" s="10">
        <f t="shared" si="14"/>
        <v>781.62734212075361</v>
      </c>
      <c r="AD9" s="14">
        <f t="shared" si="15"/>
        <v>0.27652363821160486</v>
      </c>
      <c r="AE9" s="14">
        <f t="shared" si="16"/>
        <v>0.13539713350157917</v>
      </c>
      <c r="AF9" s="10">
        <f t="shared" si="17"/>
        <v>1077.0882677594252</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206.96180081003402</v>
      </c>
      <c r="BL9" s="10">
        <f>IF(管理者入力シート!$B$14=1,BK6*管理者用人口入力シート!AM$3,IF(管理者入力シート!$B$14=2,BK6*管理者用人口入力シート!AM$7))</f>
        <v>221.71404251059315</v>
      </c>
      <c r="BM9" s="10">
        <f>IF(管理者入力シート!$B$14=1,BL6*管理者用人口入力シート!AN$3,IF(管理者入力シート!$B$14=2,BL6*管理者用人口入力シート!AN$7))</f>
        <v>229.23494157084792</v>
      </c>
      <c r="BN9" s="10">
        <f>IF(管理者入力シート!$B$14=1,BM6*管理者用人口入力シート!AO$3,IF(管理者入力シート!$B$14=2,BM6*管理者用人口入力シート!AO$7))</f>
        <v>263.53183724577792</v>
      </c>
      <c r="BO9" s="10">
        <f>IF(管理者入力シート!$B$14=1,BN6*管理者用人口入力シート!AP$3,IF(管理者入力シート!$B$14=2,BN6*管理者用人口入力シート!AP$7))</f>
        <v>145.40216751122446</v>
      </c>
      <c r="BP9" s="10">
        <f>IF(管理者入力シート!$B$14=1,BO6*管理者用人口入力シート!AQ$3,IF(管理者入力シート!$B$14=2,BO6*管理者用人口入力シート!AQ$7))</f>
        <v>194.56436522555069</v>
      </c>
      <c r="BQ9" s="10">
        <f>IF(管理者入力シート!$B$14=1,BP6*管理者用人口入力シート!AR$3,IF(管理者入力シート!$B$14=2,BP6*管理者用人口入力シート!AR$7))</f>
        <v>234.68896921922791</v>
      </c>
      <c r="BR9" s="10">
        <f>IF(管理者入力シート!$B$14=1,BQ6*管理者用人口入力シート!AS$3,IF(管理者入力シート!$B$14=2,BQ6*管理者用人口入力シート!AS$7))</f>
        <v>220.13457364774126</v>
      </c>
      <c r="BS9" s="10">
        <f>IF(管理者入力シート!$B$14=1,BR6*管理者用人口入力シート!AT$3,IF(管理者入力シート!$B$14=2,BR6*管理者用人口入力シート!AT$7))</f>
        <v>248.57772851061947</v>
      </c>
      <c r="BT9" s="10">
        <f>IF(管理者入力シート!$B$14=1,BS6*管理者用人口入力シート!AU$3,IF(管理者入力シート!$B$14=2,BS6*管理者用人口入力シート!AU$7))</f>
        <v>277.07607904592629</v>
      </c>
      <c r="BU9" s="10">
        <f>IF(管理者入力シート!$B$14=1,BT6*管理者用人口入力シート!AV$3,IF(管理者入力シート!$B$14=2,BT6*管理者用人口入力シート!AV$7))</f>
        <v>304.55181865379365</v>
      </c>
      <c r="BV9" s="10">
        <f>IF(管理者入力シート!$B$14=1,BU6*管理者用人口入力シート!AW$3,IF(管理者入力シート!$B$14=2,BU6*管理者用人口入力シート!AW$7))</f>
        <v>294.77911046008052</v>
      </c>
      <c r="BW9" s="10">
        <f>IF(管理者入力シート!$B$14=1,BV6*管理者用人口入力シート!AX$3,IF(管理者入力シート!$B$14=2,BV6*管理者用人口入力シート!AX$7))</f>
        <v>309.46643753070992</v>
      </c>
      <c r="BX9" s="10">
        <f>IF(管理者入力シート!$B$14=1,BW6*管理者用人口入力シート!AY$3,IF(管理者入力シート!$B$14=2,BW6*管理者用人口入力シート!AY$7))</f>
        <v>257.73264446496773</v>
      </c>
      <c r="BY9" s="10">
        <f>IF(管理者入力シート!$B$14=1,BX6*管理者用人口入力シート!AZ$3,IF(管理者入力シート!$B$14=2,BX6*管理者用人口入力シート!AZ$7))</f>
        <v>314.65763429248534</v>
      </c>
      <c r="BZ9" s="10">
        <f>IF(管理者入力シート!$B$14=1,BY6*管理者用人口入力シート!BA$3,IF(管理者入力シート!$B$14=2,BY6*管理者用人口入力シート!BA$7))</f>
        <v>311.14106916638804</v>
      </c>
      <c r="CA9" s="10">
        <f>IF(管理者入力シート!$B$14=1,BZ6*管理者用人口入力シート!BB$3,IF(管理者入力シート!$B$14=2,BZ6*管理者用人口入力シート!BB$7))</f>
        <v>310.84764667601326</v>
      </c>
      <c r="CB9" s="10">
        <f>IF(管理者入力シート!$B$14=1,CA6*管理者用人口入力シート!BC$3,IF(管理者入力シート!$B$14=2,CA6*管理者用人口入力シート!BC$7))</f>
        <v>218.38559075445482</v>
      </c>
      <c r="CC9" s="10">
        <f>IF(管理者入力シート!$B$14=1,CB6*管理者用人口入力シート!BD$3,IF(管理者入力シート!$B$14=2,CB6*管理者用人口入力シート!BD$7))</f>
        <v>74.965407470871085</v>
      </c>
      <c r="CD9" s="10">
        <f>IF(管理者入力シート!$B$14=1,CC6*管理者用人口入力シート!BE$3,IF(管理者入力シート!$B$14=2,CC6*管理者用人口入力シート!BE$7))</f>
        <v>18.183882041974698</v>
      </c>
      <c r="CE9" s="10">
        <f>IF(管理者入力シート!$B$14=1,CD6*管理者用人口入力シート!BF$3,IF(管理者入力シート!$B$14=2,CD6*管理者用人口入力シート!BF$7))</f>
        <v>0.2698787163341953</v>
      </c>
      <c r="CF9" s="10">
        <f t="shared" si="2"/>
        <v>4656.8676255256169</v>
      </c>
      <c r="CG9" s="10">
        <f t="shared" si="20"/>
        <v>270.56939044886462</v>
      </c>
      <c r="CH9" s="10">
        <f t="shared" si="21"/>
        <v>144.40034407749476</v>
      </c>
      <c r="CI9" s="10">
        <f t="shared" si="3"/>
        <v>1506.1837535834891</v>
      </c>
      <c r="CJ9" s="10">
        <f t="shared" si="22"/>
        <v>933.79347482603612</v>
      </c>
      <c r="CK9" s="14">
        <f t="shared" si="23"/>
        <v>0.32343280391473173</v>
      </c>
      <c r="CL9" s="14">
        <f t="shared" si="24"/>
        <v>0.20051965181652326</v>
      </c>
      <c r="CM9" s="10">
        <f t="shared" si="25"/>
        <v>794.7900756037443</v>
      </c>
      <c r="CO9" s="60" t="str">
        <f t="shared" si="26"/>
        <v>2035_1</v>
      </c>
      <c r="CP9" s="29">
        <f>管理者入力シート!B10</f>
        <v>2035</v>
      </c>
      <c r="CQ9" s="4" t="s">
        <v>21</v>
      </c>
      <c r="CR9" s="10">
        <f>DT10*$AK$13+将来予測シート②!$G17</f>
        <v>209.65609320767709</v>
      </c>
      <c r="CS9" s="10">
        <f>IF(管理者入力シート!$B$14=1,CR6*管理者用人口入力シート!AM$3,IF(管理者入力シート!$B$14=2,CR6*管理者用人口入力シート!AM$7))+将来予測シート②!$G18</f>
        <v>223.78907168399616</v>
      </c>
      <c r="CT9" s="10">
        <f>IF(管理者入力シート!$B$14=1,CS6*管理者用人口入力シート!AN$3,IF(管理者入力シート!$B$14=2,CS6*管理者用人口入力シート!AN$7))+将来予測シート②!$G19</f>
        <v>231.22705372413759</v>
      </c>
      <c r="CU9" s="10">
        <f>IF(管理者入力シート!$B$14=1,CT6*管理者用人口入力シート!AO$3,IF(管理者入力シート!$B$14=2,CT6*管理者用人口入力シート!AO$7))+将来予測シート②!$G20</f>
        <v>264.54001692645562</v>
      </c>
      <c r="CV9" s="10">
        <f>IF(管理者入力シート!$B$14=1,CU6*管理者用人口入力シート!AP$3,IF(管理者入力シート!$B$14=2,CU6*管理者用人口入力シート!AP$7))+将来予測シート②!$G21</f>
        <v>145.91578394766825</v>
      </c>
      <c r="CW9" s="10">
        <f>IF(管理者入力シート!$B$14=1,CV6*管理者用人口入力シート!AQ$3,IF(管理者入力シート!$B$14=2,CV6*管理者用人口入力シート!AQ$7))+将来予測シート②!$G22</f>
        <v>196.56436522555069</v>
      </c>
      <c r="CX9" s="10">
        <f>IF(管理者入力シート!$B$14=1,CW6*管理者用人口入力シート!AR$3,IF(管理者入力シート!$B$14=2,CW6*管理者用人口入力シート!AR$7))+将来予測シート②!$G23</f>
        <v>236.94200246166608</v>
      </c>
      <c r="CY9" s="10">
        <f>IF(管理者入力シート!$B$14=1,CX6*管理者用人口入力シート!AS$3,IF(管理者入力シート!$B$14=2,CX6*管理者用人口入力シート!AS$7))+将来予測シート②!$G24</f>
        <v>222.40131640786984</v>
      </c>
      <c r="CZ9" s="10">
        <f>IF(管理者入力シート!$B$14=1,CY6*管理者用人口入力シート!AT$3,IF(管理者入力シート!$B$14=2,CY6*管理者用人口入力シート!AT$7))+将来予測シート②!$G25</f>
        <v>248.57772851061947</v>
      </c>
      <c r="DA9" s="10">
        <f>IF(管理者入力シート!$B$14=1,CZ6*管理者用人口入力シート!AU$3,IF(管理者入力シート!$B$14=2,CZ6*管理者用人口入力シート!AU$7))+将来予測シート②!$G26</f>
        <v>277.07607904592629</v>
      </c>
      <c r="DB9" s="10">
        <f>IF(管理者入力シート!$B$14=1,DA6*管理者用人口入力シート!AV$3,IF(管理者入力シート!$B$14=2,DA6*管理者用人口入力シート!AV$7))+将来予測シート②!$G27</f>
        <v>304.55181865379365</v>
      </c>
      <c r="DC9" s="10">
        <f>IF(管理者入力シート!$B$14=1,DB6*管理者用人口入力シート!AW$3,IF(管理者入力シート!$B$14=2,DB6*管理者用人口入力シート!AW$7))+将来予測シート②!$G28</f>
        <v>294.77911046008052</v>
      </c>
      <c r="DD9" s="10">
        <f>IF(管理者入力シート!$B$14=1,DC6*管理者用人口入力シート!AX$3,IF(管理者入力シート!$B$14=2,DC6*管理者用人口入力シート!AX$7))+将来予測シート②!$G29</f>
        <v>309.46643753070992</v>
      </c>
      <c r="DE9" s="10">
        <f>IF(管理者入力シート!$B$14=1,DD6*管理者用人口入力シート!AY$3,IF(管理者入力シート!$B$14=2,DD6*管理者用人口入力シート!AY$7))</f>
        <v>257.73264446496773</v>
      </c>
      <c r="DF9" s="10">
        <f>IF(管理者入力シート!$B$14=1,DE6*管理者用人口入力シート!AZ$3,IF(管理者入力シート!$B$14=2,DE6*管理者用人口入力シート!AZ$7))</f>
        <v>314.65763429248534</v>
      </c>
      <c r="DG9" s="10">
        <f>IF(管理者入力シート!$B$14=1,DF6*管理者用人口入力シート!BA$3,IF(管理者入力シート!$B$14=2,DF6*管理者用人口入力シート!BA$7))</f>
        <v>311.14106916638804</v>
      </c>
      <c r="DH9" s="10">
        <f>IF(管理者入力シート!$B$14=1,DG6*管理者用人口入力シート!BB$3,IF(管理者入力シート!$B$14=2,DG6*管理者用人口入力シート!BB$7))</f>
        <v>310.84764667601326</v>
      </c>
      <c r="DI9" s="10">
        <f>IF(管理者入力シート!$B$14=1,DH6*管理者用人口入力シート!BC$3,IF(管理者入力シート!$B$14=2,DH6*管理者用人口入力シート!BC$7))</f>
        <v>218.38559075445482</v>
      </c>
      <c r="DJ9" s="10">
        <f>IF(管理者入力シート!$B$14=1,DI6*管理者用人口入力シート!BD$3,IF(管理者入力シート!$B$14=2,DI6*管理者用人口入力シート!BD$7))</f>
        <v>74.965407470871085</v>
      </c>
      <c r="DK9" s="10">
        <f>IF(管理者入力シート!$B$14=1,DJ6*管理者用人口入力シート!BE$3,IF(管理者入力シート!$B$14=2,DJ6*管理者用人口入力シート!BE$7))</f>
        <v>18.183882041974698</v>
      </c>
      <c r="DL9" s="10">
        <f>IF(管理者入力シート!$B$14=1,DK6*管理者用人口入力シート!BF$3,IF(管理者入力シート!$B$14=2,DK6*管理者用人口入力シート!BF$7))</f>
        <v>0.2698787163341953</v>
      </c>
      <c r="DM9" s="10">
        <f t="shared" si="68"/>
        <v>4671.6706313696413</v>
      </c>
      <c r="DN9" s="10">
        <f t="shared" si="34"/>
        <v>273.00967524488021</v>
      </c>
      <c r="DO9" s="10">
        <f t="shared" si="35"/>
        <v>145.39882487494617</v>
      </c>
      <c r="DP9" s="10">
        <f t="shared" si="6"/>
        <v>1506.1837535834891</v>
      </c>
      <c r="DQ9" s="10">
        <f t="shared" si="36"/>
        <v>933.79347482603612</v>
      </c>
      <c r="DR9" s="14">
        <f t="shared" si="37"/>
        <v>0.32240795048128335</v>
      </c>
      <c r="DS9" s="14">
        <f t="shared" si="38"/>
        <v>0.19988427021283098</v>
      </c>
      <c r="DT9" s="10">
        <f t="shared" si="69"/>
        <v>801.82346804275494</v>
      </c>
      <c r="DV9" s="60" t="s">
        <v>403</v>
      </c>
      <c r="DW9" s="231">
        <f>DW7+DW8</f>
        <v>-533.60382706359053</v>
      </c>
      <c r="DX9" s="29">
        <f>管理者入力シート!B10</f>
        <v>2035</v>
      </c>
      <c r="DY9" s="4" t="s">
        <v>21</v>
      </c>
      <c r="DZ9" s="10">
        <f>FB10*$AK$13</f>
        <v>343.78970982149713</v>
      </c>
      <c r="EA9" s="140">
        <f>IF(管理者入力シート!$B$14=1,DZ6*管理者用人口入力シート!AM$3,IF(管理者入力シート!$B$14=2,DZ6*管理者用人口入力シート!AM$7))</f>
        <v>337.36479136042976</v>
      </c>
      <c r="EB9" s="10">
        <f>IF(管理者入力シート!$B$14=1,EA6*管理者用人口入力シート!AN$3,IF(管理者入力シート!$B$14=2,EA6*管理者用人口入力シート!AN$7))</f>
        <v>229.23494157084792</v>
      </c>
      <c r="EC9" s="10">
        <f>IF(管理者入力シート!$B$14=1,EB6*管理者用人口入力シート!AO$3,IF(管理者入力シート!$B$14=2,EB6*管理者用人口入力シート!AO$7))</f>
        <v>263.53183724577792</v>
      </c>
      <c r="ED9" s="10">
        <f>IF(管理者入力シート!$B$14=1,EC6*管理者用人口入力シート!AP$3,IF(管理者入力シート!$B$14=2,EC6*管理者用人口入力シート!AP$7))</f>
        <v>145.40216751122446</v>
      </c>
      <c r="EE9" s="10">
        <f>IF(管理者入力シート!$B$14=1,ED6*管理者用人口入力シート!AQ$3,IF(管理者入力シート!$B$14=2,ED6*管理者用人口入力シート!AQ$7))+DX1</f>
        <v>283.56436522555066</v>
      </c>
      <c r="EF9" s="10">
        <f>IF(管理者入力シート!$B$14=1,EE6*管理者用人口入力シート!AR$3,IF(管理者入力シート!$B$14=2,EE6*管理者用人口入力シート!AR$7))+DX1</f>
        <v>423.9489485077271</v>
      </c>
      <c r="EG9" s="10">
        <f>IF(管理者入力シート!$B$14=1,EF6*管理者用人口入力シート!AS$3,IF(管理者入力シート!$B$14=2,EF6*管理者用人口入力シート!AS$7))+DX1</f>
        <v>499.54618398422679</v>
      </c>
      <c r="EH9" s="10">
        <f>IF(管理者入力シート!$B$14=1,EG6*管理者用人口入力シート!AT$3,IF(管理者入力シート!$B$14=2,EG6*管理者用人口入力シート!AT$7))</f>
        <v>423.99162080388209</v>
      </c>
      <c r="EI9" s="10">
        <f>IF(管理者入力シート!$B$14=1,EH6*管理者用人口入力シート!AU$3,IF(管理者入力シート!$B$14=2,EH6*管理者用人口入力シート!AU$7))</f>
        <v>362.79501026289472</v>
      </c>
      <c r="EJ9" s="10">
        <f>IF(管理者入力シート!$B$14=1,EI6*管理者用人口入力シート!AV$3,IF(管理者入力シート!$B$14=2,EI6*管理者用人口入力シート!AV$7))</f>
        <v>304.55181865379365</v>
      </c>
      <c r="EK9" s="10">
        <f>IF(管理者入力シート!$B$14=1,EJ6*管理者用人口入力シート!AW$3,IF(管理者入力シート!$B$14=2,EJ6*管理者用人口入力シート!AW$7))</f>
        <v>294.77911046008052</v>
      </c>
      <c r="EL9" s="10">
        <f>IF(管理者入力シート!$B$14=1,EK6*管理者用人口入力シート!AX$3,IF(管理者入力シート!$B$14=2,EK6*管理者用人口入力シート!AX$7))</f>
        <v>309.46643753070992</v>
      </c>
      <c r="EM9" s="10">
        <f>IF(管理者入力シート!$B$14=1,EL6*管理者用人口入力シート!AY$3,IF(管理者入力シート!$B$14=2,EL6*管理者用人口入力シート!AY$7))</f>
        <v>257.73264446496773</v>
      </c>
      <c r="EN9" s="10">
        <f>IF(管理者入力シート!$B$14=1,EM6*管理者用人口入力シート!AZ$3,IF(管理者入力シート!$B$14=2,EM6*管理者用人口入力シート!AZ$7))</f>
        <v>314.65763429248534</v>
      </c>
      <c r="EO9" s="10">
        <f>IF(管理者入力シート!$B$14=1,EN6*管理者用人口入力シート!BA$3,IF(管理者入力シート!$B$14=2,EN6*管理者用人口入力シート!BA$7))</f>
        <v>311.14106916638804</v>
      </c>
      <c r="EP9" s="10">
        <f>IF(管理者入力シート!$B$14=1,EO6*管理者用人口入力シート!BB$3,IF(管理者入力シート!$B$14=2,EO6*管理者用人口入力シート!BB$7))</f>
        <v>310.84764667601326</v>
      </c>
      <c r="EQ9" s="10">
        <f>IF(管理者入力シート!$B$14=1,EP6*管理者用人口入力シート!BC$3,IF(管理者入力シート!$B$14=2,EP6*管理者用人口入力シート!BC$7))</f>
        <v>218.38559075445482</v>
      </c>
      <c r="ER9" s="10">
        <f>IF(管理者入力シート!$B$14=1,EQ6*管理者用人口入力シート!BD$3,IF(管理者入力シート!$B$14=2,EQ6*管理者用人口入力シート!BD$7))</f>
        <v>74.965407470871085</v>
      </c>
      <c r="ES9" s="10">
        <f>IF(管理者入力シート!$B$14=1,ER6*管理者用人口入力シート!BE$3,IF(管理者入力シート!$B$14=2,ER6*管理者用人口入力シート!BE$7))</f>
        <v>18.183882041974698</v>
      </c>
      <c r="ET9" s="10">
        <f>IF(管理者入力シート!$B$14=1,ES6*管理者用人口入力シート!BF$3,IF(管理者入力シート!$B$14=2,ES6*管理者用人口入力シート!BF$7))</f>
        <v>0.2698787163341953</v>
      </c>
      <c r="EU9" s="10">
        <f t="shared" si="70"/>
        <v>5728.1506965221324</v>
      </c>
      <c r="EV9" s="10">
        <f t="shared" si="41"/>
        <v>339.95983975876663</v>
      </c>
      <c r="EW9" s="10">
        <f t="shared" si="42"/>
        <v>144.40034407749476</v>
      </c>
      <c r="EX9" s="10">
        <f t="shared" si="10"/>
        <v>1506.1837535834891</v>
      </c>
      <c r="EY9" s="10">
        <f t="shared" si="43"/>
        <v>933.79347482603612</v>
      </c>
      <c r="EZ9" s="14">
        <f t="shared" si="44"/>
        <v>0.26294415656661652</v>
      </c>
      <c r="FA9" s="14">
        <f t="shared" si="45"/>
        <v>0.16301831503717112</v>
      </c>
      <c r="FB9" s="10">
        <f t="shared" si="71"/>
        <v>1352.4616652287291</v>
      </c>
    </row>
    <row r="10" spans="1:158" x14ac:dyDescent="0.15">
      <c r="A10" s="60" t="str">
        <f t="shared" si="11"/>
        <v>2015_2</v>
      </c>
      <c r="B10" s="30">
        <v>2015</v>
      </c>
      <c r="C10" s="5" t="s">
        <v>22</v>
      </c>
      <c r="D10" s="11">
        <v>280.82299924508214</v>
      </c>
      <c r="E10" s="11">
        <v>294.83169357496081</v>
      </c>
      <c r="F10" s="11">
        <v>287.05304789132776</v>
      </c>
      <c r="G10" s="11">
        <v>331.81337572430192</v>
      </c>
      <c r="H10" s="11">
        <v>173.79313529975059</v>
      </c>
      <c r="I10" s="11">
        <v>269.91528122169768</v>
      </c>
      <c r="J10" s="11">
        <v>353.73756159216839</v>
      </c>
      <c r="K10" s="11">
        <v>377.96056065069479</v>
      </c>
      <c r="L10" s="11">
        <v>381.19484158967981</v>
      </c>
      <c r="M10" s="11">
        <v>342.75042715397831</v>
      </c>
      <c r="N10" s="11">
        <v>385.70934734617606</v>
      </c>
      <c r="O10" s="11">
        <v>465.73041784980404</v>
      </c>
      <c r="P10" s="11">
        <v>493.04040536973264</v>
      </c>
      <c r="Q10" s="11">
        <v>541.24594473879995</v>
      </c>
      <c r="R10" s="11">
        <v>436.17435079565803</v>
      </c>
      <c r="S10" s="11">
        <v>442.35301313822549</v>
      </c>
      <c r="T10" s="11">
        <v>414.28893437885881</v>
      </c>
      <c r="U10" s="11">
        <v>325.45563584837748</v>
      </c>
      <c r="V10" s="11">
        <v>180.21504333220068</v>
      </c>
      <c r="W10" s="11">
        <v>56.507727275856119</v>
      </c>
      <c r="X10" s="11">
        <v>9.9062560278182836</v>
      </c>
      <c r="Y10" s="11">
        <v>6844.5000000451491</v>
      </c>
      <c r="Z10" s="11">
        <f t="shared" si="12"/>
        <v>349.13084487977312</v>
      </c>
      <c r="AA10" s="11">
        <f t="shared" si="13"/>
        <v>181.18389430139149</v>
      </c>
      <c r="AB10" s="11">
        <f t="shared" si="0"/>
        <v>2406.1469055357952</v>
      </c>
      <c r="AC10" s="11">
        <f t="shared" si="14"/>
        <v>1428.7266100013367</v>
      </c>
      <c r="AD10" s="15">
        <f t="shared" si="15"/>
        <v>0.35154458404849487</v>
      </c>
      <c r="AE10" s="15">
        <f t="shared" si="16"/>
        <v>0.20874082986221232</v>
      </c>
      <c r="AF10" s="11">
        <f t="shared" si="17"/>
        <v>1175.4065387643113</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181.81307158433071</v>
      </c>
      <c r="BL10" s="11">
        <f>IF(管理者入力シート!$B$14=1,BK7*管理者用人口入力シート!AM$4,IF(管理者入力シート!$B$14=2,BK7*管理者用人口入力シート!AM$8))</f>
        <v>189.24363528172921</v>
      </c>
      <c r="BM10" s="11">
        <f>IF(管理者入力シート!$B$14=1,BL7*管理者用人口入力シート!AN$4,IF(管理者入力シート!$B$14=2,BL7*管理者用人口入力シート!AN$8))</f>
        <v>191.22979432881385</v>
      </c>
      <c r="BN10" s="11">
        <f>IF(管理者入力シート!$B$14=1,BM7*管理者用人口入力シート!AO$4,IF(管理者入力シート!$B$14=2,BM7*管理者用人口入力シート!AO$8))</f>
        <v>218.69509298255414</v>
      </c>
      <c r="BO10" s="11">
        <f>IF(管理者入力シート!$B$14=1,BN7*管理者用人口入力シート!AP$4,IF(管理者入力シート!$B$14=2,BN7*管理者用人口入力シート!AP$8))</f>
        <v>137.05231091669239</v>
      </c>
      <c r="BP10" s="11">
        <f>IF(管理者入力シート!$B$14=1,BO7*管理者用人口入力シート!AQ$4,IF(管理者入力シート!$B$14=2,BO7*管理者用人口入力シート!AQ$8))</f>
        <v>205.41749319577644</v>
      </c>
      <c r="BQ10" s="11">
        <f>IF(管理者入力シート!$B$14=1,BP7*管理者用人口入力シート!AR$4,IF(管理者入力シート!$B$14=2,BP7*管理者用人口入力シート!AR$8))</f>
        <v>208.68361463996871</v>
      </c>
      <c r="BR10" s="11">
        <f>IF(管理者入力シート!$B$14=1,BQ7*管理者用人口入力シート!AS$4,IF(管理者入力シート!$B$14=2,BQ7*管理者用人口入力シート!AS$8))</f>
        <v>252.08160610977458</v>
      </c>
      <c r="BS10" s="11">
        <f>IF(管理者入力シート!$B$14=1,BR7*管理者用人口入力シート!AT$4,IF(管理者入力シート!$B$14=2,BR7*管理者用人口入力シート!AT$8))</f>
        <v>228.07220356465939</v>
      </c>
      <c r="BT10" s="11">
        <f>IF(管理者入力シート!$B$14=1,BS7*管理者用人口入力シート!AU$4,IF(管理者入力シート!$B$14=2,BS7*管理者用人口入力シート!AU$8))</f>
        <v>240.52102928848595</v>
      </c>
      <c r="BU10" s="11">
        <f>IF(管理者入力シート!$B$14=1,BT7*管理者用人口入力シート!AV$4,IF(管理者入力シート!$B$14=2,BT7*管理者用人口入力シート!AV$8))</f>
        <v>320.82649870294097</v>
      </c>
      <c r="BV10" s="11">
        <f>IF(管理者入力シート!$B$14=1,BU7*管理者用人口入力シート!AW$4,IF(管理者入力シート!$B$14=2,BU7*管理者用人口入力シート!AW$8))</f>
        <v>364.15835373131074</v>
      </c>
      <c r="BW10" s="11">
        <f>IF(管理者入力シート!$B$14=1,BV7*管理者用人口入力シート!AX$4,IF(管理者入力シート!$B$14=2,BV7*管理者用人口入力シート!AX$8))</f>
        <v>362.83023077116906</v>
      </c>
      <c r="BX10" s="11">
        <f>IF(管理者入力シート!$B$14=1,BW7*管理者用人口入力シート!AY$4,IF(管理者入力シート!$B$14=2,BW7*管理者用人口入力シート!AY$8))</f>
        <v>343.31894172377673</v>
      </c>
      <c r="BY10" s="11">
        <f>IF(管理者入力シート!$B$14=1,BX7*管理者用人口入力シート!AZ$4,IF(管理者入力シート!$B$14=2,BX7*管理者用人口入力シート!AZ$8))</f>
        <v>369.64535235584873</v>
      </c>
      <c r="BZ10" s="11">
        <f>IF(管理者入力シート!$B$14=1,BY7*管理者用人口入力シート!BA$4,IF(管理者入力シート!$B$14=2,BY7*管理者用人口入力シート!BA$8))</f>
        <v>410.08328141208267</v>
      </c>
      <c r="CA10" s="11">
        <f>IF(管理者入力シート!$B$14=1,BZ7*管理者用人口入力シート!BB$4,IF(管理者入力シート!$B$14=2,BZ7*管理者用人口入力シート!BB$8))</f>
        <v>391.8034908319201</v>
      </c>
      <c r="CB10" s="11">
        <f>IF(管理者入力シート!$B$14=1,CA7*管理者用人口入力シート!BC$4,IF(管理者入力シート!$B$14=2,CA7*管理者用人口入力シート!BC$8))</f>
        <v>344.73419041447852</v>
      </c>
      <c r="CC10" s="11">
        <f>IF(管理者入力シート!$B$14=1,CB7*管理者用人口入力シート!BD$4,IF(管理者入力シート!$B$14=2,CB7*管理者用人口入力シート!BD$8))</f>
        <v>182.65257593084212</v>
      </c>
      <c r="CD10" s="11">
        <f>IF(管理者入力シート!$B$14=1,CC7*管理者用人口入力シート!BE$4,IF(管理者入力シート!$B$14=2,CC7*管理者用人口入力シート!BE$8))</f>
        <v>81.874422374002151</v>
      </c>
      <c r="CE10" s="11">
        <f>IF(管理者入力シート!$B$14=1,CD7*管理者用人口入力シート!BF$4,IF(管理者入力シート!$B$14=2,CD7*管理者用人口入力シート!BF$8))</f>
        <v>18.917690184491992</v>
      </c>
      <c r="CF10" s="11">
        <f t="shared" si="2"/>
        <v>5243.654880325651</v>
      </c>
      <c r="CG10" s="11">
        <f t="shared" si="20"/>
        <v>228.28405776632584</v>
      </c>
      <c r="CH10" s="11">
        <f t="shared" si="21"/>
        <v>120.23093632803638</v>
      </c>
      <c r="CI10" s="11">
        <f t="shared" si="3"/>
        <v>2143.029945227443</v>
      </c>
      <c r="CJ10" s="11">
        <f t="shared" si="22"/>
        <v>1430.0656511478173</v>
      </c>
      <c r="CK10" s="15">
        <f t="shared" si="23"/>
        <v>0.40869012056231141</v>
      </c>
      <c r="CL10" s="15">
        <f t="shared" si="24"/>
        <v>0.27272306888721187</v>
      </c>
      <c r="CM10" s="11">
        <f t="shared" si="25"/>
        <v>803.23502486221219</v>
      </c>
      <c r="CO10" s="60" t="str">
        <f t="shared" si="26"/>
        <v>2035_2</v>
      </c>
      <c r="CP10" s="30">
        <f>CP9</f>
        <v>2035</v>
      </c>
      <c r="CQ10" s="5" t="s">
        <v>22</v>
      </c>
      <c r="CR10" s="11">
        <f>DT10*$AK$14+将来予測シート②!$H17</f>
        <v>184.30148395691251</v>
      </c>
      <c r="CS10" s="11">
        <f>IF(管理者入力シート!$B$14=1,CR7*管理者用人口入力シート!AM$4,IF(管理者入力シート!$B$14=2,CR7*管理者用人口入力シート!AM$8))+将来予測シート②!$H18</f>
        <v>191.13423029774788</v>
      </c>
      <c r="CT10" s="11">
        <f>IF(管理者入力シート!$B$14=1,CS7*管理者用人口入力シート!AN$4,IF(管理者入力シート!$B$14=2,CS7*管理者用人口入力シート!AN$8))+将来予測シート②!$H19</f>
        <v>193.17190213397194</v>
      </c>
      <c r="CU10" s="11">
        <f>IF(管理者入力シート!$B$14=1,CT7*管理者用人口入力シート!AO$4,IF(管理者入力シート!$B$14=2,CT7*管理者用人口入力シート!AO$8))+将来予測シート②!$H20</f>
        <v>219.69801957697555</v>
      </c>
      <c r="CV10" s="11">
        <f>IF(管理者入力シート!$B$14=1,CU7*管理者用人口入力シート!AP$4,IF(管理者入力シート!$B$14=2,CU7*管理者用人口入力シート!AP$8))+将来予測シート②!$H21</f>
        <v>137.58503909920341</v>
      </c>
      <c r="CW10" s="11">
        <f>IF(管理者入力シート!$B$14=1,CV7*管理者用人口入力シート!AQ$4,IF(管理者入力シート!$B$14=2,CV7*管理者用人口入力シート!AQ$8))+将来予測シート②!$H22</f>
        <v>207.41749319577644</v>
      </c>
      <c r="CX10" s="11">
        <f>IF(管理者入力シート!$B$14=1,CW7*管理者用人口入力シート!AR$4,IF(管理者入力シート!$B$14=2,CW7*管理者用人口入力シート!AR$8))+将来予測シート②!$H23</f>
        <v>210.76197286082953</v>
      </c>
      <c r="CY10" s="11">
        <f>IF(管理者入力シート!$B$14=1,CX7*管理者用人口入力シート!AS$4,IF(管理者入力シート!$B$14=2,CX7*管理者用人口入力シート!AS$8))+将来予測シート②!$H24</f>
        <v>254.04620174443184</v>
      </c>
      <c r="CZ10" s="11">
        <f>IF(管理者入力シート!$B$14=1,CY7*管理者用人口入力シート!AT$4,IF(管理者入力シート!$B$14=2,CY7*管理者用人口入力シート!AT$8))+将来予測シート②!$H25</f>
        <v>229.07220356465939</v>
      </c>
      <c r="DA10" s="11">
        <f>IF(管理者入力シート!$B$14=1,CZ7*管理者用人口入力シート!AU$4,IF(管理者入力シート!$B$14=2,CZ7*管理者用人口入力シート!AU$8))+将来予測シート②!$H26</f>
        <v>241.50013038088383</v>
      </c>
      <c r="DB10" s="11">
        <f>IF(管理者入力シート!$B$14=1,DA7*管理者用人口入力シート!AV$4,IF(管理者入力シート!$B$14=2,DA7*管理者用人口入力シート!AV$8))+将来予測シート②!$H27</f>
        <v>321.78890473555816</v>
      </c>
      <c r="DC10" s="11">
        <f>IF(管理者入力シート!$B$14=1,DB7*管理者用人口入力シート!AW$4,IF(管理者入力シート!$B$14=2,DB7*管理者用人口入力シート!AW$8))+将来予測シート②!$H28</f>
        <v>364.15835373131074</v>
      </c>
      <c r="DD10" s="11">
        <f>IF(管理者入力シート!$B$14=1,DC7*管理者用人口入力シート!AX$4,IF(管理者入力シート!$B$14=2,DC7*管理者用人口入力シート!AX$8))+将来予測シート②!$H29</f>
        <v>362.83023077116906</v>
      </c>
      <c r="DE10" s="11">
        <f>IF(管理者入力シート!$B$14=1,DD7*管理者用人口入力シート!AY$4,IF(管理者入力シート!$B$14=2,DD7*管理者用人口入力シート!AY$8))</f>
        <v>343.31894172377673</v>
      </c>
      <c r="DF10" s="11">
        <f>IF(管理者入力シート!$B$14=1,DE7*管理者用人口入力シート!AZ$4,IF(管理者入力シート!$B$14=2,DE7*管理者用人口入力シート!AZ$8))</f>
        <v>369.64535235584873</v>
      </c>
      <c r="DG10" s="11">
        <f>IF(管理者入力シート!$B$14=1,DF7*管理者用人口入力シート!BA$4,IF(管理者入力シート!$B$14=2,DF7*管理者用人口入力シート!BA$8))</f>
        <v>410.08328141208267</v>
      </c>
      <c r="DH10" s="11">
        <f>IF(管理者入力シート!$B$14=1,DG7*管理者用人口入力シート!BB$4,IF(管理者入力シート!$B$14=2,DG7*管理者用人口入力シート!BB$8))</f>
        <v>391.8034908319201</v>
      </c>
      <c r="DI10" s="11">
        <f>IF(管理者入力シート!$B$14=1,DH7*管理者用人口入力シート!BC$4,IF(管理者入力シート!$B$14=2,DH7*管理者用人口入力シート!BC$8))</f>
        <v>344.73419041447852</v>
      </c>
      <c r="DJ10" s="11">
        <f>IF(管理者入力シート!$B$14=1,DI7*管理者用人口入力シート!BD$4,IF(管理者入力シート!$B$14=2,DI7*管理者用人口入力シート!BD$8))</f>
        <v>182.65257593084212</v>
      </c>
      <c r="DK10" s="11">
        <f>IF(管理者入力シート!$B$14=1,DJ7*管理者用人口入力シート!BE$4,IF(管理者入力シート!$B$14=2,DJ7*管理者用人口入力シート!BE$8))</f>
        <v>81.874422374002151</v>
      </c>
      <c r="DL10" s="11">
        <f>IF(管理者入力シート!$B$14=1,DK7*管理者用人口入力シート!BF$4,IF(管理者入力シート!$B$14=2,DK7*管理者用人口入力シート!BF$8))</f>
        <v>18.917690184491992</v>
      </c>
      <c r="DM10" s="11">
        <f t="shared" si="68"/>
        <v>5260.4961112768751</v>
      </c>
      <c r="DN10" s="11">
        <f t="shared" si="34"/>
        <v>230.58367945903188</v>
      </c>
      <c r="DO10" s="11">
        <f t="shared" si="35"/>
        <v>121.20836476898388</v>
      </c>
      <c r="DP10" s="11">
        <f t="shared" si="6"/>
        <v>2143.029945227443</v>
      </c>
      <c r="DQ10" s="11">
        <f t="shared" si="36"/>
        <v>1430.0656511478173</v>
      </c>
      <c r="DR10" s="15">
        <f t="shared" si="37"/>
        <v>0.40738171835797965</v>
      </c>
      <c r="DS10" s="15">
        <f t="shared" si="38"/>
        <v>0.27184995880563417</v>
      </c>
      <c r="DT10" s="11">
        <f t="shared" si="69"/>
        <v>809.81070690024126</v>
      </c>
      <c r="DV10" s="68" t="s">
        <v>405</v>
      </c>
      <c r="DW10" s="231">
        <f>((SUM(BL12:BL13)*3/5+SUM(BM12:BM13)+SUM(BN12:BN13)*1/5)-(SUM(E12:E13)*3/5+SUM(F12:F13)+SUM(G12:G13)*1/5))/4</f>
        <v>-80.950402446537595</v>
      </c>
      <c r="DX10" s="30">
        <f>DX9</f>
        <v>2035</v>
      </c>
      <c r="DY10" s="5" t="s">
        <v>22</v>
      </c>
      <c r="DZ10" s="11">
        <f>FB10*$AK$14</f>
        <v>302.01449193566214</v>
      </c>
      <c r="EA10" s="11">
        <f>IF(管理者入力シート!$B$14=1,DZ7*管理者用人口入力シート!AM$4,IF(管理者入力シート!$B$14=2,DZ7*管理者用人口入力シート!AM$8))</f>
        <v>287.95713077154079</v>
      </c>
      <c r="EB10" s="11">
        <f>IF(管理者入力シート!$B$14=1,EA7*管理者用人口入力シート!AN$4,IF(管理者入力シート!$B$14=2,EA7*管理者用人口入力シート!AN$8))</f>
        <v>191.22979432881385</v>
      </c>
      <c r="EC10" s="11">
        <f>IF(管理者入力シート!$B$14=1,EB7*管理者用人口入力シート!AO$4,IF(管理者入力シート!$B$14=2,EB7*管理者用人口入力シート!AO$8))</f>
        <v>218.69509298255414</v>
      </c>
      <c r="ED10" s="11">
        <f>IF(管理者入力シート!$B$14=1,EC7*管理者用人口入力シート!AP$4,IF(管理者入力シート!$B$14=2,EC7*管理者用人口入力シート!AP$8))</f>
        <v>137.05231091669239</v>
      </c>
      <c r="EE10" s="11">
        <f>IF(管理者入力シート!$B$14=1,ED7*管理者用人口入力シート!AQ$4,IF(管理者入力シート!$B$14=2,ED7*管理者用人口入力シート!AQ$8))+DX1</f>
        <v>294.41749319577644</v>
      </c>
      <c r="EF10" s="11">
        <f>IF(管理者入力シート!$B$14=1,EE7*管理者用人口入力シート!AR$4,IF(管理者入力シート!$B$14=2,EE7*管理者用人口入力シート!AR$8))+DX1</f>
        <v>390.17055546827453</v>
      </c>
      <c r="EG10" s="11">
        <f>IF(管理者入力シート!$B$14=1,EF7*管理者用人口入力シート!AS$4,IF(管理者入力シート!$B$14=2,EF7*管理者用人口入力シート!AS$8))+DX1</f>
        <v>512.63454059423998</v>
      </c>
      <c r="EH10" s="11">
        <f>IF(管理者入力シート!$B$14=1,EG7*管理者用人口入力シート!AT$4,IF(管理者入力シート!$B$14=2,EG7*管理者用人口入力シート!AT$8))</f>
        <v>400.04400594608165</v>
      </c>
      <c r="EI10" s="11">
        <f>IF(管理者入力シート!$B$14=1,EH7*管理者用人口入力シート!AU$4,IF(管理者入力シート!$B$14=2,EH7*管理者用人口入力シート!AU$8))</f>
        <v>327.07886667483228</v>
      </c>
      <c r="EJ10" s="11">
        <f>IF(管理者入力シート!$B$14=1,EI7*管理者用人口入力シート!AV$4,IF(管理者入力シート!$B$14=2,EI7*管理者用人口入力シート!AV$8))</f>
        <v>320.82649870294097</v>
      </c>
      <c r="EK10" s="11">
        <f>IF(管理者入力シート!$B$14=1,EJ7*管理者用人口入力シート!AW$4,IF(管理者入力シート!$B$14=2,EJ7*管理者用人口入力シート!AW$8))</f>
        <v>364.15835373131074</v>
      </c>
      <c r="EL10" s="11">
        <f>IF(管理者入力シート!$B$14=1,EK7*管理者用人口入力シート!AX$4,IF(管理者入力シート!$B$14=2,EK7*管理者用人口入力シート!AX$8))</f>
        <v>362.83023077116906</v>
      </c>
      <c r="EM10" s="11">
        <f>IF(管理者入力シート!$B$14=1,EL7*管理者用人口入力シート!AY$4,IF(管理者入力シート!$B$14=2,EL7*管理者用人口入力シート!AY$8))</f>
        <v>343.31894172377673</v>
      </c>
      <c r="EN10" s="11">
        <f>IF(管理者入力シート!$B$14=1,EM7*管理者用人口入力シート!AZ$4,IF(管理者入力シート!$B$14=2,EM7*管理者用人口入力シート!AZ$8))</f>
        <v>369.64535235584873</v>
      </c>
      <c r="EO10" s="11">
        <f>IF(管理者入力シート!$B$14=1,EN7*管理者用人口入力シート!BA$4,IF(管理者入力シート!$B$14=2,EN7*管理者用人口入力シート!BA$8))</f>
        <v>410.08328141208267</v>
      </c>
      <c r="EP10" s="11">
        <f>IF(管理者入力シート!$B$14=1,EO7*管理者用人口入力シート!BB$4,IF(管理者入力シート!$B$14=2,EO7*管理者用人口入力シート!BB$8))</f>
        <v>391.8034908319201</v>
      </c>
      <c r="EQ10" s="11">
        <f>IF(管理者入力シート!$B$14=1,EP7*管理者用人口入力シート!BC$4,IF(管理者入力シート!$B$14=2,EP7*管理者用人口入力シート!BC$8))</f>
        <v>344.73419041447852</v>
      </c>
      <c r="ER10" s="11">
        <f>IF(管理者入力シート!$B$14=1,EQ7*管理者用人口入力シート!BD$4,IF(管理者入力シート!$B$14=2,EQ7*管理者用人口入力シート!BD$8))</f>
        <v>182.65257593084212</v>
      </c>
      <c r="ES10" s="11">
        <f>IF(管理者入力シート!$B$14=1,ER7*管理者用人口入力シート!BE$4,IF(管理者入力シート!$B$14=2,ER7*管理者用人口入力シート!BE$8))</f>
        <v>81.874422374002151</v>
      </c>
      <c r="ET10" s="11">
        <f>IF(管理者入力シート!$B$14=1,ES7*管理者用人口入力シート!BF$4,IF(管理者入力シート!$B$14=2,ES7*管理者用人口入力シート!BF$8))</f>
        <v>18.917690184491992</v>
      </c>
      <c r="EU10" s="11">
        <f t="shared" si="70"/>
        <v>6252.1393112473315</v>
      </c>
      <c r="EV10" s="11">
        <f t="shared" si="41"/>
        <v>287.51215506021282</v>
      </c>
      <c r="EW10" s="11">
        <f t="shared" si="42"/>
        <v>120.23093632803638</v>
      </c>
      <c r="EX10" s="11">
        <f t="shared" si="10"/>
        <v>2143.029945227443</v>
      </c>
      <c r="EY10" s="11">
        <f t="shared" si="43"/>
        <v>1430.0656511478173</v>
      </c>
      <c r="EZ10" s="15">
        <f t="shared" si="44"/>
        <v>0.34276746542934894</v>
      </c>
      <c r="FA10" s="15">
        <f t="shared" si="45"/>
        <v>0.22873221148082709</v>
      </c>
      <c r="FB10" s="11">
        <f t="shared" si="71"/>
        <v>1334.2749001749835</v>
      </c>
    </row>
    <row r="11" spans="1:158" x14ac:dyDescent="0.15">
      <c r="A11" s="60" t="str">
        <f t="shared" si="11"/>
        <v>2015_3</v>
      </c>
      <c r="B11" s="31">
        <v>2015</v>
      </c>
      <c r="C11" s="6" t="s">
        <v>23</v>
      </c>
      <c r="D11" s="12">
        <v>570.33290080793063</v>
      </c>
      <c r="E11" s="12">
        <v>609.19607017554904</v>
      </c>
      <c r="F11" s="12">
        <v>597.0718010482293</v>
      </c>
      <c r="G11" s="12">
        <v>629.23063769418252</v>
      </c>
      <c r="H11" s="12">
        <v>346.21371265297574</v>
      </c>
      <c r="I11" s="12">
        <v>517.71502602346823</v>
      </c>
      <c r="J11" s="12">
        <v>670.25845222784596</v>
      </c>
      <c r="K11" s="12">
        <v>718.30761561944678</v>
      </c>
      <c r="L11" s="12">
        <v>731.00473599753127</v>
      </c>
      <c r="M11" s="12">
        <v>643.44874546855135</v>
      </c>
      <c r="N11" s="12">
        <v>758.18781581790336</v>
      </c>
      <c r="O11" s="12">
        <v>847.14681002633074</v>
      </c>
      <c r="P11" s="12">
        <v>976.75928602560703</v>
      </c>
      <c r="Q11" s="12">
        <v>1001.3008557512196</v>
      </c>
      <c r="R11" s="12">
        <v>790.82158248408723</v>
      </c>
      <c r="S11" s="12">
        <v>717.10976839127659</v>
      </c>
      <c r="T11" s="12">
        <v>700.19437388607616</v>
      </c>
      <c r="U11" s="12">
        <v>487.65476138143885</v>
      </c>
      <c r="V11" s="12">
        <v>228.56402098017628</v>
      </c>
      <c r="W11" s="12">
        <v>65.158959647814839</v>
      </c>
      <c r="X11" s="12">
        <v>11.672067835307816</v>
      </c>
      <c r="Y11" s="12">
        <v>12617.34999994295</v>
      </c>
      <c r="Z11" s="12">
        <f t="shared" si="12"/>
        <v>723.76072273426701</v>
      </c>
      <c r="AA11" s="12">
        <f t="shared" si="13"/>
        <v>364.67484795812823</v>
      </c>
      <c r="AB11" s="12">
        <f t="shared" si="0"/>
        <v>4002.4763903573971</v>
      </c>
      <c r="AC11" s="12">
        <f t="shared" si="14"/>
        <v>2210.35395212209</v>
      </c>
      <c r="AD11" s="16">
        <f t="shared" si="15"/>
        <v>0.31722004940621401</v>
      </c>
      <c r="AE11" s="16">
        <f t="shared" si="16"/>
        <v>0.17518369167313932</v>
      </c>
      <c r="AF11" s="12">
        <f t="shared" si="17"/>
        <v>2252.4948065237368</v>
      </c>
      <c r="BH11" s="60" t="str">
        <f t="shared" si="19"/>
        <v>2035_3</v>
      </c>
      <c r="BI11" s="31">
        <f>BI10</f>
        <v>2035</v>
      </c>
      <c r="BJ11" s="6" t="s">
        <v>23</v>
      </c>
      <c r="BK11" s="17">
        <f>BK9+BK10</f>
        <v>388.77487239436471</v>
      </c>
      <c r="BL11" s="17">
        <f t="shared" ref="BL11" si="116">BL9+BL10</f>
        <v>410.95767779232233</v>
      </c>
      <c r="BM11" s="17">
        <f t="shared" ref="BM11" si="117">BM9+BM10</f>
        <v>420.46473589966178</v>
      </c>
      <c r="BN11" s="17">
        <f t="shared" ref="BN11" si="118">BN9+BN10</f>
        <v>482.22693022833209</v>
      </c>
      <c r="BO11" s="17">
        <f t="shared" ref="BO11" si="119">BO9+BO10</f>
        <v>282.45447842791685</v>
      </c>
      <c r="BP11" s="17">
        <f t="shared" ref="BP11" si="120">BP9+BP10</f>
        <v>399.98185842132716</v>
      </c>
      <c r="BQ11" s="17">
        <f t="shared" ref="BQ11" si="121">BQ9+BQ10</f>
        <v>443.37258385919665</v>
      </c>
      <c r="BR11" s="17">
        <f t="shared" ref="BR11" si="122">BR9+BR10</f>
        <v>472.21617975751587</v>
      </c>
      <c r="BS11" s="17">
        <f t="shared" ref="BS11" si="123">BS9+BS10</f>
        <v>476.64993207527885</v>
      </c>
      <c r="BT11" s="17">
        <f t="shared" ref="BT11" si="124">BT9+BT10</f>
        <v>517.59710833441227</v>
      </c>
      <c r="BU11" s="17">
        <f t="shared" ref="BU11" si="125">BU9+BU10</f>
        <v>625.37831735673467</v>
      </c>
      <c r="BV11" s="17">
        <f t="shared" ref="BV11" si="126">BV9+BV10</f>
        <v>658.9374641913912</v>
      </c>
      <c r="BW11" s="17">
        <f t="shared" ref="BW11" si="127">BW9+BW10</f>
        <v>672.29666830187898</v>
      </c>
      <c r="BX11" s="17">
        <f t="shared" ref="BX11" si="128">BX9+BX10</f>
        <v>601.05158618874452</v>
      </c>
      <c r="BY11" s="17">
        <f t="shared" ref="BY11" si="129">BY9+BY10</f>
        <v>684.30298664833413</v>
      </c>
      <c r="BZ11" s="17">
        <f t="shared" ref="BZ11" si="130">BZ9+BZ10</f>
        <v>721.22435057847065</v>
      </c>
      <c r="CA11" s="17">
        <f t="shared" ref="CA11" si="131">CA9+CA10</f>
        <v>702.6511375079333</v>
      </c>
      <c r="CB11" s="17">
        <f t="shared" ref="CB11" si="132">CB9+CB10</f>
        <v>563.11978116893329</v>
      </c>
      <c r="CC11" s="17">
        <f t="shared" ref="CC11" si="133">CC9+CC10</f>
        <v>257.61798340171322</v>
      </c>
      <c r="CD11" s="17">
        <f t="shared" ref="CD11" si="134">CD9+CD10</f>
        <v>100.05830441597685</v>
      </c>
      <c r="CE11" s="17">
        <f t="shared" ref="CE11" si="135">CE9+CE10</f>
        <v>19.187568900826186</v>
      </c>
      <c r="CF11" s="12">
        <f t="shared" si="2"/>
        <v>9900.522505851266</v>
      </c>
      <c r="CG11" s="12">
        <f t="shared" si="20"/>
        <v>498.8534482151905</v>
      </c>
      <c r="CH11" s="12">
        <f t="shared" si="21"/>
        <v>264.63128040553113</v>
      </c>
      <c r="CI11" s="12">
        <f t="shared" si="3"/>
        <v>3649.2136988109319</v>
      </c>
      <c r="CJ11" s="12">
        <f t="shared" si="22"/>
        <v>2363.8591259738532</v>
      </c>
      <c r="CK11" s="16">
        <f t="shared" si="23"/>
        <v>0.36858799085141469</v>
      </c>
      <c r="CL11" s="16">
        <f t="shared" si="24"/>
        <v>0.23876104766963549</v>
      </c>
      <c r="CM11" s="12">
        <f t="shared" si="25"/>
        <v>1598.0251004659567</v>
      </c>
      <c r="CO11" s="60" t="str">
        <f t="shared" si="26"/>
        <v>2035_3</v>
      </c>
      <c r="CP11" s="31">
        <f>CP10</f>
        <v>2035</v>
      </c>
      <c r="CQ11" s="6" t="s">
        <v>23</v>
      </c>
      <c r="CR11" s="17">
        <f>CR9+CR10</f>
        <v>393.95757716458957</v>
      </c>
      <c r="CS11" s="17">
        <f t="shared" ref="CS11" si="136">CS9+CS10</f>
        <v>414.92330198174403</v>
      </c>
      <c r="CT11" s="17">
        <f t="shared" ref="CT11" si="137">CT9+CT10</f>
        <v>424.3989558581095</v>
      </c>
      <c r="CU11" s="17">
        <f t="shared" ref="CU11" si="138">CU9+CU10</f>
        <v>484.2380365034312</v>
      </c>
      <c r="CV11" s="17">
        <f t="shared" ref="CV11" si="139">CV9+CV10</f>
        <v>283.50082304687169</v>
      </c>
      <c r="CW11" s="17">
        <f t="shared" ref="CW11" si="140">CW9+CW10</f>
        <v>403.98185842132716</v>
      </c>
      <c r="CX11" s="17">
        <f t="shared" ref="CX11" si="141">CX9+CX10</f>
        <v>447.70397532249558</v>
      </c>
      <c r="CY11" s="17">
        <f t="shared" ref="CY11" si="142">CY9+CY10</f>
        <v>476.44751815230165</v>
      </c>
      <c r="CZ11" s="17">
        <f t="shared" ref="CZ11" si="143">CZ9+CZ10</f>
        <v>477.64993207527885</v>
      </c>
      <c r="DA11" s="17">
        <f t="shared" ref="DA11" si="144">DA9+DA10</f>
        <v>518.57620942681012</v>
      </c>
      <c r="DB11" s="17">
        <f t="shared" ref="DB11" si="145">DB9+DB10</f>
        <v>626.34072338935175</v>
      </c>
      <c r="DC11" s="17">
        <f t="shared" ref="DC11" si="146">DC9+DC10</f>
        <v>658.9374641913912</v>
      </c>
      <c r="DD11" s="17">
        <f t="shared" ref="DD11" si="147">DD9+DD10</f>
        <v>672.29666830187898</v>
      </c>
      <c r="DE11" s="17">
        <f t="shared" ref="DE11" si="148">DE9+DE10</f>
        <v>601.05158618874452</v>
      </c>
      <c r="DF11" s="17">
        <f t="shared" ref="DF11" si="149">DF9+DF10</f>
        <v>684.30298664833413</v>
      </c>
      <c r="DG11" s="17">
        <f t="shared" ref="DG11" si="150">DG9+DG10</f>
        <v>721.22435057847065</v>
      </c>
      <c r="DH11" s="17">
        <f t="shared" ref="DH11" si="151">DH9+DH10</f>
        <v>702.6511375079333</v>
      </c>
      <c r="DI11" s="17">
        <f t="shared" ref="DI11" si="152">DI9+DI10</f>
        <v>563.11978116893329</v>
      </c>
      <c r="DJ11" s="17">
        <f t="shared" ref="DJ11" si="153">DJ9+DJ10</f>
        <v>257.61798340171322</v>
      </c>
      <c r="DK11" s="17">
        <f t="shared" ref="DK11" si="154">DK9+DK10</f>
        <v>100.05830441597685</v>
      </c>
      <c r="DL11" s="17">
        <f t="shared" ref="DL11" si="155">DL9+DL10</f>
        <v>19.187568900826186</v>
      </c>
      <c r="DM11" s="12">
        <f t="shared" si="68"/>
        <v>9932.1667426465137</v>
      </c>
      <c r="DN11" s="12">
        <f t="shared" si="34"/>
        <v>503.5933547039121</v>
      </c>
      <c r="DO11" s="12">
        <f t="shared" si="35"/>
        <v>266.60718964393004</v>
      </c>
      <c r="DP11" s="12">
        <f t="shared" si="6"/>
        <v>3649.2136988109319</v>
      </c>
      <c r="DQ11" s="12">
        <f t="shared" si="36"/>
        <v>2363.8591259738532</v>
      </c>
      <c r="DR11" s="16">
        <f t="shared" si="37"/>
        <v>0.36741365639201568</v>
      </c>
      <c r="DS11" s="16">
        <f t="shared" si="38"/>
        <v>0.23800034647263504</v>
      </c>
      <c r="DT11" s="12">
        <f t="shared" si="69"/>
        <v>1611.6341749429962</v>
      </c>
      <c r="DW11" s="232"/>
      <c r="DX11" s="31">
        <f>DX10</f>
        <v>2035</v>
      </c>
      <c r="DY11" s="6" t="s">
        <v>23</v>
      </c>
      <c r="DZ11" s="17">
        <f>DZ9+DZ10</f>
        <v>645.80420175715926</v>
      </c>
      <c r="EA11" s="17">
        <f t="shared" ref="EA11" si="156">EA9+EA10</f>
        <v>625.3219221319705</v>
      </c>
      <c r="EB11" s="17">
        <f t="shared" ref="EB11" si="157">EB9+EB10</f>
        <v>420.46473589966178</v>
      </c>
      <c r="EC11" s="17">
        <f t="shared" ref="EC11" si="158">EC9+EC10</f>
        <v>482.22693022833209</v>
      </c>
      <c r="ED11" s="17">
        <f t="shared" ref="ED11" si="159">ED9+ED10</f>
        <v>282.45447842791685</v>
      </c>
      <c r="EE11" s="17">
        <f t="shared" ref="EE11" si="160">EE9+EE10</f>
        <v>577.98185842132716</v>
      </c>
      <c r="EF11" s="17">
        <f t="shared" ref="EF11" si="161">EF9+EF10</f>
        <v>814.11950397600162</v>
      </c>
      <c r="EG11" s="17">
        <f t="shared" ref="EG11" si="162">EG9+EG10</f>
        <v>1012.1807245784668</v>
      </c>
      <c r="EH11" s="17">
        <f t="shared" ref="EH11" si="163">EH9+EH10</f>
        <v>824.03562674996374</v>
      </c>
      <c r="EI11" s="17">
        <f t="shared" ref="EI11" si="164">EI9+EI10</f>
        <v>689.873876937727</v>
      </c>
      <c r="EJ11" s="17">
        <f t="shared" ref="EJ11" si="165">EJ9+EJ10</f>
        <v>625.37831735673467</v>
      </c>
      <c r="EK11" s="17">
        <f t="shared" ref="EK11" si="166">EK9+EK10</f>
        <v>658.9374641913912</v>
      </c>
      <c r="EL11" s="17">
        <f t="shared" ref="EL11" si="167">EL9+EL10</f>
        <v>672.29666830187898</v>
      </c>
      <c r="EM11" s="17">
        <f t="shared" ref="EM11" si="168">EM9+EM10</f>
        <v>601.05158618874452</v>
      </c>
      <c r="EN11" s="17">
        <f t="shared" ref="EN11" si="169">EN9+EN10</f>
        <v>684.30298664833413</v>
      </c>
      <c r="EO11" s="17">
        <f t="shared" ref="EO11" si="170">EO9+EO10</f>
        <v>721.22435057847065</v>
      </c>
      <c r="EP11" s="17">
        <f t="shared" ref="EP11" si="171">EP9+EP10</f>
        <v>702.6511375079333</v>
      </c>
      <c r="EQ11" s="17">
        <f t="shared" ref="EQ11" si="172">EQ9+EQ10</f>
        <v>563.11978116893329</v>
      </c>
      <c r="ER11" s="17">
        <f t="shared" ref="ER11" si="173">ER9+ER10</f>
        <v>257.61798340171322</v>
      </c>
      <c r="ES11" s="17">
        <f t="shared" ref="ES11" si="174">ES9+ES10</f>
        <v>100.05830441597685</v>
      </c>
      <c r="ET11" s="17">
        <f t="shared" ref="ET11" si="175">ET9+ET10</f>
        <v>19.187568900826186</v>
      </c>
      <c r="EU11" s="12">
        <f t="shared" si="70"/>
        <v>11980.290007769463</v>
      </c>
      <c r="EV11" s="12">
        <f t="shared" si="41"/>
        <v>627.4719948189794</v>
      </c>
      <c r="EW11" s="12">
        <f t="shared" si="42"/>
        <v>264.63128040553113</v>
      </c>
      <c r="EX11" s="12">
        <f t="shared" si="10"/>
        <v>3649.2136988109319</v>
      </c>
      <c r="EY11" s="12">
        <f t="shared" si="43"/>
        <v>2363.8591259738532</v>
      </c>
      <c r="EZ11" s="16">
        <f t="shared" si="44"/>
        <v>0.30460144925075622</v>
      </c>
      <c r="FA11" s="16">
        <f t="shared" si="45"/>
        <v>0.19731234589820798</v>
      </c>
      <c r="FB11" s="12">
        <f t="shared" si="71"/>
        <v>2686.7365654037126</v>
      </c>
    </row>
    <row r="12" spans="1:158" x14ac:dyDescent="0.15">
      <c r="A12" s="60" t="str">
        <f t="shared" si="11"/>
        <v>2020_1</v>
      </c>
      <c r="B12" s="29">
        <v>2020</v>
      </c>
      <c r="C12" s="4" t="s">
        <v>21</v>
      </c>
      <c r="D12" s="10">
        <v>263.47194641008758</v>
      </c>
      <c r="E12" s="10">
        <v>288.71244545812658</v>
      </c>
      <c r="F12" s="10">
        <v>297.23533896774018</v>
      </c>
      <c r="G12" s="10">
        <v>320.8707686976681</v>
      </c>
      <c r="H12" s="10">
        <v>152.40249236356382</v>
      </c>
      <c r="I12" s="10">
        <v>223.23655263624596</v>
      </c>
      <c r="J12" s="10">
        <v>285.94180527924766</v>
      </c>
      <c r="K12" s="10">
        <v>318.23408861681787</v>
      </c>
      <c r="L12" s="10">
        <v>325.39363021020512</v>
      </c>
      <c r="M12" s="10">
        <v>339.64441537497066</v>
      </c>
      <c r="N12" s="10">
        <v>293.52525978958175</v>
      </c>
      <c r="O12" s="10">
        <v>350.65904319709904</v>
      </c>
      <c r="P12" s="10">
        <v>386.8504719153467</v>
      </c>
      <c r="Q12" s="10">
        <v>461.1029432810825</v>
      </c>
      <c r="R12" s="10">
        <v>441.40795933226877</v>
      </c>
      <c r="S12" s="10">
        <v>321.15753026043194</v>
      </c>
      <c r="T12" s="10">
        <v>235.34311402912152</v>
      </c>
      <c r="U12" s="10">
        <v>208.67028997406487</v>
      </c>
      <c r="V12" s="10">
        <v>72.998779154202253</v>
      </c>
      <c r="W12" s="10">
        <v>15.48876598349964</v>
      </c>
      <c r="X12" s="10">
        <v>0.35235906862745098</v>
      </c>
      <c r="Y12" s="10">
        <v>5602.7</v>
      </c>
      <c r="Z12" s="10">
        <f>E12*3/5+F12*3/5</f>
        <v>351.56867065552007</v>
      </c>
      <c r="AA12" s="10">
        <f>F12*2/5+G12*1/5</f>
        <v>183.0682893266297</v>
      </c>
      <c r="AB12" s="10">
        <f t="shared" ref="AB12:AB14" si="176">SUM(Q12:X12)</f>
        <v>1756.5217410832993</v>
      </c>
      <c r="AC12" s="10">
        <f>SUM(S12:X12)</f>
        <v>854.01083846994777</v>
      </c>
      <c r="AD12" s="14">
        <f>AB12/Y12</f>
        <v>0.31351343835709555</v>
      </c>
      <c r="AE12" s="14">
        <f>AC12/Y12</f>
        <v>0.15242844315596904</v>
      </c>
      <c r="AF12" s="10">
        <f>SUM(H12:K12)</f>
        <v>979.81493889587534</v>
      </c>
      <c r="AK12" s="67">
        <f>管理者入力シート!B5</f>
        <v>2020</v>
      </c>
      <c r="AL12" s="68"/>
      <c r="BH12" s="60" t="str">
        <f t="shared" si="19"/>
        <v>2040_1</v>
      </c>
      <c r="BI12" s="29">
        <f>管理者入力シート!B11</f>
        <v>2040</v>
      </c>
      <c r="BJ12" s="4" t="s">
        <v>21</v>
      </c>
      <c r="BK12" s="10">
        <f>CM13*$AK$13</f>
        <v>183.06061603872627</v>
      </c>
      <c r="BL12" s="10">
        <f>IF(管理者入力シート!$B$14=1,BK9*管理者用人口入力シート!AM$3,IF(管理者入力シート!$B$14=2,BK9*管理者用人口入力シート!AM$7))</f>
        <v>209.40377295237923</v>
      </c>
      <c r="BM12" s="10">
        <f>IF(管理者入力シート!$B$14=1,BL9*管理者用人口入力シート!AN$3,IF(管理者入力シート!$B$14=2,BL9*管理者用人口入力シート!AN$7))</f>
        <v>217.40006144443583</v>
      </c>
      <c r="BN12" s="10">
        <f>IF(管理者入力シート!$B$14=1,BM9*管理者用人口入力シート!AO$3,IF(管理者入力シート!$B$14=2,BM9*管理者用人口入力シート!AO$7))</f>
        <v>231.11001019306713</v>
      </c>
      <c r="BO12" s="10">
        <f>IF(管理者入力シート!$B$14=1,BN9*管理者用人口入力シート!AP$3,IF(管理者入力シート!$B$14=2,BN9*管理者用人口入力シート!AP$7))</f>
        <v>134.25611101850347</v>
      </c>
      <c r="BP12" s="10">
        <f>IF(管理者入力シート!$B$14=1,BO9*管理者用人口入力シート!AQ$3,IF(管理者入力シート!$B$14=2,BO9*管理者用人口入力シート!AQ$7))</f>
        <v>185.30828057881087</v>
      </c>
      <c r="BQ12" s="10">
        <f>IF(管理者入力シート!$B$14=1,BP9*管理者用人口入力シート!AR$3,IF(管理者入力シート!$B$14=2,BP9*管理者用人口入力シート!AR$7))</f>
        <v>219.17999132352477</v>
      </c>
      <c r="BR12" s="10">
        <f>IF(管理者入力シート!$B$14=1,BQ9*管理者用人口入力シート!AS$3,IF(管理者入力シート!$B$14=2,BQ9*管理者用人口入力シート!AS$7))</f>
        <v>236.11703184815164</v>
      </c>
      <c r="BS12" s="10">
        <f>IF(管理者入力シート!$B$14=1,BR9*管理者用人口入力シート!AT$3,IF(管理者入力シート!$B$14=2,BR9*管理者用人口入力シート!AT$7))</f>
        <v>216.27828798088134</v>
      </c>
      <c r="BT12" s="10">
        <f>IF(管理者入力シート!$B$14=1,BS9*管理者用人口入力シート!AU$3,IF(管理者入力シート!$B$14=2,BS9*管理者用人口入力シート!AU$7))</f>
        <v>243.68247087176164</v>
      </c>
      <c r="BU12" s="10">
        <f>IF(管理者入力シート!$B$14=1,BT9*管理者用人口入力シート!AV$3,IF(管理者入力シート!$B$14=2,BT9*管理者用人口入力シート!AV$7))</f>
        <v>275.31304584285408</v>
      </c>
      <c r="BV12" s="10">
        <f>IF(管理者入力シート!$B$14=1,BU9*管理者用人口入力シート!AW$3,IF(管理者入力シート!$B$14=2,BU9*管理者用人口入力シート!AW$7))</f>
        <v>283.24289312269457</v>
      </c>
      <c r="BW12" s="10">
        <f>IF(管理者入力シート!$B$14=1,BV9*管理者用人口入力シート!AX$3,IF(管理者入力シート!$B$14=2,BV9*管理者用人口入力シート!AX$7))</f>
        <v>290.6432217690114</v>
      </c>
      <c r="BX12" s="10">
        <f>IF(管理者入力シート!$B$14=1,BW9*管理者用人口入力シート!AY$3,IF(管理者入力シート!$B$14=2,BW9*管理者用人口入力シート!AY$7))</f>
        <v>296.33038463357559</v>
      </c>
      <c r="BY12" s="10">
        <f>IF(管理者入力シート!$B$14=1,BX9*管理者用人口入力シート!AZ$3,IF(管理者入力シート!$B$14=2,BX9*管理者用人口入力シート!AZ$7))</f>
        <v>244.96076818175268</v>
      </c>
      <c r="BZ12" s="10">
        <f>IF(管理者入力シート!$B$14=1,BY9*管理者用人口入力シート!BA$3,IF(管理者入力シート!$B$14=2,BY9*管理者用人口入力シート!BA$7))</f>
        <v>278.07551310675126</v>
      </c>
      <c r="CA12" s="10">
        <f>IF(管理者入力シート!$B$14=1,BZ9*管理者用人口入力シート!BB$3,IF(管理者入力シート!$B$14=2,BZ9*管理者用人口入力シート!BB$7))</f>
        <v>249.72122095247011</v>
      </c>
      <c r="CB12" s="10">
        <f>IF(管理者入力シート!$B$14=1,CA9*管理者用人口入力シート!BC$3,IF(管理者入力シート!$B$14=2,CA9*管理者用人口入力シート!BC$7))</f>
        <v>216.82473274116896</v>
      </c>
      <c r="CC12" s="10">
        <f>IF(管理者入力シート!$B$14=1,CB9*管理者用人口入力シート!BD$3,IF(管理者入力シート!$B$14=2,CB9*管理者用人口入力シート!BD$7))</f>
        <v>91.055761452027966</v>
      </c>
      <c r="CD12" s="10">
        <f>IF(管理者入力シート!$B$14=1,CC9*管理者用人口入力シート!BE$3,IF(管理者入力シート!$B$14=2,CC9*管理者用人口入力シート!BE$7))</f>
        <v>19.915963844506759</v>
      </c>
      <c r="CE12" s="10">
        <f>IF(管理者入力シート!$B$14=1,CD9*管理者用人口入力シート!BF$3,IF(管理者入力シート!$B$14=2,CD9*管理者用人口入力シート!BF$7))</f>
        <v>0.21231014544704974</v>
      </c>
      <c r="CF12" s="10">
        <f t="shared" si="2"/>
        <v>4322.0924500425026</v>
      </c>
      <c r="CG12" s="10">
        <f t="shared" si="20"/>
        <v>256.08230063808901</v>
      </c>
      <c r="CH12" s="10">
        <f t="shared" si="21"/>
        <v>133.18202661638776</v>
      </c>
      <c r="CI12" s="10">
        <f t="shared" si="3"/>
        <v>1397.0966550577002</v>
      </c>
      <c r="CJ12" s="10">
        <f t="shared" si="22"/>
        <v>855.80550224237209</v>
      </c>
      <c r="CK12" s="14">
        <f t="shared" si="23"/>
        <v>0.32324543521598237</v>
      </c>
      <c r="CL12" s="14">
        <f t="shared" si="24"/>
        <v>0.19800721806262064</v>
      </c>
      <c r="CM12" s="10">
        <f t="shared" si="25"/>
        <v>774.86141476899081</v>
      </c>
      <c r="CO12" s="60" t="str">
        <f t="shared" si="26"/>
        <v>2040_1</v>
      </c>
      <c r="CP12" s="29">
        <f>管理者入力シート!B11</f>
        <v>2040</v>
      </c>
      <c r="CQ12" s="4" t="s">
        <v>21</v>
      </c>
      <c r="CR12" s="10">
        <f>DT13*$AK$13+将来予測シート②!$G17</f>
        <v>185.93877160215396</v>
      </c>
      <c r="CS12" s="10">
        <f>IF(管理者入力シート!$B$14=1,CR9*管理者用人口入力シート!AM$3,IF(管理者入力シート!$B$14=2,CR9*管理者用人口入力シート!AM$7))+将来予測シート②!$G18</f>
        <v>212.1298556946783</v>
      </c>
      <c r="CT12" s="10">
        <f>IF(管理者入力シート!$B$14=1,CS9*管理者用人口入力シート!AN$3,IF(管理者入力シート!$B$14=2,CS9*管理者用人口入力シート!AN$7))+将来予測シート②!$G19</f>
        <v>220.43471592409179</v>
      </c>
      <c r="CU12" s="10">
        <f>IF(管理者入力シート!$B$14=1,CT9*管理者用人口入力シート!AO$3,IF(管理者入力シート!$B$14=2,CT9*管理者用人口入力シート!AO$7))+将来予測シート②!$G20</f>
        <v>233.11841718764487</v>
      </c>
      <c r="CV12" s="10">
        <f>IF(管理者入力シート!$B$14=1,CU9*管理者用人口入力シート!AP$3,IF(管理者入力シート!$B$14=2,CU9*管理者用人口入力シート!AP$7))+将来予測シート②!$G21</f>
        <v>134.76972745494729</v>
      </c>
      <c r="CW12" s="10">
        <f>IF(管理者入力シート!$B$14=1,CV9*管理者用人口入力シート!AQ$3,IF(管理者入力シート!$B$14=2,CV9*管理者用人口入力シート!AQ$7))+将来予測シート②!$G22</f>
        <v>187.96286077072628</v>
      </c>
      <c r="CX12" s="10">
        <f>IF(管理者入力シート!$B$14=1,CW9*管理者用人口入力シート!AR$3,IF(管理者入力シート!$B$14=2,CW9*管理者用人口入力シート!AR$7))+将来予測シート②!$G23</f>
        <v>221.43302456596294</v>
      </c>
      <c r="CY12" s="10">
        <f>IF(管理者入力シート!$B$14=1,CX9*管理者用人口入力シート!AS$3,IF(管理者入力シート!$B$14=2,CX9*管理者用人口入力シート!AS$7))+将来予測シート②!$G24</f>
        <v>238.38377460828016</v>
      </c>
      <c r="CZ12" s="10">
        <f>IF(管理者入力シート!$B$14=1,CY9*管理者用人口入力シート!AT$3,IF(管理者入力シート!$B$14=2,CY9*管理者用人口入力シート!AT$7))+将来予測シート②!$G25</f>
        <v>218.50532226872636</v>
      </c>
      <c r="DA12" s="10">
        <f>IF(管理者入力シート!$B$14=1,CZ9*管理者用人口入力シート!AU$3,IF(管理者入力シート!$B$14=2,CZ9*管理者用人口入力シート!AU$7))+将来予測シート②!$G26</f>
        <v>243.68247087176164</v>
      </c>
      <c r="DB12" s="10">
        <f>IF(管理者入力シート!$B$14=1,DA9*管理者用人口入力シート!AV$3,IF(管理者入力シート!$B$14=2,DA9*管理者用人口入力シート!AV$7))+将来予測シート②!$G27</f>
        <v>275.31304584285408</v>
      </c>
      <c r="DC12" s="10">
        <f>IF(管理者入力シート!$B$14=1,DB9*管理者用人口入力シート!AW$3,IF(管理者入力シート!$B$14=2,DB9*管理者用人口入力シート!AW$7))+将来予測シート②!$G28</f>
        <v>283.24289312269457</v>
      </c>
      <c r="DD12" s="10">
        <f>IF(管理者入力シート!$B$14=1,DC9*管理者用人口入力シート!AX$3,IF(管理者入力シート!$B$14=2,DC9*管理者用人口入力シート!AX$7))+将来予測シート②!$G29</f>
        <v>290.6432217690114</v>
      </c>
      <c r="DE12" s="10">
        <f>IF(管理者入力シート!$B$14=1,DD9*管理者用人口入力シート!AY$3,IF(管理者入力シート!$B$14=2,DD9*管理者用人口入力シート!AY$7))</f>
        <v>296.33038463357559</v>
      </c>
      <c r="DF12" s="10">
        <f>IF(管理者入力シート!$B$14=1,DE9*管理者用人口入力シート!AZ$3,IF(管理者入力シート!$B$14=2,DE9*管理者用人口入力シート!AZ$7))</f>
        <v>244.96076818175268</v>
      </c>
      <c r="DG12" s="10">
        <f>IF(管理者入力シート!$B$14=1,DF9*管理者用人口入力シート!BA$3,IF(管理者入力シート!$B$14=2,DF9*管理者用人口入力シート!BA$7))</f>
        <v>278.07551310675126</v>
      </c>
      <c r="DH12" s="10">
        <f>IF(管理者入力シート!$B$14=1,DG9*管理者用人口入力シート!BB$3,IF(管理者入力シート!$B$14=2,DG9*管理者用人口入力シート!BB$7))</f>
        <v>249.72122095247011</v>
      </c>
      <c r="DI12" s="10">
        <f>IF(管理者入力シート!$B$14=1,DH9*管理者用人口入力シート!BC$3,IF(管理者入力シート!$B$14=2,DH9*管理者用人口入力シート!BC$7))</f>
        <v>216.82473274116896</v>
      </c>
      <c r="DJ12" s="10">
        <f>IF(管理者入力シート!$B$14=1,DI9*管理者用人口入力シート!BD$3,IF(管理者入力シート!$B$14=2,DI9*管理者用人口入力シート!BD$7))</f>
        <v>91.055761452027966</v>
      </c>
      <c r="DK12" s="10">
        <f>IF(管理者入力シート!$B$14=1,DJ9*管理者用人口入力シート!BE$3,IF(管理者入力シート!$B$14=2,DJ9*管理者用人口入力シート!BE$7))</f>
        <v>19.915963844506759</v>
      </c>
      <c r="DL12" s="10">
        <f>IF(管理者入力シート!$B$14=1,DK9*管理者用人口入力シート!BF$3,IF(管理者入力シート!$B$14=2,DK9*管理者用人口入力シート!BF$7))</f>
        <v>0.21231014544704974</v>
      </c>
      <c r="DM12" s="10">
        <f t="shared" si="68"/>
        <v>4342.6547567412345</v>
      </c>
      <c r="DN12" s="10">
        <f t="shared" si="34"/>
        <v>259.53874297126208</v>
      </c>
      <c r="DO12" s="10">
        <f t="shared" si="35"/>
        <v>134.7975698071657</v>
      </c>
      <c r="DP12" s="10">
        <f t="shared" si="6"/>
        <v>1397.0966550577002</v>
      </c>
      <c r="DQ12" s="10">
        <f t="shared" si="36"/>
        <v>855.80550224237209</v>
      </c>
      <c r="DR12" s="14">
        <f t="shared" si="37"/>
        <v>0.32171488025589529</v>
      </c>
      <c r="DS12" s="14">
        <f t="shared" si="38"/>
        <v>0.19706966134341655</v>
      </c>
      <c r="DT12" s="10">
        <f t="shared" si="69"/>
        <v>782.54938739991667</v>
      </c>
      <c r="DV12" s="233"/>
      <c r="DX12" s="29">
        <f>管理者入力シート!B11</f>
        <v>2040</v>
      </c>
      <c r="DY12" s="4" t="s">
        <v>21</v>
      </c>
      <c r="DZ12" s="10">
        <f>FB13*$AK$13</f>
        <v>319.88852505018934</v>
      </c>
      <c r="EA12" s="140">
        <f>IF(管理者入力シート!$B$14=1,DZ9*管理者用人口入力シート!AM$3,IF(管理者入力シート!$B$14=2,DZ9*管理者用人口入力シート!AM$7))</f>
        <v>347.84613419992445</v>
      </c>
      <c r="EB12" s="10">
        <f>IF(管理者入力シート!$B$14=1,EA9*管理者用人口入力シート!AN$3,IF(管理者入力シート!$B$14=2,EA9*管理者用人口入力シート!AN$7))</f>
        <v>330.80054623713102</v>
      </c>
      <c r="EC12" s="10">
        <f>IF(管理者入力シート!$B$14=1,EB9*管理者用人口入力シート!AO$3,IF(管理者入力シート!$B$14=2,EB9*管理者用人口入力シート!AO$7))</f>
        <v>231.11001019306713</v>
      </c>
      <c r="ED12" s="10">
        <f>IF(管理者入力シート!$B$14=1,EC9*管理者用人口入力シート!AP$3,IF(管理者入力シート!$B$14=2,EC9*管理者用人口入力シート!AP$7))</f>
        <v>134.25611101850347</v>
      </c>
      <c r="EE12" s="10">
        <f>IF(管理者入力シート!$B$14=1,ED9*管理者用人口入力シート!AQ$3,IF(管理者入力シート!$B$14=2,ED9*管理者用人口入力シート!AQ$7))+DX1</f>
        <v>274.30828057881087</v>
      </c>
      <c r="EF12" s="10">
        <f>IF(管理者入力シート!$B$14=1,EE9*管理者用人口入力シート!AR$3,IF(管理者入力シート!$B$14=2,EE9*管理者用人口入力シート!AR$7))+DX1</f>
        <v>408.4399706120239</v>
      </c>
      <c r="EG12" s="10">
        <f>IF(管理者入力シート!$B$14=1,EF9*管理者用人口入力シート!AS$3,IF(管理者入力シート!$B$14=2,EF9*管理者用人口入力シート!AS$7))+DX1</f>
        <v>515.52864218463719</v>
      </c>
      <c r="EH12" s="10">
        <f>IF(管理者入力シート!$B$14=1,EG9*管理者用人口入力シート!AT$3,IF(管理者入力シート!$B$14=2,EG9*管理者用人口入力シート!AT$7))</f>
        <v>490.79520608324725</v>
      </c>
      <c r="EI12" s="10">
        <f>IF(管理者入力シート!$B$14=1,EH9*管理者用人口入力シート!AU$3,IF(管理者入力シート!$B$14=2,EH9*管理者用人口入力シート!AU$7))</f>
        <v>415.64192578901577</v>
      </c>
      <c r="EJ12" s="10">
        <f>IF(管理者入力シート!$B$14=1,EI9*管理者用人口入力シート!AV$3,IF(管理者入力シート!$B$14=2,EI9*管理者用人口入力シート!AV$7))</f>
        <v>360.486548084547</v>
      </c>
      <c r="EK12" s="10">
        <f>IF(管理者入力シート!$B$14=1,EJ9*管理者用人口入力シート!AW$3,IF(管理者入力シート!$B$14=2,EJ9*管理者用人口入力シート!AW$7))</f>
        <v>283.24289312269457</v>
      </c>
      <c r="EL12" s="10">
        <f>IF(管理者入力シート!$B$14=1,EK9*管理者用人口入力シート!AX$3,IF(管理者入力シート!$B$14=2,EK9*管理者用人口入力シート!AX$7))</f>
        <v>290.6432217690114</v>
      </c>
      <c r="EM12" s="10">
        <f>IF(管理者入力シート!$B$14=1,EL9*管理者用人口入力シート!AY$3,IF(管理者入力シート!$B$14=2,EL9*管理者用人口入力シート!AY$7))</f>
        <v>296.33038463357559</v>
      </c>
      <c r="EN12" s="10">
        <f>IF(管理者入力シート!$B$14=1,EM9*管理者用人口入力シート!AZ$3,IF(管理者入力シート!$B$14=2,EM9*管理者用人口入力シート!AZ$7))</f>
        <v>244.96076818175268</v>
      </c>
      <c r="EO12" s="10">
        <f>IF(管理者入力シート!$B$14=1,EN9*管理者用人口入力シート!BA$3,IF(管理者入力シート!$B$14=2,EN9*管理者用人口入力シート!BA$7))</f>
        <v>278.07551310675126</v>
      </c>
      <c r="EP12" s="10">
        <f>IF(管理者入力シート!$B$14=1,EO9*管理者用人口入力シート!BB$3,IF(管理者入力シート!$B$14=2,EO9*管理者用人口入力シート!BB$7))</f>
        <v>249.72122095247011</v>
      </c>
      <c r="EQ12" s="10">
        <f>IF(管理者入力シート!$B$14=1,EP9*管理者用人口入力シート!BC$3,IF(管理者入力シート!$B$14=2,EP9*管理者用人口入力シート!BC$7))</f>
        <v>216.82473274116896</v>
      </c>
      <c r="ER12" s="10">
        <f>IF(管理者入力シート!$B$14=1,EQ9*管理者用人口入力シート!BD$3,IF(管理者入力シート!$B$14=2,EQ9*管理者用人口入力シート!BD$7))</f>
        <v>91.055761452027966</v>
      </c>
      <c r="ES12" s="10">
        <f>IF(管理者入力シート!$B$14=1,ER9*管理者用人口入力シート!BE$3,IF(管理者入力シート!$B$14=2,ER9*管理者用人口入力シート!BE$7))</f>
        <v>19.915963844506759</v>
      </c>
      <c r="ET12" s="10">
        <f>IF(管理者入力シート!$B$14=1,ES9*管理者用人口入力シート!BF$3,IF(管理者入力シート!$B$14=2,ES9*管理者用人口入力シート!BF$7))</f>
        <v>0.21231014544704974</v>
      </c>
      <c r="EU12" s="10">
        <f t="shared" si="70"/>
        <v>5800.0846699805043</v>
      </c>
      <c r="EV12" s="10">
        <f t="shared" si="41"/>
        <v>407.18800826223321</v>
      </c>
      <c r="EW12" s="10">
        <f t="shared" si="42"/>
        <v>178.54222053346584</v>
      </c>
      <c r="EX12" s="10">
        <f t="shared" si="10"/>
        <v>1397.0966550577002</v>
      </c>
      <c r="EY12" s="10">
        <f t="shared" si="43"/>
        <v>855.80550224237209</v>
      </c>
      <c r="EZ12" s="14">
        <f t="shared" si="44"/>
        <v>0.24087521726857761</v>
      </c>
      <c r="FA12" s="14">
        <f t="shared" si="45"/>
        <v>0.14755051881772765</v>
      </c>
      <c r="FB12" s="10">
        <f t="shared" si="71"/>
        <v>1332.5330043939755</v>
      </c>
    </row>
    <row r="13" spans="1:158" x14ac:dyDescent="0.15">
      <c r="A13" s="60" t="str">
        <f t="shared" si="11"/>
        <v>2020_2</v>
      </c>
      <c r="B13" s="30">
        <v>2020</v>
      </c>
      <c r="C13" s="5" t="s">
        <v>22</v>
      </c>
      <c r="D13" s="11">
        <v>231.45645073454423</v>
      </c>
      <c r="E13" s="11">
        <v>268.45257148772612</v>
      </c>
      <c r="F13" s="11">
        <v>287.86591737106289</v>
      </c>
      <c r="G13" s="11">
        <v>282.24087749182763</v>
      </c>
      <c r="H13" s="11">
        <v>191.58278146925903</v>
      </c>
      <c r="I13" s="11">
        <v>233.74392054118397</v>
      </c>
      <c r="J13" s="11">
        <v>261.62780166436823</v>
      </c>
      <c r="K13" s="11">
        <v>335.60084033986936</v>
      </c>
      <c r="L13" s="11">
        <v>374.10495304556144</v>
      </c>
      <c r="M13" s="11">
        <v>367.46501021431482</v>
      </c>
      <c r="N13" s="11">
        <v>346.69748311574745</v>
      </c>
      <c r="O13" s="11">
        <v>390.42486316659887</v>
      </c>
      <c r="P13" s="11">
        <v>461.42618087537085</v>
      </c>
      <c r="Q13" s="11">
        <v>487.16876529894967</v>
      </c>
      <c r="R13" s="11">
        <v>524.90347601102008</v>
      </c>
      <c r="S13" s="11">
        <v>408.22457952605424</v>
      </c>
      <c r="T13" s="11">
        <v>394.05031143293468</v>
      </c>
      <c r="U13" s="11">
        <v>321.50061032311464</v>
      </c>
      <c r="V13" s="11">
        <v>213.57481044512713</v>
      </c>
      <c r="W13" s="11">
        <v>77.976092178018547</v>
      </c>
      <c r="X13" s="11">
        <v>18.461703267346046</v>
      </c>
      <c r="Y13" s="11">
        <v>6478.5499999999993</v>
      </c>
      <c r="Z13" s="11">
        <f t="shared" ref="Z13:Z14" si="177">E13*3/5+F13*3/5</f>
        <v>333.79109331527343</v>
      </c>
      <c r="AA13" s="11">
        <f t="shared" ref="AA13:AA14" si="178">F13*2/5+G13*1/5</f>
        <v>171.59454244679068</v>
      </c>
      <c r="AB13" s="11">
        <f t="shared" si="176"/>
        <v>2445.8603484825649</v>
      </c>
      <c r="AC13" s="11">
        <f t="shared" ref="AC13:AC14" si="179">SUM(S13:X13)</f>
        <v>1433.7881071725953</v>
      </c>
      <c r="AD13" s="15">
        <f t="shared" ref="AD13:AD14" si="180">AB13/Y13</f>
        <v>0.37753206326763938</v>
      </c>
      <c r="AE13" s="15">
        <f t="shared" ref="AE13:AE14" si="181">AC13/Y13</f>
        <v>0.22131311901159911</v>
      </c>
      <c r="AF13" s="11">
        <f t="shared" ref="AF13:AF14" si="182">SUM(H13:K13)</f>
        <v>1022.5553440146806</v>
      </c>
      <c r="AI13" s="66" t="s">
        <v>47</v>
      </c>
      <c r="AJ13" s="1" t="s">
        <v>21</v>
      </c>
      <c r="AK13" s="9">
        <f>VLOOKUP(AK12&amp;"_1",A:D,4,FALSE)/VLOOKUP(AK12&amp;"_2",A:AF,32,FALSE)</f>
        <v>0.25766032904944164</v>
      </c>
      <c r="AL13" s="69"/>
      <c r="BH13" s="60" t="str">
        <f t="shared" si="19"/>
        <v>2040_2</v>
      </c>
      <c r="BI13" s="30">
        <f>BI12</f>
        <v>2040</v>
      </c>
      <c r="BJ13" s="5" t="s">
        <v>22</v>
      </c>
      <c r="BK13" s="11">
        <f>CM13*$AK$14</f>
        <v>160.81621225682233</v>
      </c>
      <c r="BL13" s="11">
        <f>IF(管理者入力シート!$B$14=1,BK10*管理者用人口入力シート!AM$4,IF(管理者入力シート!$B$14=2,BK10*管理者用人口入力シート!AM$8))</f>
        <v>178.73622611578475</v>
      </c>
      <c r="BM13" s="11">
        <f>IF(管理者入力シート!$B$14=1,BL10*管理者用人口入力シート!AN$4,IF(管理者入力シート!$B$14=2,BL10*管理者用人口入力シート!AN$8))</f>
        <v>181.35703375849528</v>
      </c>
      <c r="BN13" s="11">
        <f>IF(管理者入力シート!$B$14=1,BM10*管理者用人口入力シート!AO$4,IF(管理者入力シート!$B$14=2,BM10*管理者用人口入力シート!AO$8))</f>
        <v>191.78944637810213</v>
      </c>
      <c r="BO13" s="11">
        <f>IF(管理者入力シート!$B$14=1,BN10*管理者用人口入力シート!AP$4,IF(管理者入力シート!$B$14=2,BN10*管理者用人口入力シート!AP$8))</f>
        <v>116.16507135887049</v>
      </c>
      <c r="BP13" s="11">
        <f>IF(管理者入力シート!$B$14=1,BO10*管理者用人口入力シート!AQ$4,IF(管理者入力シート!$B$14=2,BO10*管理者用人口入力シート!AQ$8))</f>
        <v>183.58105731389858</v>
      </c>
      <c r="BQ13" s="11">
        <f>IF(管理者入力シート!$B$14=1,BP10*管理者用人口入力シート!AR$4,IF(管理者入力シート!$B$14=2,BP10*管理者用人口入力シート!AR$8))</f>
        <v>213.4655678460303</v>
      </c>
      <c r="BR13" s="11">
        <f>IF(管理者入力シート!$B$14=1,BQ10*管理者用人口入力シート!AS$4,IF(管理者入力シート!$B$14=2,BQ10*管理者用人口入力シート!AS$8))</f>
        <v>197.26095060569969</v>
      </c>
      <c r="BS13" s="11">
        <f>IF(管理者入力シート!$B$14=1,BR10*管理者用人口入力シート!AT$4,IF(管理者入力シート!$B$14=2,BR10*管理者用人口入力シート!AT$8))</f>
        <v>250.39751394295527</v>
      </c>
      <c r="BT13" s="11">
        <f>IF(管理者入力シート!$B$14=1,BS10*管理者用人口入力シート!AU$4,IF(管理者入力シート!$B$14=2,BS10*管理者用人口入力シート!AU$8))</f>
        <v>223.3057436557564</v>
      </c>
      <c r="BU13" s="11">
        <f>IF(管理者入力シート!$B$14=1,BT10*管理者用人口入力シート!AV$4,IF(管理者入力シート!$B$14=2,BT10*管理者用人口入力シート!AV$8))</f>
        <v>236.41980522320108</v>
      </c>
      <c r="BV13" s="11">
        <f>IF(管理者入力シート!$B$14=1,BU10*管理者用人口入力シート!AW$4,IF(管理者入力シート!$B$14=2,BU10*管理者用人口入力シート!AW$8))</f>
        <v>324.49552647690848</v>
      </c>
      <c r="BW13" s="11">
        <f>IF(管理者入力シート!$B$14=1,BV10*管理者用人口入力シート!AX$4,IF(管理者入力シート!$B$14=2,BV10*管理者用人口入力シート!AX$8))</f>
        <v>361.66665226244658</v>
      </c>
      <c r="BX13" s="11">
        <f>IF(管理者入力シート!$B$14=1,BW10*管理者用人口入力シート!AY$4,IF(管理者入力シート!$B$14=2,BW10*管理者用人口入力シート!AY$8))</f>
        <v>357.6793518886202</v>
      </c>
      <c r="BY13" s="11">
        <f>IF(管理者入力シート!$B$14=1,BX10*管理者用人口入力シート!AZ$4,IF(管理者入力シート!$B$14=2,BX10*管理者用人口入力シート!AZ$8))</f>
        <v>331.99913672250398</v>
      </c>
      <c r="BZ13" s="11">
        <f>IF(管理者入力シート!$B$14=1,BY10*管理者用人口入力シート!BA$4,IF(管理者入力シート!$B$14=2,BY10*管理者用人口入力シート!BA$8))</f>
        <v>344.6081049534435</v>
      </c>
      <c r="CA13" s="11">
        <f>IF(管理者入力シート!$B$14=1,BZ10*管理者用人口入力シート!BB$4,IF(管理者入力シート!$B$14=2,BZ10*管理者用人口入力シート!BB$8))</f>
        <v>365.83184091632961</v>
      </c>
      <c r="CB13" s="11">
        <f>IF(管理者入力シート!$B$14=1,CA10*管理者用人口入力シート!BC$4,IF(管理者入力シート!$B$14=2,CA10*管理者用人口入力シート!BC$8))</f>
        <v>309.40229789572322</v>
      </c>
      <c r="CC13" s="11">
        <f>IF(管理者入力シート!$B$14=1,CB10*管理者用人口入力シート!BD$4,IF(管理者入力シート!$B$14=2,CB10*管理者用人口入力シート!BD$8))</f>
        <v>218.95069962435116</v>
      </c>
      <c r="CD13" s="11">
        <f>IF(管理者入力シート!$B$14=1,CC10*管理者用人口入力シート!BE$4,IF(管理者入力シート!$B$14=2,CC10*管理者用人口入力シート!BE$8))</f>
        <v>75.666764298999638</v>
      </c>
      <c r="CE13" s="11">
        <f>IF(管理者入力シート!$B$14=1,CD10*管理者用人口入力シート!BF$4,IF(管理者入力シート!$B$14=2,CD10*管理者用人口入力シート!BF$8))</f>
        <v>18.310205387467704</v>
      </c>
      <c r="CF13" s="11">
        <f t="shared" si="2"/>
        <v>4841.9052088824101</v>
      </c>
      <c r="CG13" s="11">
        <f t="shared" si="20"/>
        <v>216.05595592456802</v>
      </c>
      <c r="CH13" s="11">
        <f t="shared" si="21"/>
        <v>110.90070277901853</v>
      </c>
      <c r="CI13" s="11">
        <f t="shared" si="3"/>
        <v>2022.4484016874389</v>
      </c>
      <c r="CJ13" s="11">
        <f t="shared" si="22"/>
        <v>1332.7699130763149</v>
      </c>
      <c r="CK13" s="15">
        <f t="shared" si="23"/>
        <v>0.41769681859473096</v>
      </c>
      <c r="CL13" s="15">
        <f t="shared" si="24"/>
        <v>0.27525733271922925</v>
      </c>
      <c r="CM13" s="11">
        <f t="shared" si="25"/>
        <v>710.47264712449908</v>
      </c>
      <c r="CO13" s="60" t="str">
        <f t="shared" si="26"/>
        <v>2040_2</v>
      </c>
      <c r="CP13" s="30">
        <f>CP12</f>
        <v>2040</v>
      </c>
      <c r="CQ13" s="5" t="s">
        <v>22</v>
      </c>
      <c r="CR13" s="11">
        <f>DT13*$AK$14+将来予測シート②!$H17</f>
        <v>163.46614587048188</v>
      </c>
      <c r="CS13" s="11">
        <f>IF(管理者入力シート!$B$14=1,CR10*管理者用人口入力シート!AM$4,IF(管理者入力シート!$B$14=2,CR10*管理者用人口入力シート!AM$8))+将来予測シート②!$H18</f>
        <v>181.18252677293412</v>
      </c>
      <c r="CT13" s="11">
        <f>IF(管理者入力シート!$B$14=1,CS10*管理者用人口入力シート!AN$4,IF(管理者入力シート!$B$14=2,CS10*管理者用人口入力シート!AN$8))+将来予測シート②!$H19</f>
        <v>184.1688394957572</v>
      </c>
      <c r="CU13" s="11">
        <f>IF(管理者入力シート!$B$14=1,CT10*管理者用人口入力シート!AO$4,IF(管理者入力シート!$B$14=2,CT10*管理者用人口入力シート!AO$8))+将来予測シート②!$H20</f>
        <v>193.73723794512856</v>
      </c>
      <c r="CV13" s="11">
        <f>IF(管理者入力シート!$B$14=1,CU10*管理者用人口入力シート!AP$4,IF(管理者入力シート!$B$14=2,CU10*管理者用人口入力シート!AP$8))+将来予測シート②!$H21</f>
        <v>116.6977995413815</v>
      </c>
      <c r="CW13" s="11">
        <f>IF(管理者入力シート!$B$14=1,CV10*管理者用人口入力シート!AQ$4,IF(管理者入力シート!$B$14=2,CV10*管理者用人口入力シート!AQ$8))+将来予測シート②!$H22</f>
        <v>186.29464471970113</v>
      </c>
      <c r="CX13" s="11">
        <f>IF(管理者入力シート!$B$14=1,CW10*管理者用人口入力シート!AR$4,IF(管理者入力シート!$B$14=2,CW10*管理者用人口入力シート!AR$8))+将来予測シート②!$H23</f>
        <v>215.54392606689112</v>
      </c>
      <c r="CY13" s="11">
        <f>IF(管理者入力シート!$B$14=1,CX10*管理者用人口入力シート!AS$4,IF(管理者入力シート!$B$14=2,CX10*管理者用人口入力シート!AS$8))+将来予測シート②!$H24</f>
        <v>199.22554624035695</v>
      </c>
      <c r="CZ13" s="11">
        <f>IF(管理者入力シート!$B$14=1,CY10*管理者用人口入力シート!AT$4,IF(管理者入力シート!$B$14=2,CY10*管理者用人口入力シート!AT$8))+将来予測シート②!$H25</f>
        <v>253.34898462109408</v>
      </c>
      <c r="DA13" s="11">
        <f>IF(管理者入力シート!$B$14=1,CZ10*管理者用人口入力シート!AU$4,IF(管理者入力シート!$B$14=2,CZ10*管理者用人口入力シート!AU$8))+将来予測シート②!$H26</f>
        <v>224.28484474815431</v>
      </c>
      <c r="DB13" s="11">
        <f>IF(管理者入力シート!$B$14=1,DA10*管理者用人口入力シート!AV$4,IF(管理者入力シート!$B$14=2,DA10*管理者用人口入力シート!AV$8))+将来予測シート②!$H27</f>
        <v>237.38221125581825</v>
      </c>
      <c r="DC13" s="11">
        <f>IF(管理者入力シート!$B$14=1,DB10*管理者用人口入力シート!AW$4,IF(管理者入力シート!$B$14=2,DB10*管理者用人口入力シート!AW$8))+将来予測シート②!$H28</f>
        <v>325.46893875270626</v>
      </c>
      <c r="DD13" s="11">
        <f>IF(管理者入力シート!$B$14=1,DC10*管理者用人口入力シート!AX$4,IF(管理者入力シート!$B$14=2,DC10*管理者用人口入力シート!AX$8))+将来予測シート②!$H29</f>
        <v>361.66665226244658</v>
      </c>
      <c r="DE13" s="11">
        <f>IF(管理者入力シート!$B$14=1,DD10*管理者用人口入力シート!AY$4,IF(管理者入力シート!$B$14=2,DD10*管理者用人口入力シート!AY$8))</f>
        <v>357.6793518886202</v>
      </c>
      <c r="DF13" s="11">
        <f>IF(管理者入力シート!$B$14=1,DE10*管理者用人口入力シート!AZ$4,IF(管理者入力シート!$B$14=2,DE10*管理者用人口入力シート!AZ$8))</f>
        <v>331.99913672250398</v>
      </c>
      <c r="DG13" s="11">
        <f>IF(管理者入力シート!$B$14=1,DF10*管理者用人口入力シート!BA$4,IF(管理者入力シート!$B$14=2,DF10*管理者用人口入力シート!BA$8))</f>
        <v>344.6081049534435</v>
      </c>
      <c r="DH13" s="11">
        <f>IF(管理者入力シート!$B$14=1,DG10*管理者用人口入力シート!BB$4,IF(管理者入力シート!$B$14=2,DG10*管理者用人口入力シート!BB$8))</f>
        <v>365.83184091632961</v>
      </c>
      <c r="DI13" s="11">
        <f>IF(管理者入力シート!$B$14=1,DH10*管理者用人口入力シート!BC$4,IF(管理者入力シート!$B$14=2,DH10*管理者用人口入力シート!BC$8))</f>
        <v>309.40229789572322</v>
      </c>
      <c r="DJ13" s="11">
        <f>IF(管理者入力シート!$B$14=1,DI10*管理者用人口入力シート!BD$4,IF(管理者入力シート!$B$14=2,DI10*管理者用人口入力シート!BD$8))</f>
        <v>218.95069962435116</v>
      </c>
      <c r="DK13" s="11">
        <f>IF(管理者入力シート!$B$14=1,DJ10*管理者用人口入力シート!BE$4,IF(管理者入力シート!$B$14=2,DJ10*管理者用人口入力シート!BE$8))</f>
        <v>75.666764298999638</v>
      </c>
      <c r="DL13" s="11">
        <f>IF(管理者入力シート!$B$14=1,DK10*管理者用人口入力シート!BF$4,IF(管理者入力シート!$B$14=2,DK10*管理者用人口入力シート!BF$8))</f>
        <v>18.310205387467704</v>
      </c>
      <c r="DM13" s="11">
        <f t="shared" si="68"/>
        <v>4864.916699980291</v>
      </c>
      <c r="DN13" s="11">
        <f t="shared" si="34"/>
        <v>219.21081976121479</v>
      </c>
      <c r="DO13" s="11">
        <f t="shared" si="35"/>
        <v>112.41498338732859</v>
      </c>
      <c r="DP13" s="11">
        <f t="shared" si="6"/>
        <v>2022.4484016874389</v>
      </c>
      <c r="DQ13" s="11">
        <f t="shared" si="36"/>
        <v>1332.7699130763149</v>
      </c>
      <c r="DR13" s="15">
        <f t="shared" si="37"/>
        <v>0.41572107528493396</v>
      </c>
      <c r="DS13" s="15">
        <f t="shared" si="38"/>
        <v>0.27395534091708379</v>
      </c>
      <c r="DT13" s="11">
        <f t="shared" si="69"/>
        <v>717.76191656833066</v>
      </c>
      <c r="DV13" s="68"/>
      <c r="DX13" s="30">
        <f>DX12</f>
        <v>2040</v>
      </c>
      <c r="DY13" s="5" t="s">
        <v>22</v>
      </c>
      <c r="DZ13" s="11">
        <f>FB13*$AK$14</f>
        <v>281.01763260815375</v>
      </c>
      <c r="EA13" s="11">
        <f>IF(管理者入力シート!$B$14=1,DZ10*管理者用人口入力シート!AM$4,IF(管理者入力シート!$B$14=2,DZ10*管理者用人口入力シート!AM$8))</f>
        <v>296.90346271840127</v>
      </c>
      <c r="EB13" s="11">
        <f>IF(管理者入力シート!$B$14=1,EA10*管理者用人口入力シート!AN$4,IF(管理者入力シート!$B$14=2,EA10*管理者用人口入力シート!AN$8))</f>
        <v>275.95671055773528</v>
      </c>
      <c r="EC13" s="11">
        <f>IF(管理者入力シート!$B$14=1,EB10*管理者用人口入力シート!AO$4,IF(管理者入力シート!$B$14=2,EB10*管理者用人口入力シート!AO$8))</f>
        <v>191.78944637810213</v>
      </c>
      <c r="ED13" s="11">
        <f>IF(管理者入力シート!$B$14=1,EC10*管理者用人口入力シート!AP$4,IF(管理者入力シート!$B$14=2,EC10*管理者用人口入力シート!AP$8))</f>
        <v>116.16507135887049</v>
      </c>
      <c r="EE13" s="11">
        <f>IF(管理者入力シート!$B$14=1,ED10*管理者用人口入力シート!AQ$4,IF(管理者入力シート!$B$14=2,ED10*管理者用人口入力シート!AQ$8))+DX1</f>
        <v>272.58105731389855</v>
      </c>
      <c r="EF13" s="11">
        <f>IF(管理者入力シート!$B$14=1,EE10*管理者用人口入力シート!AR$4,IF(管理者入力シート!$B$14=2,EE10*管理者用人口入力シート!AR$8))+DX1</f>
        <v>394.95250867433617</v>
      </c>
      <c r="EG13" s="11">
        <f>IF(管理者入力シート!$B$14=1,EF10*管理者用人口入力シート!AS$4,IF(管理者入力シート!$B$14=2,EF10*管理者用人口入力シート!AS$8))+DX1</f>
        <v>457.81388509016512</v>
      </c>
      <c r="EH13" s="11">
        <f>IF(管理者入力シート!$B$14=1,EG10*管理者用人口入力シート!AT$4,IF(管理者入力シート!$B$14=2,EG10*管理者用人口入力シート!AT$8))</f>
        <v>509.20976150155275</v>
      </c>
      <c r="EI13" s="11">
        <f>IF(管理者入力シート!$B$14=1,EH10*管理者用人口入力シート!AU$4,IF(管理者入力シート!$B$14=2,EH10*管理者用人口入力シート!AU$8))</f>
        <v>391.6835232290444</v>
      </c>
      <c r="EJ13" s="11">
        <f>IF(管理者入力シート!$B$14=1,EI10*管理者用人口入力シート!AV$4,IF(管理者入力シート!$B$14=2,EI10*管理者用人口入力シート!AV$8))</f>
        <v>321.50170893847491</v>
      </c>
      <c r="EK13" s="11">
        <f>IF(管理者入力シート!$B$14=1,EJ10*管理者用人口入力シート!AW$4,IF(管理者入力シート!$B$14=2,EJ10*管理者用人口入力シート!AW$8))</f>
        <v>324.49552647690848</v>
      </c>
      <c r="EL13" s="11">
        <f>IF(管理者入力シート!$B$14=1,EK10*管理者用人口入力シート!AX$4,IF(管理者入力シート!$B$14=2,EK10*管理者用人口入力シート!AX$8))</f>
        <v>361.66665226244658</v>
      </c>
      <c r="EM13" s="11">
        <f>IF(管理者入力シート!$B$14=1,EL10*管理者用人口入力シート!AY$4,IF(管理者入力シート!$B$14=2,EL10*管理者用人口入力シート!AY$8))</f>
        <v>357.6793518886202</v>
      </c>
      <c r="EN13" s="11">
        <f>IF(管理者入力シート!$B$14=1,EM10*管理者用人口入力シート!AZ$4,IF(管理者入力シート!$B$14=2,EM10*管理者用人口入力シート!AZ$8))</f>
        <v>331.99913672250398</v>
      </c>
      <c r="EO13" s="11">
        <f>IF(管理者入力シート!$B$14=1,EN10*管理者用人口入力シート!BA$4,IF(管理者入力シート!$B$14=2,EN10*管理者用人口入力シート!BA$8))</f>
        <v>344.6081049534435</v>
      </c>
      <c r="EP13" s="11">
        <f>IF(管理者入力シート!$B$14=1,EO10*管理者用人口入力シート!BB$4,IF(管理者入力シート!$B$14=2,EO10*管理者用人口入力シート!BB$8))</f>
        <v>365.83184091632961</v>
      </c>
      <c r="EQ13" s="11">
        <f>IF(管理者入力シート!$B$14=1,EP10*管理者用人口入力シート!BC$4,IF(管理者入力シート!$B$14=2,EP10*管理者用人口入力シート!BC$8))</f>
        <v>309.40229789572322</v>
      </c>
      <c r="ER13" s="11">
        <f>IF(管理者入力シート!$B$14=1,EQ10*管理者用人口入力シート!BD$4,IF(管理者入力シート!$B$14=2,EQ10*管理者用人口入力シート!BD$8))</f>
        <v>218.95069962435116</v>
      </c>
      <c r="ES13" s="11">
        <f>IF(管理者入力シート!$B$14=1,ER10*管理者用人口入力シート!BE$4,IF(管理者入力シート!$B$14=2,ER10*管理者用人口入力シート!BE$8))</f>
        <v>75.666764298999638</v>
      </c>
      <c r="ET13" s="11">
        <f>IF(管理者入力シート!$B$14=1,ES10*管理者用人口入力シート!BF$4,IF(管理者入力シート!$B$14=2,ES10*管理者用人口入力シート!BF$8))</f>
        <v>18.310205387467704</v>
      </c>
      <c r="EU13" s="11">
        <f t="shared" si="70"/>
        <v>6218.1853487955286</v>
      </c>
      <c r="EV13" s="11">
        <f t="shared" si="41"/>
        <v>343.7161039656819</v>
      </c>
      <c r="EW13" s="11">
        <f t="shared" si="42"/>
        <v>148.74057349871453</v>
      </c>
      <c r="EX13" s="11">
        <f t="shared" si="10"/>
        <v>2022.4484016874389</v>
      </c>
      <c r="EY13" s="11">
        <f t="shared" si="43"/>
        <v>1332.7699130763149</v>
      </c>
      <c r="EZ13" s="15">
        <f t="shared" si="44"/>
        <v>0.32524736530717763</v>
      </c>
      <c r="FA13" s="15">
        <f t="shared" si="45"/>
        <v>0.21433422104963054</v>
      </c>
      <c r="FB13" s="11">
        <f t="shared" si="71"/>
        <v>1241.5125224372703</v>
      </c>
    </row>
    <row r="14" spans="1:158" x14ac:dyDescent="0.15">
      <c r="A14" s="60" t="str">
        <f t="shared" si="11"/>
        <v>2020_3</v>
      </c>
      <c r="B14" s="31">
        <v>2020</v>
      </c>
      <c r="C14" s="6" t="s">
        <v>23</v>
      </c>
      <c r="D14" s="12">
        <v>494.92839714463184</v>
      </c>
      <c r="E14" s="12">
        <v>557.1650169458527</v>
      </c>
      <c r="F14" s="12">
        <v>585.10125633880307</v>
      </c>
      <c r="G14" s="12">
        <v>603.11164618949579</v>
      </c>
      <c r="H14" s="12">
        <v>343.98527383282283</v>
      </c>
      <c r="I14" s="12">
        <v>456.98047317742993</v>
      </c>
      <c r="J14" s="12">
        <v>547.5696069436159</v>
      </c>
      <c r="K14" s="12">
        <v>653.83492895668724</v>
      </c>
      <c r="L14" s="12">
        <v>699.49858325576656</v>
      </c>
      <c r="M14" s="12">
        <v>707.10942558928548</v>
      </c>
      <c r="N14" s="12">
        <v>640.22274290532914</v>
      </c>
      <c r="O14" s="12">
        <v>741.08390636369791</v>
      </c>
      <c r="P14" s="12">
        <v>848.27665279071755</v>
      </c>
      <c r="Q14" s="12">
        <v>948.27170858003217</v>
      </c>
      <c r="R14" s="12">
        <v>966.31143534328885</v>
      </c>
      <c r="S14" s="12">
        <v>729.38210978648613</v>
      </c>
      <c r="T14" s="12">
        <v>629.39342546205626</v>
      </c>
      <c r="U14" s="12">
        <v>530.17090029717951</v>
      </c>
      <c r="V14" s="12">
        <v>286.57358959932935</v>
      </c>
      <c r="W14" s="12">
        <v>93.46485816151818</v>
      </c>
      <c r="X14" s="12">
        <v>18.814062335973496</v>
      </c>
      <c r="Y14" s="12">
        <v>12081.25</v>
      </c>
      <c r="Z14" s="12">
        <f t="shared" si="177"/>
        <v>685.35976397079344</v>
      </c>
      <c r="AA14" s="12">
        <f t="shared" si="178"/>
        <v>354.66283177342041</v>
      </c>
      <c r="AB14" s="12">
        <f t="shared" si="176"/>
        <v>4202.3820895658637</v>
      </c>
      <c r="AC14" s="12">
        <f t="shared" si="179"/>
        <v>2287.7989456425435</v>
      </c>
      <c r="AD14" s="16">
        <f t="shared" si="180"/>
        <v>0.34784331832930065</v>
      </c>
      <c r="AE14" s="16">
        <f t="shared" si="181"/>
        <v>0.18936773476606672</v>
      </c>
      <c r="AF14" s="12">
        <f t="shared" si="182"/>
        <v>2002.3702829105559</v>
      </c>
      <c r="AI14" s="48"/>
      <c r="AJ14" s="1" t="s">
        <v>22</v>
      </c>
      <c r="AK14" s="9">
        <f>VLOOKUP(AK12&amp;"_2",A:D,4,FALSE)/VLOOKUP(AK12&amp;"_2",A:AF,32,FALSE)</f>
        <v>0.22635102548661784</v>
      </c>
      <c r="AL14" s="69"/>
      <c r="BH14" s="60" t="str">
        <f t="shared" si="19"/>
        <v>2040_3</v>
      </c>
      <c r="BI14" s="31">
        <f>BI13</f>
        <v>2040</v>
      </c>
      <c r="BJ14" s="6" t="s">
        <v>23</v>
      </c>
      <c r="BK14" s="17">
        <f>BK12+BK13</f>
        <v>343.87682829554859</v>
      </c>
      <c r="BL14" s="17">
        <f t="shared" ref="BL14" si="183">BL12+BL13</f>
        <v>388.139999068164</v>
      </c>
      <c r="BM14" s="17">
        <f t="shared" ref="BM14" si="184">BM12+BM13</f>
        <v>398.75709520293111</v>
      </c>
      <c r="BN14" s="17">
        <f t="shared" ref="BN14" si="185">BN12+BN13</f>
        <v>422.89945657116925</v>
      </c>
      <c r="BO14" s="17">
        <f t="shared" ref="BO14" si="186">BO12+BO13</f>
        <v>250.42118237737395</v>
      </c>
      <c r="BP14" s="17">
        <f t="shared" ref="BP14" si="187">BP12+BP13</f>
        <v>368.88933789270948</v>
      </c>
      <c r="BQ14" s="17">
        <f t="shared" ref="BQ14" si="188">BQ12+BQ13</f>
        <v>432.6455591695551</v>
      </c>
      <c r="BR14" s="17">
        <f t="shared" ref="BR14" si="189">BR12+BR13</f>
        <v>433.37798245385136</v>
      </c>
      <c r="BS14" s="17">
        <f t="shared" ref="BS14" si="190">BS12+BS13</f>
        <v>466.67580192383662</v>
      </c>
      <c r="BT14" s="17">
        <f t="shared" ref="BT14" si="191">BT12+BT13</f>
        <v>466.98821452751804</v>
      </c>
      <c r="BU14" s="17">
        <f t="shared" ref="BU14" si="192">BU12+BU13</f>
        <v>511.73285106605516</v>
      </c>
      <c r="BV14" s="17">
        <f t="shared" ref="BV14" si="193">BV12+BV13</f>
        <v>607.73841959960305</v>
      </c>
      <c r="BW14" s="17">
        <f t="shared" ref="BW14" si="194">BW12+BW13</f>
        <v>652.30987403145798</v>
      </c>
      <c r="BX14" s="17">
        <f t="shared" ref="BX14" si="195">BX12+BX13</f>
        <v>654.00973652219579</v>
      </c>
      <c r="BY14" s="17">
        <f t="shared" ref="BY14" si="196">BY12+BY13</f>
        <v>576.95990490425663</v>
      </c>
      <c r="BZ14" s="17">
        <f t="shared" ref="BZ14" si="197">BZ12+BZ13</f>
        <v>622.6836180601947</v>
      </c>
      <c r="CA14" s="17">
        <f t="shared" ref="CA14" si="198">CA12+CA13</f>
        <v>615.55306186879966</v>
      </c>
      <c r="CB14" s="17">
        <f t="shared" ref="CB14" si="199">CB12+CB13</f>
        <v>526.22703063689221</v>
      </c>
      <c r="CC14" s="17">
        <f t="shared" ref="CC14" si="200">CC12+CC13</f>
        <v>310.00646107637914</v>
      </c>
      <c r="CD14" s="17">
        <f t="shared" ref="CD14" si="201">CD12+CD13</f>
        <v>95.582728143506401</v>
      </c>
      <c r="CE14" s="17">
        <f t="shared" ref="CE14" si="202">CE12+CE13</f>
        <v>18.522515532914753</v>
      </c>
      <c r="CF14" s="12">
        <f t="shared" si="2"/>
        <v>9163.9976589249127</v>
      </c>
      <c r="CG14" s="12">
        <f t="shared" si="20"/>
        <v>472.13825656265709</v>
      </c>
      <c r="CH14" s="12">
        <f t="shared" si="21"/>
        <v>244.08272939540632</v>
      </c>
      <c r="CI14" s="12">
        <f t="shared" si="3"/>
        <v>3419.5450567451394</v>
      </c>
      <c r="CJ14" s="12">
        <f t="shared" si="22"/>
        <v>2188.5754153186872</v>
      </c>
      <c r="CK14" s="16">
        <f t="shared" si="23"/>
        <v>0.37314992692242877</v>
      </c>
      <c r="CL14" s="16">
        <f t="shared" si="24"/>
        <v>0.23882321850957816</v>
      </c>
      <c r="CM14" s="12">
        <f t="shared" si="25"/>
        <v>1485.3340618934899</v>
      </c>
      <c r="CO14" s="60" t="str">
        <f t="shared" si="26"/>
        <v>2040_3</v>
      </c>
      <c r="CP14" s="31">
        <f>CP13</f>
        <v>2040</v>
      </c>
      <c r="CQ14" s="6" t="s">
        <v>23</v>
      </c>
      <c r="CR14" s="17">
        <f>CR12+CR13</f>
        <v>349.40491747263582</v>
      </c>
      <c r="CS14" s="17">
        <f t="shared" ref="CS14" si="203">CS12+CS13</f>
        <v>393.31238246761245</v>
      </c>
      <c r="CT14" s="17">
        <f t="shared" ref="CT14" si="204">CT12+CT13</f>
        <v>404.60355541984899</v>
      </c>
      <c r="CU14" s="17">
        <f t="shared" ref="CU14" si="205">CU12+CU13</f>
        <v>426.85565513277345</v>
      </c>
      <c r="CV14" s="17">
        <f t="shared" ref="CV14" si="206">CV12+CV13</f>
        <v>251.46752699632879</v>
      </c>
      <c r="CW14" s="17">
        <f t="shared" ref="CW14" si="207">CW12+CW13</f>
        <v>374.25750549042743</v>
      </c>
      <c r="CX14" s="17">
        <f t="shared" ref="CX14" si="208">CX12+CX13</f>
        <v>436.97695063285403</v>
      </c>
      <c r="CY14" s="17">
        <f t="shared" ref="CY14" si="209">CY12+CY13</f>
        <v>437.60932084863714</v>
      </c>
      <c r="CZ14" s="17">
        <f t="shared" ref="CZ14" si="210">CZ12+CZ13</f>
        <v>471.85430688982046</v>
      </c>
      <c r="DA14" s="17">
        <f t="shared" ref="DA14" si="211">DA12+DA13</f>
        <v>467.96731561991595</v>
      </c>
      <c r="DB14" s="17">
        <f t="shared" ref="DB14" si="212">DB12+DB13</f>
        <v>512.6952570986723</v>
      </c>
      <c r="DC14" s="17">
        <f t="shared" ref="DC14" si="213">DC12+DC13</f>
        <v>608.71183187540078</v>
      </c>
      <c r="DD14" s="17">
        <f t="shared" ref="DD14" si="214">DD12+DD13</f>
        <v>652.30987403145798</v>
      </c>
      <c r="DE14" s="17">
        <f t="shared" ref="DE14" si="215">DE12+DE13</f>
        <v>654.00973652219579</v>
      </c>
      <c r="DF14" s="17">
        <f t="shared" ref="DF14" si="216">DF12+DF13</f>
        <v>576.95990490425663</v>
      </c>
      <c r="DG14" s="17">
        <f t="shared" ref="DG14" si="217">DG12+DG13</f>
        <v>622.6836180601947</v>
      </c>
      <c r="DH14" s="17">
        <f t="shared" ref="DH14" si="218">DH12+DH13</f>
        <v>615.55306186879966</v>
      </c>
      <c r="DI14" s="17">
        <f t="shared" ref="DI14" si="219">DI12+DI13</f>
        <v>526.22703063689221</v>
      </c>
      <c r="DJ14" s="17">
        <f t="shared" ref="DJ14" si="220">DJ12+DJ13</f>
        <v>310.00646107637914</v>
      </c>
      <c r="DK14" s="17">
        <f t="shared" ref="DK14" si="221">DK12+DK13</f>
        <v>95.582728143506401</v>
      </c>
      <c r="DL14" s="17">
        <f t="shared" ref="DL14" si="222">DL12+DL13</f>
        <v>18.522515532914753</v>
      </c>
      <c r="DM14" s="12">
        <f t="shared" si="68"/>
        <v>9207.5714567215255</v>
      </c>
      <c r="DN14" s="12">
        <f t="shared" si="34"/>
        <v>478.74956273247687</v>
      </c>
      <c r="DO14" s="12">
        <f t="shared" si="35"/>
        <v>247.21255319449426</v>
      </c>
      <c r="DP14" s="12">
        <f t="shared" si="6"/>
        <v>3419.5450567451394</v>
      </c>
      <c r="DQ14" s="12">
        <f t="shared" si="36"/>
        <v>2188.5754153186872</v>
      </c>
      <c r="DR14" s="16">
        <f t="shared" si="37"/>
        <v>0.37138403680254606</v>
      </c>
      <c r="DS14" s="16">
        <f t="shared" si="38"/>
        <v>0.23769301445073526</v>
      </c>
      <c r="DT14" s="12">
        <f t="shared" si="69"/>
        <v>1500.3113039682476</v>
      </c>
      <c r="DX14" s="31">
        <f>DX13</f>
        <v>2040</v>
      </c>
      <c r="DY14" s="6" t="s">
        <v>23</v>
      </c>
      <c r="DZ14" s="17">
        <f>DZ12+DZ13</f>
        <v>600.90615765834309</v>
      </c>
      <c r="EA14" s="17">
        <f t="shared" ref="EA14" si="223">EA12+EA13</f>
        <v>644.74959691832578</v>
      </c>
      <c r="EB14" s="17">
        <f t="shared" ref="EB14" si="224">EB12+EB13</f>
        <v>606.75725679486629</v>
      </c>
      <c r="EC14" s="17">
        <f t="shared" ref="EC14" si="225">EC12+EC13</f>
        <v>422.89945657116925</v>
      </c>
      <c r="ED14" s="17">
        <f t="shared" ref="ED14" si="226">ED12+ED13</f>
        <v>250.42118237737395</v>
      </c>
      <c r="EE14" s="17">
        <f t="shared" ref="EE14" si="227">EE12+EE13</f>
        <v>546.88933789270936</v>
      </c>
      <c r="EF14" s="17">
        <f t="shared" ref="EF14" si="228">EF12+EF13</f>
        <v>803.39247928636007</v>
      </c>
      <c r="EG14" s="17">
        <f t="shared" ref="EG14" si="229">EG12+EG13</f>
        <v>973.34252727480225</v>
      </c>
      <c r="EH14" s="17">
        <f t="shared" ref="EH14" si="230">EH12+EH13</f>
        <v>1000.0049675847999</v>
      </c>
      <c r="EI14" s="17">
        <f t="shared" ref="EI14" si="231">EI12+EI13</f>
        <v>807.32544901806023</v>
      </c>
      <c r="EJ14" s="17">
        <f t="shared" ref="EJ14" si="232">EJ12+EJ13</f>
        <v>681.9882570230219</v>
      </c>
      <c r="EK14" s="17">
        <f t="shared" ref="EK14" si="233">EK12+EK13</f>
        <v>607.73841959960305</v>
      </c>
      <c r="EL14" s="17">
        <f t="shared" ref="EL14" si="234">EL12+EL13</f>
        <v>652.30987403145798</v>
      </c>
      <c r="EM14" s="17">
        <f t="shared" ref="EM14" si="235">EM12+EM13</f>
        <v>654.00973652219579</v>
      </c>
      <c r="EN14" s="17">
        <f t="shared" ref="EN14" si="236">EN12+EN13</f>
        <v>576.95990490425663</v>
      </c>
      <c r="EO14" s="17">
        <f t="shared" ref="EO14" si="237">EO12+EO13</f>
        <v>622.6836180601947</v>
      </c>
      <c r="EP14" s="17">
        <f t="shared" ref="EP14" si="238">EP12+EP13</f>
        <v>615.55306186879966</v>
      </c>
      <c r="EQ14" s="17">
        <f t="shared" ref="EQ14" si="239">EQ12+EQ13</f>
        <v>526.22703063689221</v>
      </c>
      <c r="ER14" s="17">
        <f t="shared" ref="ER14" si="240">ER12+ER13</f>
        <v>310.00646107637914</v>
      </c>
      <c r="ES14" s="17">
        <f t="shared" ref="ES14" si="241">ES12+ES13</f>
        <v>95.582728143506401</v>
      </c>
      <c r="ET14" s="17">
        <f t="shared" ref="ET14" si="242">ET12+ET13</f>
        <v>18.522515532914753</v>
      </c>
      <c r="EU14" s="12">
        <f t="shared" si="70"/>
        <v>12018.270018776031</v>
      </c>
      <c r="EV14" s="12">
        <f t="shared" si="41"/>
        <v>750.90411222791522</v>
      </c>
      <c r="EW14" s="12">
        <f t="shared" si="42"/>
        <v>327.28279403218039</v>
      </c>
      <c r="EX14" s="12">
        <f t="shared" si="10"/>
        <v>3419.5450567451394</v>
      </c>
      <c r="EY14" s="12">
        <f t="shared" si="43"/>
        <v>2188.5754153186872</v>
      </c>
      <c r="EZ14" s="16">
        <f t="shared" si="44"/>
        <v>0.28452889237825546</v>
      </c>
      <c r="FA14" s="16">
        <f t="shared" si="45"/>
        <v>0.18210403093785513</v>
      </c>
      <c r="FB14" s="12">
        <f t="shared" si="71"/>
        <v>2574.0455268312458</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167.48718433304262</v>
      </c>
      <c r="BL15" s="10">
        <f>IF(管理者入力シート!$B$14=1,BK12*管理者用人口入力シート!AM$3,IF(管理者入力シート!$B$14=2,BK12*管理者用人口入力シート!AM$7))</f>
        <v>185.22057465416873</v>
      </c>
      <c r="BM15" s="10">
        <f>IF(管理者入力シート!$B$14=1,BL12*管理者用人口入力シート!AN$3,IF(管理者入力シート!$B$14=2,BL12*管理者用人口入力シート!AN$7))</f>
        <v>205.32931785035154</v>
      </c>
      <c r="BN15" s="10">
        <f>IF(管理者入力シート!$B$14=1,BM12*管理者用人口入力シート!AO$3,IF(管理者入力シート!$B$14=2,BM12*管理者用人口入力シート!AO$7))</f>
        <v>219.17832452636222</v>
      </c>
      <c r="BO15" s="10">
        <f>IF(管理者入力シート!$B$14=1,BN12*管理者用人口入力シート!AP$3,IF(管理者入力シート!$B$14=2,BN12*管理者用人口入力シート!AP$7))</f>
        <v>117.73883379802146</v>
      </c>
      <c r="BP15" s="10">
        <f>IF(管理者入力シート!$B$14=1,BO12*管理者用人口入力シート!AQ$3,IF(管理者入力シート!$B$14=2,BO12*管理者用人口入力シート!AQ$7))</f>
        <v>171.10315145829091</v>
      </c>
      <c r="BQ15" s="10">
        <f>IF(管理者入力シート!$B$14=1,BP12*管理者用人口入力シート!AR$3,IF(管理者入力シート!$B$14=2,BP12*管理者用人口入力シート!AR$7))</f>
        <v>208.7528581215615</v>
      </c>
      <c r="BR15" s="10">
        <f>IF(管理者入力シート!$B$14=1,BQ12*管理者用人口入力シート!AS$3,IF(管理者入力シート!$B$14=2,BQ12*管理者用人口入力シート!AS$7))</f>
        <v>220.51368312701371</v>
      </c>
      <c r="BS15" s="10">
        <f>IF(管理者入力シート!$B$14=1,BR12*管理者用人口入力シート!AT$3,IF(管理者入力シート!$B$14=2,BR12*管理者用人口入力シート!AT$7))</f>
        <v>231.98076778690259</v>
      </c>
      <c r="BT15" s="10">
        <f>IF(管理者入力シート!$B$14=1,BS12*管理者用人口入力シート!AU$3,IF(管理者入力シート!$B$14=2,BS12*管理者用人口入力シート!AU$7))</f>
        <v>212.019105359409</v>
      </c>
      <c r="BU15" s="10">
        <f>IF(管理者入力シート!$B$14=1,BT12*管理者用人口入力シート!AV$3,IF(管理者入力シート!$B$14=2,BT12*管理者用人口入力シート!AV$7))</f>
        <v>242.13192096996957</v>
      </c>
      <c r="BV15" s="10">
        <f>IF(管理者入力シート!$B$14=1,BU12*管理者用人口入力シート!AW$3,IF(管理者入力シート!$B$14=2,BU12*管理者用人口入力シート!AW$7))</f>
        <v>256.04990298086881</v>
      </c>
      <c r="BW15" s="10">
        <f>IF(管理者入力シート!$B$14=1,BV12*管理者用人口入力シート!AX$3,IF(管理者入力シート!$B$14=2,BV12*管理者用人口入力シート!AX$7))</f>
        <v>279.26886295256656</v>
      </c>
      <c r="BX15" s="10">
        <f>IF(管理者入力シート!$B$14=1,BW12*管理者用人口入力シート!AY$3,IF(管理者入力シート!$B$14=2,BW12*管理者用人口入力シート!AY$7))</f>
        <v>278.30616588077015</v>
      </c>
      <c r="BY15" s="10">
        <f>IF(管理者入力シート!$B$14=1,BX12*管理者用人口入力シート!AZ$3,IF(管理者入力シート!$B$14=2,BX12*管理者用人口入力シート!AZ$7))</f>
        <v>281.64580705763723</v>
      </c>
      <c r="BZ15" s="10">
        <f>IF(管理者入力シート!$B$14=1,BY12*管理者用人口入力シート!BA$3,IF(管理者入力シート!$B$14=2,BY12*管理者用人口入力シート!BA$7))</f>
        <v>216.48161010403814</v>
      </c>
      <c r="CA15" s="10">
        <f>IF(管理者入力シート!$B$14=1,BZ12*管理者用人口入力シート!BB$3,IF(管理者入力シート!$B$14=2,BZ12*管理者用人口入力シート!BB$7))</f>
        <v>223.18286954547798</v>
      </c>
      <c r="CB15" s="10">
        <f>IF(管理者入力シート!$B$14=1,CA12*管理者用人口入力シート!BC$3,IF(管理者入力シート!$B$14=2,CA12*管理者用人口入力シート!BC$7))</f>
        <v>174.18737948256734</v>
      </c>
      <c r="CC15" s="10">
        <f>IF(管理者入力シート!$B$14=1,CB12*管理者用人口入力シート!BD$3,IF(管理者入力シート!$B$14=2,CB12*管理者用人口入力シート!BD$7))</f>
        <v>90.404962493968299</v>
      </c>
      <c r="CD15" s="10">
        <f>IF(管理者入力シート!$B$14=1,CC12*管理者用人口入力シート!BE$3,IF(管理者入力シート!$B$14=2,CC12*管理者用人口入力シート!BE$7))</f>
        <v>24.190667590478569</v>
      </c>
      <c r="CE15" s="10">
        <f>IF(管理者入力シート!$B$14=1,CD12*管理者用人口入力シート!BF$3,IF(管理者入力シート!$B$14=2,CD12*管理者用人口入力シート!BF$7))</f>
        <v>0.23253346951904394</v>
      </c>
      <c r="CF15" s="10">
        <f t="shared" ref="CF15:CF20" si="250">SUM(BK15:CE15)</f>
        <v>4005.4064835429863</v>
      </c>
      <c r="CG15" s="10">
        <f t="shared" ref="CG15:CG20" si="251">BL15*3/5+BM15*3/5</f>
        <v>234.32993550271215</v>
      </c>
      <c r="CH15" s="10">
        <f t="shared" ref="CH15:CH20" si="252">BM15*2/5+BN15*1/5</f>
        <v>125.96739204541305</v>
      </c>
      <c r="CI15" s="10">
        <f t="shared" ref="CI15:CI20" si="253">SUM(BX15:CE15)</f>
        <v>1288.6319956244567</v>
      </c>
      <c r="CJ15" s="10">
        <f t="shared" ref="CJ15:CJ20" si="254">SUM(BZ15:CE15)</f>
        <v>728.68002268604937</v>
      </c>
      <c r="CK15" s="14">
        <f t="shared" ref="CK15:CK20" si="255">CI15/CF15</f>
        <v>0.32172315117555711</v>
      </c>
      <c r="CL15" s="14">
        <f t="shared" ref="CL15:CL20" si="256">CJ15/CF15</f>
        <v>0.18192411324043564</v>
      </c>
      <c r="CM15" s="10">
        <f t="shared" ref="CM15:CM20" si="257">SUM(BO15:BR15)</f>
        <v>718.10852650488755</v>
      </c>
      <c r="CO15" s="60" t="str">
        <f t="shared" si="26"/>
        <v>2045_1</v>
      </c>
      <c r="CP15" s="29">
        <f>管理者入力シート!B12</f>
        <v>2045</v>
      </c>
      <c r="CQ15" s="4" t="s">
        <v>21</v>
      </c>
      <c r="CR15" s="10">
        <f>DT16*$AK$13+将来予測シート②!$G17</f>
        <v>170.68572312469124</v>
      </c>
      <c r="CS15" s="10">
        <f>IF(管理者入力シート!$B$14=1,CR12*管理者用人口入力シート!AM$3,IF(管理者入力シート!$B$14=2,CR12*管理者用人口入力シート!AM$7))+将来予測シート②!$G18</f>
        <v>188.13268999026809</v>
      </c>
      <c r="CT15" s="10">
        <f>IF(管理者入力シート!$B$14=1,CS12*管理者用人口入力シート!AN$3,IF(管理者入力シート!$B$14=2,CS12*管理者用人口入力シート!AN$7))+将来予測シート②!$G19</f>
        <v>209.0023580825692</v>
      </c>
      <c r="CU15" s="10">
        <f>IF(管理者入力シート!$B$14=1,CT12*管理者用人口入力シート!AO$3,IF(管理者入力シート!$B$14=2,CT12*管理者用人口入力シート!AO$7))+将来予測シート②!$G20</f>
        <v>222.23780151062888</v>
      </c>
      <c r="CV15" s="10">
        <f>IF(管理者入力シート!$B$14=1,CU12*管理者用人口入力シート!AP$3,IF(管理者入力シート!$B$14=2,CU12*管理者用人口入力シート!AP$7))+将来予測シート②!$G21</f>
        <v>118.76201534319048</v>
      </c>
      <c r="CW15" s="10">
        <f>IF(管理者入力シート!$B$14=1,CV12*管理者用人口入力シート!AQ$3,IF(管理者入力シート!$B$14=2,CV12*管理者用人口入力シート!AQ$7))+将来予測シート②!$G22</f>
        <v>173.75773165020635</v>
      </c>
      <c r="CX15" s="10">
        <f>IF(管理者入力シート!$B$14=1,CW12*管理者用人口入力シート!AR$3,IF(管理者入力シート!$B$14=2,CW12*管理者用人口入力シート!AR$7))+将来予測シート②!$G23</f>
        <v>211.74328683011319</v>
      </c>
      <c r="CY15" s="10">
        <f>IF(管理者入力シート!$B$14=1,CX12*管理者用人口入力シート!AS$3,IF(管理者入力シート!$B$14=2,CX12*管理者用人口入力シート!AS$7))+将来予測シート②!$G24</f>
        <v>222.78042588714226</v>
      </c>
      <c r="CZ15" s="10">
        <f>IF(管理者入力シート!$B$14=1,CY12*管理者用人口入力シート!AT$3,IF(管理者入力シート!$B$14=2,CY12*管理者用人口入力シート!AT$7))+将来予測シート②!$G25</f>
        <v>234.20780207474758</v>
      </c>
      <c r="DA15" s="10">
        <f>IF(管理者入力シート!$B$14=1,CZ12*管理者用人口入力シート!AU$3,IF(管理者入力シート!$B$14=2,CZ12*管理者用人口入力シート!AU$7))+将来予測シート②!$G26</f>
        <v>214.20228251381374</v>
      </c>
      <c r="DB15" s="10">
        <f>IF(管理者入力シート!$B$14=1,DA12*管理者用人口入力シート!AV$3,IF(管理者入力シート!$B$14=2,DA12*管理者用人口入力シート!AV$7))+将来予測シート②!$G27</f>
        <v>242.13192096996957</v>
      </c>
      <c r="DC15" s="10">
        <f>IF(管理者入力シート!$B$14=1,DB12*管理者用人口入力シート!AW$3,IF(管理者入力シート!$B$14=2,DB12*管理者用人口入力シート!AW$7))+将来予測シート②!$G28</f>
        <v>256.04990298086881</v>
      </c>
      <c r="DD15" s="10">
        <f>IF(管理者入力シート!$B$14=1,DC12*管理者用人口入力シート!AX$3,IF(管理者入力シート!$B$14=2,DC12*管理者用人口入力シート!AX$7))+将来予測シート②!$G29</f>
        <v>279.26886295256656</v>
      </c>
      <c r="DE15" s="10">
        <f>IF(管理者入力シート!$B$14=1,DD12*管理者用人口入力シート!AY$3,IF(管理者入力シート!$B$14=2,DD12*管理者用人口入力シート!AY$7))</f>
        <v>278.30616588077015</v>
      </c>
      <c r="DF15" s="10">
        <f>IF(管理者入力シート!$B$14=1,DE12*管理者用人口入力シート!AZ$3,IF(管理者入力シート!$B$14=2,DE12*管理者用人口入力シート!AZ$7))</f>
        <v>281.64580705763723</v>
      </c>
      <c r="DG15" s="10">
        <f>IF(管理者入力シート!$B$14=1,DF12*管理者用人口入力シート!BA$3,IF(管理者入力シート!$B$14=2,DF12*管理者用人口入力シート!BA$7))</f>
        <v>216.48161010403814</v>
      </c>
      <c r="DH15" s="10">
        <f>IF(管理者入力シート!$B$14=1,DG12*管理者用人口入力シート!BB$3,IF(管理者入力シート!$B$14=2,DG12*管理者用人口入力シート!BB$7))</f>
        <v>223.18286954547798</v>
      </c>
      <c r="DI15" s="10">
        <f>IF(管理者入力シート!$B$14=1,DH12*管理者用人口入力シート!BC$3,IF(管理者入力シート!$B$14=2,DH12*管理者用人口入力シート!BC$7))</f>
        <v>174.18737948256734</v>
      </c>
      <c r="DJ15" s="10">
        <f>IF(管理者入力シート!$B$14=1,DI12*管理者用人口入力シート!BD$3,IF(管理者入力シート!$B$14=2,DI12*管理者用人口入力シート!BD$7))</f>
        <v>90.404962493968299</v>
      </c>
      <c r="DK15" s="10">
        <f>IF(管理者入力シート!$B$14=1,DJ12*管理者用人口入力シート!BE$3,IF(管理者入力シート!$B$14=2,DJ12*管理者用人口入力シート!BE$7))</f>
        <v>24.190667590478569</v>
      </c>
      <c r="DL15" s="10">
        <f>IF(管理者入力シート!$B$14=1,DK12*管理者用人口入力シート!BF$3,IF(管理者入力シート!$B$14=2,DK12*管理者用人口入力シート!BF$7))</f>
        <v>0.23253346951904394</v>
      </c>
      <c r="DM15" s="10">
        <f t="shared" ref="DM15:DM20" si="258">SUM(CR15:DL15)</f>
        <v>4031.5947995352331</v>
      </c>
      <c r="DN15" s="10">
        <f t="shared" ref="DN15:DN20" si="259">CS15*3/5+CT15*3/5</f>
        <v>238.28102884370236</v>
      </c>
      <c r="DO15" s="10">
        <f t="shared" ref="DO15:DO20" si="260">CT15*2/5+CU15*1/5</f>
        <v>128.04850353515346</v>
      </c>
      <c r="DP15" s="10">
        <f t="shared" ref="DP15:DP20" si="261">SUM(DE15:DL15)</f>
        <v>1288.6319956244567</v>
      </c>
      <c r="DQ15" s="10">
        <f t="shared" ref="DQ15:DQ20" si="262">SUM(DG15:DL15)</f>
        <v>728.68002268604937</v>
      </c>
      <c r="DR15" s="14">
        <f t="shared" ref="DR15:DR20" si="263">DP15/DM15</f>
        <v>0.31963331130723049</v>
      </c>
      <c r="DS15" s="14">
        <f t="shared" ref="DS15:DS20" si="264">DQ15/DM15</f>
        <v>0.18074237588808589</v>
      </c>
      <c r="DT15" s="10">
        <f t="shared" ref="DT15:DT20" si="265">SUM(CV15:CY15)</f>
        <v>727.04345971065231</v>
      </c>
      <c r="DV15" s="68" t="s">
        <v>404</v>
      </c>
      <c r="DW15" s="232">
        <f>AK13+AK14</f>
        <v>0.48401135453605948</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147.1351684968771</v>
      </c>
      <c r="BL16" s="11">
        <f>IF(管理者入力シート!$B$14=1,BK13*管理者用人口入力シート!AM$4,IF(管理者入力シート!$B$14=2,BK13*管理者用人口入力シート!AM$8))</f>
        <v>158.09469927846848</v>
      </c>
      <c r="BM16" s="11">
        <f>IF(管理者入力シート!$B$14=1,BL13*管理者用人口入力シート!AN$4,IF(管理者入力シート!$B$14=2,BL13*管理者用人口入力シート!AN$8))</f>
        <v>171.28751381936689</v>
      </c>
      <c r="BN16" s="11">
        <f>IF(管理者入力シート!$B$14=1,BM13*管理者用人口入力シート!AO$4,IF(管理者入力シート!$B$14=2,BM13*管理者用人口入力シート!AO$8))</f>
        <v>181.88779224177463</v>
      </c>
      <c r="BO16" s="11">
        <f>IF(管理者入力シート!$B$14=1,BN13*管理者用人口入力シート!AP$4,IF(管理者入力シート!$B$14=2,BN13*管理者用人口入力シート!AP$8))</f>
        <v>101.87350077474198</v>
      </c>
      <c r="BP16" s="11">
        <f>IF(管理者入力シート!$B$14=1,BO13*管理者用人口入力シート!AQ$4,IF(管理者入力シート!$B$14=2,BO13*管理者用人口入力シート!AQ$8))</f>
        <v>155.60267813337938</v>
      </c>
      <c r="BQ16" s="11">
        <f>IF(管理者入力シート!$B$14=1,BP13*管理者用人口入力シート!AR$4,IF(管理者入力シート!$B$14=2,BP13*管理者用人口入力シート!AR$8))</f>
        <v>190.77359983132993</v>
      </c>
      <c r="BR16" s="11">
        <f>IF(管理者入力シート!$B$14=1,BQ13*管理者用人口入力シート!AS$4,IF(管理者入力シート!$B$14=2,BQ13*管理者用人口入力シート!AS$8))</f>
        <v>201.78115520732641</v>
      </c>
      <c r="BS16" s="11">
        <f>IF(管理者入力シート!$B$14=1,BR13*管理者用人口入力シート!AT$4,IF(管理者入力シート!$B$14=2,BR13*管理者用人口入力シート!AT$8))</f>
        <v>195.94310109315049</v>
      </c>
      <c r="BT16" s="11">
        <f>IF(管理者入力シート!$B$14=1,BS13*管理者用人口入力シート!AU$4,IF(管理者入力シート!$B$14=2,BS13*管理者用人口入力シート!AU$8))</f>
        <v>245.1644794352683</v>
      </c>
      <c r="BU16" s="11">
        <f>IF(管理者入力シート!$B$14=1,BT13*管理者用人口入力シート!AV$4,IF(管理者入力シート!$B$14=2,BT13*管理者用人口入力シート!AV$8))</f>
        <v>219.4980645829263</v>
      </c>
      <c r="BV16" s="11">
        <f>IF(管理者入力シート!$B$14=1,BU13*管理者用人口入力シート!AW$4,IF(管理者入力シート!$B$14=2,BU13*管理者用人口入力シート!AW$8))</f>
        <v>239.12354333456912</v>
      </c>
      <c r="BW16" s="11">
        <f>IF(管理者入力シート!$B$14=1,BV13*管理者用人口入力シート!AX$4,IF(管理者入力シート!$B$14=2,BV13*管理者用人口入力シート!AX$8))</f>
        <v>322.27521223263074</v>
      </c>
      <c r="BX16" s="11">
        <f>IF(管理者入力シート!$B$14=1,BW13*管理者用人口入力シート!AY$4,IF(管理者入力シート!$B$14=2,BW13*管理者用人口入力シート!AY$8))</f>
        <v>356.53229199235193</v>
      </c>
      <c r="BY16" s="11">
        <f>IF(管理者入力シート!$B$14=1,BX13*管理者用人口入力シート!AZ$4,IF(管理者入力シート!$B$14=2,BX13*管理者用人口入力シート!AZ$8))</f>
        <v>345.88605992508388</v>
      </c>
      <c r="BZ16" s="11">
        <f>IF(管理者入力シート!$B$14=1,BY13*管理者用人口入力シート!BA$4,IF(管理者入力シート!$B$14=2,BY13*管理者用人口入力シート!BA$8))</f>
        <v>309.51178642706674</v>
      </c>
      <c r="CA16" s="11">
        <f>IF(管理者入力シート!$B$14=1,BZ13*管理者用人口入力シート!BB$4,IF(管理者入力シート!$B$14=2,BZ13*管理者用人口入力シート!BB$8))</f>
        <v>307.42198754287347</v>
      </c>
      <c r="CB16" s="11">
        <f>IF(管理者入力シート!$B$14=1,CA13*管理者用人口入力シート!BC$4,IF(管理者入力シート!$B$14=2,CA13*管理者用人口入力シート!BC$8))</f>
        <v>288.89281201297956</v>
      </c>
      <c r="CC16" s="11">
        <f>IF(管理者入力シート!$B$14=1,CB13*管理者用人口入力シート!BD$4,IF(管理者入力シート!$B$14=2,CB13*管理者用人口入力シート!BD$8))</f>
        <v>196.51038821592132</v>
      </c>
      <c r="CD16" s="11">
        <f>IF(管理者入力シート!$B$14=1,CC13*管理者用人口入力シート!BE$4,IF(管理者入力シート!$B$14=2,CC13*管理者用人口入力シート!BE$8))</f>
        <v>90.703845249079507</v>
      </c>
      <c r="CE16" s="11">
        <f>IF(管理者入力シート!$B$14=1,CD13*管理者用人口入力シート!BF$4,IF(管理者入力シート!$B$14=2,CD13*管理者用人口入力シート!BF$8))</f>
        <v>16.921939174006635</v>
      </c>
      <c r="CF16" s="11">
        <f t="shared" si="250"/>
        <v>4442.8216190011726</v>
      </c>
      <c r="CG16" s="11">
        <f t="shared" si="251"/>
        <v>197.62932785870123</v>
      </c>
      <c r="CH16" s="11">
        <f t="shared" si="252"/>
        <v>104.89256397610168</v>
      </c>
      <c r="CI16" s="11">
        <f t="shared" si="253"/>
        <v>1912.3811105393629</v>
      </c>
      <c r="CJ16" s="11">
        <f t="shared" si="254"/>
        <v>1209.9627586219272</v>
      </c>
      <c r="CK16" s="15">
        <f t="shared" si="255"/>
        <v>0.43044291995889339</v>
      </c>
      <c r="CL16" s="15">
        <f t="shared" si="256"/>
        <v>0.27234106214103387</v>
      </c>
      <c r="CM16" s="11">
        <f t="shared" si="257"/>
        <v>650.03093394677774</v>
      </c>
      <c r="CO16" s="60" t="str">
        <f t="shared" si="26"/>
        <v>2045_2</v>
      </c>
      <c r="CP16" s="30">
        <f>CP15</f>
        <v>2045</v>
      </c>
      <c r="CQ16" s="5" t="s">
        <v>22</v>
      </c>
      <c r="CR16" s="11">
        <f>DT16*$AK$14+将来予測シート②!$H17</f>
        <v>150.06655433301907</v>
      </c>
      <c r="CS16" s="11">
        <f>IF(管理者入力シート!$B$14=1,CR13*管理者用人口入力シート!AM$4,IF(管理者入力シート!$B$14=2,CR13*管理者用人口入力シート!AM$8))+将来予測シート②!$H18</f>
        <v>160.6997877324259</v>
      </c>
      <c r="CT16" s="11">
        <f>IF(管理者入力シート!$B$14=1,CS13*管理者用人口入力シート!AN$4,IF(管理者入力シート!$B$14=2,CS13*管理者用人口入力シート!AN$8))+将来予測シート②!$H19</f>
        <v>174.63186653802819</v>
      </c>
      <c r="CU16" s="11">
        <f>IF(管理者入力シート!$B$14=1,CT13*管理者用人口入力シート!AO$4,IF(管理者入力シート!$B$14=2,CT13*管理者用人口入力シート!AO$8))+将来予測シート②!$H20</f>
        <v>184.7078269940213</v>
      </c>
      <c r="CV16" s="11">
        <f>IF(管理者入力シート!$B$14=1,CU13*管理者用人口入力シート!AP$4,IF(管理者入力シート!$B$14=2,CU13*管理者用人口入力シート!AP$8))+将来予測シート②!$H21</f>
        <v>102.90811633602429</v>
      </c>
      <c r="CW16" s="11">
        <f>IF(管理者入力シート!$B$14=1,CV13*管理者用人口入力シート!AQ$4,IF(管理者入力シート!$B$14=2,CV13*管理者用人口入力シート!AQ$8))+将来予測シート②!$H22</f>
        <v>158.3162655391819</v>
      </c>
      <c r="CX16" s="11">
        <f>IF(管理者入力シート!$B$14=1,CW13*管理者用人口入力シート!AR$4,IF(管理者入力シート!$B$14=2,CW13*管理者用人口入力シート!AR$8))+将来予測シート②!$H23</f>
        <v>193.59350317776696</v>
      </c>
      <c r="CY16" s="11">
        <f>IF(管理者入力シート!$B$14=1,CX13*管理者用人口入力シート!AS$4,IF(管理者入力シート!$B$14=2,CX13*管理者用人口入力シート!AS$8))+将来予測シート②!$H24</f>
        <v>203.74575084198364</v>
      </c>
      <c r="CZ16" s="11">
        <f>IF(管理者入力シート!$B$14=1,CY13*管理者用人口入力シート!AT$4,IF(管理者入力シート!$B$14=2,CY13*管理者用人口入力シート!AT$8))+将来予測シート②!$H25</f>
        <v>198.89457177128926</v>
      </c>
      <c r="DA16" s="11">
        <f>IF(管理者入力シート!$B$14=1,CZ13*管理者用人口入力シート!AU$4,IF(管理者入力シート!$B$14=2,CZ13*管理者用人口入力シート!AU$8))+将来予測シート②!$H26</f>
        <v>248.05426760041439</v>
      </c>
      <c r="DB16" s="11">
        <f>IF(管理者入力シート!$B$14=1,DA13*管理者用人口入力シート!AV$4,IF(管理者入力シート!$B$14=2,DA13*管理者用人口入力シート!AV$8))+将来予測シート②!$H27</f>
        <v>220.4604706155435</v>
      </c>
      <c r="DC16" s="11">
        <f>IF(管理者入力シート!$B$14=1,DB13*管理者用人口入力シート!AW$4,IF(管理者入力シート!$B$14=2,DB13*管理者用人口入力シート!AW$8))+将来予測シート②!$H28</f>
        <v>240.0969556103669</v>
      </c>
      <c r="DD16" s="11">
        <f>IF(管理者入力シート!$B$14=1,DC13*管理者用人口入力シート!AX$4,IF(管理者入力シート!$B$14=2,DC13*管理者用人口入力シート!AX$8))+将来予測シート②!$H29</f>
        <v>323.24196407410767</v>
      </c>
      <c r="DE16" s="11">
        <f>IF(管理者入力シート!$B$14=1,DD13*管理者用人口入力シート!AY$4,IF(管理者入力シート!$B$14=2,DD13*管理者用人口入力シート!AY$8))</f>
        <v>356.53229199235193</v>
      </c>
      <c r="DF16" s="11">
        <f>IF(管理者入力シート!$B$14=1,DE13*管理者用人口入力シート!AZ$4,IF(管理者入力シート!$B$14=2,DE13*管理者用人口入力シート!AZ$8))</f>
        <v>345.88605992508388</v>
      </c>
      <c r="DG16" s="11">
        <f>IF(管理者入力シート!$B$14=1,DF13*管理者用人口入力シート!BA$4,IF(管理者入力シート!$B$14=2,DF13*管理者用人口入力シート!BA$8))</f>
        <v>309.51178642706674</v>
      </c>
      <c r="DH16" s="11">
        <f>IF(管理者入力シート!$B$14=1,DG13*管理者用人口入力シート!BB$4,IF(管理者入力シート!$B$14=2,DG13*管理者用人口入力シート!BB$8))</f>
        <v>307.42198754287347</v>
      </c>
      <c r="DI16" s="11">
        <f>IF(管理者入力シート!$B$14=1,DH13*管理者用人口入力シート!BC$4,IF(管理者入力シート!$B$14=2,DH13*管理者用人口入力シート!BC$8))</f>
        <v>288.89281201297956</v>
      </c>
      <c r="DJ16" s="11">
        <f>IF(管理者入力シート!$B$14=1,DI13*管理者用人口入力シート!BD$4,IF(管理者入力シート!$B$14=2,DI13*管理者用人口入力シート!BD$8))</f>
        <v>196.51038821592132</v>
      </c>
      <c r="DK16" s="11">
        <f>IF(管理者入力シート!$B$14=1,DJ13*管理者用人口入力シート!BE$4,IF(管理者入力シート!$B$14=2,DJ13*管理者用人口入力シート!BE$8))</f>
        <v>90.703845249079507</v>
      </c>
      <c r="DL16" s="11">
        <f>IF(管理者入力シート!$B$14=1,DK13*管理者用人口入力シート!BF$4,IF(管理者入力シート!$B$14=2,DK13*管理者用人口入力シート!BF$8))</f>
        <v>16.921939174006635</v>
      </c>
      <c r="DM16" s="11">
        <f t="shared" si="258"/>
        <v>4471.7990117035361</v>
      </c>
      <c r="DN16" s="11">
        <f t="shared" si="259"/>
        <v>201.19899256227248</v>
      </c>
      <c r="DO16" s="11">
        <f t="shared" si="260"/>
        <v>106.79431201401553</v>
      </c>
      <c r="DP16" s="11">
        <f t="shared" si="261"/>
        <v>1912.3811105393629</v>
      </c>
      <c r="DQ16" s="11">
        <f t="shared" si="262"/>
        <v>1209.9627586219272</v>
      </c>
      <c r="DR16" s="15">
        <f t="shared" si="263"/>
        <v>0.42765363683258195</v>
      </c>
      <c r="DS16" s="15">
        <f t="shared" si="264"/>
        <v>0.27057628383011578</v>
      </c>
      <c r="DT16" s="11">
        <f t="shared" si="265"/>
        <v>658.56363589495675</v>
      </c>
      <c r="DV16" s="233" t="s">
        <v>406</v>
      </c>
      <c r="DW16" s="60">
        <f>IF(DW10&lt;0,ABS(DW10)/DW15,0)</f>
        <v>167.2489739918006</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314.62235282991969</v>
      </c>
      <c r="BL17" s="17">
        <f t="shared" ref="BL17:CE17" si="266">BL15+BL16</f>
        <v>343.31527393263718</v>
      </c>
      <c r="BM17" s="17">
        <f t="shared" si="266"/>
        <v>376.61683166971841</v>
      </c>
      <c r="BN17" s="17">
        <f t="shared" si="266"/>
        <v>401.06611676813685</v>
      </c>
      <c r="BO17" s="17">
        <f t="shared" si="266"/>
        <v>219.61233457276344</v>
      </c>
      <c r="BP17" s="17">
        <f t="shared" si="266"/>
        <v>326.70582959167029</v>
      </c>
      <c r="BQ17" s="17">
        <f t="shared" si="266"/>
        <v>399.52645795289141</v>
      </c>
      <c r="BR17" s="17">
        <f t="shared" si="266"/>
        <v>422.29483833434011</v>
      </c>
      <c r="BS17" s="17">
        <f t="shared" si="266"/>
        <v>427.92386888005308</v>
      </c>
      <c r="BT17" s="17">
        <f t="shared" si="266"/>
        <v>457.1835847946773</v>
      </c>
      <c r="BU17" s="17">
        <f t="shared" si="266"/>
        <v>461.62998555289585</v>
      </c>
      <c r="BV17" s="17">
        <f t="shared" si="266"/>
        <v>495.1734463154379</v>
      </c>
      <c r="BW17" s="17">
        <f t="shared" si="266"/>
        <v>601.54407518519724</v>
      </c>
      <c r="BX17" s="17">
        <f t="shared" si="266"/>
        <v>634.83845787312202</v>
      </c>
      <c r="BY17" s="17">
        <f t="shared" si="266"/>
        <v>627.53186698272111</v>
      </c>
      <c r="BZ17" s="17">
        <f t="shared" si="266"/>
        <v>525.99339653110485</v>
      </c>
      <c r="CA17" s="17">
        <f t="shared" si="266"/>
        <v>530.60485708835142</v>
      </c>
      <c r="CB17" s="17">
        <f t="shared" si="266"/>
        <v>463.0801914955469</v>
      </c>
      <c r="CC17" s="17">
        <f t="shared" si="266"/>
        <v>286.91535070988959</v>
      </c>
      <c r="CD17" s="17">
        <f t="shared" si="266"/>
        <v>114.89451283955808</v>
      </c>
      <c r="CE17" s="17">
        <f t="shared" si="266"/>
        <v>17.154472643525679</v>
      </c>
      <c r="CF17" s="12">
        <f t="shared" si="250"/>
        <v>8448.2281025441589</v>
      </c>
      <c r="CG17" s="12">
        <f t="shared" si="251"/>
        <v>431.95926336141332</v>
      </c>
      <c r="CH17" s="12">
        <f t="shared" si="252"/>
        <v>230.85995602151473</v>
      </c>
      <c r="CI17" s="12">
        <f t="shared" si="253"/>
        <v>3201.0131061638194</v>
      </c>
      <c r="CJ17" s="12">
        <f t="shared" si="254"/>
        <v>1938.6427813079765</v>
      </c>
      <c r="CK17" s="16">
        <f t="shared" si="255"/>
        <v>0.37889757086457498</v>
      </c>
      <c r="CL17" s="16">
        <f t="shared" si="256"/>
        <v>0.22947329993660565</v>
      </c>
      <c r="CM17" s="12">
        <f t="shared" si="257"/>
        <v>1368.1394604516652</v>
      </c>
      <c r="CO17" s="60" t="str">
        <f t="shared" si="26"/>
        <v>2045_3</v>
      </c>
      <c r="CP17" s="31">
        <f>CP16</f>
        <v>2045</v>
      </c>
      <c r="CQ17" s="6" t="s">
        <v>23</v>
      </c>
      <c r="CR17" s="17">
        <f>CR15+CR16</f>
        <v>320.75227745771031</v>
      </c>
      <c r="CS17" s="17">
        <f>CS15+CS16</f>
        <v>348.83247772269397</v>
      </c>
      <c r="CT17" s="17">
        <f t="shared" ref="CT17:DL17" si="267">CT15+CT16</f>
        <v>383.63422462059737</v>
      </c>
      <c r="CU17" s="17">
        <f t="shared" si="267"/>
        <v>406.94562850465019</v>
      </c>
      <c r="CV17" s="17">
        <f t="shared" si="267"/>
        <v>221.67013167921476</v>
      </c>
      <c r="CW17" s="17">
        <f t="shared" si="267"/>
        <v>332.07399718938825</v>
      </c>
      <c r="CX17" s="17">
        <f t="shared" si="267"/>
        <v>405.33679000788015</v>
      </c>
      <c r="CY17" s="17">
        <f t="shared" si="267"/>
        <v>426.52617672912589</v>
      </c>
      <c r="CZ17" s="17">
        <f t="shared" si="267"/>
        <v>433.10237384603681</v>
      </c>
      <c r="DA17" s="17">
        <f t="shared" si="267"/>
        <v>462.25655011422816</v>
      </c>
      <c r="DB17" s="17">
        <f t="shared" si="267"/>
        <v>462.59239158551304</v>
      </c>
      <c r="DC17" s="17">
        <f t="shared" si="267"/>
        <v>496.14685859123574</v>
      </c>
      <c r="DD17" s="17">
        <f t="shared" si="267"/>
        <v>602.51082702667418</v>
      </c>
      <c r="DE17" s="17">
        <f t="shared" si="267"/>
        <v>634.83845787312202</v>
      </c>
      <c r="DF17" s="17">
        <f t="shared" si="267"/>
        <v>627.53186698272111</v>
      </c>
      <c r="DG17" s="17">
        <f t="shared" si="267"/>
        <v>525.99339653110485</v>
      </c>
      <c r="DH17" s="17">
        <f t="shared" si="267"/>
        <v>530.60485708835142</v>
      </c>
      <c r="DI17" s="17">
        <f t="shared" si="267"/>
        <v>463.0801914955469</v>
      </c>
      <c r="DJ17" s="17">
        <f t="shared" si="267"/>
        <v>286.91535070988959</v>
      </c>
      <c r="DK17" s="17">
        <f t="shared" si="267"/>
        <v>114.89451283955808</v>
      </c>
      <c r="DL17" s="17">
        <f t="shared" si="267"/>
        <v>17.154472643525679</v>
      </c>
      <c r="DM17" s="12">
        <f t="shared" si="258"/>
        <v>8503.3938112387677</v>
      </c>
      <c r="DN17" s="12">
        <f t="shared" si="259"/>
        <v>439.48002140597481</v>
      </c>
      <c r="DO17" s="12">
        <f t="shared" si="260"/>
        <v>234.84281554916899</v>
      </c>
      <c r="DP17" s="12">
        <f t="shared" si="261"/>
        <v>3201.0131061638194</v>
      </c>
      <c r="DQ17" s="12">
        <f t="shared" si="262"/>
        <v>1938.6427813079765</v>
      </c>
      <c r="DR17" s="16">
        <f t="shared" si="263"/>
        <v>0.37643947548719942</v>
      </c>
      <c r="DS17" s="16">
        <f t="shared" si="264"/>
        <v>0.22798459348615732</v>
      </c>
      <c r="DT17" s="12">
        <f t="shared" si="265"/>
        <v>1385.6070956056089</v>
      </c>
      <c r="DV17" s="68" t="s">
        <v>407</v>
      </c>
      <c r="DW17" s="60">
        <f>IF(DW9&gt;=0,0,IF(AND(DW10&lt;=0,DW9&lt;=0,DW16*2&gt;=ABS(DW9)),ROUND(DW16/3,0),ROUND(ABS(DW9)/6,0)))</f>
        <v>89</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148.18135714347713</v>
      </c>
      <c r="BL18" s="10">
        <f>IF(管理者入力シート!$B$14=1,BK15*管理者用人口入力シート!AM$3,IF(管理者入力シート!$B$14=2,BK15*管理者用人口入力シート!AM$7))</f>
        <v>169.46338978129603</v>
      </c>
      <c r="BM18" s="10">
        <f>IF(管理者入力シート!$B$14=1,BL15*管理者用人口入力シート!AN$3,IF(管理者入力シート!$B$14=2,BL15*管理者用人口入力シート!AN$7))</f>
        <v>181.61666196071502</v>
      </c>
      <c r="BN18" s="10">
        <f>IF(管理者入力シート!$B$14=1,BM15*管理者用人口入力シート!AO$3,IF(管理者入力シート!$B$14=2,BM15*管理者用人口入力シート!AO$7))</f>
        <v>207.00884610413601</v>
      </c>
      <c r="BO18" s="10">
        <f>IF(管理者入力シート!$B$14=1,BN15*管理者用人口入力シート!AP$3,IF(管理者入力シート!$B$14=2,BN15*管理者用人口入力シート!AP$7))</f>
        <v>111.66024484175415</v>
      </c>
      <c r="BP18" s="10">
        <f>IF(管理者入力シート!$B$14=1,BO15*管理者用人口入力シート!AQ$3,IF(管理者入力シート!$B$14=2,BO15*管理者用人口入力シート!AQ$7))</f>
        <v>150.05265204716758</v>
      </c>
      <c r="BQ18" s="10">
        <f>IF(管理者入力シート!$B$14=1,BP15*管理者用人口入力シート!AR$3,IF(管理者入力シート!$B$14=2,BP15*管理者用人口入力シート!AR$7))</f>
        <v>192.75054406073244</v>
      </c>
      <c r="BR18" s="10">
        <f>IF(管理者入力シート!$B$14=1,BQ15*管理者用人口入力シート!AS$3,IF(管理者入力シート!$B$14=2,BQ15*管理者用人口入力シート!AS$7))</f>
        <v>210.02310169694636</v>
      </c>
      <c r="BS18" s="10">
        <f>IF(管理者入力シート!$B$14=1,BR15*管理者用人口入力シート!AT$3,IF(管理者入力シート!$B$14=2,BR15*管理者用人口入力シート!AT$7))</f>
        <v>216.65075627505112</v>
      </c>
      <c r="BT18" s="10">
        <f>IF(管理者入力シート!$B$14=1,BS15*管理者用人口入力シート!AU$3,IF(管理者入力シート!$B$14=2,BS15*管理者用人口入力シート!AU$7))</f>
        <v>227.41235519265675</v>
      </c>
      <c r="BU18" s="10">
        <f>IF(管理者入力シート!$B$14=1,BT15*管理者用人口入力シート!AV$3,IF(管理者入力シート!$B$14=2,BT15*管理者用人口入力シート!AV$7))</f>
        <v>210.6700292366292</v>
      </c>
      <c r="BV18" s="10">
        <f>IF(管理者入力シート!$B$14=1,BU15*管理者用人口入力シート!AW$3,IF(管理者入力シート!$B$14=2,BU15*管理者用人口入力シート!AW$7))</f>
        <v>225.19039983423039</v>
      </c>
      <c r="BW18" s="10">
        <f>IF(管理者入力シート!$B$14=1,BV15*管理者用人口入力シート!AX$3,IF(管理者入力シート!$B$14=2,BV15*管理者用人口入力シート!AX$7))</f>
        <v>252.45740317165544</v>
      </c>
      <c r="BX18" s="10">
        <f>IF(管理者入力シート!$B$14=1,BW15*管理者用人口入力シート!AY$3,IF(管理者入力シート!$B$14=2,BW15*管理者用人口入力シート!AY$7))</f>
        <v>267.41461928873326</v>
      </c>
      <c r="BY18" s="10">
        <f>IF(管理者入力シート!$B$14=1,BX15*管理者用人口入力シート!AZ$3,IF(管理者入力シート!$B$14=2,BX15*管理者用人口入力シート!AZ$7))</f>
        <v>264.51477392549816</v>
      </c>
      <c r="BZ18" s="10">
        <f>IF(管理者入力シート!$B$14=1,BY15*管理者用人口入力シート!BA$3,IF(管理者入力シート!$B$14=2,BY15*管理者用人口入力シート!BA$7))</f>
        <v>248.90164348949966</v>
      </c>
      <c r="CA18" s="10">
        <f>IF(管理者入力シート!$B$14=1,BZ15*管理者用人口入力シート!BB$3,IF(管理者入力シート!$B$14=2,BZ15*管理者用人口入力シート!BB$7))</f>
        <v>173.74772200203327</v>
      </c>
      <c r="CB18" s="10">
        <f>IF(管理者入力シート!$B$14=1,CA15*管理者用人口入力シート!BC$3,IF(管理者入力シート!$B$14=2,CA15*管理者用人口入力シート!BC$7))</f>
        <v>155.67615376558552</v>
      </c>
      <c r="CC18" s="10">
        <f>IF(管理者入力シート!$B$14=1,CB15*管理者用人口入力シート!BD$3,IF(管理者入力シート!$B$14=2,CB15*管理者用人口入力シート!BD$7))</f>
        <v>72.627339648758308</v>
      </c>
      <c r="CD18" s="10">
        <f>IF(管理者入力シート!$B$14=1,CC15*管理者用人口入力シート!BE$3,IF(管理者入力シート!$B$14=2,CC15*管理者用人口入力シート!BE$7))</f>
        <v>24.017770664335732</v>
      </c>
      <c r="CE18" s="10">
        <f>IF(管理者入力シート!$B$14=1,CD15*管理者用人口入力シート!BF$3,IF(管理者入力シート!$B$14=2,CD15*管理者用人口入力シート!BF$7))</f>
        <v>0.28244376765864654</v>
      </c>
      <c r="CF18" s="10">
        <f t="shared" si="250"/>
        <v>3710.3202078985505</v>
      </c>
      <c r="CG18" s="10">
        <f t="shared" si="251"/>
        <v>210.64803104520664</v>
      </c>
      <c r="CH18" s="10">
        <f t="shared" si="252"/>
        <v>114.04843400511321</v>
      </c>
      <c r="CI18" s="10">
        <f t="shared" si="253"/>
        <v>1207.1824665521026</v>
      </c>
      <c r="CJ18" s="10">
        <f t="shared" si="254"/>
        <v>675.25307333787111</v>
      </c>
      <c r="CK18" s="14">
        <f t="shared" si="255"/>
        <v>0.32535802812443138</v>
      </c>
      <c r="CL18" s="14">
        <f t="shared" si="256"/>
        <v>0.18199320692062873</v>
      </c>
      <c r="CM18" s="10">
        <f t="shared" si="257"/>
        <v>664.48654264660047</v>
      </c>
      <c r="CO18" s="60" t="str">
        <f t="shared" si="26"/>
        <v>2050_1</v>
      </c>
      <c r="CP18" s="29">
        <f>管理者入力シート!B13</f>
        <v>2050</v>
      </c>
      <c r="CQ18" s="4" t="s">
        <v>21</v>
      </c>
      <c r="CR18" s="10">
        <f>DT19*$AK$13+将来予測シート②!$G17</f>
        <v>151.85310052176447</v>
      </c>
      <c r="CS18" s="10">
        <f>IF(管理者入力シート!$B$14=1,CR15*管理者用人口入力シート!AM$3,IF(管理者入力シート!$B$14=2,CR15*管理者用人口入力シート!AM$7))+将来予測シート②!$G18</f>
        <v>172.6996685935419</v>
      </c>
      <c r="CT18" s="10">
        <f>IF(管理者入力シート!$B$14=1,CS15*管理者用人口入力シート!AN$3,IF(管理者入力シート!$B$14=2,CS15*管理者用人口入力シート!AN$7))+将来予測シート②!$G19</f>
        <v>185.47211507424993</v>
      </c>
      <c r="CU18" s="10">
        <f>IF(管理者入力シート!$B$14=1,CT15*管理者用人口入力シート!AO$3,IF(管理者入力シート!$B$14=2,CT15*管理者用人口入力シート!AO$7))+将来予測シート②!$G20</f>
        <v>210.71193063256953</v>
      </c>
      <c r="CV18" s="10">
        <f>IF(管理者入力シート!$B$14=1,CU15*管理者用人口入力シート!AP$3,IF(管理者入力シート!$B$14=2,CU15*管理者用人口入力シート!AP$7))+将来予測シート②!$G21</f>
        <v>113.21889326143325</v>
      </c>
      <c r="CW18" s="10">
        <f>IF(管理者入力シート!$B$14=1,CV15*管理者用人口入力シート!AQ$3,IF(管理者入力シート!$B$14=2,CV15*管理者用人口入力シート!AQ$7))+将来予測シート②!$G22</f>
        <v>153.35664920278501</v>
      </c>
      <c r="CX18" s="10">
        <f>IF(管理者入力シート!$B$14=1,CW15*管理者用人口入力シート!AR$3,IF(管理者入力シート!$B$14=2,CW15*管理者用人口入力シート!AR$7))+将来予測シート②!$G23</f>
        <v>195.74097276928416</v>
      </c>
      <c r="CY18" s="10">
        <f>IF(管理者入力シート!$B$14=1,CX15*管理者用人口入力シート!AS$3,IF(管理者入力シート!$B$14=2,CX15*管理者用人口入力シート!AS$7))+将来予測シート②!$G24</f>
        <v>213.03172691254883</v>
      </c>
      <c r="CZ18" s="10">
        <f>IF(管理者入力シート!$B$14=1,CY15*管理者用人口入力シート!AT$3,IF(管理者入力シート!$B$14=2,CY15*管理者用人口入力シート!AT$7))+将来予測シート②!$G25</f>
        <v>218.87779056289614</v>
      </c>
      <c r="DA18" s="10">
        <f>IF(管理者入力シート!$B$14=1,CZ15*管理者用人口入力シート!AU$3,IF(管理者入力シート!$B$14=2,CZ15*管理者用人口入力シート!AU$7))+将来予測シート②!$G26</f>
        <v>229.59553234706146</v>
      </c>
      <c r="DB18" s="10">
        <f>IF(管理者入力シート!$B$14=1,DA15*管理者用人口入力シート!AV$3,IF(管理者入力シート!$B$14=2,DA15*管理者用人口入力シート!AV$7))+将来予測シート②!$G27</f>
        <v>212.83931484967587</v>
      </c>
      <c r="DC18" s="10">
        <f>IF(管理者入力シート!$B$14=1,DB15*管理者用人口入力シート!AW$3,IF(管理者入力シート!$B$14=2,DB15*管理者用人口入力シート!AW$7))+将来予測シート②!$G28</f>
        <v>225.19039983423039</v>
      </c>
      <c r="DD18" s="10">
        <f>IF(管理者入力シート!$B$14=1,DC15*管理者用人口入力シート!AX$3,IF(管理者入力シート!$B$14=2,DC15*管理者用人口入力シート!AX$7))+将来予測シート②!$G29</f>
        <v>252.45740317165544</v>
      </c>
      <c r="DE18" s="10">
        <f>IF(管理者入力シート!$B$14=1,DD15*管理者用人口入力シート!AY$3,IF(管理者入力シート!$B$14=2,DD15*管理者用人口入力シート!AY$7))</f>
        <v>267.41461928873326</v>
      </c>
      <c r="DF18" s="10">
        <f>IF(管理者入力シート!$B$14=1,DE15*管理者用人口入力シート!AZ$3,IF(管理者入力シート!$B$14=2,DE15*管理者用人口入力シート!AZ$7))</f>
        <v>264.51477392549816</v>
      </c>
      <c r="DG18" s="10">
        <f>IF(管理者入力シート!$B$14=1,DF15*管理者用人口入力シート!BA$3,IF(管理者入力シート!$B$14=2,DF15*管理者用人口入力シート!BA$7))</f>
        <v>248.90164348949966</v>
      </c>
      <c r="DH18" s="10">
        <f>IF(管理者入力シート!$B$14=1,DG15*管理者用人口入力シート!BB$3,IF(管理者入力シート!$B$14=2,DG15*管理者用人口入力シート!BB$7))</f>
        <v>173.74772200203327</v>
      </c>
      <c r="DI18" s="10">
        <f>IF(管理者入力シート!$B$14=1,DH15*管理者用人口入力シート!BC$3,IF(管理者入力シート!$B$14=2,DH15*管理者用人口入力シート!BC$7))</f>
        <v>155.67615376558552</v>
      </c>
      <c r="DJ18" s="10">
        <f>IF(管理者入力シート!$B$14=1,DI15*管理者用人口入力シート!BD$3,IF(管理者入力シート!$B$14=2,DI15*管理者用人口入力シート!BD$7))</f>
        <v>72.627339648758308</v>
      </c>
      <c r="DK18" s="10">
        <f>IF(管理者入力シート!$B$14=1,DJ15*管理者用人口入力シート!BE$3,IF(管理者入力シート!$B$14=2,DJ15*管理者用人口入力シート!BE$7))</f>
        <v>24.017770664335732</v>
      </c>
      <c r="DL18" s="10">
        <f>IF(管理者入力シート!$B$14=1,DK15*管理者用人口入力シート!BF$3,IF(管理者入力シート!$B$14=2,DK15*管理者用人口入力シート!BF$7))</f>
        <v>0.28244376765864654</v>
      </c>
      <c r="DM18" s="10">
        <f t="shared" si="258"/>
        <v>3742.2279642857989</v>
      </c>
      <c r="DN18" s="10">
        <f t="shared" si="259"/>
        <v>214.90307020067507</v>
      </c>
      <c r="DO18" s="10">
        <f t="shared" si="260"/>
        <v>116.33123215621387</v>
      </c>
      <c r="DP18" s="10">
        <f t="shared" si="261"/>
        <v>1207.1824665521026</v>
      </c>
      <c r="DQ18" s="10">
        <f t="shared" si="262"/>
        <v>675.25307333787111</v>
      </c>
      <c r="DR18" s="14">
        <f t="shared" si="263"/>
        <v>0.322583893357895</v>
      </c>
      <c r="DS18" s="14">
        <f t="shared" si="264"/>
        <v>0.18044145888016275</v>
      </c>
      <c r="DT18" s="10">
        <f t="shared" si="265"/>
        <v>675.34824214605123</v>
      </c>
      <c r="DX18" s="314">
        <f>DX1</f>
        <v>89</v>
      </c>
      <c r="DY18" s="315"/>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0" t="s">
        <v>50</v>
      </c>
      <c r="EW18" s="310" t="s">
        <v>51</v>
      </c>
      <c r="EX18" s="312" t="s">
        <v>79</v>
      </c>
      <c r="EY18" s="312" t="s">
        <v>80</v>
      </c>
      <c r="EZ18" s="310" t="s">
        <v>48</v>
      </c>
      <c r="FA18" s="310" t="s">
        <v>49</v>
      </c>
      <c r="FB18" s="310"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130.17526707027037</v>
      </c>
      <c r="BL19" s="11">
        <f>IF(管理者入力シート!$B$14=1,BK16*管理者用人口入力シート!AM$4,IF(管理者入力シート!$B$14=2,BK16*管理者用人口入力シート!AM$8))</f>
        <v>144.64518154209765</v>
      </c>
      <c r="BM19" s="11">
        <f>IF(管理者入力シート!$B$14=1,BL16*管理者用人口入力シート!AN$4,IF(管理者入力シート!$B$14=2,BL16*管理者用人口入力シート!AN$8))</f>
        <v>151.5062087631145</v>
      </c>
      <c r="BN19" s="11">
        <f>IF(管理者入力シート!$B$14=1,BM16*管理者用人口入力シート!AO$4,IF(管理者入力シート!$B$14=2,BM16*管理者用人口入力シート!AO$8))</f>
        <v>171.78880290176622</v>
      </c>
      <c r="BO19" s="11">
        <f>IF(管理者入力シート!$B$14=1,BN16*管理者用人口入力シート!AP$4,IF(管理者入力シート!$B$14=2,BN16*管理者用人口入力シート!AP$8))</f>
        <v>96.61400297974987</v>
      </c>
      <c r="BP19" s="11">
        <f>IF(管理者入力シート!$B$14=1,BO16*管理者用人口入力シート!AQ$4,IF(管理者入力シート!$B$14=2,BO16*管理者用人口入力シート!AQ$8))</f>
        <v>136.45917284724581</v>
      </c>
      <c r="BQ19" s="11">
        <f>IF(管理者入力シート!$B$14=1,BP16*管理者用人口入力シート!AR$4,IF(管理者入力シート!$B$14=2,BP16*管理者用人口入力シート!AR$8))</f>
        <v>161.6990526432335</v>
      </c>
      <c r="BR19" s="11">
        <f>IF(管理者入力シート!$B$14=1,BQ16*管理者用人口入力シート!AS$4,IF(管理者入力シート!$B$14=2,BQ16*管理者用人口入力シート!AS$8))</f>
        <v>180.33127190232159</v>
      </c>
      <c r="BS19" s="11">
        <f>IF(管理者入力シート!$B$14=1,BR16*管理者用人口入力シート!AT$4,IF(管理者入力シート!$B$14=2,BR16*管理者用人口入力シート!AT$8))</f>
        <v>200.43310737416388</v>
      </c>
      <c r="BT19" s="11">
        <f>IF(管理者入力シート!$B$14=1,BS16*管理者用人口入力シート!AU$4,IF(管理者入力シート!$B$14=2,BS16*管理者用人口入力シート!AU$8))</f>
        <v>191.84810432813768</v>
      </c>
      <c r="BU19" s="11">
        <f>IF(管理者入力シート!$B$14=1,BT16*管理者用人口入力シート!AV$4,IF(管理者入力シート!$B$14=2,BT16*管理者用人口入力シート!AV$8))</f>
        <v>240.98407797104966</v>
      </c>
      <c r="BV19" s="11">
        <f>IF(管理者入力シート!$B$14=1,BU16*管理者用人口入力シート!AW$4,IF(管理者入力シート!$B$14=2,BU16*管理者用人口入力シート!AW$8))</f>
        <v>222.00828271809522</v>
      </c>
      <c r="BW19" s="11">
        <f>IF(管理者入力シート!$B$14=1,BV16*管理者用人口入力シート!AX$4,IF(管理者入力シート!$B$14=2,BV16*管理者用人口入力シート!AX$8))</f>
        <v>237.48737467864871</v>
      </c>
      <c r="BX19" s="11">
        <f>IF(管理者入力シート!$B$14=1,BW16*管理者用人口入力シート!AY$4,IF(管理者入力シート!$B$14=2,BW16*管理者用人口入力シート!AY$8))</f>
        <v>317.70006814518854</v>
      </c>
      <c r="BY19" s="11">
        <f>IF(管理者入力シート!$B$14=1,BX16*管理者用人口入力シート!AZ$4,IF(管理者入力シート!$B$14=2,BX16*管理者用人口入力シート!AZ$8))</f>
        <v>344.77682052973336</v>
      </c>
      <c r="BZ19" s="11">
        <f>IF(管理者入力シート!$B$14=1,BY16*管理者用人口入力シート!BA$4,IF(管理者入力シート!$B$14=2,BY16*管理者用人口入力シート!BA$8))</f>
        <v>322.45810445318421</v>
      </c>
      <c r="CA19" s="11">
        <f>IF(管理者入力シート!$B$14=1,BZ16*管理者用人口入力シート!BB$4,IF(管理者入力シート!$B$14=2,BZ16*管理者用人口入力シート!BB$8))</f>
        <v>276.11285742745105</v>
      </c>
      <c r="CB19" s="11">
        <f>IF(管理者入力シート!$B$14=1,CA16*管理者用人口入力シート!BC$4,IF(管理者入力シート!$B$14=2,CA16*管理者用人口入力シート!BC$8))</f>
        <v>242.7672840981393</v>
      </c>
      <c r="CC19" s="11">
        <f>IF(管理者入力シート!$B$14=1,CB16*管理者用人口入力シート!BD$4,IF(管理者入力シート!$B$14=2,CB16*管理者用人口入力シート!BD$8))</f>
        <v>183.48421788577969</v>
      </c>
      <c r="CD19" s="11">
        <f>IF(管理者入力シート!$B$14=1,CC16*管理者用人口入力シート!BE$4,IF(管理者入力シート!$B$14=2,CC16*管理者用人口入力シート!BE$8))</f>
        <v>81.407585694652411</v>
      </c>
      <c r="CE19" s="11">
        <f>IF(管理者入力シート!$B$14=1,CD16*管理者用人口入力シート!BF$4,IF(管理者入力シート!$B$14=2,CD16*管理者用人口入力シート!BF$8))</f>
        <v>20.28479698283763</v>
      </c>
      <c r="CF19" s="11">
        <f t="shared" si="250"/>
        <v>4054.9716429368614</v>
      </c>
      <c r="CG19" s="11">
        <f t="shared" si="251"/>
        <v>177.69083418312729</v>
      </c>
      <c r="CH19" s="11">
        <f t="shared" si="252"/>
        <v>94.960244085599044</v>
      </c>
      <c r="CI19" s="11">
        <f t="shared" si="253"/>
        <v>1788.9917352169659</v>
      </c>
      <c r="CJ19" s="11">
        <f t="shared" si="254"/>
        <v>1126.5148465420443</v>
      </c>
      <c r="CK19" s="15">
        <f t="shared" si="255"/>
        <v>0.44118477088073232</v>
      </c>
      <c r="CL19" s="15">
        <f t="shared" si="256"/>
        <v>0.27781078284585797</v>
      </c>
      <c r="CM19" s="11">
        <f t="shared" si="257"/>
        <v>575.1035003725508</v>
      </c>
      <c r="CO19" s="60" t="str">
        <f t="shared" si="26"/>
        <v>2050_2</v>
      </c>
      <c r="CP19" s="30">
        <f>CP18</f>
        <v>2050</v>
      </c>
      <c r="CQ19" s="5" t="s">
        <v>22</v>
      </c>
      <c r="CR19" s="11">
        <f>DT19*$AK$14+将来予測シート②!$H17</f>
        <v>133.52235657273073</v>
      </c>
      <c r="CS19" s="11">
        <f>IF(管理者入力シート!$B$14=1,CR16*管理者用人口入力シート!AM$4,IF(管理者入力シート!$B$14=2,CR16*管理者用人口入力シート!AM$8))+将来予測シート②!$H18</f>
        <v>147.52695916719134</v>
      </c>
      <c r="CT19" s="11">
        <f>IF(管理者入力シート!$B$14=1,CS16*管理者用人口入力シート!AN$4,IF(管理者入力シート!$B$14=2,CS16*管理者用人口入力シート!AN$8))+将来予測シート②!$H19</f>
        <v>155.00273190369401</v>
      </c>
      <c r="CU19" s="11">
        <f>IF(管理者入力シート!$B$14=1,CT16*管理者用人口入力シート!AO$4,IF(管理者入力シート!$B$14=2,CT16*管理者用人口入力シート!AO$8))+将来予測シート②!$H20</f>
        <v>175.14294318443714</v>
      </c>
      <c r="CV19" s="11">
        <f>IF(管理者入力シート!$B$14=1,CU16*管理者用人口入力シート!AP$4,IF(管理者入力シート!$B$14=2,CU16*管理者用人口入力シート!AP$8))+将来予測シート②!$H21</f>
        <v>98.111931139735432</v>
      </c>
      <c r="CW19" s="11">
        <f>IF(管理者入力シート!$B$14=1,CV16*管理者用人口入力シート!AQ$4,IF(管理者入力シート!$B$14=2,CV16*管理者用人口入力シート!AQ$8))+将来予測シート②!$H22</f>
        <v>139.84503651771738</v>
      </c>
      <c r="CX19" s="11">
        <f>IF(管理者入力シート!$B$14=1,CW16*管理者用人口入力シート!AR$4,IF(管理者入力シート!$B$14=2,CW16*管理者用人口入力シート!AR$8))+将来予測シート②!$H23</f>
        <v>164.5189559896705</v>
      </c>
      <c r="CY19" s="11">
        <f>IF(管理者入力シート!$B$14=1,CX16*管理者用人口入力シート!AS$4,IF(管理者入力シート!$B$14=2,CX16*管理者用人口入力シート!AS$8))+将来予測シート②!$H24</f>
        <v>182.99682288817183</v>
      </c>
      <c r="CZ19" s="11">
        <f>IF(管理者入力シート!$B$14=1,CY16*管理者用人口入力シート!AT$4,IF(管理者入力シート!$B$14=2,CY16*管理者用人口入力シート!AT$8))+将来予測シート②!$H25</f>
        <v>203.38457805230266</v>
      </c>
      <c r="DA19" s="11">
        <f>IF(管理者入力シート!$B$14=1,CZ16*管理者用人口入力シート!AU$4,IF(管理者入力シート!$B$14=2,CZ16*管理者用人口入力シート!AU$8))+将来予測シート②!$H26</f>
        <v>194.73789249328374</v>
      </c>
      <c r="DB19" s="11">
        <f>IF(管理者入力シート!$B$14=1,DA16*管理者用人口入力シート!AV$4,IF(管理者入力シート!$B$14=2,DA16*管理者用人口入力シート!AV$8))+将来予測シート②!$H27</f>
        <v>243.82459115678321</v>
      </c>
      <c r="DC19" s="11">
        <f>IF(管理者入力シート!$B$14=1,DB16*管理者用人口入力シート!AW$4,IF(管理者入力シート!$B$14=2,DB16*管理者用人口入力シート!AW$8))+将来予測シート②!$H28</f>
        <v>222.98169499389303</v>
      </c>
      <c r="DD19" s="11">
        <f>IF(管理者入力シート!$B$14=1,DC16*管理者用人口入力シート!AX$4,IF(管理者入力シート!$B$14=2,DC16*管理者用人口入力シート!AX$8))+将来予測シート②!$H29</f>
        <v>238.45412652012564</v>
      </c>
      <c r="DE19" s="11">
        <f>IF(管理者入力シート!$B$14=1,DD16*管理者用人口入力シート!AY$4,IF(管理者入力シート!$B$14=2,DD16*管理者用人口入力シート!AY$8))</f>
        <v>318.65309560202877</v>
      </c>
      <c r="DF19" s="11">
        <f>IF(管理者入力シート!$B$14=1,DE16*管理者用人口入力シート!AZ$4,IF(管理者入力シート!$B$14=2,DE16*管理者用人口入力シート!AZ$8))</f>
        <v>344.77682052973336</v>
      </c>
      <c r="DG19" s="11">
        <f>IF(管理者入力シート!$B$14=1,DF16*管理者用人口入力シート!BA$4,IF(管理者入力シート!$B$14=2,DF16*管理者用人口入力シート!BA$8))</f>
        <v>322.45810445318421</v>
      </c>
      <c r="DH19" s="11">
        <f>IF(管理者入力シート!$B$14=1,DG16*管理者用人口入力シート!BB$4,IF(管理者入力シート!$B$14=2,DG16*管理者用人口入力シート!BB$8))</f>
        <v>276.11285742745105</v>
      </c>
      <c r="DI19" s="11">
        <f>IF(管理者入力シート!$B$14=1,DH16*管理者用人口入力シート!BC$4,IF(管理者入力シート!$B$14=2,DH16*管理者用人口入力シート!BC$8))</f>
        <v>242.7672840981393</v>
      </c>
      <c r="DJ19" s="11">
        <f>IF(管理者入力シート!$B$14=1,DI16*管理者用人口入力シート!BD$4,IF(管理者入力シート!$B$14=2,DI16*管理者用人口入力シート!BD$8))</f>
        <v>183.48421788577969</v>
      </c>
      <c r="DK19" s="11">
        <f>IF(管理者入力シート!$B$14=1,DJ16*管理者用人口入力シート!BE$4,IF(管理者入力シート!$B$14=2,DJ16*管理者用人口入力シート!BE$8))</f>
        <v>81.407585694652411</v>
      </c>
      <c r="DL19" s="11">
        <f>IF(管理者入力シート!$B$14=1,DK16*管理者用人口入力シート!BF$4,IF(管理者入力シート!$B$14=2,DK16*管理者用人口入力シート!BF$8))</f>
        <v>20.28479698283763</v>
      </c>
      <c r="DM19" s="11">
        <f t="shared" si="258"/>
        <v>4089.9953832535439</v>
      </c>
      <c r="DN19" s="11">
        <f t="shared" si="259"/>
        <v>181.51781464253122</v>
      </c>
      <c r="DO19" s="11">
        <f t="shared" si="260"/>
        <v>97.029681398365028</v>
      </c>
      <c r="DP19" s="11">
        <f t="shared" si="261"/>
        <v>1789.9447626738065</v>
      </c>
      <c r="DQ19" s="11">
        <f t="shared" si="262"/>
        <v>1126.5148465420443</v>
      </c>
      <c r="DR19" s="15">
        <f t="shared" si="263"/>
        <v>0.43763980028014754</v>
      </c>
      <c r="DS19" s="15">
        <f t="shared" si="264"/>
        <v>0.27543181372638004</v>
      </c>
      <c r="DT19" s="11">
        <f t="shared" si="265"/>
        <v>585.47274653529507</v>
      </c>
      <c r="DX19" s="316"/>
      <c r="DY19" s="317"/>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0"/>
      <c r="EW19" s="310"/>
      <c r="EX19" s="313"/>
      <c r="EY19" s="313"/>
      <c r="EZ19" s="310"/>
      <c r="FA19" s="310"/>
      <c r="FB19" s="310"/>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278.35662421374752</v>
      </c>
      <c r="BL20" s="17">
        <f t="shared" ref="BL20:CE20" si="274">BL18+BL19</f>
        <v>314.10857132339368</v>
      </c>
      <c r="BM20" s="17">
        <f t="shared" si="274"/>
        <v>333.12287072382952</v>
      </c>
      <c r="BN20" s="17">
        <f t="shared" si="274"/>
        <v>378.79764900590226</v>
      </c>
      <c r="BO20" s="17">
        <f t="shared" si="274"/>
        <v>208.27424782150402</v>
      </c>
      <c r="BP20" s="17">
        <f t="shared" si="274"/>
        <v>286.51182489441339</v>
      </c>
      <c r="BQ20" s="17">
        <f t="shared" si="274"/>
        <v>354.44959670396594</v>
      </c>
      <c r="BR20" s="17">
        <f t="shared" si="274"/>
        <v>390.35437359926794</v>
      </c>
      <c r="BS20" s="17">
        <f t="shared" si="274"/>
        <v>417.083863649215</v>
      </c>
      <c r="BT20" s="17">
        <f t="shared" si="274"/>
        <v>419.26045952079443</v>
      </c>
      <c r="BU20" s="17">
        <f t="shared" si="274"/>
        <v>451.65410720767886</v>
      </c>
      <c r="BV20" s="17">
        <f t="shared" si="274"/>
        <v>447.19868255232564</v>
      </c>
      <c r="BW20" s="17">
        <f t="shared" si="274"/>
        <v>489.94477785030415</v>
      </c>
      <c r="BX20" s="17">
        <f t="shared" si="274"/>
        <v>585.11468743392174</v>
      </c>
      <c r="BY20" s="17">
        <f t="shared" si="274"/>
        <v>609.29159445523146</v>
      </c>
      <c r="BZ20" s="17">
        <f t="shared" si="274"/>
        <v>571.35974794268384</v>
      </c>
      <c r="CA20" s="17">
        <f t="shared" si="274"/>
        <v>449.86057942948435</v>
      </c>
      <c r="CB20" s="17">
        <f t="shared" si="274"/>
        <v>398.44343786372485</v>
      </c>
      <c r="CC20" s="17">
        <f t="shared" si="274"/>
        <v>256.11155753453801</v>
      </c>
      <c r="CD20" s="17">
        <f t="shared" si="274"/>
        <v>105.42535635898814</v>
      </c>
      <c r="CE20" s="17">
        <f t="shared" si="274"/>
        <v>20.567240750496275</v>
      </c>
      <c r="CF20" s="12">
        <f t="shared" si="250"/>
        <v>7765.2918508354123</v>
      </c>
      <c r="CG20" s="12">
        <f t="shared" si="251"/>
        <v>388.33886522833393</v>
      </c>
      <c r="CH20" s="12">
        <f t="shared" si="252"/>
        <v>209.00867809071224</v>
      </c>
      <c r="CI20" s="12">
        <f t="shared" si="253"/>
        <v>2996.1742017690685</v>
      </c>
      <c r="CJ20" s="12">
        <f t="shared" si="254"/>
        <v>1801.7679198799156</v>
      </c>
      <c r="CK20" s="16">
        <f t="shared" si="255"/>
        <v>0.38584180212708058</v>
      </c>
      <c r="CL20" s="16">
        <f t="shared" si="256"/>
        <v>0.23202835830131435</v>
      </c>
      <c r="CM20" s="12">
        <f t="shared" si="257"/>
        <v>1239.5900430191514</v>
      </c>
      <c r="CO20" s="60" t="str">
        <f t="shared" si="26"/>
        <v>2050_3</v>
      </c>
      <c r="CP20" s="31">
        <f>CP19</f>
        <v>2050</v>
      </c>
      <c r="CQ20" s="6" t="s">
        <v>23</v>
      </c>
      <c r="CR20" s="17">
        <f>CR18+CR19</f>
        <v>285.37545709449523</v>
      </c>
      <c r="CS20" s="17">
        <f t="shared" ref="CS20:DL20" si="275">CS18+CS19</f>
        <v>320.22662776073321</v>
      </c>
      <c r="CT20" s="17">
        <f t="shared" si="275"/>
        <v>340.47484697794391</v>
      </c>
      <c r="CU20" s="17">
        <f t="shared" si="275"/>
        <v>385.85487381700671</v>
      </c>
      <c r="CV20" s="17">
        <f t="shared" si="275"/>
        <v>211.33082440116868</v>
      </c>
      <c r="CW20" s="17">
        <f t="shared" si="275"/>
        <v>293.20168572050238</v>
      </c>
      <c r="CX20" s="17">
        <f t="shared" si="275"/>
        <v>360.25992875895463</v>
      </c>
      <c r="CY20" s="17">
        <f t="shared" si="275"/>
        <v>396.02854980072067</v>
      </c>
      <c r="CZ20" s="17">
        <f t="shared" si="275"/>
        <v>422.2623686151988</v>
      </c>
      <c r="DA20" s="17">
        <f t="shared" si="275"/>
        <v>424.33342484034517</v>
      </c>
      <c r="DB20" s="17">
        <f t="shared" si="275"/>
        <v>456.66390600645911</v>
      </c>
      <c r="DC20" s="17">
        <f t="shared" si="275"/>
        <v>448.17209482812342</v>
      </c>
      <c r="DD20" s="17">
        <f t="shared" si="275"/>
        <v>490.91152969178108</v>
      </c>
      <c r="DE20" s="17">
        <f t="shared" si="275"/>
        <v>586.06771489076209</v>
      </c>
      <c r="DF20" s="17">
        <f t="shared" si="275"/>
        <v>609.29159445523146</v>
      </c>
      <c r="DG20" s="17">
        <f t="shared" si="275"/>
        <v>571.35974794268384</v>
      </c>
      <c r="DH20" s="17">
        <f t="shared" si="275"/>
        <v>449.86057942948435</v>
      </c>
      <c r="DI20" s="17">
        <f t="shared" si="275"/>
        <v>398.44343786372485</v>
      </c>
      <c r="DJ20" s="17">
        <f t="shared" si="275"/>
        <v>256.11155753453801</v>
      </c>
      <c r="DK20" s="17">
        <f t="shared" si="275"/>
        <v>105.42535635898814</v>
      </c>
      <c r="DL20" s="17">
        <f t="shared" si="275"/>
        <v>20.567240750496275</v>
      </c>
      <c r="DM20" s="12">
        <f t="shared" si="258"/>
        <v>7832.2233475393423</v>
      </c>
      <c r="DN20" s="12">
        <f t="shared" si="259"/>
        <v>396.4208848432063</v>
      </c>
      <c r="DO20" s="12">
        <f t="shared" si="260"/>
        <v>213.3609135545789</v>
      </c>
      <c r="DP20" s="12">
        <f t="shared" si="261"/>
        <v>2997.1272292259091</v>
      </c>
      <c r="DQ20" s="12">
        <f t="shared" si="262"/>
        <v>1801.7679198799156</v>
      </c>
      <c r="DR20" s="16">
        <f t="shared" si="263"/>
        <v>0.38266621063194267</v>
      </c>
      <c r="DS20" s="16">
        <f t="shared" si="264"/>
        <v>0.23004552346505527</v>
      </c>
      <c r="DT20" s="12">
        <f t="shared" si="265"/>
        <v>1260.8209886813463</v>
      </c>
      <c r="DX20" s="29">
        <f>DX3</f>
        <v>2025</v>
      </c>
      <c r="DY20" s="4" t="s">
        <v>21</v>
      </c>
      <c r="DZ20" s="10">
        <f t="shared" ref="DZ20:ET20" si="276">ROUND(DZ3,0)</f>
        <v>231</v>
      </c>
      <c r="EA20" s="10">
        <f t="shared" si="276"/>
        <v>267</v>
      </c>
      <c r="EB20" s="10">
        <f t="shared" si="276"/>
        <v>283</v>
      </c>
      <c r="EC20" s="10">
        <f t="shared" si="276"/>
        <v>300</v>
      </c>
      <c r="ED20" s="10">
        <f t="shared" si="276"/>
        <v>163</v>
      </c>
      <c r="EE20" s="10">
        <f t="shared" si="276"/>
        <v>283</v>
      </c>
      <c r="EF20" s="10">
        <f t="shared" si="276"/>
        <v>340</v>
      </c>
      <c r="EG20" s="10">
        <f t="shared" si="276"/>
        <v>377</v>
      </c>
      <c r="EH20" s="10">
        <f t="shared" si="276"/>
        <v>313</v>
      </c>
      <c r="EI20" s="10">
        <f t="shared" si="276"/>
        <v>319</v>
      </c>
      <c r="EJ20" s="10">
        <f t="shared" si="276"/>
        <v>337</v>
      </c>
      <c r="EK20" s="10">
        <f t="shared" si="276"/>
        <v>273</v>
      </c>
      <c r="EL20" s="10">
        <f t="shared" si="276"/>
        <v>346</v>
      </c>
      <c r="EM20" s="10">
        <f t="shared" si="276"/>
        <v>370</v>
      </c>
      <c r="EN20" s="10">
        <f t="shared" si="276"/>
        <v>438</v>
      </c>
      <c r="EO20" s="10">
        <f t="shared" si="276"/>
        <v>390</v>
      </c>
      <c r="EP20" s="10">
        <f t="shared" si="276"/>
        <v>258</v>
      </c>
      <c r="EQ20" s="10">
        <f t="shared" si="276"/>
        <v>164</v>
      </c>
      <c r="ER20" s="10">
        <f t="shared" si="276"/>
        <v>87</v>
      </c>
      <c r="ES20" s="10">
        <f t="shared" si="276"/>
        <v>19</v>
      </c>
      <c r="ET20" s="10">
        <f t="shared" si="276"/>
        <v>0</v>
      </c>
      <c r="EU20" s="10">
        <f t="shared" ref="EU20:EU21" si="277">SUM(DZ20:ET20)</f>
        <v>5558</v>
      </c>
      <c r="EV20" s="10">
        <f>EA20*3/5+EB20*3/5</f>
        <v>330</v>
      </c>
      <c r="EW20" s="10">
        <f>EB20*2/5+EC20*1/5</f>
        <v>173.2</v>
      </c>
      <c r="EX20" s="10">
        <f t="shared" ref="EX20:EX31" si="278">SUM(EM20:ET20)</f>
        <v>1726</v>
      </c>
      <c r="EY20" s="10">
        <f>SUM(EO20:ET20)</f>
        <v>918</v>
      </c>
      <c r="EZ20" s="14">
        <f>EX20/EU20</f>
        <v>0.31054336092119467</v>
      </c>
      <c r="FA20" s="14">
        <f>EY20/EU20</f>
        <v>0.16516732637639439</v>
      </c>
      <c r="FB20" s="10">
        <f>SUM(ED20:EG20)</f>
        <v>1163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203</v>
      </c>
      <c r="EA21" s="11">
        <f t="shared" si="279"/>
        <v>228</v>
      </c>
      <c r="EB21" s="11">
        <f t="shared" si="279"/>
        <v>257</v>
      </c>
      <c r="EC21" s="11">
        <f t="shared" si="279"/>
        <v>289</v>
      </c>
      <c r="ED21" s="11">
        <f t="shared" si="279"/>
        <v>150</v>
      </c>
      <c r="EE21" s="11">
        <f t="shared" si="279"/>
        <v>346</v>
      </c>
      <c r="EF21" s="11">
        <f t="shared" si="279"/>
        <v>332</v>
      </c>
      <c r="EG21" s="11">
        <f t="shared" si="279"/>
        <v>336</v>
      </c>
      <c r="EH21" s="11">
        <f t="shared" si="279"/>
        <v>333</v>
      </c>
      <c r="EI21" s="11">
        <f t="shared" si="279"/>
        <v>366</v>
      </c>
      <c r="EJ21" s="11">
        <f t="shared" si="279"/>
        <v>361</v>
      </c>
      <c r="EK21" s="11">
        <f t="shared" si="279"/>
        <v>351</v>
      </c>
      <c r="EL21" s="11">
        <f t="shared" si="279"/>
        <v>388</v>
      </c>
      <c r="EM21" s="11">
        <f t="shared" si="279"/>
        <v>455</v>
      </c>
      <c r="EN21" s="11">
        <f t="shared" si="279"/>
        <v>471</v>
      </c>
      <c r="EO21" s="11">
        <f t="shared" si="279"/>
        <v>489</v>
      </c>
      <c r="EP21" s="11">
        <f t="shared" si="279"/>
        <v>364</v>
      </c>
      <c r="EQ21" s="11">
        <f t="shared" si="279"/>
        <v>311</v>
      </c>
      <c r="ER21" s="11">
        <f t="shared" si="279"/>
        <v>204</v>
      </c>
      <c r="ES21" s="11">
        <f t="shared" si="279"/>
        <v>88</v>
      </c>
      <c r="ET21" s="11">
        <f t="shared" si="279"/>
        <v>17</v>
      </c>
      <c r="EU21" s="11">
        <f t="shared" si="277"/>
        <v>6339</v>
      </c>
      <c r="EV21" s="11">
        <f t="shared" ref="EV21:EV31" si="280">EA21*3/5+EB21*3/5</f>
        <v>291</v>
      </c>
      <c r="EW21" s="11">
        <f t="shared" ref="EW21:EW31" si="281">EB21*2/5+EC21*1/5</f>
        <v>160.6</v>
      </c>
      <c r="EX21" s="11">
        <f t="shared" si="278"/>
        <v>2399</v>
      </c>
      <c r="EY21" s="11">
        <f t="shared" ref="EY21:EY31" si="282">SUM(EO21:ET21)</f>
        <v>1473</v>
      </c>
      <c r="EZ21" s="15">
        <f t="shared" ref="EZ21:EZ31" si="283">EX21/EU21</f>
        <v>0.3784508597570595</v>
      </c>
      <c r="FA21" s="15">
        <f t="shared" ref="FA21:FA31" si="284">EY21/EU21</f>
        <v>0.23237103644107904</v>
      </c>
      <c r="FB21" s="11">
        <f>SUM(ED21:EG21)</f>
        <v>1164</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434</v>
      </c>
      <c r="EA22" s="17">
        <f t="shared" ref="EA22:ET22" si="285">EA20+EA21</f>
        <v>495</v>
      </c>
      <c r="EB22" s="17">
        <f t="shared" si="285"/>
        <v>540</v>
      </c>
      <c r="EC22" s="17">
        <f t="shared" si="285"/>
        <v>589</v>
      </c>
      <c r="ED22" s="17">
        <f t="shared" si="285"/>
        <v>313</v>
      </c>
      <c r="EE22" s="17">
        <f t="shared" si="285"/>
        <v>629</v>
      </c>
      <c r="EF22" s="17">
        <f t="shared" si="285"/>
        <v>672</v>
      </c>
      <c r="EG22" s="17">
        <f t="shared" si="285"/>
        <v>713</v>
      </c>
      <c r="EH22" s="17">
        <f t="shared" si="285"/>
        <v>646</v>
      </c>
      <c r="EI22" s="17">
        <f t="shared" si="285"/>
        <v>685</v>
      </c>
      <c r="EJ22" s="17">
        <f t="shared" si="285"/>
        <v>698</v>
      </c>
      <c r="EK22" s="17">
        <f t="shared" si="285"/>
        <v>624</v>
      </c>
      <c r="EL22" s="17">
        <f t="shared" si="285"/>
        <v>734</v>
      </c>
      <c r="EM22" s="17">
        <f t="shared" si="285"/>
        <v>825</v>
      </c>
      <c r="EN22" s="17">
        <f t="shared" si="285"/>
        <v>909</v>
      </c>
      <c r="EO22" s="17">
        <f t="shared" si="285"/>
        <v>879</v>
      </c>
      <c r="EP22" s="17">
        <f t="shared" si="285"/>
        <v>622</v>
      </c>
      <c r="EQ22" s="17">
        <f t="shared" si="285"/>
        <v>475</v>
      </c>
      <c r="ER22" s="17">
        <f t="shared" si="285"/>
        <v>291</v>
      </c>
      <c r="ES22" s="17">
        <f t="shared" si="285"/>
        <v>107</v>
      </c>
      <c r="ET22" s="17">
        <f t="shared" si="285"/>
        <v>17</v>
      </c>
      <c r="EU22" s="12">
        <f>SUM(DZ22:ET22)</f>
        <v>11897</v>
      </c>
      <c r="EV22" s="12">
        <f t="shared" si="280"/>
        <v>621</v>
      </c>
      <c r="EW22" s="12">
        <f t="shared" si="281"/>
        <v>333.8</v>
      </c>
      <c r="EX22" s="12">
        <f t="shared" si="278"/>
        <v>4125</v>
      </c>
      <c r="EY22" s="12">
        <f t="shared" si="282"/>
        <v>2391</v>
      </c>
      <c r="EZ22" s="16">
        <f t="shared" si="283"/>
        <v>0.3467260653946373</v>
      </c>
      <c r="FA22" s="16">
        <f t="shared" si="284"/>
        <v>0.20097503572329159</v>
      </c>
      <c r="FB22" s="12">
        <f>SUM(ED22:EG22)</f>
        <v>2327</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333</v>
      </c>
      <c r="EA23" s="10">
        <f t="shared" si="286"/>
        <v>234</v>
      </c>
      <c r="EB23" s="10">
        <f t="shared" si="286"/>
        <v>261</v>
      </c>
      <c r="EC23" s="10">
        <f t="shared" si="286"/>
        <v>285</v>
      </c>
      <c r="ED23" s="10">
        <f t="shared" si="286"/>
        <v>153</v>
      </c>
      <c r="EE23" s="10">
        <f t="shared" si="286"/>
        <v>297</v>
      </c>
      <c r="EF23" s="10">
        <f t="shared" si="286"/>
        <v>408</v>
      </c>
      <c r="EG23" s="10">
        <f t="shared" si="286"/>
        <v>432</v>
      </c>
      <c r="EH23" s="10">
        <f t="shared" si="286"/>
        <v>370</v>
      </c>
      <c r="EI23" s="10">
        <f t="shared" si="286"/>
        <v>307</v>
      </c>
      <c r="EJ23" s="10">
        <f t="shared" si="286"/>
        <v>317</v>
      </c>
      <c r="EK23" s="10">
        <f t="shared" si="286"/>
        <v>314</v>
      </c>
      <c r="EL23" s="10">
        <f t="shared" si="286"/>
        <v>269</v>
      </c>
      <c r="EM23" s="10">
        <f t="shared" si="286"/>
        <v>331</v>
      </c>
      <c r="EN23" s="10">
        <f t="shared" si="286"/>
        <v>352</v>
      </c>
      <c r="EO23" s="10">
        <f t="shared" si="286"/>
        <v>387</v>
      </c>
      <c r="EP23" s="10">
        <f t="shared" si="286"/>
        <v>313</v>
      </c>
      <c r="EQ23" s="10">
        <f t="shared" si="286"/>
        <v>180</v>
      </c>
      <c r="ER23" s="10">
        <f t="shared" si="286"/>
        <v>68</v>
      </c>
      <c r="ES23" s="10">
        <f t="shared" si="286"/>
        <v>23</v>
      </c>
      <c r="ET23" s="10">
        <f t="shared" si="286"/>
        <v>0</v>
      </c>
      <c r="EU23" s="10">
        <f t="shared" ref="EU23:EU31" si="287">SUM(DZ23:ET23)</f>
        <v>5634</v>
      </c>
      <c r="EV23" s="10">
        <f t="shared" si="280"/>
        <v>297</v>
      </c>
      <c r="EW23" s="10">
        <f t="shared" si="281"/>
        <v>161.4</v>
      </c>
      <c r="EX23" s="10">
        <f t="shared" si="278"/>
        <v>1654</v>
      </c>
      <c r="EY23" s="10">
        <f t="shared" si="282"/>
        <v>971</v>
      </c>
      <c r="EZ23" s="14">
        <f t="shared" si="283"/>
        <v>0.29357472488462905</v>
      </c>
      <c r="FA23" s="14">
        <f t="shared" si="284"/>
        <v>0.17234646787362443</v>
      </c>
      <c r="FB23" s="10">
        <f t="shared" ref="FB23:FB31" si="288">SUM(ED23:EG23)</f>
        <v>1290</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293</v>
      </c>
      <c r="EA24" s="11">
        <f t="shared" si="289"/>
        <v>200</v>
      </c>
      <c r="EB24" s="11">
        <f t="shared" si="289"/>
        <v>218</v>
      </c>
      <c r="EC24" s="11">
        <f t="shared" si="289"/>
        <v>258</v>
      </c>
      <c r="ED24" s="11">
        <f t="shared" si="289"/>
        <v>153</v>
      </c>
      <c r="EE24" s="11">
        <f t="shared" si="289"/>
        <v>290</v>
      </c>
      <c r="EF24" s="11">
        <f t="shared" si="289"/>
        <v>448</v>
      </c>
      <c r="EG24" s="11">
        <f t="shared" si="289"/>
        <v>403</v>
      </c>
      <c r="EH24" s="11">
        <f t="shared" si="289"/>
        <v>334</v>
      </c>
      <c r="EI24" s="11">
        <f t="shared" si="289"/>
        <v>326</v>
      </c>
      <c r="EJ24" s="11">
        <f t="shared" si="289"/>
        <v>360</v>
      </c>
      <c r="EK24" s="11">
        <f t="shared" si="289"/>
        <v>365</v>
      </c>
      <c r="EL24" s="11">
        <f t="shared" si="289"/>
        <v>348</v>
      </c>
      <c r="EM24" s="11">
        <f t="shared" si="289"/>
        <v>382</v>
      </c>
      <c r="EN24" s="11">
        <f t="shared" si="289"/>
        <v>440</v>
      </c>
      <c r="EO24" s="11">
        <f t="shared" si="289"/>
        <v>439</v>
      </c>
      <c r="EP24" s="11">
        <f t="shared" si="289"/>
        <v>437</v>
      </c>
      <c r="EQ24" s="11">
        <f t="shared" si="289"/>
        <v>288</v>
      </c>
      <c r="ER24" s="11">
        <f t="shared" si="289"/>
        <v>198</v>
      </c>
      <c r="ES24" s="11">
        <f t="shared" si="289"/>
        <v>85</v>
      </c>
      <c r="ET24" s="11">
        <f t="shared" si="289"/>
        <v>20</v>
      </c>
      <c r="EU24" s="11">
        <f t="shared" si="287"/>
        <v>6285</v>
      </c>
      <c r="EV24" s="11">
        <f t="shared" si="280"/>
        <v>250.8</v>
      </c>
      <c r="EW24" s="11">
        <f t="shared" si="281"/>
        <v>138.80000000000001</v>
      </c>
      <c r="EX24" s="11">
        <f t="shared" si="278"/>
        <v>2289</v>
      </c>
      <c r="EY24" s="11">
        <f t="shared" si="282"/>
        <v>1467</v>
      </c>
      <c r="EZ24" s="15">
        <f t="shared" si="283"/>
        <v>0.36420047732696897</v>
      </c>
      <c r="FA24" s="15">
        <f t="shared" si="284"/>
        <v>0.2334128878281623</v>
      </c>
      <c r="FB24" s="11">
        <f t="shared" si="288"/>
        <v>1294</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626</v>
      </c>
      <c r="EA25" s="17">
        <f t="shared" ref="EA25:ET25" si="290">EA23+EA24</f>
        <v>434</v>
      </c>
      <c r="EB25" s="17">
        <f t="shared" si="290"/>
        <v>479</v>
      </c>
      <c r="EC25" s="17">
        <f t="shared" si="290"/>
        <v>543</v>
      </c>
      <c r="ED25" s="17">
        <f t="shared" si="290"/>
        <v>306</v>
      </c>
      <c r="EE25" s="17">
        <f t="shared" si="290"/>
        <v>587</v>
      </c>
      <c r="EF25" s="17">
        <f t="shared" si="290"/>
        <v>856</v>
      </c>
      <c r="EG25" s="17">
        <f t="shared" si="290"/>
        <v>835</v>
      </c>
      <c r="EH25" s="17">
        <f t="shared" si="290"/>
        <v>704</v>
      </c>
      <c r="EI25" s="17">
        <f t="shared" si="290"/>
        <v>633</v>
      </c>
      <c r="EJ25" s="17">
        <f t="shared" si="290"/>
        <v>677</v>
      </c>
      <c r="EK25" s="17">
        <f t="shared" si="290"/>
        <v>679</v>
      </c>
      <c r="EL25" s="17">
        <f t="shared" si="290"/>
        <v>617</v>
      </c>
      <c r="EM25" s="17">
        <f t="shared" si="290"/>
        <v>713</v>
      </c>
      <c r="EN25" s="17">
        <f t="shared" si="290"/>
        <v>792</v>
      </c>
      <c r="EO25" s="17">
        <f t="shared" si="290"/>
        <v>826</v>
      </c>
      <c r="EP25" s="17">
        <f t="shared" si="290"/>
        <v>750</v>
      </c>
      <c r="EQ25" s="17">
        <f t="shared" si="290"/>
        <v>468</v>
      </c>
      <c r="ER25" s="17">
        <f t="shared" si="290"/>
        <v>266</v>
      </c>
      <c r="ES25" s="17">
        <f t="shared" si="290"/>
        <v>108</v>
      </c>
      <c r="ET25" s="17">
        <f t="shared" si="290"/>
        <v>20</v>
      </c>
      <c r="EU25" s="12">
        <f t="shared" si="287"/>
        <v>11919</v>
      </c>
      <c r="EV25" s="12">
        <f t="shared" si="280"/>
        <v>547.79999999999995</v>
      </c>
      <c r="EW25" s="12">
        <f t="shared" si="281"/>
        <v>300.2</v>
      </c>
      <c r="EX25" s="12">
        <f t="shared" si="278"/>
        <v>3943</v>
      </c>
      <c r="EY25" s="12">
        <f t="shared" si="282"/>
        <v>2438</v>
      </c>
      <c r="EZ25" s="16">
        <f t="shared" si="283"/>
        <v>0.33081634365299101</v>
      </c>
      <c r="FA25" s="16">
        <f t="shared" si="284"/>
        <v>0.20454736135581844</v>
      </c>
      <c r="FB25" s="12">
        <f t="shared" si="288"/>
        <v>2584</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344</v>
      </c>
      <c r="EA26" s="10">
        <f t="shared" si="291"/>
        <v>337</v>
      </c>
      <c r="EB26" s="10">
        <f t="shared" si="291"/>
        <v>229</v>
      </c>
      <c r="EC26" s="10">
        <f t="shared" si="291"/>
        <v>264</v>
      </c>
      <c r="ED26" s="10">
        <f t="shared" si="291"/>
        <v>145</v>
      </c>
      <c r="EE26" s="10">
        <f t="shared" si="291"/>
        <v>284</v>
      </c>
      <c r="EF26" s="10">
        <f t="shared" si="291"/>
        <v>424</v>
      </c>
      <c r="EG26" s="10">
        <f t="shared" si="291"/>
        <v>500</v>
      </c>
      <c r="EH26" s="10">
        <f t="shared" si="291"/>
        <v>424</v>
      </c>
      <c r="EI26" s="10">
        <f t="shared" si="291"/>
        <v>363</v>
      </c>
      <c r="EJ26" s="10">
        <f t="shared" si="291"/>
        <v>305</v>
      </c>
      <c r="EK26" s="10">
        <f t="shared" si="291"/>
        <v>295</v>
      </c>
      <c r="EL26" s="10">
        <f t="shared" si="291"/>
        <v>309</v>
      </c>
      <c r="EM26" s="10">
        <f t="shared" si="291"/>
        <v>258</v>
      </c>
      <c r="EN26" s="10">
        <f t="shared" si="291"/>
        <v>315</v>
      </c>
      <c r="EO26" s="10">
        <f t="shared" si="291"/>
        <v>311</v>
      </c>
      <c r="EP26" s="10">
        <f t="shared" si="291"/>
        <v>311</v>
      </c>
      <c r="EQ26" s="10">
        <f t="shared" si="291"/>
        <v>218</v>
      </c>
      <c r="ER26" s="10">
        <f t="shared" si="291"/>
        <v>75</v>
      </c>
      <c r="ES26" s="10">
        <f t="shared" si="291"/>
        <v>18</v>
      </c>
      <c r="ET26" s="10">
        <f t="shared" si="291"/>
        <v>0</v>
      </c>
      <c r="EU26" s="10">
        <f t="shared" si="287"/>
        <v>5729</v>
      </c>
      <c r="EV26" s="10">
        <f t="shared" si="280"/>
        <v>339.6</v>
      </c>
      <c r="EW26" s="10">
        <f t="shared" si="281"/>
        <v>144.39999999999998</v>
      </c>
      <c r="EX26" s="10">
        <f t="shared" si="278"/>
        <v>1506</v>
      </c>
      <c r="EY26" s="10">
        <f t="shared" si="282"/>
        <v>933</v>
      </c>
      <c r="EZ26" s="14">
        <f t="shared" si="283"/>
        <v>0.26287310176296036</v>
      </c>
      <c r="FA26" s="14">
        <f t="shared" si="284"/>
        <v>0.16285564670972247</v>
      </c>
      <c r="FB26" s="10">
        <f t="shared" si="288"/>
        <v>1353</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302</v>
      </c>
      <c r="EA27" s="11">
        <f t="shared" si="292"/>
        <v>288</v>
      </c>
      <c r="EB27" s="11">
        <f t="shared" si="292"/>
        <v>191</v>
      </c>
      <c r="EC27" s="11">
        <f t="shared" si="292"/>
        <v>219</v>
      </c>
      <c r="ED27" s="11">
        <f t="shared" si="292"/>
        <v>137</v>
      </c>
      <c r="EE27" s="11">
        <f t="shared" si="292"/>
        <v>294</v>
      </c>
      <c r="EF27" s="11">
        <f t="shared" si="292"/>
        <v>390</v>
      </c>
      <c r="EG27" s="11">
        <f t="shared" si="292"/>
        <v>513</v>
      </c>
      <c r="EH27" s="11">
        <f t="shared" si="292"/>
        <v>400</v>
      </c>
      <c r="EI27" s="11">
        <f t="shared" si="292"/>
        <v>327</v>
      </c>
      <c r="EJ27" s="11">
        <f t="shared" si="292"/>
        <v>321</v>
      </c>
      <c r="EK27" s="11">
        <f t="shared" si="292"/>
        <v>364</v>
      </c>
      <c r="EL27" s="11">
        <f t="shared" si="292"/>
        <v>363</v>
      </c>
      <c r="EM27" s="11">
        <f t="shared" si="292"/>
        <v>343</v>
      </c>
      <c r="EN27" s="11">
        <f t="shared" si="292"/>
        <v>370</v>
      </c>
      <c r="EO27" s="11">
        <f t="shared" si="292"/>
        <v>410</v>
      </c>
      <c r="EP27" s="11">
        <f t="shared" si="292"/>
        <v>392</v>
      </c>
      <c r="EQ27" s="11">
        <f t="shared" si="292"/>
        <v>345</v>
      </c>
      <c r="ER27" s="11">
        <f t="shared" si="292"/>
        <v>183</v>
      </c>
      <c r="ES27" s="11">
        <f t="shared" si="292"/>
        <v>82</v>
      </c>
      <c r="ET27" s="11">
        <f t="shared" si="292"/>
        <v>19</v>
      </c>
      <c r="EU27" s="11">
        <f t="shared" si="287"/>
        <v>6253</v>
      </c>
      <c r="EV27" s="11">
        <f t="shared" si="280"/>
        <v>287.39999999999998</v>
      </c>
      <c r="EW27" s="11">
        <f t="shared" si="281"/>
        <v>120.2</v>
      </c>
      <c r="EX27" s="11">
        <f t="shared" si="278"/>
        <v>2144</v>
      </c>
      <c r="EY27" s="11">
        <f t="shared" si="282"/>
        <v>1431</v>
      </c>
      <c r="EZ27" s="15">
        <f t="shared" si="283"/>
        <v>0.34287541979849673</v>
      </c>
      <c r="FA27" s="15">
        <f t="shared" si="284"/>
        <v>0.228850151927075</v>
      </c>
      <c r="FB27" s="11">
        <f t="shared" si="288"/>
        <v>1334</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646</v>
      </c>
      <c r="EA28" s="17">
        <f t="shared" ref="EA28:ET28" si="293">EA26+EA27</f>
        <v>625</v>
      </c>
      <c r="EB28" s="17">
        <f t="shared" si="293"/>
        <v>420</v>
      </c>
      <c r="EC28" s="17">
        <f t="shared" si="293"/>
        <v>483</v>
      </c>
      <c r="ED28" s="17">
        <f t="shared" si="293"/>
        <v>282</v>
      </c>
      <c r="EE28" s="17">
        <f t="shared" si="293"/>
        <v>578</v>
      </c>
      <c r="EF28" s="17">
        <f t="shared" si="293"/>
        <v>814</v>
      </c>
      <c r="EG28" s="17">
        <f t="shared" si="293"/>
        <v>1013</v>
      </c>
      <c r="EH28" s="17">
        <f t="shared" si="293"/>
        <v>824</v>
      </c>
      <c r="EI28" s="17">
        <f t="shared" si="293"/>
        <v>690</v>
      </c>
      <c r="EJ28" s="17">
        <f t="shared" si="293"/>
        <v>626</v>
      </c>
      <c r="EK28" s="17">
        <f t="shared" si="293"/>
        <v>659</v>
      </c>
      <c r="EL28" s="17">
        <f t="shared" si="293"/>
        <v>672</v>
      </c>
      <c r="EM28" s="17">
        <f t="shared" si="293"/>
        <v>601</v>
      </c>
      <c r="EN28" s="17">
        <f t="shared" si="293"/>
        <v>685</v>
      </c>
      <c r="EO28" s="17">
        <f t="shared" si="293"/>
        <v>721</v>
      </c>
      <c r="EP28" s="17">
        <f t="shared" si="293"/>
        <v>703</v>
      </c>
      <c r="EQ28" s="17">
        <f t="shared" si="293"/>
        <v>563</v>
      </c>
      <c r="ER28" s="17">
        <f t="shared" si="293"/>
        <v>258</v>
      </c>
      <c r="ES28" s="17">
        <f t="shared" si="293"/>
        <v>100</v>
      </c>
      <c r="ET28" s="17">
        <f t="shared" si="293"/>
        <v>19</v>
      </c>
      <c r="EU28" s="12">
        <f t="shared" si="287"/>
        <v>11982</v>
      </c>
      <c r="EV28" s="12">
        <f t="shared" si="280"/>
        <v>627</v>
      </c>
      <c r="EW28" s="12">
        <f t="shared" si="281"/>
        <v>264.60000000000002</v>
      </c>
      <c r="EX28" s="12">
        <f t="shared" si="278"/>
        <v>3650</v>
      </c>
      <c r="EY28" s="12">
        <f t="shared" si="282"/>
        <v>2364</v>
      </c>
      <c r="EZ28" s="16">
        <f t="shared" si="283"/>
        <v>0.30462360206977135</v>
      </c>
      <c r="FA28" s="16">
        <f t="shared" si="284"/>
        <v>0.19729594391587382</v>
      </c>
      <c r="FB28" s="12">
        <f t="shared" si="288"/>
        <v>2687</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320</v>
      </c>
      <c r="EA29" s="10">
        <f t="shared" si="294"/>
        <v>348</v>
      </c>
      <c r="EB29" s="10">
        <f t="shared" si="294"/>
        <v>331</v>
      </c>
      <c r="EC29" s="10">
        <f t="shared" si="294"/>
        <v>231</v>
      </c>
      <c r="ED29" s="10">
        <f t="shared" si="294"/>
        <v>134</v>
      </c>
      <c r="EE29" s="10">
        <f t="shared" si="294"/>
        <v>274</v>
      </c>
      <c r="EF29" s="10">
        <f t="shared" si="294"/>
        <v>408</v>
      </c>
      <c r="EG29" s="10">
        <f t="shared" si="294"/>
        <v>516</v>
      </c>
      <c r="EH29" s="10">
        <f t="shared" si="294"/>
        <v>491</v>
      </c>
      <c r="EI29" s="10">
        <f t="shared" si="294"/>
        <v>416</v>
      </c>
      <c r="EJ29" s="10">
        <f t="shared" si="294"/>
        <v>360</v>
      </c>
      <c r="EK29" s="10">
        <f t="shared" si="294"/>
        <v>283</v>
      </c>
      <c r="EL29" s="10">
        <f t="shared" si="294"/>
        <v>291</v>
      </c>
      <c r="EM29" s="10">
        <f t="shared" si="294"/>
        <v>296</v>
      </c>
      <c r="EN29" s="10">
        <f t="shared" si="294"/>
        <v>245</v>
      </c>
      <c r="EO29" s="10">
        <f t="shared" si="294"/>
        <v>278</v>
      </c>
      <c r="EP29" s="10">
        <f t="shared" si="294"/>
        <v>250</v>
      </c>
      <c r="EQ29" s="10">
        <f t="shared" si="294"/>
        <v>217</v>
      </c>
      <c r="ER29" s="10">
        <f t="shared" si="294"/>
        <v>91</v>
      </c>
      <c r="ES29" s="10">
        <f t="shared" si="294"/>
        <v>20</v>
      </c>
      <c r="ET29" s="10">
        <f t="shared" si="294"/>
        <v>0</v>
      </c>
      <c r="EU29" s="10">
        <f t="shared" si="287"/>
        <v>5800</v>
      </c>
      <c r="EV29" s="10">
        <f t="shared" si="280"/>
        <v>407.4</v>
      </c>
      <c r="EW29" s="10">
        <f t="shared" si="281"/>
        <v>178.60000000000002</v>
      </c>
      <c r="EX29" s="10">
        <f t="shared" si="278"/>
        <v>1397</v>
      </c>
      <c r="EY29" s="10">
        <f t="shared" si="282"/>
        <v>856</v>
      </c>
      <c r="EZ29" s="14">
        <f t="shared" si="283"/>
        <v>0.24086206896551723</v>
      </c>
      <c r="FA29" s="14">
        <f t="shared" si="284"/>
        <v>0.14758620689655172</v>
      </c>
      <c r="FB29" s="10">
        <f t="shared" si="288"/>
        <v>1332</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281</v>
      </c>
      <c r="EA30" s="11">
        <f t="shared" si="295"/>
        <v>297</v>
      </c>
      <c r="EB30" s="11">
        <f t="shared" si="295"/>
        <v>276</v>
      </c>
      <c r="EC30" s="11">
        <f t="shared" si="295"/>
        <v>192</v>
      </c>
      <c r="ED30" s="11">
        <f t="shared" si="295"/>
        <v>116</v>
      </c>
      <c r="EE30" s="11">
        <f t="shared" si="295"/>
        <v>273</v>
      </c>
      <c r="EF30" s="11">
        <f t="shared" si="295"/>
        <v>395</v>
      </c>
      <c r="EG30" s="11">
        <f t="shared" si="295"/>
        <v>458</v>
      </c>
      <c r="EH30" s="11">
        <f t="shared" si="295"/>
        <v>509</v>
      </c>
      <c r="EI30" s="11">
        <f t="shared" si="295"/>
        <v>392</v>
      </c>
      <c r="EJ30" s="11">
        <f t="shared" si="295"/>
        <v>322</v>
      </c>
      <c r="EK30" s="11">
        <f t="shared" si="295"/>
        <v>324</v>
      </c>
      <c r="EL30" s="11">
        <f t="shared" si="295"/>
        <v>362</v>
      </c>
      <c r="EM30" s="11">
        <f t="shared" si="295"/>
        <v>358</v>
      </c>
      <c r="EN30" s="11">
        <f t="shared" si="295"/>
        <v>332</v>
      </c>
      <c r="EO30" s="11">
        <f t="shared" si="295"/>
        <v>345</v>
      </c>
      <c r="EP30" s="11">
        <f t="shared" si="295"/>
        <v>366</v>
      </c>
      <c r="EQ30" s="11">
        <f t="shared" si="295"/>
        <v>309</v>
      </c>
      <c r="ER30" s="11">
        <f t="shared" si="295"/>
        <v>219</v>
      </c>
      <c r="ES30" s="11">
        <f t="shared" si="295"/>
        <v>76</v>
      </c>
      <c r="ET30" s="11">
        <f t="shared" si="295"/>
        <v>18</v>
      </c>
      <c r="EU30" s="11">
        <f t="shared" si="287"/>
        <v>6220</v>
      </c>
      <c r="EV30" s="11">
        <f t="shared" si="280"/>
        <v>343.79999999999995</v>
      </c>
      <c r="EW30" s="11">
        <f t="shared" si="281"/>
        <v>148.80000000000001</v>
      </c>
      <c r="EX30" s="11">
        <f t="shared" si="278"/>
        <v>2023</v>
      </c>
      <c r="EY30" s="11">
        <f t="shared" si="282"/>
        <v>1333</v>
      </c>
      <c r="EZ30" s="15">
        <f t="shared" si="283"/>
        <v>0.32524115755627009</v>
      </c>
      <c r="FA30" s="15">
        <f t="shared" si="284"/>
        <v>0.21430868167202571</v>
      </c>
      <c r="FB30" s="11">
        <f t="shared" si="288"/>
        <v>1242</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601</v>
      </c>
      <c r="EA31" s="17">
        <f t="shared" ref="EA31:ET31" si="296">EA29+EA30</f>
        <v>645</v>
      </c>
      <c r="EB31" s="17">
        <f t="shared" si="296"/>
        <v>607</v>
      </c>
      <c r="EC31" s="17">
        <f t="shared" si="296"/>
        <v>423</v>
      </c>
      <c r="ED31" s="17">
        <f t="shared" si="296"/>
        <v>250</v>
      </c>
      <c r="EE31" s="17">
        <f t="shared" si="296"/>
        <v>547</v>
      </c>
      <c r="EF31" s="17">
        <f t="shared" si="296"/>
        <v>803</v>
      </c>
      <c r="EG31" s="17">
        <f t="shared" si="296"/>
        <v>974</v>
      </c>
      <c r="EH31" s="17">
        <f t="shared" si="296"/>
        <v>1000</v>
      </c>
      <c r="EI31" s="17">
        <f t="shared" si="296"/>
        <v>808</v>
      </c>
      <c r="EJ31" s="17">
        <f t="shared" si="296"/>
        <v>682</v>
      </c>
      <c r="EK31" s="17">
        <f t="shared" si="296"/>
        <v>607</v>
      </c>
      <c r="EL31" s="17">
        <f t="shared" si="296"/>
        <v>653</v>
      </c>
      <c r="EM31" s="17">
        <f t="shared" si="296"/>
        <v>654</v>
      </c>
      <c r="EN31" s="17">
        <f t="shared" si="296"/>
        <v>577</v>
      </c>
      <c r="EO31" s="17">
        <f t="shared" si="296"/>
        <v>623</v>
      </c>
      <c r="EP31" s="17">
        <f t="shared" si="296"/>
        <v>616</v>
      </c>
      <c r="EQ31" s="17">
        <f t="shared" si="296"/>
        <v>526</v>
      </c>
      <c r="ER31" s="17">
        <f t="shared" si="296"/>
        <v>310</v>
      </c>
      <c r="ES31" s="17">
        <f t="shared" si="296"/>
        <v>96</v>
      </c>
      <c r="ET31" s="17">
        <f t="shared" si="296"/>
        <v>18</v>
      </c>
      <c r="EU31" s="12">
        <f t="shared" si="287"/>
        <v>12020</v>
      </c>
      <c r="EV31" s="12">
        <f t="shared" si="280"/>
        <v>751.2</v>
      </c>
      <c r="EW31" s="12">
        <f t="shared" si="281"/>
        <v>327.39999999999998</v>
      </c>
      <c r="EX31" s="12">
        <f t="shared" si="278"/>
        <v>3420</v>
      </c>
      <c r="EY31" s="12">
        <f t="shared" si="282"/>
        <v>2189</v>
      </c>
      <c r="EZ31" s="16">
        <f t="shared" si="283"/>
        <v>0.28452579034941766</v>
      </c>
      <c r="FA31" s="16">
        <f t="shared" si="284"/>
        <v>0.18211314475873544</v>
      </c>
      <c r="FB31" s="12">
        <f t="shared" si="288"/>
        <v>2574</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5990</v>
      </c>
      <c r="D4" s="18">
        <f>SUM(C41:C61)</f>
        <v>7142</v>
      </c>
      <c r="E4" s="18">
        <f>C4+D4</f>
        <v>13132</v>
      </c>
      <c r="F4" s="91"/>
      <c r="G4" s="1" t="s">
        <v>58</v>
      </c>
      <c r="H4" s="1">
        <f>B4</f>
        <v>2010</v>
      </c>
      <c r="I4" s="18">
        <f>C4</f>
        <v>5990</v>
      </c>
      <c r="J4" s="18">
        <f>D4</f>
        <v>7142</v>
      </c>
      <c r="K4" s="18">
        <f>I4+J4</f>
        <v>13132</v>
      </c>
      <c r="N4" s="1" t="s">
        <v>58</v>
      </c>
      <c r="O4" s="1">
        <f>H4</f>
        <v>2010</v>
      </c>
      <c r="P4" s="18">
        <f>I4</f>
        <v>5990</v>
      </c>
      <c r="Q4" s="18">
        <f t="shared" ref="Q4:R4" si="0">J4</f>
        <v>7142</v>
      </c>
      <c r="R4" s="18">
        <f t="shared" si="0"/>
        <v>13132</v>
      </c>
      <c r="S4" s="1"/>
      <c r="T4" s="1"/>
      <c r="U4" s="1"/>
    </row>
    <row r="5" spans="1:21" x14ac:dyDescent="0.15">
      <c r="A5" s="1" t="s">
        <v>61</v>
      </c>
      <c r="B5" s="1">
        <f>管理者入力シート!B6</f>
        <v>2015</v>
      </c>
      <c r="C5" s="18">
        <f>SUM(B65:B85)</f>
        <v>5773</v>
      </c>
      <c r="D5" s="18">
        <f>SUM(C65:C85)</f>
        <v>6845</v>
      </c>
      <c r="E5" s="18">
        <f t="shared" ref="E5" si="1">C5+D5</f>
        <v>12618</v>
      </c>
      <c r="F5" s="91"/>
      <c r="G5" s="1" t="s">
        <v>57</v>
      </c>
      <c r="H5" s="1">
        <f t="shared" ref="H5:H6" si="2">B5</f>
        <v>2015</v>
      </c>
      <c r="I5" s="18">
        <f t="shared" ref="I5" si="3">C5</f>
        <v>5773</v>
      </c>
      <c r="J5" s="18">
        <f>D5</f>
        <v>6845</v>
      </c>
      <c r="K5" s="18">
        <f t="shared" ref="K5:K10" si="4">I5+J5</f>
        <v>12618</v>
      </c>
      <c r="N5" s="1" t="s">
        <v>57</v>
      </c>
      <c r="O5" s="1">
        <f t="shared" ref="O5:O10" si="5">H5</f>
        <v>2015</v>
      </c>
      <c r="P5" s="18">
        <f t="shared" ref="P5:P10" si="6">I5</f>
        <v>5773</v>
      </c>
      <c r="Q5" s="18">
        <f t="shared" ref="Q5:Q10" si="7">J5</f>
        <v>6845</v>
      </c>
      <c r="R5" s="18">
        <f t="shared" ref="R5:R10" si="8">K5</f>
        <v>12618</v>
      </c>
      <c r="S5" s="1"/>
      <c r="T5" s="1"/>
      <c r="U5" s="1"/>
    </row>
    <row r="6" spans="1:21" x14ac:dyDescent="0.15">
      <c r="A6" s="1" t="s">
        <v>62</v>
      </c>
      <c r="B6" s="1">
        <f>管理者入力シート!B5</f>
        <v>2020</v>
      </c>
      <c r="C6" s="18">
        <f>SUM(B89:B109)</f>
        <v>5601</v>
      </c>
      <c r="D6" s="18">
        <f>SUM(C89:C109)</f>
        <v>6478</v>
      </c>
      <c r="E6" s="18">
        <f>C6+D6</f>
        <v>12079</v>
      </c>
      <c r="F6" s="91"/>
      <c r="G6" s="1" t="s">
        <v>62</v>
      </c>
      <c r="H6" s="1">
        <f t="shared" si="2"/>
        <v>2020</v>
      </c>
      <c r="I6" s="18">
        <f>C6</f>
        <v>5601</v>
      </c>
      <c r="J6" s="18">
        <f>D6</f>
        <v>6478</v>
      </c>
      <c r="K6" s="18">
        <f t="shared" si="4"/>
        <v>12079</v>
      </c>
      <c r="N6" s="1" t="s">
        <v>62</v>
      </c>
      <c r="O6" s="1">
        <f t="shared" si="5"/>
        <v>2020</v>
      </c>
      <c r="P6" s="18">
        <f t="shared" si="6"/>
        <v>5601</v>
      </c>
      <c r="Q6" s="18">
        <f t="shared" si="7"/>
        <v>6478</v>
      </c>
      <c r="R6" s="18">
        <f t="shared" si="8"/>
        <v>12079</v>
      </c>
      <c r="S6" s="1"/>
      <c r="T6" s="1"/>
      <c r="U6" s="1"/>
    </row>
    <row r="7" spans="1:21" x14ac:dyDescent="0.15">
      <c r="G7" s="1" t="s">
        <v>106</v>
      </c>
      <c r="H7" s="1">
        <f>管理者入力シート!B8</f>
        <v>2025</v>
      </c>
      <c r="I7" s="18">
        <f>SUM(H69:H89)</f>
        <v>5291</v>
      </c>
      <c r="J7" s="18">
        <f>SUM(I69:I89)</f>
        <v>6072</v>
      </c>
      <c r="K7" s="18">
        <f t="shared" si="4"/>
        <v>11363</v>
      </c>
      <c r="N7" s="1" t="s">
        <v>106</v>
      </c>
      <c r="O7" s="1">
        <f t="shared" si="5"/>
        <v>2025</v>
      </c>
      <c r="P7" s="18">
        <f t="shared" si="6"/>
        <v>5291</v>
      </c>
      <c r="Q7" s="18">
        <f t="shared" si="7"/>
        <v>6072</v>
      </c>
      <c r="R7" s="18">
        <f t="shared" si="8"/>
        <v>11363</v>
      </c>
      <c r="S7" s="257">
        <f>SUM(O69:O89)</f>
        <v>5295</v>
      </c>
      <c r="T7" s="257">
        <f>SUM(P69:P89)</f>
        <v>6077</v>
      </c>
      <c r="U7" s="257">
        <f>S7+T7</f>
        <v>11372</v>
      </c>
    </row>
    <row r="8" spans="1:21" x14ac:dyDescent="0.15">
      <c r="A8" s="75" t="s">
        <v>71</v>
      </c>
      <c r="G8" s="1" t="s">
        <v>107</v>
      </c>
      <c r="H8" s="1">
        <f>管理者入力シート!B9</f>
        <v>2030</v>
      </c>
      <c r="I8" s="18">
        <f>SUM(H93:H113)</f>
        <v>4976</v>
      </c>
      <c r="J8" s="18">
        <f>SUM(I93:I113)</f>
        <v>5654</v>
      </c>
      <c r="K8" s="18">
        <f t="shared" si="4"/>
        <v>10630</v>
      </c>
      <c r="N8" s="1" t="s">
        <v>107</v>
      </c>
      <c r="O8" s="1">
        <f t="shared" si="5"/>
        <v>2030</v>
      </c>
      <c r="P8" s="18">
        <f t="shared" si="6"/>
        <v>4976</v>
      </c>
      <c r="Q8" s="18">
        <f t="shared" si="7"/>
        <v>5654</v>
      </c>
      <c r="R8" s="18">
        <f t="shared" si="8"/>
        <v>10630</v>
      </c>
      <c r="S8" s="257">
        <f>SUM(O93:O113)</f>
        <v>4985</v>
      </c>
      <c r="T8" s="257">
        <f>SUM(P93:P113)</f>
        <v>5664</v>
      </c>
      <c r="U8" s="257">
        <f t="shared" ref="U8:U10" si="9">S8+T8</f>
        <v>10649</v>
      </c>
    </row>
    <row r="9" spans="1:21" x14ac:dyDescent="0.15">
      <c r="A9" s="2" t="s">
        <v>72</v>
      </c>
      <c r="G9" s="1" t="s">
        <v>108</v>
      </c>
      <c r="H9" s="1">
        <f>管理者入力シート!B10</f>
        <v>2035</v>
      </c>
      <c r="I9" s="18">
        <f>SUM(H117:H137)</f>
        <v>4658</v>
      </c>
      <c r="J9" s="18">
        <f>SUM(I117:I137)</f>
        <v>5245</v>
      </c>
      <c r="K9" s="18">
        <f t="shared" si="4"/>
        <v>9903</v>
      </c>
      <c r="N9" s="1" t="s">
        <v>108</v>
      </c>
      <c r="O9" s="1">
        <f t="shared" si="5"/>
        <v>2035</v>
      </c>
      <c r="P9" s="18">
        <f t="shared" si="6"/>
        <v>4658</v>
      </c>
      <c r="Q9" s="18">
        <f t="shared" si="7"/>
        <v>5245</v>
      </c>
      <c r="R9" s="18">
        <f t="shared" si="8"/>
        <v>9903</v>
      </c>
      <c r="S9" s="257">
        <f>SUM(O117:O137)</f>
        <v>4673</v>
      </c>
      <c r="T9" s="257">
        <f>SUM(P117:P137)</f>
        <v>5262</v>
      </c>
      <c r="U9" s="257">
        <f t="shared" si="9"/>
        <v>9935</v>
      </c>
    </row>
    <row r="10" spans="1:21" x14ac:dyDescent="0.15">
      <c r="A10" s="1" t="s">
        <v>58</v>
      </c>
      <c r="B10" s="1">
        <f>B4</f>
        <v>2010</v>
      </c>
      <c r="C10" s="18">
        <f>ROUND(VLOOKUP(B10&amp;"_3",管理者用人口入力シート!A:AA,26,FALSE),0)</f>
        <v>742</v>
      </c>
      <c r="D10" s="13"/>
      <c r="E10" s="13"/>
      <c r="G10" s="1" t="s">
        <v>109</v>
      </c>
      <c r="H10" s="1">
        <f>管理者入力シート!B11</f>
        <v>2040</v>
      </c>
      <c r="I10" s="18">
        <f>SUM(H141:H161)</f>
        <v>4320</v>
      </c>
      <c r="J10" s="18">
        <f>SUM(I141:I161)</f>
        <v>4841</v>
      </c>
      <c r="K10" s="18">
        <f t="shared" si="4"/>
        <v>9161</v>
      </c>
      <c r="N10" s="1" t="s">
        <v>109</v>
      </c>
      <c r="O10" s="1">
        <f t="shared" si="5"/>
        <v>2040</v>
      </c>
      <c r="P10" s="18">
        <f t="shared" si="6"/>
        <v>4320</v>
      </c>
      <c r="Q10" s="18">
        <f t="shared" si="7"/>
        <v>4841</v>
      </c>
      <c r="R10" s="18">
        <f t="shared" si="8"/>
        <v>9161</v>
      </c>
      <c r="S10" s="257">
        <f>SUM(O141:O161)</f>
        <v>4342</v>
      </c>
      <c r="T10" s="257">
        <f>SUM(P141:P161)</f>
        <v>4864</v>
      </c>
      <c r="U10" s="257">
        <f t="shared" si="9"/>
        <v>9206</v>
      </c>
    </row>
    <row r="11" spans="1:21" x14ac:dyDescent="0.15">
      <c r="A11" s="1" t="s">
        <v>61</v>
      </c>
      <c r="B11" s="1">
        <f t="shared" ref="B11:B12" si="10">B5</f>
        <v>2015</v>
      </c>
      <c r="C11" s="18">
        <f>ROUND(VLOOKUP(B11&amp;"_3",管理者用人口入力シート!A:AA,26,FALSE),0)</f>
        <v>724</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685</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390</v>
      </c>
      <c r="D14" s="13"/>
      <c r="E14" s="13"/>
      <c r="G14" s="1" t="s">
        <v>58</v>
      </c>
      <c r="H14" s="1">
        <f>H4</f>
        <v>2010</v>
      </c>
      <c r="I14" s="18">
        <f>C10</f>
        <v>742</v>
      </c>
      <c r="J14" s="13"/>
      <c r="K14" s="13"/>
      <c r="N14" s="1" t="s">
        <v>58</v>
      </c>
      <c r="O14" s="1">
        <f>O4</f>
        <v>2010</v>
      </c>
      <c r="P14" s="18">
        <f>I14</f>
        <v>742</v>
      </c>
      <c r="Q14" s="18"/>
    </row>
    <row r="15" spans="1:21" x14ac:dyDescent="0.15">
      <c r="A15" s="1" t="s">
        <v>61</v>
      </c>
      <c r="B15" s="1">
        <f t="shared" ref="B15:B16" si="11">B5</f>
        <v>2015</v>
      </c>
      <c r="C15" s="18">
        <f>ROUND(VLOOKUP(B15&amp;"_3",管理者用人口入力シート!A:AA,27,FALSE),0)</f>
        <v>365</v>
      </c>
      <c r="D15" s="13"/>
      <c r="E15" s="13"/>
      <c r="G15" s="1" t="s">
        <v>57</v>
      </c>
      <c r="H15" s="1">
        <f t="shared" ref="H15:H20" si="12">H5</f>
        <v>2015</v>
      </c>
      <c r="I15" s="18">
        <f>C11</f>
        <v>724</v>
      </c>
      <c r="J15" s="13"/>
      <c r="K15" s="13"/>
      <c r="N15" s="1" t="s">
        <v>57</v>
      </c>
      <c r="O15" s="1">
        <f t="shared" ref="O15:O20" si="13">O5</f>
        <v>2015</v>
      </c>
      <c r="P15" s="18">
        <f t="shared" ref="P15:P20" si="14">I15</f>
        <v>724</v>
      </c>
      <c r="Q15" s="18"/>
    </row>
    <row r="16" spans="1:21" x14ac:dyDescent="0.15">
      <c r="A16" s="1" t="s">
        <v>62</v>
      </c>
      <c r="B16" s="1">
        <f t="shared" si="11"/>
        <v>2020</v>
      </c>
      <c r="C16" s="18">
        <f>ROUND(VLOOKUP(B16&amp;"_3",管理者用人口入力シート!A:AA,27,FALSE),0)</f>
        <v>355</v>
      </c>
      <c r="D16" s="13"/>
      <c r="E16" s="13"/>
      <c r="G16" s="1" t="s">
        <v>62</v>
      </c>
      <c r="H16" s="1">
        <f t="shared" si="12"/>
        <v>2020</v>
      </c>
      <c r="I16" s="18">
        <f>C12</f>
        <v>685</v>
      </c>
      <c r="J16" s="13"/>
      <c r="K16" s="13"/>
      <c r="N16" s="1" t="s">
        <v>62</v>
      </c>
      <c r="O16" s="1">
        <f t="shared" si="13"/>
        <v>2020</v>
      </c>
      <c r="P16" s="18">
        <f t="shared" si="14"/>
        <v>685</v>
      </c>
      <c r="Q16" s="18"/>
    </row>
    <row r="17" spans="1:17" x14ac:dyDescent="0.15">
      <c r="G17" s="1" t="s">
        <v>106</v>
      </c>
      <c r="H17" s="1">
        <f t="shared" si="12"/>
        <v>2025</v>
      </c>
      <c r="I17" s="18">
        <f>ROUND(VLOOKUP(H17&amp;"_3",管理者用人口入力シート!BH:CM,26,FALSE),0)</f>
        <v>621</v>
      </c>
      <c r="J17" s="13"/>
      <c r="K17" s="13"/>
      <c r="N17" s="1" t="s">
        <v>106</v>
      </c>
      <c r="O17" s="1">
        <f t="shared" si="13"/>
        <v>2025</v>
      </c>
      <c r="P17" s="18">
        <f t="shared" si="14"/>
        <v>621</v>
      </c>
      <c r="Q17" s="18">
        <f>ROUND(VLOOKUP(H17&amp;"_3",管理者用人口入力シート!CO:DT,26,FALSE),0)</f>
        <v>622</v>
      </c>
    </row>
    <row r="18" spans="1:17" x14ac:dyDescent="0.15">
      <c r="A18" s="75" t="s">
        <v>110</v>
      </c>
      <c r="G18" s="1" t="s">
        <v>107</v>
      </c>
      <c r="H18" s="1">
        <f t="shared" si="12"/>
        <v>2030</v>
      </c>
      <c r="I18" s="18">
        <f>ROUND(VLOOKUP(H18&amp;"_3",管理者用人口入力シート!BH:CM,26,FALSE),0)</f>
        <v>548</v>
      </c>
      <c r="J18" s="13"/>
      <c r="K18" s="13"/>
      <c r="N18" s="1" t="s">
        <v>107</v>
      </c>
      <c r="O18" s="1">
        <f t="shared" si="13"/>
        <v>2030</v>
      </c>
      <c r="P18" s="18">
        <f t="shared" si="14"/>
        <v>548</v>
      </c>
      <c r="Q18" s="18">
        <f>ROUND(VLOOKUP(H18&amp;"_3",管理者用人口入力シート!CO:DT,26,FALSE),0)</f>
        <v>550</v>
      </c>
    </row>
    <row r="19" spans="1:17" x14ac:dyDescent="0.15">
      <c r="A19" s="2" t="s">
        <v>84</v>
      </c>
      <c r="G19" s="1" t="s">
        <v>108</v>
      </c>
      <c r="H19" s="1">
        <f t="shared" si="12"/>
        <v>2035</v>
      </c>
      <c r="I19" s="18">
        <f>ROUND(VLOOKUP(H19&amp;"_3",管理者用人口入力シート!BH:CM,26,FALSE),0)</f>
        <v>499</v>
      </c>
      <c r="J19" s="13"/>
      <c r="K19" s="13"/>
      <c r="N19" s="1" t="s">
        <v>108</v>
      </c>
      <c r="O19" s="1">
        <f t="shared" si="13"/>
        <v>2035</v>
      </c>
      <c r="P19" s="18">
        <f t="shared" si="14"/>
        <v>499</v>
      </c>
      <c r="Q19" s="18">
        <f>ROUND(VLOOKUP(H19&amp;"_3",管理者用人口入力シート!CO:DT,26,FALSE),0)</f>
        <v>504</v>
      </c>
    </row>
    <row r="20" spans="1:17" x14ac:dyDescent="0.15">
      <c r="A20" s="1" t="s">
        <v>58</v>
      </c>
      <c r="B20" s="1">
        <f>B4</f>
        <v>2010</v>
      </c>
      <c r="C20" s="18">
        <f>SUM(B54:C61)</f>
        <v>3803</v>
      </c>
      <c r="D20" s="13"/>
      <c r="E20" s="13"/>
      <c r="G20" s="1" t="s">
        <v>109</v>
      </c>
      <c r="H20" s="1">
        <f t="shared" si="12"/>
        <v>2040</v>
      </c>
      <c r="I20" s="18">
        <f>ROUND(VLOOKUP(H20&amp;"_3",管理者用人口入力シート!BH:CM,26,FALSE),0)</f>
        <v>472</v>
      </c>
      <c r="J20" s="13"/>
      <c r="K20" s="13"/>
      <c r="N20" s="1" t="s">
        <v>109</v>
      </c>
      <c r="O20" s="1">
        <f t="shared" si="13"/>
        <v>2040</v>
      </c>
      <c r="P20" s="18">
        <f t="shared" si="14"/>
        <v>472</v>
      </c>
      <c r="Q20" s="18">
        <f>ROUND(VLOOKUP(H20&amp;"_3",管理者用人口入力シート!CO:DT,26,FALSE),0)</f>
        <v>479</v>
      </c>
    </row>
    <row r="21" spans="1:17" x14ac:dyDescent="0.15">
      <c r="A21" s="1" t="s">
        <v>61</v>
      </c>
      <c r="B21" s="1">
        <f t="shared" ref="B21:B22" si="15">B5</f>
        <v>2015</v>
      </c>
      <c r="C21" s="18">
        <f>SUM(B78:C85)</f>
        <v>4002</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4201</v>
      </c>
      <c r="D22" s="13"/>
      <c r="E22" s="13"/>
      <c r="G22" s="1" t="s">
        <v>58</v>
      </c>
      <c r="H22" s="1">
        <f>H4</f>
        <v>2010</v>
      </c>
      <c r="I22" s="18">
        <f>C14</f>
        <v>390</v>
      </c>
      <c r="J22" s="13"/>
      <c r="K22" s="13"/>
      <c r="N22" s="1" t="s">
        <v>58</v>
      </c>
      <c r="O22" s="1">
        <f>O4</f>
        <v>2010</v>
      </c>
      <c r="P22" s="18">
        <f>I22</f>
        <v>390</v>
      </c>
      <c r="Q22" s="18"/>
    </row>
    <row r="23" spans="1:17" x14ac:dyDescent="0.15">
      <c r="A23" s="2" t="s">
        <v>86</v>
      </c>
      <c r="G23" s="1" t="s">
        <v>57</v>
      </c>
      <c r="H23" s="1">
        <f t="shared" ref="H23:H28" si="16">H5</f>
        <v>2015</v>
      </c>
      <c r="I23" s="18">
        <f t="shared" ref="I23:I24" si="17">C15</f>
        <v>365</v>
      </c>
      <c r="J23" s="13"/>
      <c r="K23" s="13"/>
      <c r="N23" s="1" t="s">
        <v>57</v>
      </c>
      <c r="O23" s="1">
        <f t="shared" ref="O23:O28" si="18">O5</f>
        <v>2015</v>
      </c>
      <c r="P23" s="18">
        <f t="shared" ref="P23:P28" si="19">I23</f>
        <v>365</v>
      </c>
      <c r="Q23" s="18"/>
    </row>
    <row r="24" spans="1:17" x14ac:dyDescent="0.15">
      <c r="A24" s="1" t="s">
        <v>58</v>
      </c>
      <c r="B24" s="1">
        <f>B4</f>
        <v>2010</v>
      </c>
      <c r="C24" s="18">
        <f>SUM(B56:C61)</f>
        <v>2179</v>
      </c>
      <c r="D24" s="13"/>
      <c r="E24" s="13"/>
      <c r="G24" s="1" t="s">
        <v>62</v>
      </c>
      <c r="H24" s="1">
        <f t="shared" si="16"/>
        <v>2020</v>
      </c>
      <c r="I24" s="18">
        <f t="shared" si="17"/>
        <v>355</v>
      </c>
      <c r="J24" s="13"/>
      <c r="K24" s="13"/>
      <c r="N24" s="1" t="s">
        <v>62</v>
      </c>
      <c r="O24" s="1">
        <f t="shared" si="18"/>
        <v>2020</v>
      </c>
      <c r="P24" s="18">
        <f t="shared" si="19"/>
        <v>355</v>
      </c>
      <c r="Q24" s="18"/>
    </row>
    <row r="25" spans="1:17" x14ac:dyDescent="0.15">
      <c r="A25" s="1" t="s">
        <v>61</v>
      </c>
      <c r="B25" s="1">
        <f t="shared" ref="B25:B26" si="20">B5</f>
        <v>2015</v>
      </c>
      <c r="C25" s="18">
        <f>SUM(B80:C85)</f>
        <v>2210</v>
      </c>
      <c r="D25" s="13"/>
      <c r="E25" s="13"/>
      <c r="G25" s="1" t="s">
        <v>106</v>
      </c>
      <c r="H25" s="1">
        <f t="shared" si="16"/>
        <v>2025</v>
      </c>
      <c r="I25" s="18">
        <f>ROUND(VLOOKUP(H25&amp;"_3",管理者用人口入力シート!BH:CM,27,FALSE),0)</f>
        <v>334</v>
      </c>
      <c r="J25" s="13"/>
      <c r="K25" s="13"/>
      <c r="N25" s="1" t="s">
        <v>106</v>
      </c>
      <c r="O25" s="1">
        <f t="shared" si="18"/>
        <v>2025</v>
      </c>
      <c r="P25" s="18">
        <f t="shared" si="19"/>
        <v>334</v>
      </c>
      <c r="Q25" s="18">
        <f>ROUND(VLOOKUP(H17&amp;"_3",管理者用人口入力シート!CO:DT,27,FALSE),0)</f>
        <v>335</v>
      </c>
    </row>
    <row r="26" spans="1:17" x14ac:dyDescent="0.15">
      <c r="A26" s="1" t="s">
        <v>62</v>
      </c>
      <c r="B26" s="1">
        <f t="shared" si="20"/>
        <v>2020</v>
      </c>
      <c r="C26" s="18">
        <f>SUM(B104:C109)</f>
        <v>2287</v>
      </c>
      <c r="D26" s="13"/>
      <c r="E26" s="13"/>
      <c r="G26" s="1" t="s">
        <v>107</v>
      </c>
      <c r="H26" s="1">
        <f t="shared" si="16"/>
        <v>2030</v>
      </c>
      <c r="I26" s="18">
        <f>ROUND(VLOOKUP(H26&amp;"_3",管理者用人口入力シート!BH:CM,27,FALSE),0)</f>
        <v>300</v>
      </c>
      <c r="J26" s="13"/>
      <c r="K26" s="13"/>
      <c r="N26" s="1" t="s">
        <v>107</v>
      </c>
      <c r="O26" s="1">
        <f t="shared" si="18"/>
        <v>2030</v>
      </c>
      <c r="P26" s="18">
        <f t="shared" si="19"/>
        <v>300</v>
      </c>
      <c r="Q26" s="18">
        <f>ROUND(VLOOKUP(H18&amp;"_3",管理者用人口入力シート!CO:DT,27,FALSE),0)</f>
        <v>302</v>
      </c>
    </row>
    <row r="27" spans="1:17" x14ac:dyDescent="0.15">
      <c r="G27" s="1" t="s">
        <v>108</v>
      </c>
      <c r="H27" s="1">
        <f t="shared" si="16"/>
        <v>2035</v>
      </c>
      <c r="I27" s="18">
        <f>ROUND(VLOOKUP(H27&amp;"_3",管理者用人口入力シート!BH:CM,27,FALSE),0)</f>
        <v>265</v>
      </c>
      <c r="J27" s="13"/>
      <c r="K27" s="13"/>
      <c r="N27" s="1" t="s">
        <v>108</v>
      </c>
      <c r="O27" s="1">
        <f t="shared" si="18"/>
        <v>2035</v>
      </c>
      <c r="P27" s="18">
        <f t="shared" si="19"/>
        <v>265</v>
      </c>
      <c r="Q27" s="18">
        <f>ROUND(VLOOKUP(H19&amp;"_3",管理者用人口入力シート!CO:DT,27,FALSE),0)</f>
        <v>267</v>
      </c>
    </row>
    <row r="28" spans="1:17" x14ac:dyDescent="0.15">
      <c r="A28" s="75" t="s">
        <v>85</v>
      </c>
      <c r="G28" s="1" t="s">
        <v>109</v>
      </c>
      <c r="H28" s="1">
        <f t="shared" si="16"/>
        <v>2040</v>
      </c>
      <c r="I28" s="18">
        <f>ROUND(VLOOKUP(H28&amp;"_3",管理者用人口入力シート!BH:CM,27,FALSE),0)</f>
        <v>244</v>
      </c>
      <c r="J28" s="13"/>
      <c r="K28" s="13"/>
      <c r="N28" s="1" t="s">
        <v>109</v>
      </c>
      <c r="O28" s="1">
        <f t="shared" si="18"/>
        <v>2040</v>
      </c>
      <c r="P28" s="18">
        <f t="shared" si="19"/>
        <v>244</v>
      </c>
      <c r="Q28" s="18">
        <f>ROUND(VLOOKUP(H20&amp;"_3",管理者用人口入力シート!CO:DT,27,FALSE),0)</f>
        <v>247</v>
      </c>
    </row>
    <row r="29" spans="1:17" x14ac:dyDescent="0.15">
      <c r="A29" s="2" t="s">
        <v>84</v>
      </c>
      <c r="G29" s="3"/>
      <c r="H29" s="3"/>
      <c r="I29" s="3"/>
      <c r="J29" s="3"/>
      <c r="K29" s="3"/>
      <c r="N29" s="3"/>
      <c r="O29" s="3"/>
      <c r="P29" s="3"/>
    </row>
    <row r="30" spans="1:17" x14ac:dyDescent="0.15">
      <c r="A30" s="1" t="s">
        <v>58</v>
      </c>
      <c r="B30" s="1">
        <f>B4</f>
        <v>2010</v>
      </c>
      <c r="C30" s="43">
        <f>ROUND((SUM(B54:C61)/SUM(B41:C61)),2)</f>
        <v>0.28999999999999998</v>
      </c>
      <c r="D30" s="226"/>
      <c r="E30" s="226"/>
      <c r="G30" s="75" t="s">
        <v>110</v>
      </c>
      <c r="N30" s="75" t="s">
        <v>110</v>
      </c>
    </row>
    <row r="31" spans="1:17" x14ac:dyDescent="0.15">
      <c r="A31" s="1" t="s">
        <v>61</v>
      </c>
      <c r="B31" s="1">
        <f t="shared" ref="B31:B32" si="21">B5</f>
        <v>2015</v>
      </c>
      <c r="C31" s="43">
        <f>ROUND((SUM(B78:C85)/SUM(B65:C85)),2)</f>
        <v>0.32</v>
      </c>
      <c r="D31" s="226"/>
      <c r="E31" s="226"/>
      <c r="G31" s="2" t="s">
        <v>84</v>
      </c>
      <c r="H31" s="71"/>
      <c r="I31" s="72"/>
      <c r="J31" s="13"/>
      <c r="K31" s="13"/>
      <c r="N31" s="2" t="s">
        <v>84</v>
      </c>
      <c r="O31" s="71"/>
      <c r="P31" s="2" t="s">
        <v>120</v>
      </c>
      <c r="Q31" s="2" t="s">
        <v>119</v>
      </c>
    </row>
    <row r="32" spans="1:17" x14ac:dyDescent="0.15">
      <c r="A32" s="1" t="s">
        <v>62</v>
      </c>
      <c r="B32" s="1">
        <f t="shared" si="21"/>
        <v>2020</v>
      </c>
      <c r="C32" s="43">
        <f>ROUND((SUM(B102:C109)/SUM(B89:C109)),2)</f>
        <v>0.35</v>
      </c>
      <c r="D32" s="226"/>
      <c r="E32" s="226"/>
      <c r="G32" s="1" t="s">
        <v>58</v>
      </c>
      <c r="H32" s="1">
        <f>H4</f>
        <v>2010</v>
      </c>
      <c r="I32" s="18">
        <f>C20</f>
        <v>3803</v>
      </c>
      <c r="J32" s="13"/>
      <c r="K32" s="13"/>
      <c r="N32" s="1" t="s">
        <v>58</v>
      </c>
      <c r="O32" s="1">
        <f>O4</f>
        <v>2010</v>
      </c>
      <c r="P32" s="18">
        <f>I32</f>
        <v>3803</v>
      </c>
      <c r="Q32" s="18"/>
    </row>
    <row r="33" spans="1:17" x14ac:dyDescent="0.15">
      <c r="A33" s="2" t="s">
        <v>86</v>
      </c>
      <c r="G33" s="1" t="s">
        <v>57</v>
      </c>
      <c r="H33" s="1">
        <f t="shared" ref="H33:H38" si="22">H5</f>
        <v>2015</v>
      </c>
      <c r="I33" s="18">
        <f>C21</f>
        <v>4002</v>
      </c>
      <c r="J33" s="13"/>
      <c r="K33" s="13"/>
      <c r="N33" s="1" t="s">
        <v>57</v>
      </c>
      <c r="O33" s="1">
        <f t="shared" ref="O33:O38" si="23">O5</f>
        <v>2015</v>
      </c>
      <c r="P33" s="18">
        <f t="shared" ref="P33:P38" si="24">I33</f>
        <v>4002</v>
      </c>
      <c r="Q33" s="18"/>
    </row>
    <row r="34" spans="1:17" x14ac:dyDescent="0.15">
      <c r="A34" s="1" t="s">
        <v>58</v>
      </c>
      <c r="B34" s="1">
        <f>B4</f>
        <v>2010</v>
      </c>
      <c r="C34" s="43">
        <f>ROUND((SUM(B56:C61)/SUM(B41:C61)),2)</f>
        <v>0.17</v>
      </c>
      <c r="D34" s="226"/>
      <c r="E34" s="226"/>
      <c r="G34" s="1" t="s">
        <v>62</v>
      </c>
      <c r="H34" s="1">
        <f t="shared" si="22"/>
        <v>2020</v>
      </c>
      <c r="I34" s="18">
        <f>C22</f>
        <v>4201</v>
      </c>
      <c r="J34" s="13"/>
      <c r="K34" s="13"/>
      <c r="N34" s="1" t="s">
        <v>62</v>
      </c>
      <c r="O34" s="1">
        <f t="shared" si="23"/>
        <v>2020</v>
      </c>
      <c r="P34" s="18">
        <f t="shared" si="24"/>
        <v>4201</v>
      </c>
      <c r="Q34" s="18"/>
    </row>
    <row r="35" spans="1:17" x14ac:dyDescent="0.15">
      <c r="A35" s="1" t="s">
        <v>61</v>
      </c>
      <c r="B35" s="1">
        <f t="shared" ref="B35:B36" si="25">B5</f>
        <v>2015</v>
      </c>
      <c r="C35" s="43">
        <f>ROUND((SUM(B80:C85)/SUM(B65:C85)),2)</f>
        <v>0.18</v>
      </c>
      <c r="D35" s="226"/>
      <c r="E35" s="226"/>
      <c r="G35" s="1" t="s">
        <v>106</v>
      </c>
      <c r="H35" s="1">
        <f t="shared" si="22"/>
        <v>2025</v>
      </c>
      <c r="I35" s="18">
        <f>SUM(H82:I89)</f>
        <v>4125</v>
      </c>
      <c r="J35" s="13"/>
      <c r="K35" s="13"/>
      <c r="N35" s="1" t="s">
        <v>106</v>
      </c>
      <c r="O35" s="1">
        <f t="shared" si="23"/>
        <v>2025</v>
      </c>
      <c r="P35" s="18">
        <f t="shared" si="24"/>
        <v>4125</v>
      </c>
      <c r="Q35" s="18">
        <f>SUM(O82:P89)</f>
        <v>4125</v>
      </c>
    </row>
    <row r="36" spans="1:17" x14ac:dyDescent="0.15">
      <c r="A36" s="1" t="s">
        <v>62</v>
      </c>
      <c r="B36" s="1">
        <f t="shared" si="25"/>
        <v>2020</v>
      </c>
      <c r="C36" s="43">
        <f>ROUND((SUM(B104:C109)/SUM(B89:C109)),2)</f>
        <v>0.19</v>
      </c>
      <c r="D36" s="226"/>
      <c r="E36" s="226"/>
      <c r="G36" s="1" t="s">
        <v>107</v>
      </c>
      <c r="H36" s="1">
        <f t="shared" si="22"/>
        <v>2030</v>
      </c>
      <c r="I36" s="18">
        <f>SUM(H106:I113)</f>
        <v>3943</v>
      </c>
      <c r="J36" s="13"/>
      <c r="K36" s="13"/>
      <c r="N36" s="1" t="s">
        <v>107</v>
      </c>
      <c r="O36" s="1">
        <f t="shared" si="23"/>
        <v>2030</v>
      </c>
      <c r="P36" s="18">
        <f t="shared" si="24"/>
        <v>3943</v>
      </c>
      <c r="Q36" s="18">
        <f>SUM(O106:P113)</f>
        <v>3943</v>
      </c>
    </row>
    <row r="37" spans="1:17" x14ac:dyDescent="0.15">
      <c r="G37" s="1" t="s">
        <v>108</v>
      </c>
      <c r="H37" s="1">
        <f t="shared" si="22"/>
        <v>2035</v>
      </c>
      <c r="I37" s="18">
        <f>SUM(H130:I137)</f>
        <v>3650</v>
      </c>
      <c r="J37" s="13"/>
      <c r="K37" s="13"/>
      <c r="N37" s="1" t="s">
        <v>108</v>
      </c>
      <c r="O37" s="1">
        <f t="shared" si="23"/>
        <v>2035</v>
      </c>
      <c r="P37" s="18">
        <f t="shared" si="24"/>
        <v>3650</v>
      </c>
      <c r="Q37" s="18">
        <f>SUM(O130:P137)</f>
        <v>3650</v>
      </c>
    </row>
    <row r="38" spans="1:17" x14ac:dyDescent="0.15">
      <c r="A38" s="75" t="s">
        <v>113</v>
      </c>
      <c r="G38" s="1" t="s">
        <v>109</v>
      </c>
      <c r="H38" s="1">
        <f t="shared" si="22"/>
        <v>2040</v>
      </c>
      <c r="I38" s="18">
        <f>SUM(H154:I161)</f>
        <v>3420</v>
      </c>
      <c r="J38" s="13"/>
      <c r="K38" s="13"/>
      <c r="N38" s="1" t="s">
        <v>109</v>
      </c>
      <c r="O38" s="1">
        <f t="shared" si="23"/>
        <v>2040</v>
      </c>
      <c r="P38" s="18">
        <f t="shared" si="24"/>
        <v>3420</v>
      </c>
      <c r="Q38" s="18">
        <f>SUM(O154:P161)</f>
        <v>3420</v>
      </c>
    </row>
    <row r="39" spans="1:17" x14ac:dyDescent="0.15">
      <c r="A39" s="2" t="s">
        <v>383</v>
      </c>
      <c r="B39" s="342">
        <f>管理者入力シート!B7</f>
        <v>2010</v>
      </c>
      <c r="C39" s="343"/>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2179</v>
      </c>
      <c r="J40" s="13"/>
      <c r="K40" s="13"/>
      <c r="N40" s="1" t="s">
        <v>58</v>
      </c>
      <c r="O40" s="1">
        <f>O4</f>
        <v>2010</v>
      </c>
      <c r="P40" s="18">
        <f>I40</f>
        <v>2179</v>
      </c>
      <c r="Q40" s="18"/>
    </row>
    <row r="41" spans="1:17" x14ac:dyDescent="0.15">
      <c r="A41" s="2" t="s">
        <v>0</v>
      </c>
      <c r="B41" s="18">
        <f>ROUND(VLOOKUP(B$39&amp;"_1",管理者用人口入力シート!A:X,D41,FALSE),0)</f>
        <v>306</v>
      </c>
      <c r="C41" s="18">
        <f>ROUND(VLOOKUP(B$39&amp;"_2",管理者用人口入力シート!A:X,D41,FALSE),0)</f>
        <v>292</v>
      </c>
      <c r="D41" s="2">
        <v>4</v>
      </c>
      <c r="G41" s="1" t="s">
        <v>57</v>
      </c>
      <c r="H41" s="1">
        <f t="shared" ref="H41:H46" si="26">H5</f>
        <v>2015</v>
      </c>
      <c r="I41" s="18">
        <f>C25</f>
        <v>2210</v>
      </c>
      <c r="J41" s="13"/>
      <c r="K41" s="13"/>
      <c r="N41" s="1" t="s">
        <v>57</v>
      </c>
      <c r="O41" s="1">
        <f t="shared" ref="O41:O46" si="27">O5</f>
        <v>2015</v>
      </c>
      <c r="P41" s="18">
        <f t="shared" ref="P41:P46" si="28">I41</f>
        <v>2210</v>
      </c>
      <c r="Q41" s="18"/>
    </row>
    <row r="42" spans="1:17" x14ac:dyDescent="0.15">
      <c r="A42" s="2" t="s">
        <v>1</v>
      </c>
      <c r="B42" s="18">
        <f>ROUND(VLOOKUP(B$39&amp;"_1",管理者用人口入力シート!A:X,D42,FALSE),0)</f>
        <v>305</v>
      </c>
      <c r="C42" s="18">
        <f>ROUND(VLOOKUP(B$39&amp;"_2",管理者用人口入力シート!A:X,D42,FALSE),0)</f>
        <v>305</v>
      </c>
      <c r="D42" s="2">
        <v>5</v>
      </c>
      <c r="G42" s="1" t="s">
        <v>62</v>
      </c>
      <c r="H42" s="1">
        <f t="shared" si="26"/>
        <v>2020</v>
      </c>
      <c r="I42" s="18">
        <f>C26</f>
        <v>2287</v>
      </c>
      <c r="J42" s="13"/>
      <c r="K42" s="13"/>
      <c r="N42" s="1" t="s">
        <v>62</v>
      </c>
      <c r="O42" s="1">
        <f t="shared" si="27"/>
        <v>2020</v>
      </c>
      <c r="P42" s="18">
        <f t="shared" si="28"/>
        <v>2287</v>
      </c>
      <c r="Q42" s="18"/>
    </row>
    <row r="43" spans="1:17" x14ac:dyDescent="0.15">
      <c r="A43" s="2" t="s">
        <v>2</v>
      </c>
      <c r="B43" s="18">
        <f>ROUND(VLOOKUP(B$39&amp;"_1",管理者用人口入力シート!A:X,D43,FALSE),0)</f>
        <v>303</v>
      </c>
      <c r="C43" s="18">
        <f>ROUND(VLOOKUP(B$39&amp;"_2",管理者用人口入力シート!A:X,D43,FALSE),0)</f>
        <v>324</v>
      </c>
      <c r="D43" s="2">
        <v>6</v>
      </c>
      <c r="G43" s="1" t="s">
        <v>106</v>
      </c>
      <c r="H43" s="1">
        <f t="shared" si="26"/>
        <v>2025</v>
      </c>
      <c r="I43" s="18">
        <f>SUM(H84:I89)</f>
        <v>2391</v>
      </c>
      <c r="J43" s="13"/>
      <c r="K43" s="13"/>
      <c r="N43" s="1" t="s">
        <v>106</v>
      </c>
      <c r="O43" s="1">
        <f t="shared" si="27"/>
        <v>2025</v>
      </c>
      <c r="P43" s="18">
        <f t="shared" si="28"/>
        <v>2391</v>
      </c>
      <c r="Q43" s="18">
        <f>SUM(O84:P89)</f>
        <v>2391</v>
      </c>
    </row>
    <row r="44" spans="1:17" x14ac:dyDescent="0.15">
      <c r="A44" s="2" t="s">
        <v>3</v>
      </c>
      <c r="B44" s="18">
        <f>ROUND(VLOOKUP(B$39&amp;"_1",管理者用人口入力シート!A:X,D44,FALSE),0)</f>
        <v>340</v>
      </c>
      <c r="C44" s="18">
        <f>ROUND(VLOOKUP(B$39&amp;"_2",管理者用人口入力シート!A:X,D44,FALSE),0)</f>
        <v>356</v>
      </c>
      <c r="D44" s="2">
        <v>7</v>
      </c>
      <c r="G44" s="1" t="s">
        <v>107</v>
      </c>
      <c r="H44" s="1">
        <f t="shared" si="26"/>
        <v>2030</v>
      </c>
      <c r="I44" s="18">
        <f>SUM(H108:I113)</f>
        <v>2438</v>
      </c>
      <c r="J44" s="13"/>
      <c r="K44" s="13"/>
      <c r="N44" s="1" t="s">
        <v>107</v>
      </c>
      <c r="O44" s="1">
        <f t="shared" si="27"/>
        <v>2030</v>
      </c>
      <c r="P44" s="18">
        <f t="shared" si="28"/>
        <v>2438</v>
      </c>
      <c r="Q44" s="18">
        <f>SUM(O108:P113)</f>
        <v>2438</v>
      </c>
    </row>
    <row r="45" spans="1:17" x14ac:dyDescent="0.15">
      <c r="A45" s="2" t="s">
        <v>4</v>
      </c>
      <c r="B45" s="18">
        <f>ROUND(VLOOKUP(B$39&amp;"_1",管理者用人口入力シート!A:X,D45,FALSE),0)</f>
        <v>198</v>
      </c>
      <c r="C45" s="18">
        <f>ROUND(VLOOKUP(B$39&amp;"_2",管理者用人口入力シート!A:X,D45,FALSE),0)</f>
        <v>202</v>
      </c>
      <c r="D45" s="2">
        <v>8</v>
      </c>
      <c r="G45" s="1" t="s">
        <v>108</v>
      </c>
      <c r="H45" s="1">
        <f t="shared" si="26"/>
        <v>2035</v>
      </c>
      <c r="I45" s="18">
        <f>SUM(H132:I137)</f>
        <v>2364</v>
      </c>
      <c r="J45" s="13"/>
      <c r="K45" s="13"/>
      <c r="N45" s="1" t="s">
        <v>108</v>
      </c>
      <c r="O45" s="1">
        <f t="shared" si="27"/>
        <v>2035</v>
      </c>
      <c r="P45" s="18">
        <f t="shared" si="28"/>
        <v>2364</v>
      </c>
      <c r="Q45" s="18">
        <f>SUM(O132:P137)</f>
        <v>2364</v>
      </c>
    </row>
    <row r="46" spans="1:17" x14ac:dyDescent="0.15">
      <c r="A46" s="2" t="s">
        <v>5</v>
      </c>
      <c r="B46" s="18">
        <f>ROUND(VLOOKUP(B$39&amp;"_1",管理者用人口入力シート!A:X,D46,FALSE),0)</f>
        <v>288</v>
      </c>
      <c r="C46" s="18">
        <f>ROUND(VLOOKUP(B$39&amp;"_2",管理者用人口入力シート!A:X,D46,FALSE),0)</f>
        <v>318</v>
      </c>
      <c r="D46" s="2">
        <v>9</v>
      </c>
      <c r="G46" s="1" t="s">
        <v>109</v>
      </c>
      <c r="H46" s="1">
        <f t="shared" si="26"/>
        <v>2040</v>
      </c>
      <c r="I46" s="18">
        <f>SUM(H156:I161)</f>
        <v>2189</v>
      </c>
      <c r="J46" s="13"/>
      <c r="K46" s="13"/>
      <c r="N46" s="1" t="s">
        <v>109</v>
      </c>
      <c r="O46" s="1">
        <f t="shared" si="27"/>
        <v>2040</v>
      </c>
      <c r="P46" s="18">
        <f t="shared" si="28"/>
        <v>2189</v>
      </c>
      <c r="Q46" s="18">
        <f>SUM(O156:P161)</f>
        <v>2189</v>
      </c>
    </row>
    <row r="47" spans="1:17" x14ac:dyDescent="0.15">
      <c r="A47" s="2" t="s">
        <v>6</v>
      </c>
      <c r="B47" s="18">
        <f>ROUND(VLOOKUP(B$39&amp;"_1",管理者用人口入力シート!A:X,D47,FALSE),0)</f>
        <v>338</v>
      </c>
      <c r="C47" s="18">
        <f>ROUND(VLOOKUP(B$39&amp;"_2",管理者用人口入力シート!A:X,D47,FALSE),0)</f>
        <v>401</v>
      </c>
      <c r="D47" s="2">
        <v>10</v>
      </c>
    </row>
    <row r="48" spans="1:17" x14ac:dyDescent="0.15">
      <c r="A48" s="2" t="s">
        <v>7</v>
      </c>
      <c r="B48" s="18">
        <f>ROUND(VLOOKUP(B$39&amp;"_1",管理者用人口入力シート!A:X,D48,FALSE),0)</f>
        <v>346</v>
      </c>
      <c r="C48" s="18">
        <f>ROUND(VLOOKUP(B$39&amp;"_2",管理者用人口入力シート!A:X,D48,FALSE),0)</f>
        <v>382</v>
      </c>
      <c r="D48" s="2">
        <v>11</v>
      </c>
      <c r="G48" s="75" t="s">
        <v>85</v>
      </c>
      <c r="N48" s="75" t="s">
        <v>85</v>
      </c>
    </row>
    <row r="49" spans="1:17" x14ac:dyDescent="0.15">
      <c r="A49" s="2" t="s">
        <v>8</v>
      </c>
      <c r="B49" s="18">
        <f>ROUND(VLOOKUP(B$39&amp;"_1",管理者用人口入力シート!A:X,D49,FALSE),0)</f>
        <v>304</v>
      </c>
      <c r="C49" s="18">
        <f>ROUND(VLOOKUP(B$39&amp;"_2",管理者用人口入力シート!A:X,D49,FALSE),0)</f>
        <v>345</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368</v>
      </c>
      <c r="C50" s="18">
        <f>ROUND(VLOOKUP(B$39&amp;"_2",管理者用人口入力シート!A:X,D50,FALSE),0)</f>
        <v>404</v>
      </c>
      <c r="D50" s="2">
        <v>13</v>
      </c>
      <c r="G50" s="1" t="s">
        <v>58</v>
      </c>
      <c r="H50" s="1">
        <f>H4</f>
        <v>2010</v>
      </c>
      <c r="I50" s="43">
        <f>C30</f>
        <v>0.28999999999999998</v>
      </c>
      <c r="J50" s="226"/>
      <c r="K50" s="226"/>
      <c r="N50" s="1" t="s">
        <v>58</v>
      </c>
      <c r="O50" s="1">
        <f>O4</f>
        <v>2010</v>
      </c>
      <c r="P50" s="43">
        <f t="shared" ref="P50:P56" si="29">I50</f>
        <v>0.28999999999999998</v>
      </c>
      <c r="Q50" s="1"/>
    </row>
    <row r="51" spans="1:17" x14ac:dyDescent="0.15">
      <c r="A51" s="2" t="s">
        <v>10</v>
      </c>
      <c r="B51" s="18">
        <f>ROUND(VLOOKUP(B$39&amp;"_1",管理者用人口入力シート!A:X,D51,FALSE),0)</f>
        <v>415</v>
      </c>
      <c r="C51" s="18">
        <f>ROUND(VLOOKUP(B$39&amp;"_2",管理者用人口入力シート!A:X,D51,FALSE),0)</f>
        <v>461</v>
      </c>
      <c r="D51" s="2">
        <v>14</v>
      </c>
      <c r="G51" s="1" t="s">
        <v>57</v>
      </c>
      <c r="H51" s="1">
        <f t="shared" ref="H51:H56" si="30">H5</f>
        <v>2015</v>
      </c>
      <c r="I51" s="43">
        <f t="shared" ref="I51:I52" si="31">C31</f>
        <v>0.32</v>
      </c>
      <c r="J51" s="226"/>
      <c r="K51" s="226"/>
      <c r="N51" s="1" t="s">
        <v>57</v>
      </c>
      <c r="O51" s="1">
        <f t="shared" ref="O51:O56" si="32">O5</f>
        <v>2015</v>
      </c>
      <c r="P51" s="43">
        <f t="shared" si="29"/>
        <v>0.32</v>
      </c>
      <c r="Q51" s="1"/>
    </row>
    <row r="52" spans="1:17" x14ac:dyDescent="0.15">
      <c r="A52" s="2" t="s">
        <v>11</v>
      </c>
      <c r="B52" s="18">
        <f>ROUND(VLOOKUP(B$39&amp;"_1",管理者用人口入力シート!A:X,D52,FALSE),0)</f>
        <v>505</v>
      </c>
      <c r="C52" s="18">
        <f>ROUND(VLOOKUP(B$39&amp;"_2",管理者用人口入力シート!A:X,D52,FALSE),0)</f>
        <v>495</v>
      </c>
      <c r="D52" s="2">
        <v>15</v>
      </c>
      <c r="G52" s="1" t="s">
        <v>62</v>
      </c>
      <c r="H52" s="1">
        <f t="shared" si="30"/>
        <v>2020</v>
      </c>
      <c r="I52" s="43">
        <f t="shared" si="31"/>
        <v>0.35</v>
      </c>
      <c r="J52" s="226"/>
      <c r="K52" s="226"/>
      <c r="N52" s="1" t="s">
        <v>62</v>
      </c>
      <c r="O52" s="1">
        <f t="shared" si="32"/>
        <v>2020</v>
      </c>
      <c r="P52" s="43">
        <f t="shared" si="29"/>
        <v>0.35</v>
      </c>
      <c r="Q52" s="1"/>
    </row>
    <row r="53" spans="1:17" x14ac:dyDescent="0.15">
      <c r="A53" s="2" t="s">
        <v>12</v>
      </c>
      <c r="B53" s="18">
        <f>ROUND(VLOOKUP(B$39&amp;"_1",管理者用人口入力シート!A:X,D53,FALSE),0)</f>
        <v>478</v>
      </c>
      <c r="C53" s="18">
        <f>ROUND(VLOOKUP(B$39&amp;"_2",管理者用人口入力シート!A:X,D53,FALSE),0)</f>
        <v>550</v>
      </c>
      <c r="D53" s="2">
        <v>16</v>
      </c>
      <c r="G53" s="1" t="s">
        <v>106</v>
      </c>
      <c r="H53" s="1">
        <f t="shared" si="30"/>
        <v>2025</v>
      </c>
      <c r="I53" s="43">
        <f>ROUND((SUM(H82:I89)/SUM(H69:I89)),2)</f>
        <v>0.36</v>
      </c>
      <c r="J53" s="226"/>
      <c r="K53" s="226"/>
      <c r="L53" s="76"/>
      <c r="M53" s="76"/>
      <c r="N53" s="1" t="s">
        <v>106</v>
      </c>
      <c r="O53" s="1">
        <f t="shared" si="32"/>
        <v>2025</v>
      </c>
      <c r="P53" s="43">
        <f t="shared" si="29"/>
        <v>0.36</v>
      </c>
      <c r="Q53" s="43">
        <f>ROUND((SUM(O82:P89)/SUM(O69:P89)),2)</f>
        <v>0.36</v>
      </c>
    </row>
    <row r="54" spans="1:17" x14ac:dyDescent="0.15">
      <c r="A54" s="2" t="s">
        <v>13</v>
      </c>
      <c r="B54" s="18">
        <f>ROUND(VLOOKUP(B$39&amp;"_1",管理者用人口入力シート!A:X,D54,FALSE),0)</f>
        <v>377</v>
      </c>
      <c r="C54" s="18">
        <f>ROUND(VLOOKUP(B$39&amp;"_2",管理者用人口入力シート!A:X,D54,FALSE),0)</f>
        <v>452</v>
      </c>
      <c r="D54" s="2">
        <v>17</v>
      </c>
      <c r="G54" s="1" t="s">
        <v>107</v>
      </c>
      <c r="H54" s="1">
        <f t="shared" si="30"/>
        <v>2030</v>
      </c>
      <c r="I54" s="43">
        <f>ROUND((SUM(H106:I113)/SUM(H93:I113)),2)</f>
        <v>0.37</v>
      </c>
      <c r="J54" s="226"/>
      <c r="K54" s="226"/>
      <c r="N54" s="1" t="s">
        <v>107</v>
      </c>
      <c r="O54" s="1">
        <f t="shared" si="32"/>
        <v>2030</v>
      </c>
      <c r="P54" s="43">
        <f t="shared" si="29"/>
        <v>0.37</v>
      </c>
      <c r="Q54" s="43">
        <f>ROUND((SUM(O106:P113)/SUM(O93:P113)),2)</f>
        <v>0.37</v>
      </c>
    </row>
    <row r="55" spans="1:17" x14ac:dyDescent="0.15">
      <c r="A55" s="2" t="s">
        <v>14</v>
      </c>
      <c r="B55" s="18">
        <f>ROUND(VLOOKUP(B$39&amp;"_1",管理者用人口入力シート!A:X,D55,FALSE),0)</f>
        <v>319</v>
      </c>
      <c r="C55" s="18">
        <f>ROUND(VLOOKUP(B$39&amp;"_2",管理者用人口入力シート!A:X,D55,FALSE),0)</f>
        <v>476</v>
      </c>
      <c r="D55" s="2">
        <v>18</v>
      </c>
      <c r="G55" s="1" t="s">
        <v>108</v>
      </c>
      <c r="H55" s="1">
        <f t="shared" si="30"/>
        <v>2035</v>
      </c>
      <c r="I55" s="43">
        <f>ROUND((SUM(H130:I137)/SUM(H117:I137)),2)</f>
        <v>0.37</v>
      </c>
      <c r="J55" s="226"/>
      <c r="K55" s="226"/>
      <c r="N55" s="1" t="s">
        <v>108</v>
      </c>
      <c r="O55" s="1">
        <f t="shared" si="32"/>
        <v>2035</v>
      </c>
      <c r="P55" s="43">
        <f t="shared" si="29"/>
        <v>0.37</v>
      </c>
      <c r="Q55" s="43">
        <f>ROUND((SUM(O130:P137)/SUM(O117:P137)),2)</f>
        <v>0.37</v>
      </c>
    </row>
    <row r="56" spans="1:17" x14ac:dyDescent="0.15">
      <c r="A56" s="2" t="s">
        <v>15</v>
      </c>
      <c r="B56" s="18">
        <f>ROUND(VLOOKUP(B$39&amp;"_1",管理者用人口入力シート!A:X,D56,FALSE),0)</f>
        <v>380</v>
      </c>
      <c r="C56" s="18">
        <f>ROUND(VLOOKUP(B$39&amp;"_2",管理者用人口入力シート!A:X,D56,FALSE),0)</f>
        <v>464</v>
      </c>
      <c r="D56" s="2">
        <v>19</v>
      </c>
      <c r="G56" s="1" t="s">
        <v>109</v>
      </c>
      <c r="H56" s="1">
        <f t="shared" si="30"/>
        <v>2040</v>
      </c>
      <c r="I56" s="43">
        <f>ROUND((SUM(H154:I161)/SUM(H141:I161)),2)</f>
        <v>0.37</v>
      </c>
      <c r="J56" s="226"/>
      <c r="K56" s="226"/>
      <c r="N56" s="1" t="s">
        <v>109</v>
      </c>
      <c r="O56" s="1">
        <f t="shared" si="32"/>
        <v>2040</v>
      </c>
      <c r="P56" s="43">
        <f t="shared" si="29"/>
        <v>0.37</v>
      </c>
      <c r="Q56" s="43">
        <f>ROUND((SUM(O154:P161)/SUM(O141:P161)),2)</f>
        <v>0.37</v>
      </c>
    </row>
    <row r="57" spans="1:17" x14ac:dyDescent="0.15">
      <c r="A57" s="2" t="s">
        <v>16</v>
      </c>
      <c r="B57" s="18">
        <f>ROUND(VLOOKUP(B$39&amp;"_1",管理者用人口入力シート!A:X,D57,FALSE),0)</f>
        <v>243</v>
      </c>
      <c r="C57" s="18">
        <f>ROUND(VLOOKUP(B$39&amp;"_2",管理者用人口入力シート!A:X,D57,FALSE),0)</f>
        <v>405</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125</v>
      </c>
      <c r="C58" s="18">
        <f>ROUND(VLOOKUP(B$39&amp;"_2",管理者用人口入力シート!A:X,D58,FALSE),0)</f>
        <v>293</v>
      </c>
      <c r="D58" s="2">
        <v>21</v>
      </c>
      <c r="G58" s="1" t="s">
        <v>58</v>
      </c>
      <c r="H58" s="1">
        <f>H4</f>
        <v>2010</v>
      </c>
      <c r="I58" s="43">
        <f>C34</f>
        <v>0.17</v>
      </c>
      <c r="J58" s="226"/>
      <c r="K58" s="226"/>
      <c r="N58" s="1" t="s">
        <v>58</v>
      </c>
      <c r="O58" s="1">
        <f>O4</f>
        <v>2010</v>
      </c>
      <c r="P58" s="43">
        <f t="shared" ref="P58:P64" si="33">I58</f>
        <v>0.17</v>
      </c>
      <c r="Q58" s="1"/>
    </row>
    <row r="59" spans="1:17" x14ac:dyDescent="0.15">
      <c r="A59" s="2" t="s">
        <v>18</v>
      </c>
      <c r="B59" s="18">
        <f>ROUND(VLOOKUP(B$39&amp;"_1",管理者用人口入力シート!A:X,D59,FALSE),0)</f>
        <v>39</v>
      </c>
      <c r="C59" s="18">
        <f>ROUND(VLOOKUP(B$39&amp;"_2",管理者用人口入力シート!A:X,D59,FALSE),0)</f>
        <v>142</v>
      </c>
      <c r="D59" s="2">
        <v>22</v>
      </c>
      <c r="G59" s="1" t="s">
        <v>57</v>
      </c>
      <c r="H59" s="1">
        <f t="shared" ref="H59:H64" si="34">H5</f>
        <v>2015</v>
      </c>
      <c r="I59" s="43">
        <f t="shared" ref="I59:I60" si="35">C35</f>
        <v>0.18</v>
      </c>
      <c r="J59" s="226"/>
      <c r="K59" s="226"/>
      <c r="N59" s="1" t="s">
        <v>57</v>
      </c>
      <c r="O59" s="1">
        <f t="shared" ref="O59:O64" si="36">O5</f>
        <v>2015</v>
      </c>
      <c r="P59" s="43">
        <f t="shared" si="33"/>
        <v>0.18</v>
      </c>
      <c r="Q59" s="1"/>
    </row>
    <row r="60" spans="1:17" x14ac:dyDescent="0.15">
      <c r="A60" s="2" t="s">
        <v>19</v>
      </c>
      <c r="B60" s="18">
        <f>ROUND(VLOOKUP(B$39&amp;"_1",管理者用人口入力シート!A:X,D60,FALSE),0)</f>
        <v>13</v>
      </c>
      <c r="C60" s="18">
        <f>ROUND(VLOOKUP(B$39&amp;"_2",管理者用人口入力シート!A:X,D60,FALSE),0)</f>
        <v>65</v>
      </c>
      <c r="D60" s="2">
        <v>23</v>
      </c>
      <c r="G60" s="1" t="s">
        <v>62</v>
      </c>
      <c r="H60" s="1">
        <f t="shared" si="34"/>
        <v>2020</v>
      </c>
      <c r="I60" s="43">
        <f t="shared" si="35"/>
        <v>0.19</v>
      </c>
      <c r="J60" s="226"/>
      <c r="K60" s="226"/>
      <c r="N60" s="1" t="s">
        <v>62</v>
      </c>
      <c r="O60" s="1">
        <f t="shared" si="36"/>
        <v>2020</v>
      </c>
      <c r="P60" s="43">
        <f t="shared" si="33"/>
        <v>0.19</v>
      </c>
      <c r="Q60" s="1"/>
    </row>
    <row r="61" spans="1:17" x14ac:dyDescent="0.15">
      <c r="A61" s="2" t="s">
        <v>20</v>
      </c>
      <c r="B61" s="18">
        <f>ROUND(VLOOKUP(B$39&amp;"_1",管理者用人口入力シート!A:X,D61,FALSE),0)</f>
        <v>0</v>
      </c>
      <c r="C61" s="18">
        <f>ROUND(VLOOKUP(B$39&amp;"_2",管理者用人口入力シート!A:X,D61,FALSE),0)</f>
        <v>10</v>
      </c>
      <c r="D61" s="2">
        <v>24</v>
      </c>
      <c r="G61" s="1" t="s">
        <v>106</v>
      </c>
      <c r="H61" s="1">
        <f t="shared" si="34"/>
        <v>2025</v>
      </c>
      <c r="I61" s="43">
        <f>ROUND((SUM(H84:I89)/SUM(H69:I89)),2)</f>
        <v>0.21</v>
      </c>
      <c r="J61" s="226"/>
      <c r="K61" s="226"/>
      <c r="N61" s="1" t="s">
        <v>106</v>
      </c>
      <c r="O61" s="1">
        <f t="shared" si="36"/>
        <v>2025</v>
      </c>
      <c r="P61" s="43">
        <f t="shared" si="33"/>
        <v>0.21</v>
      </c>
      <c r="Q61" s="43">
        <f>ROUND((SUM(O84:P89)/SUM(O69:P89)),2)</f>
        <v>0.21</v>
      </c>
    </row>
    <row r="62" spans="1:17" x14ac:dyDescent="0.15">
      <c r="G62" s="1" t="s">
        <v>107</v>
      </c>
      <c r="H62" s="1">
        <f t="shared" si="34"/>
        <v>2030</v>
      </c>
      <c r="I62" s="43">
        <f>ROUND((SUM(H108:I113)/SUM(H93:I113)),2)</f>
        <v>0.23</v>
      </c>
      <c r="J62" s="226"/>
      <c r="K62" s="226"/>
      <c r="N62" s="1" t="s">
        <v>107</v>
      </c>
      <c r="O62" s="1">
        <f t="shared" si="36"/>
        <v>2030</v>
      </c>
      <c r="P62" s="43">
        <f t="shared" si="33"/>
        <v>0.23</v>
      </c>
      <c r="Q62" s="43">
        <f>ROUND((SUM(O108:P113)/SUM(O93:P113)),2)</f>
        <v>0.23</v>
      </c>
    </row>
    <row r="63" spans="1:17" x14ac:dyDescent="0.15">
      <c r="A63" s="2" t="s">
        <v>384</v>
      </c>
      <c r="B63" s="342">
        <f>管理者入力シート!B6</f>
        <v>2015</v>
      </c>
      <c r="C63" s="343"/>
      <c r="D63" s="2" t="s">
        <v>114</v>
      </c>
      <c r="G63" s="1" t="s">
        <v>108</v>
      </c>
      <c r="H63" s="1">
        <f t="shared" si="34"/>
        <v>2035</v>
      </c>
      <c r="I63" s="43">
        <f>ROUND((SUM(H132:I137)/SUM(H117:I137)),2)</f>
        <v>0.24</v>
      </c>
      <c r="J63" s="226"/>
      <c r="K63" s="226"/>
      <c r="N63" s="1" t="s">
        <v>108</v>
      </c>
      <c r="O63" s="1">
        <f t="shared" si="36"/>
        <v>2035</v>
      </c>
      <c r="P63" s="43">
        <f t="shared" si="33"/>
        <v>0.24</v>
      </c>
      <c r="Q63" s="43">
        <f>ROUND((SUM(O132:P137)/SUM(O117:P137)),2)</f>
        <v>0.24</v>
      </c>
    </row>
    <row r="64" spans="1:17" x14ac:dyDescent="0.15">
      <c r="A64" s="2" t="s">
        <v>115</v>
      </c>
      <c r="B64" s="19" t="s">
        <v>21</v>
      </c>
      <c r="C64" s="19" t="s">
        <v>22</v>
      </c>
      <c r="G64" s="1" t="s">
        <v>109</v>
      </c>
      <c r="H64" s="1">
        <f t="shared" si="34"/>
        <v>2040</v>
      </c>
      <c r="I64" s="43">
        <f>ROUND((SUM(H156:I161)/SUM(H141:I161)),2)</f>
        <v>0.24</v>
      </c>
      <c r="J64" s="226"/>
      <c r="K64" s="226"/>
      <c r="N64" s="1" t="s">
        <v>109</v>
      </c>
      <c r="O64" s="1">
        <f t="shared" si="36"/>
        <v>2040</v>
      </c>
      <c r="P64" s="43">
        <f t="shared" si="33"/>
        <v>0.24</v>
      </c>
      <c r="Q64" s="43">
        <f>ROUND((SUM(O156:P161)/SUM(O141:P161)),2)</f>
        <v>0.24</v>
      </c>
    </row>
    <row r="65" spans="1:21" x14ac:dyDescent="0.15">
      <c r="A65" s="2" t="s">
        <v>0</v>
      </c>
      <c r="B65" s="18">
        <f>ROUND(VLOOKUP(B$63&amp;"_1",管理者用人口入力シート!A:X,D65,FALSE),0)</f>
        <v>290</v>
      </c>
      <c r="C65" s="18">
        <f>ROUND(VLOOKUP(B$63&amp;"_2",管理者用人口入力シート!A:X,D65,FALSE),0)</f>
        <v>281</v>
      </c>
      <c r="D65" s="2">
        <v>4</v>
      </c>
    </row>
    <row r="66" spans="1:21" x14ac:dyDescent="0.15">
      <c r="A66" s="2" t="s">
        <v>1</v>
      </c>
      <c r="B66" s="18">
        <f>ROUND(VLOOKUP(B$63&amp;"_1",管理者用人口入力シート!A:X,D66,FALSE),0)</f>
        <v>314</v>
      </c>
      <c r="C66" s="18">
        <f>ROUND(VLOOKUP(B$63&amp;"_2",管理者用人口入力シート!A:X,D66,FALSE),0)</f>
        <v>295</v>
      </c>
      <c r="D66" s="2">
        <v>5</v>
      </c>
      <c r="G66" s="75" t="s">
        <v>113</v>
      </c>
      <c r="N66" s="75" t="s">
        <v>113</v>
      </c>
    </row>
    <row r="67" spans="1:21" x14ac:dyDescent="0.15">
      <c r="A67" s="2" t="s">
        <v>2</v>
      </c>
      <c r="B67" s="18">
        <f>ROUND(VLOOKUP(B$63&amp;"_1",管理者用人口入力シート!A:X,D67,FALSE),0)</f>
        <v>310</v>
      </c>
      <c r="C67" s="18">
        <f>ROUND(VLOOKUP(B$63&amp;"_2",管理者用人口入力シート!A:X,D67,FALSE),0)</f>
        <v>287</v>
      </c>
      <c r="D67" s="2">
        <v>6</v>
      </c>
      <c r="G67" s="2" t="s">
        <v>106</v>
      </c>
      <c r="H67" s="342">
        <f>管理者入力シート!B8</f>
        <v>2025</v>
      </c>
      <c r="I67" s="343"/>
      <c r="J67" s="2" t="s">
        <v>114</v>
      </c>
      <c r="K67" s="230"/>
      <c r="O67" s="342">
        <f>管理者入力シート!B8</f>
        <v>2025</v>
      </c>
      <c r="P67" s="343"/>
      <c r="Q67" s="2" t="s">
        <v>114</v>
      </c>
    </row>
    <row r="68" spans="1:21" x14ac:dyDescent="0.15">
      <c r="A68" s="2" t="s">
        <v>3</v>
      </c>
      <c r="B68" s="18">
        <f>ROUND(VLOOKUP(B$63&amp;"_1",管理者用人口入力シート!A:X,D68,FALSE),0)</f>
        <v>297</v>
      </c>
      <c r="C68" s="18">
        <f>ROUND(VLOOKUP(B$63&amp;"_2",管理者用人口入力シート!A:X,D68,FALSE),0)</f>
        <v>332</v>
      </c>
      <c r="D68" s="2">
        <v>7</v>
      </c>
      <c r="G68" s="2" t="s">
        <v>115</v>
      </c>
      <c r="H68" s="19" t="s">
        <v>243</v>
      </c>
      <c r="I68" s="19" t="s">
        <v>244</v>
      </c>
      <c r="K68" s="230"/>
      <c r="N68" s="2" t="s">
        <v>115</v>
      </c>
      <c r="O68" s="19" t="s">
        <v>21</v>
      </c>
      <c r="P68" s="19" t="s">
        <v>22</v>
      </c>
    </row>
    <row r="69" spans="1:21" x14ac:dyDescent="0.15">
      <c r="A69" s="2" t="s">
        <v>4</v>
      </c>
      <c r="B69" s="18">
        <f>ROUND(VLOOKUP(B$63&amp;"_1",管理者用人口入力シート!A:X,D69,FALSE),0)</f>
        <v>172</v>
      </c>
      <c r="C69" s="18">
        <f>ROUND(VLOOKUP(B$63&amp;"_2",管理者用人口入力シート!A:X,D69,FALSE),0)</f>
        <v>174</v>
      </c>
      <c r="D69" s="2">
        <v>8</v>
      </c>
      <c r="G69" s="2" t="s">
        <v>0</v>
      </c>
      <c r="H69" s="18">
        <f>ROUND(VLOOKUP(H$67&amp;"_1",管理者用人口入力シート!BH:CE,J69,FALSE),0)</f>
        <v>231</v>
      </c>
      <c r="I69" s="18">
        <f>ROUND(VLOOKUP(H$67&amp;"_2",管理者用人口入力シート!BH:CE,J69,FALSE),0)</f>
        <v>203</v>
      </c>
      <c r="J69" s="2">
        <v>4</v>
      </c>
      <c r="K69" s="13"/>
      <c r="N69" s="2" t="s">
        <v>0</v>
      </c>
      <c r="O69" s="18">
        <f>ROUND(VLOOKUP(O$67&amp;"_1",管理者用人口入力シート!CO:DL,Q69,FALSE),0)</f>
        <v>232</v>
      </c>
      <c r="P69" s="18">
        <f>ROUND(VLOOKUP(O$67&amp;"_2",管理者用人口入力シート!CO:DL,Q69,FALSE),0)</f>
        <v>204</v>
      </c>
      <c r="Q69" s="2">
        <v>4</v>
      </c>
      <c r="U69" s="91"/>
    </row>
    <row r="70" spans="1:21" x14ac:dyDescent="0.15">
      <c r="A70" s="2" t="s">
        <v>5</v>
      </c>
      <c r="B70" s="18">
        <f>ROUND(VLOOKUP(B$63&amp;"_1",管理者用人口入力シート!A:X,D70,FALSE),0)</f>
        <v>248</v>
      </c>
      <c r="C70" s="18">
        <f>ROUND(VLOOKUP(B$63&amp;"_2",管理者用人口入力シート!A:X,D70,FALSE),0)</f>
        <v>270</v>
      </c>
      <c r="D70" s="2">
        <v>9</v>
      </c>
      <c r="G70" s="2" t="s">
        <v>1</v>
      </c>
      <c r="H70" s="18">
        <f>ROUND(VLOOKUP(H$67&amp;"_1",管理者用人口入力シート!BH:CE,J70,FALSE),0)</f>
        <v>267</v>
      </c>
      <c r="I70" s="18">
        <f>ROUND(VLOOKUP(H$67&amp;"_2",管理者用人口入力シート!BH:CE,J70,FALSE),0)</f>
        <v>228</v>
      </c>
      <c r="J70" s="2">
        <v>5</v>
      </c>
      <c r="K70" s="13"/>
      <c r="N70" s="2" t="s">
        <v>1</v>
      </c>
      <c r="O70" s="18">
        <f>ROUND(VLOOKUP(O$67&amp;"_1",管理者用人口入力シート!CO:DL,Q70,FALSE),0)</f>
        <v>267</v>
      </c>
      <c r="P70" s="18">
        <f>ROUND(VLOOKUP(O$67&amp;"_2",管理者用人口入力シート!CO:DL,Q70,FALSE),0)</f>
        <v>228</v>
      </c>
      <c r="Q70" s="2">
        <v>5</v>
      </c>
      <c r="U70" s="91"/>
    </row>
    <row r="71" spans="1:21" x14ac:dyDescent="0.15">
      <c r="A71" s="2" t="s">
        <v>6</v>
      </c>
      <c r="B71" s="18">
        <f>ROUND(VLOOKUP(B$63&amp;"_1",管理者用人口入力シート!A:X,D71,FALSE),0)</f>
        <v>317</v>
      </c>
      <c r="C71" s="18">
        <f>ROUND(VLOOKUP(B$63&amp;"_2",管理者用人口入力シート!A:X,D71,FALSE),0)</f>
        <v>354</v>
      </c>
      <c r="D71" s="2">
        <v>10</v>
      </c>
      <c r="G71" s="2" t="s">
        <v>2</v>
      </c>
      <c r="H71" s="18">
        <f>ROUND(VLOOKUP(H$67&amp;"_1",管理者用人口入力シート!BH:CE,J71,FALSE),0)</f>
        <v>283</v>
      </c>
      <c r="I71" s="18">
        <f>ROUND(VLOOKUP(H$67&amp;"_2",管理者用人口入力シート!BH:CE,J71,FALSE),0)</f>
        <v>257</v>
      </c>
      <c r="J71" s="2">
        <v>6</v>
      </c>
      <c r="K71" s="13"/>
      <c r="N71" s="2" t="s">
        <v>2</v>
      </c>
      <c r="O71" s="18">
        <f>ROUND(VLOOKUP(O$67&amp;"_1",管理者用人口入力シート!CO:DL,Q71,FALSE),0)</f>
        <v>284</v>
      </c>
      <c r="P71" s="18">
        <f>ROUND(VLOOKUP(O$67&amp;"_2",管理者用人口入力シート!CO:DL,Q71,FALSE),0)</f>
        <v>258</v>
      </c>
      <c r="Q71" s="2">
        <v>6</v>
      </c>
      <c r="U71" s="91"/>
    </row>
    <row r="72" spans="1:21" x14ac:dyDescent="0.15">
      <c r="A72" s="2" t="s">
        <v>7</v>
      </c>
      <c r="B72" s="18">
        <f>ROUND(VLOOKUP(B$63&amp;"_1",管理者用人口入力シート!A:X,D72,FALSE),0)</f>
        <v>340</v>
      </c>
      <c r="C72" s="18">
        <f>ROUND(VLOOKUP(B$63&amp;"_2",管理者用人口入力シート!A:X,D72,FALSE),0)</f>
        <v>378</v>
      </c>
      <c r="D72" s="2">
        <v>11</v>
      </c>
      <c r="G72" s="2" t="s">
        <v>3</v>
      </c>
      <c r="H72" s="18">
        <f>ROUND(VLOOKUP(H$67&amp;"_1",管理者用人口入力シート!BH:CE,J72,FALSE),0)</f>
        <v>300</v>
      </c>
      <c r="I72" s="18">
        <f>ROUND(VLOOKUP(H$67&amp;"_2",管理者用人口入力シート!BH:CE,J72,FALSE),0)</f>
        <v>289</v>
      </c>
      <c r="J72" s="2">
        <v>7</v>
      </c>
      <c r="K72" s="13"/>
      <c r="N72" s="2" t="s">
        <v>3</v>
      </c>
      <c r="O72" s="18">
        <f>ROUND(VLOOKUP(O$67&amp;"_1",管理者用人口入力シート!CO:DL,Q72,FALSE),0)</f>
        <v>300</v>
      </c>
      <c r="P72" s="18">
        <f>ROUND(VLOOKUP(O$67&amp;"_2",管理者用人口入力シート!CO:DL,Q72,FALSE),0)</f>
        <v>289</v>
      </c>
      <c r="Q72" s="2">
        <v>7</v>
      </c>
      <c r="U72" s="91"/>
    </row>
    <row r="73" spans="1:21" x14ac:dyDescent="0.15">
      <c r="A73" s="2" t="s">
        <v>8</v>
      </c>
      <c r="B73" s="18">
        <f>ROUND(VLOOKUP(B$63&amp;"_1",管理者用人口入力シート!A:X,D73,FALSE),0)</f>
        <v>350</v>
      </c>
      <c r="C73" s="18">
        <f>ROUND(VLOOKUP(B$63&amp;"_2",管理者用人口入力シート!A:X,D73,FALSE),0)</f>
        <v>381</v>
      </c>
      <c r="D73" s="2">
        <v>12</v>
      </c>
      <c r="G73" s="2" t="s">
        <v>4</v>
      </c>
      <c r="H73" s="18">
        <f>ROUND(VLOOKUP(H$67&amp;"_1",管理者用人口入力シート!BH:CE,J73,FALSE),0)</f>
        <v>163</v>
      </c>
      <c r="I73" s="18">
        <f>ROUND(VLOOKUP(H$67&amp;"_2",管理者用人口入力シート!BH:CE,J73,FALSE),0)</f>
        <v>150</v>
      </c>
      <c r="J73" s="2">
        <v>8</v>
      </c>
      <c r="K73" s="13"/>
      <c r="N73" s="2" t="s">
        <v>4</v>
      </c>
      <c r="O73" s="18">
        <f>ROUND(VLOOKUP(O$67&amp;"_1",管理者用人口入力シート!CO:DL,Q73,FALSE),0)</f>
        <v>163</v>
      </c>
      <c r="P73" s="18">
        <f>ROUND(VLOOKUP(O$67&amp;"_2",管理者用人口入力シート!CO:DL,Q73,FALSE),0)</f>
        <v>150</v>
      </c>
      <c r="Q73" s="2">
        <v>8</v>
      </c>
      <c r="U73" s="91"/>
    </row>
    <row r="74" spans="1:21" x14ac:dyDescent="0.15">
      <c r="A74" s="2" t="s">
        <v>9</v>
      </c>
      <c r="B74" s="18">
        <f>ROUND(VLOOKUP(B$63&amp;"_1",管理者用人口入力シート!A:X,D74,FALSE),0)</f>
        <v>301</v>
      </c>
      <c r="C74" s="18">
        <f>ROUND(VLOOKUP(B$63&amp;"_2",管理者用人口入力シート!A:X,D74,FALSE),0)</f>
        <v>343</v>
      </c>
      <c r="D74" s="2">
        <v>13</v>
      </c>
      <c r="G74" s="2" t="s">
        <v>5</v>
      </c>
      <c r="H74" s="18">
        <f>ROUND(VLOOKUP(H$67&amp;"_1",管理者用人口入力シート!BH:CE,J74,FALSE),0)</f>
        <v>194</v>
      </c>
      <c r="I74" s="18">
        <f>ROUND(VLOOKUP(H$67&amp;"_2",管理者用人口入力シート!BH:CE,J74,FALSE),0)</f>
        <v>257</v>
      </c>
      <c r="J74" s="2">
        <v>9</v>
      </c>
      <c r="K74" s="13"/>
      <c r="N74" s="2" t="s">
        <v>5</v>
      </c>
      <c r="O74" s="18">
        <f>ROUND(VLOOKUP(O$67&amp;"_1",管理者用人口入力シート!CO:DL,Q74,FALSE),0)</f>
        <v>196</v>
      </c>
      <c r="P74" s="18">
        <f>ROUND(VLOOKUP(O$67&amp;"_2",管理者用人口入力シート!CO:DL,Q74,FALSE),0)</f>
        <v>259</v>
      </c>
      <c r="Q74" s="2">
        <v>9</v>
      </c>
      <c r="U74" s="91"/>
    </row>
    <row r="75" spans="1:21" x14ac:dyDescent="0.15">
      <c r="A75" s="2" t="s">
        <v>10</v>
      </c>
      <c r="B75" s="18">
        <f>ROUND(VLOOKUP(B$63&amp;"_1",管理者用人口入力シート!A:X,D75,FALSE),0)</f>
        <v>372</v>
      </c>
      <c r="C75" s="18">
        <f>ROUND(VLOOKUP(B$63&amp;"_2",管理者用人口入力シート!A:X,D75,FALSE),0)</f>
        <v>386</v>
      </c>
      <c r="D75" s="2">
        <v>14</v>
      </c>
      <c r="G75" s="2" t="s">
        <v>6</v>
      </c>
      <c r="H75" s="18">
        <f>ROUND(VLOOKUP(H$67&amp;"_1",管理者用人口入力シート!BH:CE,J75,FALSE),0)</f>
        <v>251</v>
      </c>
      <c r="I75" s="18">
        <f>ROUND(VLOOKUP(H$67&amp;"_2",管理者用人口入力シート!BH:CE,J75,FALSE),0)</f>
        <v>243</v>
      </c>
      <c r="J75" s="2">
        <v>10</v>
      </c>
      <c r="K75" s="13"/>
      <c r="N75" s="2" t="s">
        <v>6</v>
      </c>
      <c r="O75" s="18">
        <f>ROUND(VLOOKUP(O$67&amp;"_1",管理者用人口入力シート!CO:DL,Q75,FALSE),0)</f>
        <v>251</v>
      </c>
      <c r="P75" s="18">
        <f>ROUND(VLOOKUP(O$67&amp;"_2",管理者用人口入力シート!CO:DL,Q75,FALSE),0)</f>
        <v>243</v>
      </c>
      <c r="Q75" s="2">
        <v>10</v>
      </c>
      <c r="U75" s="91"/>
    </row>
    <row r="76" spans="1:21" x14ac:dyDescent="0.15">
      <c r="A76" s="2" t="s">
        <v>11</v>
      </c>
      <c r="B76" s="18">
        <f>ROUND(VLOOKUP(B$63&amp;"_1",管理者用人口入力シート!A:X,D76,FALSE),0)</f>
        <v>381</v>
      </c>
      <c r="C76" s="18">
        <f>ROUND(VLOOKUP(B$63&amp;"_2",管理者用人口入力シート!A:X,D76,FALSE),0)</f>
        <v>466</v>
      </c>
      <c r="D76" s="2">
        <v>15</v>
      </c>
      <c r="G76" s="2" t="s">
        <v>7</v>
      </c>
      <c r="H76" s="18">
        <f>ROUND(VLOOKUP(H$67&amp;"_1",管理者用人口入力シート!BH:CE,J76,FALSE),0)</f>
        <v>288</v>
      </c>
      <c r="I76" s="18">
        <f>ROUND(VLOOKUP(H$67&amp;"_2",管理者用人口入力シート!BH:CE,J76,FALSE),0)</f>
        <v>247</v>
      </c>
      <c r="J76" s="2">
        <v>11</v>
      </c>
      <c r="K76" s="13"/>
      <c r="N76" s="2" t="s">
        <v>7</v>
      </c>
      <c r="O76" s="18">
        <f>ROUND(VLOOKUP(O$67&amp;"_1",管理者用人口入力シート!CO:DL,Q76,FALSE),0)</f>
        <v>288</v>
      </c>
      <c r="P76" s="18">
        <f>ROUND(VLOOKUP(O$67&amp;"_2",管理者用人口入力シート!CO:DL,Q76,FALSE),0)</f>
        <v>247</v>
      </c>
      <c r="Q76" s="2">
        <v>11</v>
      </c>
      <c r="U76" s="91"/>
    </row>
    <row r="77" spans="1:21" x14ac:dyDescent="0.15">
      <c r="A77" s="2" t="s">
        <v>12</v>
      </c>
      <c r="B77" s="18">
        <f>ROUND(VLOOKUP(B$63&amp;"_1",管理者用人口入力シート!A:X,D77,FALSE),0)</f>
        <v>484</v>
      </c>
      <c r="C77" s="18">
        <f>ROUND(VLOOKUP(B$63&amp;"_2",管理者用人口入力シート!A:X,D77,FALSE),0)</f>
        <v>493</v>
      </c>
      <c r="D77" s="2">
        <v>16</v>
      </c>
      <c r="G77" s="2" t="s">
        <v>8</v>
      </c>
      <c r="H77" s="18">
        <f>ROUND(VLOOKUP(H$67&amp;"_1",管理者用人口入力シート!BH:CE,J77,FALSE),0)</f>
        <v>313</v>
      </c>
      <c r="I77" s="18">
        <f>ROUND(VLOOKUP(H$67&amp;"_2",管理者用人口入力シート!BH:CE,J77,FALSE),0)</f>
        <v>333</v>
      </c>
      <c r="J77" s="2">
        <v>12</v>
      </c>
      <c r="K77" s="13"/>
      <c r="N77" s="2" t="s">
        <v>8</v>
      </c>
      <c r="O77" s="18">
        <f>ROUND(VLOOKUP(O$67&amp;"_1",管理者用人口入力シート!CO:DL,Q77,FALSE),0)</f>
        <v>313</v>
      </c>
      <c r="P77" s="18">
        <f>ROUND(VLOOKUP(O$67&amp;"_2",管理者用人口入力シート!CO:DL,Q77,FALSE),0)</f>
        <v>334</v>
      </c>
      <c r="Q77" s="2">
        <v>12</v>
      </c>
      <c r="U77" s="91"/>
    </row>
    <row r="78" spans="1:21" x14ac:dyDescent="0.15">
      <c r="A78" s="2" t="s">
        <v>13</v>
      </c>
      <c r="B78" s="18">
        <f>ROUND(VLOOKUP(B$63&amp;"_1",管理者用人口入力シート!A:X,D78,FALSE),0)</f>
        <v>460</v>
      </c>
      <c r="C78" s="18">
        <f>ROUND(VLOOKUP(B$63&amp;"_2",管理者用人口入力シート!A:X,D78,FALSE),0)</f>
        <v>541</v>
      </c>
      <c r="D78" s="2">
        <v>17</v>
      </c>
      <c r="G78" s="2" t="s">
        <v>9</v>
      </c>
      <c r="H78" s="18">
        <f>ROUND(VLOOKUP(H$67&amp;"_1",管理者用人口入力シート!BH:CE,J78,FALSE),0)</f>
        <v>319</v>
      </c>
      <c r="I78" s="18">
        <f>ROUND(VLOOKUP(H$67&amp;"_2",管理者用人口入力シート!BH:CE,J78,FALSE),0)</f>
        <v>366</v>
      </c>
      <c r="J78" s="2">
        <v>13</v>
      </c>
      <c r="K78" s="13"/>
      <c r="N78" s="2" t="s">
        <v>9</v>
      </c>
      <c r="O78" s="18">
        <f>ROUND(VLOOKUP(O$67&amp;"_1",管理者用人口入力シート!CO:DL,Q78,FALSE),0)</f>
        <v>319</v>
      </c>
      <c r="P78" s="18">
        <f>ROUND(VLOOKUP(O$67&amp;"_2",管理者用人口入力シート!CO:DL,Q78,FALSE),0)</f>
        <v>366</v>
      </c>
      <c r="Q78" s="2">
        <v>13</v>
      </c>
      <c r="U78" s="91"/>
    </row>
    <row r="79" spans="1:21" x14ac:dyDescent="0.15">
      <c r="A79" s="2" t="s">
        <v>14</v>
      </c>
      <c r="B79" s="18">
        <f>ROUND(VLOOKUP(B$63&amp;"_1",管理者用人口入力シート!A:X,D79,FALSE),0)</f>
        <v>355</v>
      </c>
      <c r="C79" s="18">
        <f>ROUND(VLOOKUP(B$63&amp;"_2",管理者用人口入力シート!A:X,D79,FALSE),0)</f>
        <v>436</v>
      </c>
      <c r="D79" s="2">
        <v>18</v>
      </c>
      <c r="G79" s="2" t="s">
        <v>10</v>
      </c>
      <c r="H79" s="18">
        <f>ROUND(VLOOKUP(H$67&amp;"_1",管理者用人口入力シート!BH:CE,J79,FALSE),0)</f>
        <v>337</v>
      </c>
      <c r="I79" s="18">
        <f>ROUND(VLOOKUP(H$67&amp;"_2",管理者用人口入力シート!BH:CE,J79,FALSE),0)</f>
        <v>361</v>
      </c>
      <c r="J79" s="2">
        <v>14</v>
      </c>
      <c r="K79" s="13"/>
      <c r="N79" s="2" t="s">
        <v>10</v>
      </c>
      <c r="O79" s="18">
        <f>ROUND(VLOOKUP(O$67&amp;"_1",管理者用人口入力シート!CO:DL,Q79,FALSE),0)</f>
        <v>337</v>
      </c>
      <c r="P79" s="18">
        <f>ROUND(VLOOKUP(O$67&amp;"_2",管理者用人口入力シート!CO:DL,Q79,FALSE),0)</f>
        <v>361</v>
      </c>
      <c r="Q79" s="2">
        <v>14</v>
      </c>
      <c r="U79" s="91"/>
    </row>
    <row r="80" spans="1:21" x14ac:dyDescent="0.15">
      <c r="A80" s="2" t="s">
        <v>15</v>
      </c>
      <c r="B80" s="18">
        <f>ROUND(VLOOKUP(B$63&amp;"_1",管理者用人口入力シート!A:X,D80,FALSE),0)</f>
        <v>275</v>
      </c>
      <c r="C80" s="18">
        <f>ROUND(VLOOKUP(B$63&amp;"_2",管理者用人口入力シート!A:X,D80,FALSE),0)</f>
        <v>442</v>
      </c>
      <c r="D80" s="2">
        <v>19</v>
      </c>
      <c r="G80" s="2" t="s">
        <v>11</v>
      </c>
      <c r="H80" s="18">
        <f>ROUND(VLOOKUP(H$67&amp;"_1",管理者用人口入力シート!BH:CE,J80,FALSE),0)</f>
        <v>273</v>
      </c>
      <c r="I80" s="18">
        <f>ROUND(VLOOKUP(H$67&amp;"_2",管理者用人口入力シート!BH:CE,J80,FALSE),0)</f>
        <v>351</v>
      </c>
      <c r="J80" s="2">
        <v>15</v>
      </c>
      <c r="K80" s="13"/>
      <c r="N80" s="2" t="s">
        <v>11</v>
      </c>
      <c r="O80" s="18">
        <f>ROUND(VLOOKUP(O$67&amp;"_1",管理者用人口入力シート!CO:DL,Q80,FALSE),0)</f>
        <v>273</v>
      </c>
      <c r="P80" s="18">
        <f>ROUND(VLOOKUP(O$67&amp;"_2",管理者用人口入力シート!CO:DL,Q80,FALSE),0)</f>
        <v>351</v>
      </c>
      <c r="Q80" s="2">
        <v>15</v>
      </c>
      <c r="U80" s="91"/>
    </row>
    <row r="81" spans="1:21" x14ac:dyDescent="0.15">
      <c r="A81" s="2" t="s">
        <v>16</v>
      </c>
      <c r="B81" s="18">
        <f>ROUND(VLOOKUP(B$63&amp;"_1",管理者用人口入力シート!A:X,D81,FALSE),0)</f>
        <v>286</v>
      </c>
      <c r="C81" s="18">
        <f>ROUND(VLOOKUP(B$63&amp;"_2",管理者用人口入力シート!A:X,D81,FALSE),0)</f>
        <v>414</v>
      </c>
      <c r="D81" s="2">
        <v>20</v>
      </c>
      <c r="G81" s="2" t="s">
        <v>12</v>
      </c>
      <c r="H81" s="18">
        <f>ROUND(VLOOKUP(H$67&amp;"_1",管理者用人口入力シート!BH:CE,J81,FALSE),0)</f>
        <v>346</v>
      </c>
      <c r="I81" s="18">
        <f>ROUND(VLOOKUP(H$67&amp;"_2",管理者用人口入力シート!BH:CE,J81,FALSE),0)</f>
        <v>388</v>
      </c>
      <c r="J81" s="2">
        <v>16</v>
      </c>
      <c r="K81" s="13"/>
      <c r="N81" s="2" t="s">
        <v>12</v>
      </c>
      <c r="O81" s="18">
        <f>ROUND(VLOOKUP(O$67&amp;"_1",管理者用人口入力シート!CO:DL,Q81,FALSE),0)</f>
        <v>346</v>
      </c>
      <c r="P81" s="18">
        <f>ROUND(VLOOKUP(O$67&amp;"_2",管理者用人口入力シート!CO:DL,Q81,FALSE),0)</f>
        <v>388</v>
      </c>
      <c r="Q81" s="2">
        <v>16</v>
      </c>
      <c r="U81" s="91"/>
    </row>
    <row r="82" spans="1:21" x14ac:dyDescent="0.15">
      <c r="A82" s="2" t="s">
        <v>17</v>
      </c>
      <c r="B82" s="18">
        <f>ROUND(VLOOKUP(B$63&amp;"_1",管理者用人口入力シート!A:X,D82,FALSE),0)</f>
        <v>162</v>
      </c>
      <c r="C82" s="18">
        <f>ROUND(VLOOKUP(B$63&amp;"_2",管理者用人口入力シート!A:X,D82,FALSE),0)</f>
        <v>325</v>
      </c>
      <c r="D82" s="2">
        <v>21</v>
      </c>
      <c r="G82" s="2" t="s">
        <v>13</v>
      </c>
      <c r="H82" s="18">
        <f>ROUND(VLOOKUP(H$67&amp;"_1",管理者用人口入力シート!BH:CE,J82,FALSE),0)</f>
        <v>370</v>
      </c>
      <c r="I82" s="18">
        <f>ROUND(VLOOKUP(H$67&amp;"_2",管理者用人口入力シート!BH:CE,J82,FALSE),0)</f>
        <v>455</v>
      </c>
      <c r="J82" s="2">
        <v>17</v>
      </c>
      <c r="K82" s="13"/>
      <c r="N82" s="2" t="s">
        <v>13</v>
      </c>
      <c r="O82" s="18">
        <f>ROUND(VLOOKUP(O$67&amp;"_1",管理者用人口入力シート!CO:DL,Q82,FALSE),0)</f>
        <v>370</v>
      </c>
      <c r="P82" s="18">
        <f>ROUND(VLOOKUP(O$67&amp;"_2",管理者用人口入力シート!CO:DL,Q82,FALSE),0)</f>
        <v>455</v>
      </c>
      <c r="Q82" s="2">
        <v>17</v>
      </c>
      <c r="U82" s="91"/>
    </row>
    <row r="83" spans="1:21" x14ac:dyDescent="0.15">
      <c r="A83" s="2" t="s">
        <v>18</v>
      </c>
      <c r="B83" s="18">
        <f>ROUND(VLOOKUP(B$63&amp;"_1",管理者用人口入力シート!A:X,D83,FALSE),0)</f>
        <v>48</v>
      </c>
      <c r="C83" s="18">
        <f>ROUND(VLOOKUP(B$63&amp;"_2",管理者用人口入力シート!A:X,D83,FALSE),0)</f>
        <v>180</v>
      </c>
      <c r="D83" s="2">
        <v>22</v>
      </c>
      <c r="G83" s="2" t="s">
        <v>14</v>
      </c>
      <c r="H83" s="18">
        <f>ROUND(VLOOKUP(H$67&amp;"_1",管理者用人口入力シート!BH:CE,J83,FALSE),0)</f>
        <v>438</v>
      </c>
      <c r="I83" s="18">
        <f>ROUND(VLOOKUP(H$67&amp;"_2",管理者用人口入力シート!BH:CE,J83,FALSE),0)</f>
        <v>471</v>
      </c>
      <c r="J83" s="2">
        <v>18</v>
      </c>
      <c r="K83" s="13"/>
      <c r="N83" s="2" t="s">
        <v>14</v>
      </c>
      <c r="O83" s="18">
        <f>ROUND(VLOOKUP(O$67&amp;"_1",管理者用人口入力シート!CO:DL,Q83,FALSE),0)</f>
        <v>438</v>
      </c>
      <c r="P83" s="18">
        <f>ROUND(VLOOKUP(O$67&amp;"_2",管理者用人口入力シート!CO:DL,Q83,FALSE),0)</f>
        <v>471</v>
      </c>
      <c r="Q83" s="2">
        <v>18</v>
      </c>
      <c r="U83" s="91"/>
    </row>
    <row r="84" spans="1:21" x14ac:dyDescent="0.15">
      <c r="A84" s="2" t="s">
        <v>19</v>
      </c>
      <c r="B84" s="18">
        <f>ROUND(VLOOKUP(B$63&amp;"_1",管理者用人口入力シート!A:X,D84,FALSE),0)</f>
        <v>9</v>
      </c>
      <c r="C84" s="18">
        <f>ROUND(VLOOKUP(B$63&amp;"_2",管理者用人口入力シート!A:X,D84,FALSE),0)</f>
        <v>57</v>
      </c>
      <c r="D84" s="2">
        <v>23</v>
      </c>
      <c r="G84" s="2" t="s">
        <v>15</v>
      </c>
      <c r="H84" s="18">
        <f>ROUND(VLOOKUP(H$67&amp;"_1",管理者用人口入力シート!BH:CE,J84,FALSE),0)</f>
        <v>390</v>
      </c>
      <c r="I84" s="18">
        <f>ROUND(VLOOKUP(H$67&amp;"_2",管理者用人口入力シート!BH:CE,J84,FALSE),0)</f>
        <v>489</v>
      </c>
      <c r="J84" s="2">
        <v>19</v>
      </c>
      <c r="K84" s="13"/>
      <c r="N84" s="2" t="s">
        <v>15</v>
      </c>
      <c r="O84" s="18">
        <f>ROUND(VLOOKUP(O$67&amp;"_1",管理者用人口入力シート!CO:DL,Q84,FALSE),0)</f>
        <v>390</v>
      </c>
      <c r="P84" s="18">
        <f>ROUND(VLOOKUP(O$67&amp;"_2",管理者用人口入力シート!CO:DL,Q84,FALSE),0)</f>
        <v>489</v>
      </c>
      <c r="Q84" s="2">
        <v>19</v>
      </c>
      <c r="U84" s="91"/>
    </row>
    <row r="85" spans="1:21" x14ac:dyDescent="0.15">
      <c r="A85" s="2" t="s">
        <v>20</v>
      </c>
      <c r="B85" s="18">
        <f>ROUND(VLOOKUP(B$63&amp;"_1",管理者用人口入力シート!A:X,D85,FALSE),0)</f>
        <v>2</v>
      </c>
      <c r="C85" s="18">
        <f>ROUND(VLOOKUP(B$63&amp;"_2",管理者用人口入力シート!A:X,D85,FALSE),0)</f>
        <v>10</v>
      </c>
      <c r="D85" s="2">
        <v>24</v>
      </c>
      <c r="G85" s="2" t="s">
        <v>16</v>
      </c>
      <c r="H85" s="18">
        <f>ROUND(VLOOKUP(H$67&amp;"_1",管理者用人口入力シート!BH:CE,J85,FALSE),0)</f>
        <v>258</v>
      </c>
      <c r="I85" s="18">
        <f>ROUND(VLOOKUP(H$67&amp;"_2",管理者用人口入力シート!BH:CE,J85,FALSE),0)</f>
        <v>364</v>
      </c>
      <c r="J85" s="2">
        <v>20</v>
      </c>
      <c r="K85" s="13"/>
      <c r="N85" s="2" t="s">
        <v>16</v>
      </c>
      <c r="O85" s="18">
        <f>ROUND(VLOOKUP(O$67&amp;"_1",管理者用人口入力シート!CO:DL,Q85,FALSE),0)</f>
        <v>258</v>
      </c>
      <c r="P85" s="18">
        <f>ROUND(VLOOKUP(O$67&amp;"_2",管理者用人口入力シート!CO:DL,Q85,FALSE),0)</f>
        <v>364</v>
      </c>
      <c r="Q85" s="2">
        <v>20</v>
      </c>
      <c r="U85" s="91"/>
    </row>
    <row r="86" spans="1:21" x14ac:dyDescent="0.15">
      <c r="G86" s="2" t="s">
        <v>17</v>
      </c>
      <c r="H86" s="18">
        <f>ROUND(VLOOKUP(H$67&amp;"_1",管理者用人口入力シート!BH:CE,J86,FALSE),0)</f>
        <v>164</v>
      </c>
      <c r="I86" s="18">
        <f>ROUND(VLOOKUP(H$67&amp;"_2",管理者用人口入力シート!BH:CE,J86,FALSE),0)</f>
        <v>311</v>
      </c>
      <c r="J86" s="2">
        <v>21</v>
      </c>
      <c r="K86" s="13"/>
      <c r="N86" s="2" t="s">
        <v>17</v>
      </c>
      <c r="O86" s="18">
        <f>ROUND(VLOOKUP(O$67&amp;"_1",管理者用人口入力シート!CO:DL,Q86,FALSE),0)</f>
        <v>164</v>
      </c>
      <c r="P86" s="18">
        <f>ROUND(VLOOKUP(O$67&amp;"_2",管理者用人口入力シート!CO:DL,Q86,FALSE),0)</f>
        <v>311</v>
      </c>
      <c r="Q86" s="2">
        <v>21</v>
      </c>
      <c r="U86" s="91"/>
    </row>
    <row r="87" spans="1:21" x14ac:dyDescent="0.15">
      <c r="A87" s="2" t="s">
        <v>62</v>
      </c>
      <c r="B87" s="342">
        <f>管理者入力シート!B5</f>
        <v>2020</v>
      </c>
      <c r="C87" s="343"/>
      <c r="D87" s="2" t="s">
        <v>114</v>
      </c>
      <c r="G87" s="2" t="s">
        <v>18</v>
      </c>
      <c r="H87" s="18">
        <f>ROUND(VLOOKUP(H$67&amp;"_1",管理者用人口入力シート!BH:CE,J87,FALSE),0)</f>
        <v>87</v>
      </c>
      <c r="I87" s="18">
        <f>ROUND(VLOOKUP(H$67&amp;"_2",管理者用人口入力シート!BH:CE,J87,FALSE),0)</f>
        <v>204</v>
      </c>
      <c r="J87" s="2">
        <v>22</v>
      </c>
      <c r="K87" s="13"/>
      <c r="N87" s="2" t="s">
        <v>18</v>
      </c>
      <c r="O87" s="18">
        <f>ROUND(VLOOKUP(O$67&amp;"_1",管理者用人口入力シート!CO:DL,Q87,FALSE),0)</f>
        <v>87</v>
      </c>
      <c r="P87" s="18">
        <f>ROUND(VLOOKUP(O$67&amp;"_2",管理者用人口入力シート!CO:DL,Q87,FALSE),0)</f>
        <v>204</v>
      </c>
      <c r="Q87" s="2">
        <v>22</v>
      </c>
      <c r="U87" s="91"/>
    </row>
    <row r="88" spans="1:21" x14ac:dyDescent="0.15">
      <c r="A88" s="2" t="s">
        <v>115</v>
      </c>
      <c r="B88" s="19" t="s">
        <v>21</v>
      </c>
      <c r="C88" s="19" t="s">
        <v>22</v>
      </c>
      <c r="G88" s="2" t="s">
        <v>19</v>
      </c>
      <c r="H88" s="18">
        <f>ROUND(VLOOKUP(H$67&amp;"_1",管理者用人口入力シート!BH:CE,J88,FALSE),0)</f>
        <v>19</v>
      </c>
      <c r="I88" s="18">
        <f>ROUND(VLOOKUP(H$67&amp;"_2",管理者用人口入力シート!BH:CE,J88,FALSE),0)</f>
        <v>88</v>
      </c>
      <c r="J88" s="2">
        <v>23</v>
      </c>
      <c r="K88" s="13"/>
      <c r="N88" s="2" t="s">
        <v>19</v>
      </c>
      <c r="O88" s="18">
        <f>ROUND(VLOOKUP(O$67&amp;"_1",管理者用人口入力シート!CO:DL,Q88,FALSE),0)</f>
        <v>19</v>
      </c>
      <c r="P88" s="18">
        <f>ROUND(VLOOKUP(O$67&amp;"_2",管理者用人口入力シート!CO:DL,Q88,FALSE),0)</f>
        <v>88</v>
      </c>
      <c r="Q88" s="2">
        <v>23</v>
      </c>
      <c r="U88" s="91"/>
    </row>
    <row r="89" spans="1:21" x14ac:dyDescent="0.15">
      <c r="A89" s="2" t="s">
        <v>0</v>
      </c>
      <c r="B89" s="18">
        <f>ROUND(VLOOKUP(B$87&amp;"_1",管理者用人口入力シート!A:X,D89,FALSE),0)</f>
        <v>263</v>
      </c>
      <c r="C89" s="18">
        <f>ROUND(VLOOKUP(B$87&amp;"_2",管理者用人口入力シート!A:X,D89,FALSE),0)</f>
        <v>231</v>
      </c>
      <c r="D89" s="2">
        <v>4</v>
      </c>
      <c r="G89" s="2" t="s">
        <v>20</v>
      </c>
      <c r="H89" s="18">
        <f>ROUND(VLOOKUP(H$67&amp;"_1",管理者用人口入力シート!BH:CE,J89,FALSE),0)</f>
        <v>0</v>
      </c>
      <c r="I89" s="18">
        <f>ROUND(VLOOKUP(H$67&amp;"_2",管理者用人口入力シート!BH:CE,J89,FALSE),0)</f>
        <v>17</v>
      </c>
      <c r="J89" s="2">
        <v>24</v>
      </c>
      <c r="K89" s="13"/>
      <c r="N89" s="2" t="s">
        <v>20</v>
      </c>
      <c r="O89" s="18">
        <f>ROUND(VLOOKUP(O$67&amp;"_1",管理者用人口入力シート!CO:DL,Q89,FALSE),0)</f>
        <v>0</v>
      </c>
      <c r="P89" s="18">
        <f>ROUND(VLOOKUP(O$67&amp;"_2",管理者用人口入力シート!CO:DL,Q89,FALSE),0)</f>
        <v>17</v>
      </c>
      <c r="Q89" s="2">
        <v>24</v>
      </c>
      <c r="U89" s="91"/>
    </row>
    <row r="90" spans="1:21" x14ac:dyDescent="0.15">
      <c r="A90" s="2" t="s">
        <v>1</v>
      </c>
      <c r="B90" s="18">
        <f>ROUND(VLOOKUP(B$87&amp;"_1",管理者用人口入力シート!A:X,D90,FALSE),0)</f>
        <v>289</v>
      </c>
      <c r="C90" s="18">
        <f>ROUND(VLOOKUP(B$87&amp;"_2",管理者用人口入力シート!A:X,D90,FALSE),0)</f>
        <v>268</v>
      </c>
      <c r="D90" s="2">
        <v>5</v>
      </c>
    </row>
    <row r="91" spans="1:21" x14ac:dyDescent="0.15">
      <c r="A91" s="2" t="s">
        <v>2</v>
      </c>
      <c r="B91" s="18">
        <f>ROUND(VLOOKUP(B$87&amp;"_1",管理者用人口入力シート!A:X,D91,FALSE),0)</f>
        <v>297</v>
      </c>
      <c r="C91" s="18">
        <f>ROUND(VLOOKUP(B$87&amp;"_2",管理者用人口入力シート!A:X,D91,FALSE),0)</f>
        <v>288</v>
      </c>
      <c r="D91" s="2">
        <v>6</v>
      </c>
      <c r="G91" s="2" t="s">
        <v>107</v>
      </c>
      <c r="H91" s="342">
        <f>管理者入力シート!B9</f>
        <v>2030</v>
      </c>
      <c r="I91" s="343"/>
      <c r="J91" s="2" t="s">
        <v>114</v>
      </c>
      <c r="K91" s="230"/>
      <c r="O91" s="342">
        <f>管理者入力シート!B9</f>
        <v>2030</v>
      </c>
      <c r="P91" s="343"/>
      <c r="Q91" s="2" t="s">
        <v>114</v>
      </c>
    </row>
    <row r="92" spans="1:21" x14ac:dyDescent="0.15">
      <c r="A92" s="2" t="s">
        <v>3</v>
      </c>
      <c r="B92" s="18">
        <f>ROUND(VLOOKUP(B$87&amp;"_1",管理者用人口入力シート!A:X,D92,FALSE),0)</f>
        <v>321</v>
      </c>
      <c r="C92" s="18">
        <f>ROUND(VLOOKUP(B$87&amp;"_2",管理者用人口入力シート!A:X,D92,FALSE),0)</f>
        <v>282</v>
      </c>
      <c r="D92" s="2">
        <v>7</v>
      </c>
      <c r="G92" s="2" t="s">
        <v>115</v>
      </c>
      <c r="H92" s="19" t="s">
        <v>243</v>
      </c>
      <c r="I92" s="19" t="s">
        <v>244</v>
      </c>
      <c r="K92" s="230"/>
      <c r="N92" s="2" t="s">
        <v>115</v>
      </c>
      <c r="O92" s="19" t="s">
        <v>21</v>
      </c>
      <c r="P92" s="19" t="s">
        <v>22</v>
      </c>
    </row>
    <row r="93" spans="1:21" x14ac:dyDescent="0.15">
      <c r="A93" s="2" t="s">
        <v>4</v>
      </c>
      <c r="B93" s="18">
        <f>ROUND(VLOOKUP(B$87&amp;"_1",管理者用人口入力シート!A:X,D93,FALSE),0)</f>
        <v>152</v>
      </c>
      <c r="C93" s="18">
        <f>ROUND(VLOOKUP(B$87&amp;"_2",管理者用人口入力シート!A:X,D93,FALSE),0)</f>
        <v>192</v>
      </c>
      <c r="D93" s="2">
        <v>8</v>
      </c>
      <c r="G93" s="2" t="s">
        <v>0</v>
      </c>
      <c r="H93" s="18">
        <f>ROUND(VLOOKUP(H$91&amp;"_1",管理者用人口入力シート!BH:CE,J93,FALSE),0)</f>
        <v>219</v>
      </c>
      <c r="I93" s="18">
        <f>ROUND(VLOOKUP(H$91&amp;"_2",管理者用人口入力シート!BH:CE,J93,FALSE),0)</f>
        <v>193</v>
      </c>
      <c r="J93" s="2">
        <v>4</v>
      </c>
      <c r="K93" s="13"/>
      <c r="N93" s="2" t="s">
        <v>0</v>
      </c>
      <c r="O93" s="18">
        <f>ROUND(VLOOKUP(O$91&amp;"_1",管理者用人口入力シート!CO:DL,Q93,FALSE),0)</f>
        <v>221</v>
      </c>
      <c r="P93" s="18">
        <f>ROUND(VLOOKUP(O$91&amp;"_2",管理者用人口入力シート!CO:DL,Q93,FALSE),0)</f>
        <v>194</v>
      </c>
      <c r="Q93" s="2">
        <v>4</v>
      </c>
      <c r="T93" s="91"/>
    </row>
    <row r="94" spans="1:21" x14ac:dyDescent="0.15">
      <c r="A94" s="2" t="s">
        <v>5</v>
      </c>
      <c r="B94" s="18">
        <f>ROUND(VLOOKUP(B$87&amp;"_1",管理者用人口入力シート!A:X,D94,FALSE),0)</f>
        <v>223</v>
      </c>
      <c r="C94" s="18">
        <f>ROUND(VLOOKUP(B$87&amp;"_2",管理者用人口入力シート!A:X,D94,FALSE),0)</f>
        <v>234</v>
      </c>
      <c r="D94" s="2">
        <v>9</v>
      </c>
      <c r="G94" s="2" t="s">
        <v>1</v>
      </c>
      <c r="H94" s="18">
        <f>ROUND(VLOOKUP(H$91&amp;"_1",管理者用人口入力シート!BH:CE,J94,FALSE),0)</f>
        <v>234</v>
      </c>
      <c r="I94" s="18">
        <f>ROUND(VLOOKUP(H$91&amp;"_2",管理者用人口入力シート!BH:CE,J94,FALSE),0)</f>
        <v>200</v>
      </c>
      <c r="J94" s="2">
        <v>5</v>
      </c>
      <c r="K94" s="13"/>
      <c r="N94" s="2" t="s">
        <v>1</v>
      </c>
      <c r="O94" s="18">
        <f>ROUND(VLOOKUP(O$91&amp;"_1",管理者用人口入力シート!CO:DL,Q94,FALSE),0)</f>
        <v>235</v>
      </c>
      <c r="P94" s="18">
        <f>ROUND(VLOOKUP(O$91&amp;"_2",管理者用人口入力シート!CO:DL,Q94,FALSE),0)</f>
        <v>201</v>
      </c>
      <c r="Q94" s="2">
        <v>5</v>
      </c>
      <c r="T94" s="91"/>
    </row>
    <row r="95" spans="1:21" x14ac:dyDescent="0.15">
      <c r="A95" s="2" t="s">
        <v>6</v>
      </c>
      <c r="B95" s="18">
        <f>ROUND(VLOOKUP(B$87&amp;"_1",管理者用人口入力シート!A:X,D95,FALSE),0)</f>
        <v>286</v>
      </c>
      <c r="C95" s="18">
        <f>ROUND(VLOOKUP(B$87&amp;"_2",管理者用人口入力シート!A:X,D95,FALSE),0)</f>
        <v>262</v>
      </c>
      <c r="D95" s="2">
        <v>10</v>
      </c>
      <c r="G95" s="2" t="s">
        <v>2</v>
      </c>
      <c r="H95" s="18">
        <f>ROUND(VLOOKUP(H$91&amp;"_1",管理者用人口入力シート!BH:CE,J95,FALSE),0)</f>
        <v>261</v>
      </c>
      <c r="I95" s="18">
        <f>ROUND(VLOOKUP(H$91&amp;"_2",管理者用人口入力シート!BH:CE,J95,FALSE),0)</f>
        <v>218</v>
      </c>
      <c r="J95" s="2">
        <v>6</v>
      </c>
      <c r="K95" s="13"/>
      <c r="N95" s="2" t="s">
        <v>2</v>
      </c>
      <c r="O95" s="18">
        <f>ROUND(VLOOKUP(O$91&amp;"_1",管理者用人口入力シート!CO:DL,Q95,FALSE),0)</f>
        <v>262</v>
      </c>
      <c r="P95" s="18">
        <f>ROUND(VLOOKUP(O$91&amp;"_2",管理者用人口入力シート!CO:DL,Q95,FALSE),0)</f>
        <v>219</v>
      </c>
      <c r="Q95" s="2">
        <v>6</v>
      </c>
      <c r="T95" s="91"/>
    </row>
    <row r="96" spans="1:21" x14ac:dyDescent="0.15">
      <c r="A96" s="2" t="s">
        <v>7</v>
      </c>
      <c r="B96" s="18">
        <f>ROUND(VLOOKUP(B$87&amp;"_1",管理者用人口入力シート!A:X,D96,FALSE),0)</f>
        <v>318</v>
      </c>
      <c r="C96" s="18">
        <f>ROUND(VLOOKUP(B$87&amp;"_2",管理者用人口入力シート!A:X,D96,FALSE),0)</f>
        <v>336</v>
      </c>
      <c r="D96" s="2">
        <v>11</v>
      </c>
      <c r="G96" s="2" t="s">
        <v>3</v>
      </c>
      <c r="H96" s="18">
        <f>ROUND(VLOOKUP(H$91&amp;"_1",管理者用人口入力シート!BH:CE,J96,FALSE),0)</f>
        <v>285</v>
      </c>
      <c r="I96" s="18">
        <f>ROUND(VLOOKUP(H$91&amp;"_2",管理者用人口入力シート!BH:CE,J96,FALSE),0)</f>
        <v>258</v>
      </c>
      <c r="J96" s="2">
        <v>7</v>
      </c>
      <c r="K96" s="13"/>
      <c r="N96" s="2" t="s">
        <v>3</v>
      </c>
      <c r="O96" s="18">
        <f>ROUND(VLOOKUP(O$91&amp;"_1",管理者用人口入力シート!CO:DL,Q96,FALSE),0)</f>
        <v>286</v>
      </c>
      <c r="P96" s="18">
        <f>ROUND(VLOOKUP(O$91&amp;"_2",管理者用人口入力シート!CO:DL,Q96,FALSE),0)</f>
        <v>259</v>
      </c>
      <c r="Q96" s="2">
        <v>7</v>
      </c>
      <c r="T96" s="91"/>
    </row>
    <row r="97" spans="1:20" x14ac:dyDescent="0.15">
      <c r="A97" s="2" t="s">
        <v>8</v>
      </c>
      <c r="B97" s="18">
        <f>ROUND(VLOOKUP(B$87&amp;"_1",管理者用人口入力シート!A:X,D97,FALSE),0)</f>
        <v>325</v>
      </c>
      <c r="C97" s="18">
        <f>ROUND(VLOOKUP(B$87&amp;"_2",管理者用人口入力シート!A:X,D97,FALSE),0)</f>
        <v>374</v>
      </c>
      <c r="D97" s="2">
        <v>12</v>
      </c>
      <c r="G97" s="2" t="s">
        <v>4</v>
      </c>
      <c r="H97" s="18">
        <f>ROUND(VLOOKUP(H$91&amp;"_1",管理者用人口入力シート!BH:CE,J97,FALSE),0)</f>
        <v>153</v>
      </c>
      <c r="I97" s="18">
        <f>ROUND(VLOOKUP(H$91&amp;"_2",管理者用人口入力シート!BH:CE,J97,FALSE),0)</f>
        <v>153</v>
      </c>
      <c r="J97" s="2">
        <v>8</v>
      </c>
      <c r="K97" s="13"/>
      <c r="N97" s="2" t="s">
        <v>4</v>
      </c>
      <c r="O97" s="18">
        <f>ROUND(VLOOKUP(O$91&amp;"_1",管理者用人口入力シート!CO:DL,Q97,FALSE),0)</f>
        <v>153</v>
      </c>
      <c r="P97" s="18">
        <f>ROUND(VLOOKUP(O$91&amp;"_2",管理者用人口入力シート!CO:DL,Q97,FALSE),0)</f>
        <v>153</v>
      </c>
      <c r="Q97" s="2">
        <v>8</v>
      </c>
      <c r="T97" s="91"/>
    </row>
    <row r="98" spans="1:20" x14ac:dyDescent="0.15">
      <c r="A98" s="2" t="s">
        <v>9</v>
      </c>
      <c r="B98" s="18">
        <f>ROUND(VLOOKUP(B$87&amp;"_1",管理者用人口入力シート!A:X,D98,FALSE),0)</f>
        <v>340</v>
      </c>
      <c r="C98" s="18">
        <f>ROUND(VLOOKUP(B$87&amp;"_2",管理者用人口入力シート!A:X,D98,FALSE),0)</f>
        <v>367</v>
      </c>
      <c r="D98" s="2">
        <v>13</v>
      </c>
      <c r="G98" s="2" t="s">
        <v>5</v>
      </c>
      <c r="H98" s="18">
        <f>ROUND(VLOOKUP(H$91&amp;"_1",管理者用人口入力シート!BH:CE,J98,FALSE),0)</f>
        <v>208</v>
      </c>
      <c r="I98" s="18">
        <f>ROUND(VLOOKUP(H$91&amp;"_2",管理者用人口入力シート!BH:CE,J98,FALSE),0)</f>
        <v>201</v>
      </c>
      <c r="J98" s="2">
        <v>9</v>
      </c>
      <c r="K98" s="13"/>
      <c r="N98" s="2" t="s">
        <v>5</v>
      </c>
      <c r="O98" s="18">
        <f>ROUND(VLOOKUP(O$91&amp;"_1",管理者用人口入力シート!CO:DL,Q98,FALSE),0)</f>
        <v>210</v>
      </c>
      <c r="P98" s="18">
        <f>ROUND(VLOOKUP(O$91&amp;"_2",管理者用人口入力シート!CO:DL,Q98,FALSE),0)</f>
        <v>203</v>
      </c>
      <c r="Q98" s="2">
        <v>9</v>
      </c>
      <c r="T98" s="91"/>
    </row>
    <row r="99" spans="1:20" x14ac:dyDescent="0.15">
      <c r="A99" s="2" t="s">
        <v>10</v>
      </c>
      <c r="B99" s="18">
        <f>ROUND(VLOOKUP(B$87&amp;"_1",管理者用人口入力シート!A:X,D99,FALSE),0)</f>
        <v>294</v>
      </c>
      <c r="C99" s="18">
        <f>ROUND(VLOOKUP(B$87&amp;"_2",管理者用人口入力シート!A:X,D99,FALSE),0)</f>
        <v>347</v>
      </c>
      <c r="D99" s="2">
        <v>14</v>
      </c>
      <c r="G99" s="2" t="s">
        <v>6</v>
      </c>
      <c r="H99" s="18">
        <f>ROUND(VLOOKUP(H$91&amp;"_1",管理者用人口入力シート!BH:CE,J99,FALSE),0)</f>
        <v>219</v>
      </c>
      <c r="I99" s="18">
        <f>ROUND(VLOOKUP(H$91&amp;"_2",管理者用人口入力シート!BH:CE,J99,FALSE),0)</f>
        <v>267</v>
      </c>
      <c r="J99" s="2">
        <v>10</v>
      </c>
      <c r="K99" s="13"/>
      <c r="N99" s="2" t="s">
        <v>6</v>
      </c>
      <c r="O99" s="18">
        <f>ROUND(VLOOKUP(O$91&amp;"_1",管理者用人口入力シート!CO:DL,Q99,FALSE),0)</f>
        <v>221</v>
      </c>
      <c r="P99" s="18">
        <f>ROUND(VLOOKUP(O$91&amp;"_2",管理者用人口入力シート!CO:DL,Q99,FALSE),0)</f>
        <v>269</v>
      </c>
      <c r="Q99" s="2">
        <v>10</v>
      </c>
      <c r="T99" s="91"/>
    </row>
    <row r="100" spans="1:20" x14ac:dyDescent="0.15">
      <c r="A100" s="2" t="s">
        <v>11</v>
      </c>
      <c r="B100" s="18">
        <f>ROUND(VLOOKUP(B$87&amp;"_1",管理者用人口入力シート!A:X,D100,FALSE),0)</f>
        <v>351</v>
      </c>
      <c r="C100" s="18">
        <f>ROUND(VLOOKUP(B$87&amp;"_2",管理者用人口入力シート!A:X,D100,FALSE),0)</f>
        <v>390</v>
      </c>
      <c r="D100" s="2">
        <v>15</v>
      </c>
      <c r="G100" s="2" t="s">
        <v>7</v>
      </c>
      <c r="H100" s="18">
        <f>ROUND(VLOOKUP(H$91&amp;"_1",管理者用人口入力シート!BH:CE,J100,FALSE),0)</f>
        <v>253</v>
      </c>
      <c r="I100" s="18">
        <f>ROUND(VLOOKUP(H$91&amp;"_2",管理者用人口入力シート!BH:CE,J100,FALSE),0)</f>
        <v>230</v>
      </c>
      <c r="J100" s="2">
        <v>11</v>
      </c>
      <c r="K100" s="13"/>
      <c r="N100" s="2" t="s">
        <v>7</v>
      </c>
      <c r="O100" s="18">
        <f>ROUND(VLOOKUP(O$91&amp;"_1",管理者用人口入力シート!CO:DL,Q100,FALSE),0)</f>
        <v>253</v>
      </c>
      <c r="P100" s="18">
        <f>ROUND(VLOOKUP(O$91&amp;"_2",管理者用人口入力シート!CO:DL,Q100,FALSE),0)</f>
        <v>230</v>
      </c>
      <c r="Q100" s="2">
        <v>11</v>
      </c>
      <c r="T100" s="91"/>
    </row>
    <row r="101" spans="1:20" x14ac:dyDescent="0.15">
      <c r="A101" s="2" t="s">
        <v>12</v>
      </c>
      <c r="B101" s="18">
        <f>ROUND(VLOOKUP(B$87&amp;"_1",管理者用人口入力シート!A:X,D101,FALSE),0)</f>
        <v>387</v>
      </c>
      <c r="C101" s="18">
        <f>ROUND(VLOOKUP(B$87&amp;"_2",管理者用人口入力シート!A:X,D101,FALSE),0)</f>
        <v>461</v>
      </c>
      <c r="D101" s="2">
        <v>16</v>
      </c>
      <c r="G101" s="2" t="s">
        <v>8</v>
      </c>
      <c r="H101" s="18">
        <f>ROUND(VLOOKUP(H$91&amp;"_1",管理者用人口入力シート!BH:CE,J101,FALSE),0)</f>
        <v>283</v>
      </c>
      <c r="I101" s="18">
        <f>ROUND(VLOOKUP(H$91&amp;"_2",管理者用人口入力シート!BH:CE,J101,FALSE),0)</f>
        <v>246</v>
      </c>
      <c r="J101" s="2">
        <v>12</v>
      </c>
      <c r="K101" s="13"/>
      <c r="N101" s="2" t="s">
        <v>8</v>
      </c>
      <c r="O101" s="18">
        <f>ROUND(VLOOKUP(O$91&amp;"_1",管理者用人口入力シート!CO:DL,Q101,FALSE),0)</f>
        <v>283</v>
      </c>
      <c r="P101" s="18">
        <f>ROUND(VLOOKUP(O$91&amp;"_2",管理者用人口入力シート!CO:DL,Q101,FALSE),0)</f>
        <v>247</v>
      </c>
      <c r="Q101" s="2">
        <v>12</v>
      </c>
      <c r="T101" s="91"/>
    </row>
    <row r="102" spans="1:20" x14ac:dyDescent="0.15">
      <c r="A102" s="2" t="s">
        <v>13</v>
      </c>
      <c r="B102" s="18">
        <f>ROUND(VLOOKUP(B$87&amp;"_1",管理者用人口入力シート!A:X,D102,FALSE),0)</f>
        <v>461</v>
      </c>
      <c r="C102" s="18">
        <f>ROUND(VLOOKUP(B$87&amp;"_2",管理者用人口入力シート!A:X,D102,FALSE),0)</f>
        <v>487</v>
      </c>
      <c r="D102" s="2">
        <v>17</v>
      </c>
      <c r="G102" s="2" t="s">
        <v>9</v>
      </c>
      <c r="H102" s="18">
        <f>ROUND(VLOOKUP(H$91&amp;"_1",管理者用人口入力シート!BH:CE,J102,FALSE),0)</f>
        <v>307</v>
      </c>
      <c r="I102" s="18">
        <f>ROUND(VLOOKUP(H$91&amp;"_2",管理者用人口入力シート!BH:CE,J102,FALSE),0)</f>
        <v>326</v>
      </c>
      <c r="J102" s="2">
        <v>13</v>
      </c>
      <c r="K102" s="13"/>
      <c r="N102" s="2" t="s">
        <v>9</v>
      </c>
      <c r="O102" s="18">
        <f>ROUND(VLOOKUP(O$91&amp;"_1",管理者用人口入力シート!CO:DL,Q102,FALSE),0)</f>
        <v>307</v>
      </c>
      <c r="P102" s="18">
        <f>ROUND(VLOOKUP(O$91&amp;"_2",管理者用人口入力シート!CO:DL,Q102,FALSE),0)</f>
        <v>327</v>
      </c>
      <c r="Q102" s="2">
        <v>13</v>
      </c>
      <c r="T102" s="91"/>
    </row>
    <row r="103" spans="1:20" x14ac:dyDescent="0.15">
      <c r="A103" s="2" t="s">
        <v>14</v>
      </c>
      <c r="B103" s="18">
        <f>ROUND(VLOOKUP(B$87&amp;"_1",管理者用人口入力シート!A:X,D103,FALSE),0)</f>
        <v>441</v>
      </c>
      <c r="C103" s="18">
        <f>ROUND(VLOOKUP(B$87&amp;"_2",管理者用人口入力シート!A:X,D103,FALSE),0)</f>
        <v>525</v>
      </c>
      <c r="D103" s="2">
        <v>18</v>
      </c>
      <c r="G103" s="2" t="s">
        <v>10</v>
      </c>
      <c r="H103" s="18">
        <f>ROUND(VLOOKUP(H$91&amp;"_1",管理者用人口入力シート!BH:CE,J103,FALSE),0)</f>
        <v>317</v>
      </c>
      <c r="I103" s="18">
        <f>ROUND(VLOOKUP(H$91&amp;"_2",管理者用人口入力シート!BH:CE,J103,FALSE),0)</f>
        <v>360</v>
      </c>
      <c r="J103" s="2">
        <v>14</v>
      </c>
      <c r="K103" s="13"/>
      <c r="N103" s="2" t="s">
        <v>10</v>
      </c>
      <c r="O103" s="18">
        <f>ROUND(VLOOKUP(O$91&amp;"_1",管理者用人口入力シート!CO:DL,Q103,FALSE),0)</f>
        <v>317</v>
      </c>
      <c r="P103" s="18">
        <f>ROUND(VLOOKUP(O$91&amp;"_2",管理者用人口入力シート!CO:DL,Q103,FALSE),0)</f>
        <v>360</v>
      </c>
      <c r="Q103" s="2">
        <v>14</v>
      </c>
      <c r="T103" s="91"/>
    </row>
    <row r="104" spans="1:20" x14ac:dyDescent="0.15">
      <c r="A104" s="2" t="s">
        <v>15</v>
      </c>
      <c r="B104" s="18">
        <f>ROUND(VLOOKUP(B$87&amp;"_1",管理者用人口入力シート!A:X,D104,FALSE),0)</f>
        <v>321</v>
      </c>
      <c r="C104" s="18">
        <f>ROUND(VLOOKUP(B$87&amp;"_2",管理者用人口入力シート!A:X,D104,FALSE),0)</f>
        <v>408</v>
      </c>
      <c r="D104" s="2">
        <v>19</v>
      </c>
      <c r="G104" s="2" t="s">
        <v>11</v>
      </c>
      <c r="H104" s="18">
        <f>ROUND(VLOOKUP(H$91&amp;"_1",管理者用人口入力シート!BH:CE,J104,FALSE),0)</f>
        <v>314</v>
      </c>
      <c r="I104" s="18">
        <f>ROUND(VLOOKUP(H$91&amp;"_2",管理者用人口入力シート!BH:CE,J104,FALSE),0)</f>
        <v>365</v>
      </c>
      <c r="J104" s="2">
        <v>15</v>
      </c>
      <c r="K104" s="13"/>
      <c r="N104" s="2" t="s">
        <v>11</v>
      </c>
      <c r="O104" s="18">
        <f>ROUND(VLOOKUP(O$91&amp;"_1",管理者用人口入力シート!CO:DL,Q104,FALSE),0)</f>
        <v>314</v>
      </c>
      <c r="P104" s="18">
        <f>ROUND(VLOOKUP(O$91&amp;"_2",管理者用人口入力シート!CO:DL,Q104,FALSE),0)</f>
        <v>365</v>
      </c>
      <c r="Q104" s="2">
        <v>15</v>
      </c>
      <c r="T104" s="91"/>
    </row>
    <row r="105" spans="1:20" x14ac:dyDescent="0.15">
      <c r="A105" s="2" t="s">
        <v>16</v>
      </c>
      <c r="B105" s="18">
        <f>ROUND(VLOOKUP(B$87&amp;"_1",管理者用人口入力シート!A:X,D105,FALSE),0)</f>
        <v>235</v>
      </c>
      <c r="C105" s="18">
        <f>ROUND(VLOOKUP(B$87&amp;"_2",管理者用人口入力シート!A:X,D105,FALSE),0)</f>
        <v>394</v>
      </c>
      <c r="D105" s="2">
        <v>20</v>
      </c>
      <c r="G105" s="2" t="s">
        <v>12</v>
      </c>
      <c r="H105" s="18">
        <f>ROUND(VLOOKUP(H$91&amp;"_1",管理者用人口入力シート!BH:CE,J105,FALSE),0)</f>
        <v>269</v>
      </c>
      <c r="I105" s="18">
        <f>ROUND(VLOOKUP(H$91&amp;"_2",管理者用人口入力シート!BH:CE,J105,FALSE),0)</f>
        <v>348</v>
      </c>
      <c r="J105" s="2">
        <v>16</v>
      </c>
      <c r="K105" s="13"/>
      <c r="N105" s="2" t="s">
        <v>12</v>
      </c>
      <c r="O105" s="18">
        <f>ROUND(VLOOKUP(O$91&amp;"_1",管理者用人口入力シート!CO:DL,Q105,FALSE),0)</f>
        <v>269</v>
      </c>
      <c r="P105" s="18">
        <f>ROUND(VLOOKUP(O$91&amp;"_2",管理者用人口入力シート!CO:DL,Q105,FALSE),0)</f>
        <v>348</v>
      </c>
      <c r="Q105" s="2">
        <v>16</v>
      </c>
      <c r="T105" s="91"/>
    </row>
    <row r="106" spans="1:20" x14ac:dyDescent="0.15">
      <c r="A106" s="2" t="s">
        <v>17</v>
      </c>
      <c r="B106" s="18">
        <f>ROUND(VLOOKUP(B$87&amp;"_1",管理者用人口入力シート!A:X,D106,FALSE),0)</f>
        <v>209</v>
      </c>
      <c r="C106" s="18">
        <f>ROUND(VLOOKUP(B$87&amp;"_2",管理者用人口入力シート!A:X,D106,FALSE),0)</f>
        <v>322</v>
      </c>
      <c r="D106" s="2">
        <v>21</v>
      </c>
      <c r="G106" s="2" t="s">
        <v>13</v>
      </c>
      <c r="H106" s="18">
        <f>ROUND(VLOOKUP(H$91&amp;"_1",管理者用人口入力シート!BH:CE,J106,FALSE),0)</f>
        <v>331</v>
      </c>
      <c r="I106" s="18">
        <f>ROUND(VLOOKUP(H$91&amp;"_2",管理者用人口入力シート!BH:CE,J106,FALSE),0)</f>
        <v>382</v>
      </c>
      <c r="J106" s="2">
        <v>17</v>
      </c>
      <c r="K106" s="13"/>
      <c r="N106" s="2" t="s">
        <v>13</v>
      </c>
      <c r="O106" s="18">
        <f>ROUND(VLOOKUP(O$91&amp;"_1",管理者用人口入力シート!CO:DL,Q106,FALSE),0)</f>
        <v>331</v>
      </c>
      <c r="P106" s="18">
        <f>ROUND(VLOOKUP(O$91&amp;"_2",管理者用人口入力シート!CO:DL,Q106,FALSE),0)</f>
        <v>382</v>
      </c>
      <c r="Q106" s="2">
        <v>17</v>
      </c>
      <c r="T106" s="91"/>
    </row>
    <row r="107" spans="1:20" x14ac:dyDescent="0.15">
      <c r="A107" s="2" t="s">
        <v>18</v>
      </c>
      <c r="B107" s="18">
        <f>ROUND(VLOOKUP(B$87&amp;"_1",管理者用人口入力シート!A:X,D107,FALSE),0)</f>
        <v>73</v>
      </c>
      <c r="C107" s="18">
        <f>ROUND(VLOOKUP(B$87&amp;"_2",管理者用人口入力シート!A:X,D107,FALSE),0)</f>
        <v>214</v>
      </c>
      <c r="D107" s="2">
        <v>22</v>
      </c>
      <c r="G107" s="2" t="s">
        <v>14</v>
      </c>
      <c r="H107" s="18">
        <f>ROUND(VLOOKUP(H$91&amp;"_1",管理者用人口入力シート!BH:CE,J107,FALSE),0)</f>
        <v>352</v>
      </c>
      <c r="I107" s="18">
        <f>ROUND(VLOOKUP(H$91&amp;"_2",管理者用人口入力シート!BH:CE,J107,FALSE),0)</f>
        <v>440</v>
      </c>
      <c r="J107" s="2">
        <v>18</v>
      </c>
      <c r="K107" s="13"/>
      <c r="N107" s="2" t="s">
        <v>14</v>
      </c>
      <c r="O107" s="18">
        <f>ROUND(VLOOKUP(O$91&amp;"_1",管理者用人口入力シート!CO:DL,Q107,FALSE),0)</f>
        <v>352</v>
      </c>
      <c r="P107" s="18">
        <f>ROUND(VLOOKUP(O$91&amp;"_2",管理者用人口入力シート!CO:DL,Q107,FALSE),0)</f>
        <v>440</v>
      </c>
      <c r="Q107" s="2">
        <v>18</v>
      </c>
      <c r="T107" s="91"/>
    </row>
    <row r="108" spans="1:20" x14ac:dyDescent="0.15">
      <c r="A108" s="2" t="s">
        <v>19</v>
      </c>
      <c r="B108" s="18">
        <f>ROUND(VLOOKUP(B$87&amp;"_1",管理者用人口入力シート!A:X,D108,FALSE),0)</f>
        <v>15</v>
      </c>
      <c r="C108" s="18">
        <f>ROUND(VLOOKUP(B$87&amp;"_2",管理者用人口入力シート!A:X,D108,FALSE),0)</f>
        <v>78</v>
      </c>
      <c r="D108" s="2">
        <v>23</v>
      </c>
      <c r="G108" s="2" t="s">
        <v>15</v>
      </c>
      <c r="H108" s="18">
        <f>ROUND(VLOOKUP(H$91&amp;"_1",管理者用人口入力シート!BH:CE,J108,FALSE),0)</f>
        <v>387</v>
      </c>
      <c r="I108" s="18">
        <f>ROUND(VLOOKUP(H$91&amp;"_2",管理者用人口入力シート!BH:CE,J108,FALSE),0)</f>
        <v>439</v>
      </c>
      <c r="J108" s="2">
        <v>19</v>
      </c>
      <c r="K108" s="13"/>
      <c r="N108" s="2" t="s">
        <v>15</v>
      </c>
      <c r="O108" s="18">
        <f>ROUND(VLOOKUP(O$91&amp;"_1",管理者用人口入力シート!CO:DL,Q108,FALSE),0)</f>
        <v>387</v>
      </c>
      <c r="P108" s="18">
        <f>ROUND(VLOOKUP(O$91&amp;"_2",管理者用人口入力シート!CO:DL,Q108,FALSE),0)</f>
        <v>439</v>
      </c>
      <c r="Q108" s="2">
        <v>19</v>
      </c>
      <c r="T108" s="91"/>
    </row>
    <row r="109" spans="1:20" x14ac:dyDescent="0.15">
      <c r="A109" s="2" t="s">
        <v>20</v>
      </c>
      <c r="B109" s="18">
        <f>ROUND(VLOOKUP(B$87&amp;"_1",管理者用人口入力シート!A:X,D109,FALSE),0)</f>
        <v>0</v>
      </c>
      <c r="C109" s="18">
        <f>ROUND(VLOOKUP(B$87&amp;"_2",管理者用人口入力シート!A:X,D109,FALSE),0)</f>
        <v>18</v>
      </c>
      <c r="D109" s="2">
        <v>24</v>
      </c>
      <c r="G109" s="2" t="s">
        <v>16</v>
      </c>
      <c r="H109" s="18">
        <f>ROUND(VLOOKUP(H$91&amp;"_1",管理者用人口入力シート!BH:CE,J109,FALSE),0)</f>
        <v>313</v>
      </c>
      <c r="I109" s="18">
        <f>ROUND(VLOOKUP(H$91&amp;"_2",管理者用人口入力シート!BH:CE,J109,FALSE),0)</f>
        <v>437</v>
      </c>
      <c r="J109" s="2">
        <v>20</v>
      </c>
      <c r="K109" s="13"/>
      <c r="N109" s="2" t="s">
        <v>16</v>
      </c>
      <c r="O109" s="18">
        <f>ROUND(VLOOKUP(O$91&amp;"_1",管理者用人口入力シート!CO:DL,Q109,FALSE),0)</f>
        <v>313</v>
      </c>
      <c r="P109" s="18">
        <f>ROUND(VLOOKUP(O$91&amp;"_2",管理者用人口入力シート!CO:DL,Q109,FALSE),0)</f>
        <v>437</v>
      </c>
      <c r="Q109" s="2">
        <v>20</v>
      </c>
      <c r="T109" s="91"/>
    </row>
    <row r="110" spans="1:20" x14ac:dyDescent="0.15">
      <c r="G110" s="2" t="s">
        <v>17</v>
      </c>
      <c r="H110" s="18">
        <f>ROUND(VLOOKUP(H$91&amp;"_1",管理者用人口入力シート!BH:CE,J110,FALSE),0)</f>
        <v>180</v>
      </c>
      <c r="I110" s="18">
        <f>ROUND(VLOOKUP(H$91&amp;"_2",管理者用人口入力シート!BH:CE,J110,FALSE),0)</f>
        <v>288</v>
      </c>
      <c r="J110" s="2">
        <v>21</v>
      </c>
      <c r="K110" s="13"/>
      <c r="N110" s="2" t="s">
        <v>17</v>
      </c>
      <c r="O110" s="18">
        <f>ROUND(VLOOKUP(O$91&amp;"_1",管理者用人口入力シート!CO:DL,Q110,FALSE),0)</f>
        <v>180</v>
      </c>
      <c r="P110" s="18">
        <f>ROUND(VLOOKUP(O$91&amp;"_2",管理者用人口入力シート!CO:DL,Q110,FALSE),0)</f>
        <v>288</v>
      </c>
      <c r="Q110" s="2">
        <v>21</v>
      </c>
      <c r="T110" s="91"/>
    </row>
    <row r="111" spans="1:20" x14ac:dyDescent="0.15">
      <c r="G111" s="2" t="s">
        <v>18</v>
      </c>
      <c r="H111" s="18">
        <f>ROUND(VLOOKUP(H$91&amp;"_1",管理者用人口入力シート!BH:CE,J111,FALSE),0)</f>
        <v>68</v>
      </c>
      <c r="I111" s="18">
        <f>ROUND(VLOOKUP(H$91&amp;"_2",管理者用人口入力シート!BH:CE,J111,FALSE),0)</f>
        <v>198</v>
      </c>
      <c r="J111" s="2">
        <v>22</v>
      </c>
      <c r="K111" s="13"/>
      <c r="N111" s="2" t="s">
        <v>18</v>
      </c>
      <c r="O111" s="18">
        <f>ROUND(VLOOKUP(O$91&amp;"_1",管理者用人口入力シート!CO:DL,Q111,FALSE),0)</f>
        <v>68</v>
      </c>
      <c r="P111" s="18">
        <f>ROUND(VLOOKUP(O$91&amp;"_2",管理者用人口入力シート!CO:DL,Q111,FALSE),0)</f>
        <v>198</v>
      </c>
      <c r="Q111" s="2">
        <v>22</v>
      </c>
      <c r="T111" s="91"/>
    </row>
    <row r="112" spans="1:20" x14ac:dyDescent="0.15">
      <c r="G112" s="2" t="s">
        <v>19</v>
      </c>
      <c r="H112" s="18">
        <f>ROUND(VLOOKUP(H$91&amp;"_1",管理者用人口入力シート!BH:CE,J112,FALSE),0)</f>
        <v>23</v>
      </c>
      <c r="I112" s="18">
        <f>ROUND(VLOOKUP(H$91&amp;"_2",管理者用人口入力シート!BH:CE,J112,FALSE),0)</f>
        <v>85</v>
      </c>
      <c r="J112" s="2">
        <v>23</v>
      </c>
      <c r="K112" s="13"/>
      <c r="N112" s="2" t="s">
        <v>19</v>
      </c>
      <c r="O112" s="18">
        <f>ROUND(VLOOKUP(O$91&amp;"_1",管理者用人口入力シート!CO:DL,Q112,FALSE),0)</f>
        <v>23</v>
      </c>
      <c r="P112" s="18">
        <f>ROUND(VLOOKUP(O$91&amp;"_2",管理者用人口入力シート!CO:DL,Q112,FALSE),0)</f>
        <v>85</v>
      </c>
      <c r="Q112" s="2">
        <v>23</v>
      </c>
      <c r="T112" s="91"/>
    </row>
    <row r="113" spans="7:20" x14ac:dyDescent="0.15">
      <c r="G113" s="2" t="s">
        <v>20</v>
      </c>
      <c r="H113" s="18">
        <f>ROUND(VLOOKUP(H$91&amp;"_1",管理者用人口入力シート!BH:CE,J113,FALSE),0)</f>
        <v>0</v>
      </c>
      <c r="I113" s="18">
        <f>ROUND(VLOOKUP(H$91&amp;"_2",管理者用人口入力シート!BH:CE,J113,FALSE),0)</f>
        <v>20</v>
      </c>
      <c r="J113" s="2">
        <v>24</v>
      </c>
      <c r="K113" s="13"/>
      <c r="N113" s="2" t="s">
        <v>20</v>
      </c>
      <c r="O113" s="18">
        <f>ROUND(VLOOKUP(O$91&amp;"_1",管理者用人口入力シート!CO:DL,Q113,FALSE),0)</f>
        <v>0</v>
      </c>
      <c r="P113" s="18">
        <f>ROUND(VLOOKUP(O$91&amp;"_2",管理者用人口入力シート!CO:DL,Q113,FALSE),0)</f>
        <v>20</v>
      </c>
      <c r="Q113" s="2">
        <v>24</v>
      </c>
      <c r="T113" s="91"/>
    </row>
    <row r="115" spans="7:20" x14ac:dyDescent="0.15">
      <c r="G115" s="2" t="s">
        <v>394</v>
      </c>
      <c r="H115" s="342">
        <f>管理者入力シート!B10</f>
        <v>2035</v>
      </c>
      <c r="I115" s="343"/>
      <c r="J115" s="2" t="s">
        <v>114</v>
      </c>
      <c r="O115" s="342">
        <f>管理者入力シート!B10</f>
        <v>2035</v>
      </c>
      <c r="P115" s="343"/>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207</v>
      </c>
      <c r="I117" s="18">
        <f>ROUND(VLOOKUP(H$115&amp;"_2",管理者用人口入力シート!BH:CE,J117,FALSE),0)</f>
        <v>182</v>
      </c>
      <c r="J117" s="2">
        <v>4</v>
      </c>
      <c r="N117" s="2" t="s">
        <v>0</v>
      </c>
      <c r="O117" s="18">
        <f>ROUND(VLOOKUP(O$115&amp;"_1",管理者用人口入力シート!CO:DL,Q117,FALSE),0)</f>
        <v>210</v>
      </c>
      <c r="P117" s="18">
        <f>ROUND(VLOOKUP(O$115&amp;"_2",管理者用人口入力シート!CO:DL,Q117,FALSE),0)</f>
        <v>184</v>
      </c>
      <c r="Q117" s="2">
        <v>4</v>
      </c>
      <c r="T117" s="91"/>
    </row>
    <row r="118" spans="7:20" x14ac:dyDescent="0.15">
      <c r="G118" s="2" t="s">
        <v>1</v>
      </c>
      <c r="H118" s="18">
        <f>ROUND(VLOOKUP(H$115&amp;"_1",管理者用人口入力シート!BH:CE,J118,FALSE),0)</f>
        <v>222</v>
      </c>
      <c r="I118" s="18">
        <f>ROUND(VLOOKUP(H$115&amp;"_2",管理者用人口入力シート!BH:CE,J118,FALSE),0)</f>
        <v>189</v>
      </c>
      <c r="J118" s="2">
        <v>5</v>
      </c>
      <c r="N118" s="2" t="s">
        <v>1</v>
      </c>
      <c r="O118" s="18">
        <f>ROUND(VLOOKUP(O$115&amp;"_1",管理者用人口入力シート!CO:DL,Q118,FALSE),0)</f>
        <v>224</v>
      </c>
      <c r="P118" s="18">
        <f>ROUND(VLOOKUP(O$115&amp;"_2",管理者用人口入力シート!CO:DL,Q118,FALSE),0)</f>
        <v>191</v>
      </c>
      <c r="Q118" s="2">
        <v>5</v>
      </c>
      <c r="T118" s="91"/>
    </row>
    <row r="119" spans="7:20" x14ac:dyDescent="0.15">
      <c r="G119" s="2" t="s">
        <v>2</v>
      </c>
      <c r="H119" s="18">
        <f>ROUND(VLOOKUP(H$115&amp;"_1",管理者用人口入力シート!BH:CE,J119,FALSE),0)</f>
        <v>229</v>
      </c>
      <c r="I119" s="18">
        <f>ROUND(VLOOKUP(H$115&amp;"_2",管理者用人口入力シート!BH:CE,J119,FALSE),0)</f>
        <v>191</v>
      </c>
      <c r="J119" s="2">
        <v>6</v>
      </c>
      <c r="N119" s="2" t="s">
        <v>2</v>
      </c>
      <c r="O119" s="18">
        <f>ROUND(VLOOKUP(O$115&amp;"_1",管理者用人口入力シート!CO:DL,Q119,FALSE),0)</f>
        <v>231</v>
      </c>
      <c r="P119" s="18">
        <f>ROUND(VLOOKUP(O$115&amp;"_2",管理者用人口入力シート!CO:DL,Q119,FALSE),0)</f>
        <v>193</v>
      </c>
      <c r="Q119" s="2">
        <v>6</v>
      </c>
      <c r="T119" s="91"/>
    </row>
    <row r="120" spans="7:20" x14ac:dyDescent="0.15">
      <c r="G120" s="2" t="s">
        <v>3</v>
      </c>
      <c r="H120" s="18">
        <f>ROUND(VLOOKUP(H$115&amp;"_1",管理者用人口入力シート!BH:CE,J120,FALSE),0)</f>
        <v>264</v>
      </c>
      <c r="I120" s="18">
        <f>ROUND(VLOOKUP(H$115&amp;"_2",管理者用人口入力シート!BH:CE,J120,FALSE),0)</f>
        <v>219</v>
      </c>
      <c r="J120" s="2">
        <v>7</v>
      </c>
      <c r="N120" s="2" t="s">
        <v>3</v>
      </c>
      <c r="O120" s="18">
        <f>ROUND(VLOOKUP(O$115&amp;"_1",管理者用人口入力シート!CO:DL,Q120,FALSE),0)</f>
        <v>265</v>
      </c>
      <c r="P120" s="18">
        <f>ROUND(VLOOKUP(O$115&amp;"_2",管理者用人口入力シート!CO:DL,Q120,FALSE),0)</f>
        <v>220</v>
      </c>
      <c r="Q120" s="2">
        <v>7</v>
      </c>
      <c r="T120" s="91"/>
    </row>
    <row r="121" spans="7:20" x14ac:dyDescent="0.15">
      <c r="G121" s="2" t="s">
        <v>4</v>
      </c>
      <c r="H121" s="18">
        <f>ROUND(VLOOKUP(H$115&amp;"_1",管理者用人口入力シート!BH:CE,J121,FALSE),0)</f>
        <v>145</v>
      </c>
      <c r="I121" s="18">
        <f>ROUND(VLOOKUP(H$115&amp;"_2",管理者用人口入力シート!BH:CE,J121,FALSE),0)</f>
        <v>137</v>
      </c>
      <c r="J121" s="2">
        <v>8</v>
      </c>
      <c r="N121" s="2" t="s">
        <v>4</v>
      </c>
      <c r="O121" s="18">
        <f>ROUND(VLOOKUP(O$115&amp;"_1",管理者用人口入力シート!CO:DL,Q121,FALSE),0)</f>
        <v>146</v>
      </c>
      <c r="P121" s="18">
        <f>ROUND(VLOOKUP(O$115&amp;"_2",管理者用人口入力シート!CO:DL,Q121,FALSE),0)</f>
        <v>138</v>
      </c>
      <c r="Q121" s="2">
        <v>8</v>
      </c>
      <c r="T121" s="91"/>
    </row>
    <row r="122" spans="7:20" x14ac:dyDescent="0.15">
      <c r="G122" s="2" t="s">
        <v>5</v>
      </c>
      <c r="H122" s="18">
        <f>ROUND(VLOOKUP(H$115&amp;"_1",管理者用人口入力シート!BH:CE,J122,FALSE),0)</f>
        <v>195</v>
      </c>
      <c r="I122" s="18">
        <f>ROUND(VLOOKUP(H$115&amp;"_2",管理者用人口入力シート!BH:CE,J122,FALSE),0)</f>
        <v>205</v>
      </c>
      <c r="J122" s="2">
        <v>9</v>
      </c>
      <c r="N122" s="2" t="s">
        <v>5</v>
      </c>
      <c r="O122" s="18">
        <f>ROUND(VLOOKUP(O$115&amp;"_1",管理者用人口入力シート!CO:DL,Q122,FALSE),0)</f>
        <v>197</v>
      </c>
      <c r="P122" s="18">
        <f>ROUND(VLOOKUP(O$115&amp;"_2",管理者用人口入力シート!CO:DL,Q122,FALSE),0)</f>
        <v>207</v>
      </c>
      <c r="Q122" s="2">
        <v>9</v>
      </c>
      <c r="T122" s="91"/>
    </row>
    <row r="123" spans="7:20" x14ac:dyDescent="0.15">
      <c r="G123" s="2" t="s">
        <v>6</v>
      </c>
      <c r="H123" s="18">
        <f>ROUND(VLOOKUP(H$115&amp;"_1",管理者用人口入力シート!BH:CE,J123,FALSE),0)</f>
        <v>235</v>
      </c>
      <c r="I123" s="18">
        <f>ROUND(VLOOKUP(H$115&amp;"_2",管理者用人口入力シート!BH:CE,J123,FALSE),0)</f>
        <v>209</v>
      </c>
      <c r="J123" s="2">
        <v>10</v>
      </c>
      <c r="N123" s="2" t="s">
        <v>6</v>
      </c>
      <c r="O123" s="18">
        <f>ROUND(VLOOKUP(O$115&amp;"_1",管理者用人口入力シート!CO:DL,Q123,FALSE),0)</f>
        <v>237</v>
      </c>
      <c r="P123" s="18">
        <f>ROUND(VLOOKUP(O$115&amp;"_2",管理者用人口入力シート!CO:DL,Q123,FALSE),0)</f>
        <v>211</v>
      </c>
      <c r="Q123" s="2">
        <v>10</v>
      </c>
      <c r="T123" s="91"/>
    </row>
    <row r="124" spans="7:20" x14ac:dyDescent="0.15">
      <c r="G124" s="2" t="s">
        <v>7</v>
      </c>
      <c r="H124" s="18">
        <f>ROUND(VLOOKUP(H$115&amp;"_1",管理者用人口入力シート!BH:CE,J124,FALSE),0)</f>
        <v>220</v>
      </c>
      <c r="I124" s="18">
        <f>ROUND(VLOOKUP(H$115&amp;"_2",管理者用人口入力シート!BH:CE,J124,FALSE),0)</f>
        <v>252</v>
      </c>
      <c r="J124" s="2">
        <v>11</v>
      </c>
      <c r="N124" s="2" t="s">
        <v>7</v>
      </c>
      <c r="O124" s="18">
        <f>ROUND(VLOOKUP(O$115&amp;"_1",管理者用人口入力シート!CO:DL,Q124,FALSE),0)</f>
        <v>222</v>
      </c>
      <c r="P124" s="18">
        <f>ROUND(VLOOKUP(O$115&amp;"_2",管理者用人口入力シート!CO:DL,Q124,FALSE),0)</f>
        <v>254</v>
      </c>
      <c r="Q124" s="2">
        <v>11</v>
      </c>
      <c r="T124" s="91"/>
    </row>
    <row r="125" spans="7:20" x14ac:dyDescent="0.15">
      <c r="G125" s="2" t="s">
        <v>8</v>
      </c>
      <c r="H125" s="18">
        <f>ROUND(VLOOKUP(H$115&amp;"_1",管理者用人口入力シート!BH:CE,J125,FALSE),0)</f>
        <v>249</v>
      </c>
      <c r="I125" s="18">
        <f>ROUND(VLOOKUP(H$115&amp;"_2",管理者用人口入力シート!BH:CE,J125,FALSE),0)</f>
        <v>228</v>
      </c>
      <c r="J125" s="2">
        <v>12</v>
      </c>
      <c r="N125" s="2" t="s">
        <v>8</v>
      </c>
      <c r="O125" s="18">
        <f>ROUND(VLOOKUP(O$115&amp;"_1",管理者用人口入力シート!CO:DL,Q125,FALSE),0)</f>
        <v>249</v>
      </c>
      <c r="P125" s="18">
        <f>ROUND(VLOOKUP(O$115&amp;"_2",管理者用人口入力シート!CO:DL,Q125,FALSE),0)</f>
        <v>229</v>
      </c>
      <c r="Q125" s="2">
        <v>12</v>
      </c>
      <c r="T125" s="91"/>
    </row>
    <row r="126" spans="7:20" x14ac:dyDescent="0.15">
      <c r="G126" s="2" t="s">
        <v>9</v>
      </c>
      <c r="H126" s="18">
        <f>ROUND(VLOOKUP(H$115&amp;"_1",管理者用人口入力シート!BH:CE,J126,FALSE),0)</f>
        <v>277</v>
      </c>
      <c r="I126" s="18">
        <f>ROUND(VLOOKUP(H$115&amp;"_2",管理者用人口入力シート!BH:CE,J126,FALSE),0)</f>
        <v>241</v>
      </c>
      <c r="J126" s="2">
        <v>13</v>
      </c>
      <c r="N126" s="2" t="s">
        <v>9</v>
      </c>
      <c r="O126" s="18">
        <f>ROUND(VLOOKUP(O$115&amp;"_1",管理者用人口入力シート!CO:DL,Q126,FALSE),0)</f>
        <v>277</v>
      </c>
      <c r="P126" s="18">
        <f>ROUND(VLOOKUP(O$115&amp;"_2",管理者用人口入力シート!CO:DL,Q126,FALSE),0)</f>
        <v>242</v>
      </c>
      <c r="Q126" s="2">
        <v>13</v>
      </c>
      <c r="T126" s="91"/>
    </row>
    <row r="127" spans="7:20" x14ac:dyDescent="0.15">
      <c r="G127" s="2" t="s">
        <v>10</v>
      </c>
      <c r="H127" s="18">
        <f>ROUND(VLOOKUP(H$115&amp;"_1",管理者用人口入力シート!BH:CE,J127,FALSE),0)</f>
        <v>305</v>
      </c>
      <c r="I127" s="18">
        <f>ROUND(VLOOKUP(H$115&amp;"_2",管理者用人口入力シート!BH:CE,J127,FALSE),0)</f>
        <v>321</v>
      </c>
      <c r="J127" s="2">
        <v>14</v>
      </c>
      <c r="N127" s="2" t="s">
        <v>10</v>
      </c>
      <c r="O127" s="18">
        <f>ROUND(VLOOKUP(O$115&amp;"_1",管理者用人口入力シート!CO:DL,Q127,FALSE),0)</f>
        <v>305</v>
      </c>
      <c r="P127" s="18">
        <f>ROUND(VLOOKUP(O$115&amp;"_2",管理者用人口入力シート!CO:DL,Q127,FALSE),0)</f>
        <v>322</v>
      </c>
      <c r="Q127" s="2">
        <v>14</v>
      </c>
      <c r="T127" s="91"/>
    </row>
    <row r="128" spans="7:20" x14ac:dyDescent="0.15">
      <c r="G128" s="2" t="s">
        <v>11</v>
      </c>
      <c r="H128" s="18">
        <f>ROUND(VLOOKUP(H$115&amp;"_1",管理者用人口入力シート!BH:CE,J128,FALSE),0)</f>
        <v>295</v>
      </c>
      <c r="I128" s="18">
        <f>ROUND(VLOOKUP(H$115&amp;"_2",管理者用人口入力シート!BH:CE,J128,FALSE),0)</f>
        <v>364</v>
      </c>
      <c r="J128" s="2">
        <v>15</v>
      </c>
      <c r="N128" s="2" t="s">
        <v>11</v>
      </c>
      <c r="O128" s="18">
        <f>ROUND(VLOOKUP(O$115&amp;"_1",管理者用人口入力シート!CO:DL,Q128,FALSE),0)</f>
        <v>295</v>
      </c>
      <c r="P128" s="18">
        <f>ROUND(VLOOKUP(O$115&amp;"_2",管理者用人口入力シート!CO:DL,Q128,FALSE),0)</f>
        <v>364</v>
      </c>
      <c r="Q128" s="2">
        <v>15</v>
      </c>
      <c r="T128" s="91"/>
    </row>
    <row r="129" spans="7:20" x14ac:dyDescent="0.15">
      <c r="G129" s="2" t="s">
        <v>12</v>
      </c>
      <c r="H129" s="18">
        <f>ROUND(VLOOKUP(H$115&amp;"_1",管理者用人口入力シート!BH:CE,J129,FALSE),0)</f>
        <v>309</v>
      </c>
      <c r="I129" s="18">
        <f>ROUND(VLOOKUP(H$115&amp;"_2",管理者用人口入力シート!BH:CE,J129,FALSE),0)</f>
        <v>363</v>
      </c>
      <c r="J129" s="2">
        <v>16</v>
      </c>
      <c r="N129" s="2" t="s">
        <v>12</v>
      </c>
      <c r="O129" s="18">
        <f>ROUND(VLOOKUP(O$115&amp;"_1",管理者用人口入力シート!CO:DL,Q129,FALSE),0)</f>
        <v>309</v>
      </c>
      <c r="P129" s="18">
        <f>ROUND(VLOOKUP(O$115&amp;"_2",管理者用人口入力シート!CO:DL,Q129,FALSE),0)</f>
        <v>363</v>
      </c>
      <c r="Q129" s="2">
        <v>16</v>
      </c>
      <c r="T129" s="91"/>
    </row>
    <row r="130" spans="7:20" x14ac:dyDescent="0.15">
      <c r="G130" s="2" t="s">
        <v>13</v>
      </c>
      <c r="H130" s="18">
        <f>ROUND(VLOOKUP(H$115&amp;"_1",管理者用人口入力シート!BH:CE,J130,FALSE),0)</f>
        <v>258</v>
      </c>
      <c r="I130" s="18">
        <f>ROUND(VLOOKUP(H$115&amp;"_2",管理者用人口入力シート!BH:CE,J130,FALSE),0)</f>
        <v>343</v>
      </c>
      <c r="J130" s="2">
        <v>17</v>
      </c>
      <c r="N130" s="2" t="s">
        <v>13</v>
      </c>
      <c r="O130" s="18">
        <f>ROUND(VLOOKUP(O$115&amp;"_1",管理者用人口入力シート!CO:DL,Q130,FALSE),0)</f>
        <v>258</v>
      </c>
      <c r="P130" s="18">
        <f>ROUND(VLOOKUP(O$115&amp;"_2",管理者用人口入力シート!CO:DL,Q130,FALSE),0)</f>
        <v>343</v>
      </c>
      <c r="Q130" s="2">
        <v>17</v>
      </c>
      <c r="T130" s="91"/>
    </row>
    <row r="131" spans="7:20" x14ac:dyDescent="0.15">
      <c r="G131" s="2" t="s">
        <v>14</v>
      </c>
      <c r="H131" s="18">
        <f>ROUND(VLOOKUP(H$115&amp;"_1",管理者用人口入力シート!BH:CE,J131,FALSE),0)</f>
        <v>315</v>
      </c>
      <c r="I131" s="18">
        <f>ROUND(VLOOKUP(H$115&amp;"_2",管理者用人口入力シート!BH:CE,J131,FALSE),0)</f>
        <v>370</v>
      </c>
      <c r="J131" s="2">
        <v>18</v>
      </c>
      <c r="N131" s="2" t="s">
        <v>14</v>
      </c>
      <c r="O131" s="18">
        <f>ROUND(VLOOKUP(O$115&amp;"_1",管理者用人口入力シート!CO:DL,Q131,FALSE),0)</f>
        <v>315</v>
      </c>
      <c r="P131" s="18">
        <f>ROUND(VLOOKUP(O$115&amp;"_2",管理者用人口入力シート!CO:DL,Q131,FALSE),0)</f>
        <v>370</v>
      </c>
      <c r="Q131" s="2">
        <v>18</v>
      </c>
      <c r="T131" s="91"/>
    </row>
    <row r="132" spans="7:20" x14ac:dyDescent="0.15">
      <c r="G132" s="2" t="s">
        <v>15</v>
      </c>
      <c r="H132" s="18">
        <f>ROUND(VLOOKUP(H$115&amp;"_1",管理者用人口入力シート!BH:CE,J132,FALSE),0)</f>
        <v>311</v>
      </c>
      <c r="I132" s="18">
        <f>ROUND(VLOOKUP(H$115&amp;"_2",管理者用人口入力シート!BH:CE,J132,FALSE),0)</f>
        <v>410</v>
      </c>
      <c r="J132" s="2">
        <v>19</v>
      </c>
      <c r="N132" s="2" t="s">
        <v>15</v>
      </c>
      <c r="O132" s="18">
        <f>ROUND(VLOOKUP(O$115&amp;"_1",管理者用人口入力シート!CO:DL,Q132,FALSE),0)</f>
        <v>311</v>
      </c>
      <c r="P132" s="18">
        <f>ROUND(VLOOKUP(O$115&amp;"_2",管理者用人口入力シート!CO:DL,Q132,FALSE),0)</f>
        <v>410</v>
      </c>
      <c r="Q132" s="2">
        <v>19</v>
      </c>
      <c r="T132" s="91"/>
    </row>
    <row r="133" spans="7:20" x14ac:dyDescent="0.15">
      <c r="G133" s="2" t="s">
        <v>16</v>
      </c>
      <c r="H133" s="18">
        <f>ROUND(VLOOKUP(H$115&amp;"_1",管理者用人口入力シート!BH:CE,J133,FALSE),0)</f>
        <v>311</v>
      </c>
      <c r="I133" s="18">
        <f>ROUND(VLOOKUP(H$115&amp;"_2",管理者用人口入力シート!BH:CE,J133,FALSE),0)</f>
        <v>392</v>
      </c>
      <c r="J133" s="2">
        <v>20</v>
      </c>
      <c r="N133" s="2" t="s">
        <v>16</v>
      </c>
      <c r="O133" s="18">
        <f>ROUND(VLOOKUP(O$115&amp;"_1",管理者用人口入力シート!CO:DL,Q133,FALSE),0)</f>
        <v>311</v>
      </c>
      <c r="P133" s="18">
        <f>ROUND(VLOOKUP(O$115&amp;"_2",管理者用人口入力シート!CO:DL,Q133,FALSE),0)</f>
        <v>392</v>
      </c>
      <c r="Q133" s="2">
        <v>20</v>
      </c>
      <c r="T133" s="91"/>
    </row>
    <row r="134" spans="7:20" x14ac:dyDescent="0.15">
      <c r="G134" s="2" t="s">
        <v>17</v>
      </c>
      <c r="H134" s="18">
        <f>ROUND(VLOOKUP(H$115&amp;"_1",管理者用人口入力シート!BH:CE,J134,FALSE),0)</f>
        <v>218</v>
      </c>
      <c r="I134" s="18">
        <f>ROUND(VLOOKUP(H$115&amp;"_2",管理者用人口入力シート!BH:CE,J134,FALSE),0)</f>
        <v>345</v>
      </c>
      <c r="J134" s="2">
        <v>21</v>
      </c>
      <c r="N134" s="2" t="s">
        <v>17</v>
      </c>
      <c r="O134" s="18">
        <f>ROUND(VLOOKUP(O$115&amp;"_1",管理者用人口入力シート!CO:DL,Q134,FALSE),0)</f>
        <v>218</v>
      </c>
      <c r="P134" s="18">
        <f>ROUND(VLOOKUP(O$115&amp;"_2",管理者用人口入力シート!CO:DL,Q134,FALSE),0)</f>
        <v>345</v>
      </c>
      <c r="Q134" s="2">
        <v>21</v>
      </c>
      <c r="T134" s="91"/>
    </row>
    <row r="135" spans="7:20" x14ac:dyDescent="0.15">
      <c r="G135" s="2" t="s">
        <v>18</v>
      </c>
      <c r="H135" s="18">
        <f>ROUND(VLOOKUP(H$115&amp;"_1",管理者用人口入力シート!BH:CE,J135,FALSE),0)</f>
        <v>75</v>
      </c>
      <c r="I135" s="18">
        <f>ROUND(VLOOKUP(H$115&amp;"_2",管理者用人口入力シート!BH:CE,J135,FALSE),0)</f>
        <v>183</v>
      </c>
      <c r="J135" s="2">
        <v>22</v>
      </c>
      <c r="N135" s="2" t="s">
        <v>18</v>
      </c>
      <c r="O135" s="18">
        <f>ROUND(VLOOKUP(O$115&amp;"_1",管理者用人口入力シート!CO:DL,Q135,FALSE),0)</f>
        <v>75</v>
      </c>
      <c r="P135" s="18">
        <f>ROUND(VLOOKUP(O$115&amp;"_2",管理者用人口入力シート!CO:DL,Q135,FALSE),0)</f>
        <v>183</v>
      </c>
      <c r="Q135" s="2">
        <v>22</v>
      </c>
      <c r="T135" s="91"/>
    </row>
    <row r="136" spans="7:20" x14ac:dyDescent="0.15">
      <c r="G136" s="2" t="s">
        <v>19</v>
      </c>
      <c r="H136" s="18">
        <f>ROUND(VLOOKUP(H$115&amp;"_1",管理者用人口入力シート!BH:CE,J136,FALSE),0)</f>
        <v>18</v>
      </c>
      <c r="I136" s="18">
        <f>ROUND(VLOOKUP(H$115&amp;"_2",管理者用人口入力シート!BH:CE,J136,FALSE),0)</f>
        <v>82</v>
      </c>
      <c r="J136" s="2">
        <v>23</v>
      </c>
      <c r="N136" s="2" t="s">
        <v>19</v>
      </c>
      <c r="O136" s="18">
        <f>ROUND(VLOOKUP(O$115&amp;"_1",管理者用人口入力シート!CO:DL,Q136,FALSE),0)</f>
        <v>18</v>
      </c>
      <c r="P136" s="18">
        <f>ROUND(VLOOKUP(O$115&amp;"_2",管理者用人口入力シート!CO:DL,Q136,FALSE),0)</f>
        <v>82</v>
      </c>
      <c r="Q136" s="2">
        <v>23</v>
      </c>
      <c r="T136" s="91"/>
    </row>
    <row r="137" spans="7:20" x14ac:dyDescent="0.15">
      <c r="G137" s="2" t="s">
        <v>20</v>
      </c>
      <c r="H137" s="18">
        <f>ROUND(VLOOKUP(H$115&amp;"_1",管理者用人口入力シート!BH:CE,J137,FALSE),0)</f>
        <v>0</v>
      </c>
      <c r="I137" s="18">
        <f>ROUND(VLOOKUP(H$115&amp;"_2",管理者用人口入力シート!BH:CE,J137,FALSE),0)</f>
        <v>19</v>
      </c>
      <c r="J137" s="2">
        <v>24</v>
      </c>
      <c r="N137" s="2" t="s">
        <v>20</v>
      </c>
      <c r="O137" s="18">
        <f>ROUND(VLOOKUP(O$115&amp;"_1",管理者用人口入力シート!CO:DL,Q137,FALSE),0)</f>
        <v>0</v>
      </c>
      <c r="P137" s="18">
        <f>ROUND(VLOOKUP(O$115&amp;"_2",管理者用人口入力シート!CO:DL,Q137,FALSE),0)</f>
        <v>19</v>
      </c>
      <c r="Q137" s="2">
        <v>24</v>
      </c>
      <c r="T137" s="91"/>
    </row>
    <row r="139" spans="7:20" x14ac:dyDescent="0.15">
      <c r="G139" s="2" t="s">
        <v>109</v>
      </c>
      <c r="H139" s="342">
        <f>管理者入力シート!B11</f>
        <v>2040</v>
      </c>
      <c r="I139" s="343"/>
      <c r="J139" s="2" t="s">
        <v>114</v>
      </c>
      <c r="O139" s="342">
        <f>管理者入力シート!B11</f>
        <v>2040</v>
      </c>
      <c r="P139" s="343"/>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183</v>
      </c>
      <c r="I141" s="18">
        <f>ROUND(VLOOKUP(H$139&amp;"_2",管理者用人口入力シート!BH:CE,J141,FALSE),0)</f>
        <v>161</v>
      </c>
      <c r="J141" s="2">
        <v>4</v>
      </c>
      <c r="N141" s="2" t="s">
        <v>0</v>
      </c>
      <c r="O141" s="18">
        <f>ROUND(VLOOKUP(O$139&amp;"_1",管理者用人口入力シート!CO:DL,Q141,FALSE),0)</f>
        <v>186</v>
      </c>
      <c r="P141" s="18">
        <f>ROUND(VLOOKUP(O$139&amp;"_2",管理者用人口入力シート!CO:DL,Q141,FALSE),0)</f>
        <v>163</v>
      </c>
      <c r="Q141" s="2">
        <v>4</v>
      </c>
    </row>
    <row r="142" spans="7:20" x14ac:dyDescent="0.15">
      <c r="G142" s="2" t="s">
        <v>1</v>
      </c>
      <c r="H142" s="18">
        <f>ROUND(VLOOKUP(H$139&amp;"_1",管理者用人口入力シート!BH:CE,J142,FALSE),0)</f>
        <v>209</v>
      </c>
      <c r="I142" s="18">
        <f>ROUND(VLOOKUP(H$139&amp;"_2",管理者用人口入力シート!BH:CE,J142,FALSE),0)</f>
        <v>179</v>
      </c>
      <c r="J142" s="2">
        <v>5</v>
      </c>
      <c r="N142" s="2" t="s">
        <v>1</v>
      </c>
      <c r="O142" s="18">
        <f>ROUND(VLOOKUP(O$139&amp;"_1",管理者用人口入力シート!CO:DL,Q142,FALSE),0)</f>
        <v>212</v>
      </c>
      <c r="P142" s="18">
        <f>ROUND(VLOOKUP(O$139&amp;"_2",管理者用人口入力シート!CO:DL,Q142,FALSE),0)</f>
        <v>181</v>
      </c>
      <c r="Q142" s="2">
        <v>5</v>
      </c>
    </row>
    <row r="143" spans="7:20" x14ac:dyDescent="0.15">
      <c r="G143" s="2" t="s">
        <v>2</v>
      </c>
      <c r="H143" s="18">
        <f>ROUND(VLOOKUP(H$139&amp;"_1",管理者用人口入力シート!BH:CE,J143,FALSE),0)</f>
        <v>217</v>
      </c>
      <c r="I143" s="18">
        <f>ROUND(VLOOKUP(H$139&amp;"_2",管理者用人口入力シート!BH:CE,J143,FALSE),0)</f>
        <v>181</v>
      </c>
      <c r="J143" s="2">
        <v>6</v>
      </c>
      <c r="N143" s="2" t="s">
        <v>2</v>
      </c>
      <c r="O143" s="18">
        <f>ROUND(VLOOKUP(O$139&amp;"_1",管理者用人口入力シート!CO:DL,Q143,FALSE),0)</f>
        <v>220</v>
      </c>
      <c r="P143" s="18">
        <f>ROUND(VLOOKUP(O$139&amp;"_2",管理者用人口入力シート!CO:DL,Q143,FALSE),0)</f>
        <v>184</v>
      </c>
      <c r="Q143" s="2">
        <v>6</v>
      </c>
    </row>
    <row r="144" spans="7:20" x14ac:dyDescent="0.15">
      <c r="G144" s="2" t="s">
        <v>3</v>
      </c>
      <c r="H144" s="18">
        <f>ROUND(VLOOKUP(H$139&amp;"_1",管理者用人口入力シート!BH:CE,J144,FALSE),0)</f>
        <v>231</v>
      </c>
      <c r="I144" s="18">
        <f>ROUND(VLOOKUP(H$139&amp;"_2",管理者用人口入力シート!BH:CE,J144,FALSE),0)</f>
        <v>192</v>
      </c>
      <c r="J144" s="2">
        <v>7</v>
      </c>
      <c r="N144" s="2" t="s">
        <v>3</v>
      </c>
      <c r="O144" s="18">
        <f>ROUND(VLOOKUP(O$139&amp;"_1",管理者用人口入力シート!CO:DL,Q144,FALSE),0)</f>
        <v>233</v>
      </c>
      <c r="P144" s="18">
        <f>ROUND(VLOOKUP(O$139&amp;"_2",管理者用人口入力シート!CO:DL,Q144,FALSE),0)</f>
        <v>194</v>
      </c>
      <c r="Q144" s="2">
        <v>7</v>
      </c>
    </row>
    <row r="145" spans="7:17" x14ac:dyDescent="0.15">
      <c r="G145" s="2" t="s">
        <v>4</v>
      </c>
      <c r="H145" s="18">
        <f>ROUND(VLOOKUP(H$139&amp;"_1",管理者用人口入力シート!BH:CE,J145,FALSE),0)</f>
        <v>134</v>
      </c>
      <c r="I145" s="18">
        <f>ROUND(VLOOKUP(H$139&amp;"_2",管理者用人口入力シート!BH:CE,J145,FALSE),0)</f>
        <v>116</v>
      </c>
      <c r="J145" s="2">
        <v>8</v>
      </c>
      <c r="N145" s="2" t="s">
        <v>4</v>
      </c>
      <c r="O145" s="18">
        <f>ROUND(VLOOKUP(O$139&amp;"_1",管理者用人口入力シート!CO:DL,Q145,FALSE),0)</f>
        <v>135</v>
      </c>
      <c r="P145" s="18">
        <f>ROUND(VLOOKUP(O$139&amp;"_2",管理者用人口入力シート!CO:DL,Q145,FALSE),0)</f>
        <v>117</v>
      </c>
      <c r="Q145" s="2">
        <v>8</v>
      </c>
    </row>
    <row r="146" spans="7:17" x14ac:dyDescent="0.15">
      <c r="G146" s="2" t="s">
        <v>5</v>
      </c>
      <c r="H146" s="18">
        <f>ROUND(VLOOKUP(H$139&amp;"_1",管理者用人口入力シート!BH:CE,J146,FALSE),0)</f>
        <v>185</v>
      </c>
      <c r="I146" s="18">
        <f>ROUND(VLOOKUP(H$139&amp;"_2",管理者用人口入力シート!BH:CE,J146,FALSE),0)</f>
        <v>184</v>
      </c>
      <c r="J146" s="2">
        <v>9</v>
      </c>
      <c r="N146" s="2" t="s">
        <v>5</v>
      </c>
      <c r="O146" s="18">
        <f>ROUND(VLOOKUP(O$139&amp;"_1",管理者用人口入力シート!CO:DL,Q146,FALSE),0)</f>
        <v>188</v>
      </c>
      <c r="P146" s="18">
        <f>ROUND(VLOOKUP(O$139&amp;"_2",管理者用人口入力シート!CO:DL,Q146,FALSE),0)</f>
        <v>186</v>
      </c>
      <c r="Q146" s="2">
        <v>9</v>
      </c>
    </row>
    <row r="147" spans="7:17" x14ac:dyDescent="0.15">
      <c r="G147" s="2" t="s">
        <v>6</v>
      </c>
      <c r="H147" s="18">
        <f>ROUND(VLOOKUP(H$139&amp;"_1",管理者用人口入力シート!BH:CE,J147,FALSE),0)</f>
        <v>219</v>
      </c>
      <c r="I147" s="18">
        <f>ROUND(VLOOKUP(H$139&amp;"_2",管理者用人口入力シート!BH:CE,J147,FALSE),0)</f>
        <v>213</v>
      </c>
      <c r="J147" s="2">
        <v>10</v>
      </c>
      <c r="N147" s="2" t="s">
        <v>6</v>
      </c>
      <c r="O147" s="18">
        <f>ROUND(VLOOKUP(O$139&amp;"_1",管理者用人口入力シート!CO:DL,Q147,FALSE),0)</f>
        <v>221</v>
      </c>
      <c r="P147" s="18">
        <f>ROUND(VLOOKUP(O$139&amp;"_2",管理者用人口入力シート!CO:DL,Q147,FALSE),0)</f>
        <v>216</v>
      </c>
      <c r="Q147" s="2">
        <v>10</v>
      </c>
    </row>
    <row r="148" spans="7:17" x14ac:dyDescent="0.15">
      <c r="G148" s="2" t="s">
        <v>7</v>
      </c>
      <c r="H148" s="18">
        <f>ROUND(VLOOKUP(H$139&amp;"_1",管理者用人口入力シート!BH:CE,J148,FALSE),0)</f>
        <v>236</v>
      </c>
      <c r="I148" s="18">
        <f>ROUND(VLOOKUP(H$139&amp;"_2",管理者用人口入力シート!BH:CE,J148,FALSE),0)</f>
        <v>197</v>
      </c>
      <c r="J148" s="2">
        <v>11</v>
      </c>
      <c r="N148" s="2" t="s">
        <v>7</v>
      </c>
      <c r="O148" s="18">
        <f>ROUND(VLOOKUP(O$139&amp;"_1",管理者用人口入力シート!CO:DL,Q148,FALSE),0)</f>
        <v>238</v>
      </c>
      <c r="P148" s="18">
        <f>ROUND(VLOOKUP(O$139&amp;"_2",管理者用人口入力シート!CO:DL,Q148,FALSE),0)</f>
        <v>199</v>
      </c>
      <c r="Q148" s="2">
        <v>11</v>
      </c>
    </row>
    <row r="149" spans="7:17" x14ac:dyDescent="0.15">
      <c r="G149" s="2" t="s">
        <v>8</v>
      </c>
      <c r="H149" s="18">
        <f>ROUND(VLOOKUP(H$139&amp;"_1",管理者用人口入力シート!BH:CE,J149,FALSE),0)</f>
        <v>216</v>
      </c>
      <c r="I149" s="18">
        <f>ROUND(VLOOKUP(H$139&amp;"_2",管理者用人口入力シート!BH:CE,J149,FALSE),0)</f>
        <v>250</v>
      </c>
      <c r="J149" s="2">
        <v>12</v>
      </c>
      <c r="N149" s="2" t="s">
        <v>8</v>
      </c>
      <c r="O149" s="18">
        <f>ROUND(VLOOKUP(O$139&amp;"_1",管理者用人口入力シート!CO:DL,Q149,FALSE),0)</f>
        <v>219</v>
      </c>
      <c r="P149" s="18">
        <f>ROUND(VLOOKUP(O$139&amp;"_2",管理者用人口入力シート!CO:DL,Q149,FALSE),0)</f>
        <v>253</v>
      </c>
      <c r="Q149" s="2">
        <v>12</v>
      </c>
    </row>
    <row r="150" spans="7:17" x14ac:dyDescent="0.15">
      <c r="G150" s="2" t="s">
        <v>9</v>
      </c>
      <c r="H150" s="18">
        <f>ROUND(VLOOKUP(H$139&amp;"_1",管理者用人口入力シート!BH:CE,J150,FALSE),0)</f>
        <v>244</v>
      </c>
      <c r="I150" s="18">
        <f>ROUND(VLOOKUP(H$139&amp;"_2",管理者用人口入力シート!BH:CE,J150,FALSE),0)</f>
        <v>223</v>
      </c>
      <c r="J150" s="2">
        <v>13</v>
      </c>
      <c r="N150" s="2" t="s">
        <v>9</v>
      </c>
      <c r="O150" s="18">
        <f>ROUND(VLOOKUP(O$139&amp;"_1",管理者用人口入力シート!CO:DL,Q150,FALSE),0)</f>
        <v>244</v>
      </c>
      <c r="P150" s="18">
        <f>ROUND(VLOOKUP(O$139&amp;"_2",管理者用人口入力シート!CO:DL,Q150,FALSE),0)</f>
        <v>224</v>
      </c>
      <c r="Q150" s="2">
        <v>13</v>
      </c>
    </row>
    <row r="151" spans="7:17" x14ac:dyDescent="0.15">
      <c r="G151" s="2" t="s">
        <v>10</v>
      </c>
      <c r="H151" s="18">
        <f>ROUND(VLOOKUP(H$139&amp;"_1",管理者用人口入力シート!BH:CE,J151,FALSE),0)</f>
        <v>275</v>
      </c>
      <c r="I151" s="18">
        <f>ROUND(VLOOKUP(H$139&amp;"_2",管理者用人口入力シート!BH:CE,J151,FALSE),0)</f>
        <v>236</v>
      </c>
      <c r="J151" s="2">
        <v>14</v>
      </c>
      <c r="N151" s="2" t="s">
        <v>10</v>
      </c>
      <c r="O151" s="18">
        <f>ROUND(VLOOKUP(O$139&amp;"_1",管理者用人口入力シート!CO:DL,Q151,FALSE),0)</f>
        <v>275</v>
      </c>
      <c r="P151" s="18">
        <f>ROUND(VLOOKUP(O$139&amp;"_2",管理者用人口入力シート!CO:DL,Q151,FALSE),0)</f>
        <v>237</v>
      </c>
      <c r="Q151" s="2">
        <v>14</v>
      </c>
    </row>
    <row r="152" spans="7:17" x14ac:dyDescent="0.15">
      <c r="G152" s="2" t="s">
        <v>11</v>
      </c>
      <c r="H152" s="18">
        <f>ROUND(VLOOKUP(H$139&amp;"_1",管理者用人口入力シート!BH:CE,J152,FALSE),0)</f>
        <v>283</v>
      </c>
      <c r="I152" s="18">
        <f>ROUND(VLOOKUP(H$139&amp;"_2",管理者用人口入力シート!BH:CE,J152,FALSE),0)</f>
        <v>324</v>
      </c>
      <c r="J152" s="2">
        <v>15</v>
      </c>
      <c r="N152" s="2" t="s">
        <v>11</v>
      </c>
      <c r="O152" s="18">
        <f>ROUND(VLOOKUP(O$139&amp;"_1",管理者用人口入力シート!CO:DL,Q152,FALSE),0)</f>
        <v>283</v>
      </c>
      <c r="P152" s="18">
        <f>ROUND(VLOOKUP(O$139&amp;"_2",管理者用人口入力シート!CO:DL,Q152,FALSE),0)</f>
        <v>325</v>
      </c>
      <c r="Q152" s="2">
        <v>15</v>
      </c>
    </row>
    <row r="153" spans="7:17" x14ac:dyDescent="0.15">
      <c r="G153" s="2" t="s">
        <v>12</v>
      </c>
      <c r="H153" s="18">
        <f>ROUND(VLOOKUP(H$139&amp;"_1",管理者用人口入力シート!BH:CE,J153,FALSE),0)</f>
        <v>291</v>
      </c>
      <c r="I153" s="18">
        <f>ROUND(VLOOKUP(H$139&amp;"_2",管理者用人口入力シート!BH:CE,J153,FALSE),0)</f>
        <v>362</v>
      </c>
      <c r="J153" s="2">
        <v>16</v>
      </c>
      <c r="N153" s="2" t="s">
        <v>12</v>
      </c>
      <c r="O153" s="18">
        <f>ROUND(VLOOKUP(O$139&amp;"_1",管理者用人口入力シート!CO:DL,Q153,FALSE),0)</f>
        <v>291</v>
      </c>
      <c r="P153" s="18">
        <f>ROUND(VLOOKUP(O$139&amp;"_2",管理者用人口入力シート!CO:DL,Q153,FALSE),0)</f>
        <v>362</v>
      </c>
      <c r="Q153" s="2">
        <v>16</v>
      </c>
    </row>
    <row r="154" spans="7:17" x14ac:dyDescent="0.15">
      <c r="G154" s="2" t="s">
        <v>13</v>
      </c>
      <c r="H154" s="18">
        <f>ROUND(VLOOKUP(H$139&amp;"_1",管理者用人口入力シート!BH:CE,J154,FALSE),0)</f>
        <v>296</v>
      </c>
      <c r="I154" s="18">
        <f>ROUND(VLOOKUP(H$139&amp;"_2",管理者用人口入力シート!BH:CE,J154,FALSE),0)</f>
        <v>358</v>
      </c>
      <c r="J154" s="2">
        <v>17</v>
      </c>
      <c r="N154" s="2" t="s">
        <v>13</v>
      </c>
      <c r="O154" s="18">
        <f>ROUND(VLOOKUP(O$139&amp;"_1",管理者用人口入力シート!CO:DL,Q154,FALSE),0)</f>
        <v>296</v>
      </c>
      <c r="P154" s="18">
        <f>ROUND(VLOOKUP(O$139&amp;"_2",管理者用人口入力シート!CO:DL,Q154,FALSE),0)</f>
        <v>358</v>
      </c>
      <c r="Q154" s="2">
        <v>17</v>
      </c>
    </row>
    <row r="155" spans="7:17" x14ac:dyDescent="0.15">
      <c r="G155" s="2" t="s">
        <v>14</v>
      </c>
      <c r="H155" s="18">
        <f>ROUND(VLOOKUP(H$139&amp;"_1",管理者用人口入力シート!BH:CE,J155,FALSE),0)</f>
        <v>245</v>
      </c>
      <c r="I155" s="18">
        <f>ROUND(VLOOKUP(H$139&amp;"_2",管理者用人口入力シート!BH:CE,J155,FALSE),0)</f>
        <v>332</v>
      </c>
      <c r="J155" s="2">
        <v>18</v>
      </c>
      <c r="N155" s="2" t="s">
        <v>14</v>
      </c>
      <c r="O155" s="18">
        <f>ROUND(VLOOKUP(O$139&amp;"_1",管理者用人口入力シート!CO:DL,Q155,FALSE),0)</f>
        <v>245</v>
      </c>
      <c r="P155" s="18">
        <f>ROUND(VLOOKUP(O$139&amp;"_2",管理者用人口入力シート!CO:DL,Q155,FALSE),0)</f>
        <v>332</v>
      </c>
      <c r="Q155" s="2">
        <v>18</v>
      </c>
    </row>
    <row r="156" spans="7:17" x14ac:dyDescent="0.15">
      <c r="G156" s="2" t="s">
        <v>15</v>
      </c>
      <c r="H156" s="18">
        <f>ROUND(VLOOKUP(H$139&amp;"_1",管理者用人口入力シート!BH:CE,J156,FALSE),0)</f>
        <v>278</v>
      </c>
      <c r="I156" s="18">
        <f>ROUND(VLOOKUP(H$139&amp;"_2",管理者用人口入力シート!BH:CE,J156,FALSE),0)</f>
        <v>345</v>
      </c>
      <c r="J156" s="2">
        <v>19</v>
      </c>
      <c r="N156" s="2" t="s">
        <v>15</v>
      </c>
      <c r="O156" s="18">
        <f>ROUND(VLOOKUP(O$139&amp;"_1",管理者用人口入力シート!CO:DL,Q156,FALSE),0)</f>
        <v>278</v>
      </c>
      <c r="P156" s="18">
        <f>ROUND(VLOOKUP(O$139&amp;"_2",管理者用人口入力シート!CO:DL,Q156,FALSE),0)</f>
        <v>345</v>
      </c>
      <c r="Q156" s="2">
        <v>19</v>
      </c>
    </row>
    <row r="157" spans="7:17" x14ac:dyDescent="0.15">
      <c r="G157" s="2" t="s">
        <v>16</v>
      </c>
      <c r="H157" s="18">
        <f>ROUND(VLOOKUP(H$139&amp;"_1",管理者用人口入力シート!BH:CE,J157,FALSE),0)</f>
        <v>250</v>
      </c>
      <c r="I157" s="18">
        <f>ROUND(VLOOKUP(H$139&amp;"_2",管理者用人口入力シート!BH:CE,J157,FALSE),0)</f>
        <v>366</v>
      </c>
      <c r="J157" s="2">
        <v>20</v>
      </c>
      <c r="N157" s="2" t="s">
        <v>16</v>
      </c>
      <c r="O157" s="18">
        <f>ROUND(VLOOKUP(O$139&amp;"_1",管理者用人口入力シート!CO:DL,Q157,FALSE),0)</f>
        <v>250</v>
      </c>
      <c r="P157" s="18">
        <f>ROUND(VLOOKUP(O$139&amp;"_2",管理者用人口入力シート!CO:DL,Q157,FALSE),0)</f>
        <v>366</v>
      </c>
      <c r="Q157" s="2">
        <v>20</v>
      </c>
    </row>
    <row r="158" spans="7:17" x14ac:dyDescent="0.15">
      <c r="G158" s="2" t="s">
        <v>17</v>
      </c>
      <c r="H158" s="18">
        <f>ROUND(VLOOKUP(H$139&amp;"_1",管理者用人口入力シート!BH:CE,J158,FALSE),0)</f>
        <v>217</v>
      </c>
      <c r="I158" s="18">
        <f>ROUND(VLOOKUP(H$139&amp;"_2",管理者用人口入力シート!BH:CE,J158,FALSE),0)</f>
        <v>309</v>
      </c>
      <c r="J158" s="2">
        <v>21</v>
      </c>
      <c r="N158" s="2" t="s">
        <v>17</v>
      </c>
      <c r="O158" s="18">
        <f>ROUND(VLOOKUP(O$139&amp;"_1",管理者用人口入力シート!CO:DL,Q158,FALSE),0)</f>
        <v>217</v>
      </c>
      <c r="P158" s="18">
        <f>ROUND(VLOOKUP(O$139&amp;"_2",管理者用人口入力シート!CO:DL,Q158,FALSE),0)</f>
        <v>309</v>
      </c>
      <c r="Q158" s="2">
        <v>21</v>
      </c>
    </row>
    <row r="159" spans="7:17" x14ac:dyDescent="0.15">
      <c r="G159" s="2" t="s">
        <v>18</v>
      </c>
      <c r="H159" s="18">
        <f>ROUND(VLOOKUP(H$139&amp;"_1",管理者用人口入力シート!BH:CE,J159,FALSE),0)</f>
        <v>91</v>
      </c>
      <c r="I159" s="18">
        <f>ROUND(VLOOKUP(H$139&amp;"_2",管理者用人口入力シート!BH:CE,J159,FALSE),0)</f>
        <v>219</v>
      </c>
      <c r="J159" s="2">
        <v>22</v>
      </c>
      <c r="N159" s="2" t="s">
        <v>18</v>
      </c>
      <c r="O159" s="18">
        <f>ROUND(VLOOKUP(O$139&amp;"_1",管理者用人口入力シート!CO:DL,Q159,FALSE),0)</f>
        <v>91</v>
      </c>
      <c r="P159" s="18">
        <f>ROUND(VLOOKUP(O$139&amp;"_2",管理者用人口入力シート!CO:DL,Q159,FALSE),0)</f>
        <v>219</v>
      </c>
      <c r="Q159" s="2">
        <v>22</v>
      </c>
    </row>
    <row r="160" spans="7:17" x14ac:dyDescent="0.15">
      <c r="G160" s="2" t="s">
        <v>19</v>
      </c>
      <c r="H160" s="18">
        <f>ROUND(VLOOKUP(H$139&amp;"_1",管理者用人口入力シート!BH:CE,J160,FALSE),0)</f>
        <v>20</v>
      </c>
      <c r="I160" s="18">
        <f>ROUND(VLOOKUP(H$139&amp;"_2",管理者用人口入力シート!BH:CE,J160,FALSE),0)</f>
        <v>76</v>
      </c>
      <c r="J160" s="2">
        <v>23</v>
      </c>
      <c r="N160" s="2" t="s">
        <v>19</v>
      </c>
      <c r="O160" s="18">
        <f>ROUND(VLOOKUP(O$139&amp;"_1",管理者用人口入力シート!CO:DL,Q160,FALSE),0)</f>
        <v>20</v>
      </c>
      <c r="P160" s="18">
        <f>ROUND(VLOOKUP(O$139&amp;"_2",管理者用人口入力シート!CO:DL,Q160,FALSE),0)</f>
        <v>76</v>
      </c>
      <c r="Q160" s="2">
        <v>23</v>
      </c>
    </row>
    <row r="161" spans="7:17" x14ac:dyDescent="0.15">
      <c r="G161" s="2" t="s">
        <v>20</v>
      </c>
      <c r="H161" s="18">
        <f>ROUND(VLOOKUP(H$139&amp;"_1",管理者用人口入力シート!BH:CE,J161,FALSE),0)</f>
        <v>0</v>
      </c>
      <c r="I161" s="18">
        <f>ROUND(VLOOKUP(H$139&amp;"_2",管理者用人口入力シート!BH:CE,J161,FALSE),0)</f>
        <v>18</v>
      </c>
      <c r="J161" s="2">
        <v>24</v>
      </c>
      <c r="N161" s="2" t="s">
        <v>20</v>
      </c>
      <c r="O161" s="18">
        <f>ROUND(VLOOKUP(O$139&amp;"_1",管理者用人口入力シート!CO:DL,Q161,FALSE),0)</f>
        <v>0</v>
      </c>
      <c r="P161" s="18">
        <f>ROUND(VLOOKUP(O$139&amp;"_2",管理者用人口入力シート!CO:DL,Q161,FALSE),0)</f>
        <v>18</v>
      </c>
      <c r="Q161" s="2">
        <v>24</v>
      </c>
    </row>
    <row r="163" spans="7:17" x14ac:dyDescent="0.15">
      <c r="G163" s="2" t="s">
        <v>395</v>
      </c>
      <c r="H163" s="342">
        <f>管理者入力シート!B12</f>
        <v>2045</v>
      </c>
      <c r="I163" s="343"/>
      <c r="J163" s="2" t="s">
        <v>114</v>
      </c>
      <c r="O163" s="342">
        <f>管理者入力シート!B12</f>
        <v>2045</v>
      </c>
      <c r="P163" s="343"/>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167</v>
      </c>
      <c r="I165" s="18">
        <f>ROUND(VLOOKUP(H$163&amp;"_2",管理者用人口入力シート!BH:CE,J165,FALSE),0)</f>
        <v>147</v>
      </c>
      <c r="J165" s="2">
        <v>4</v>
      </c>
      <c r="N165" s="2" t="s">
        <v>0</v>
      </c>
      <c r="O165" s="18">
        <f>ROUND(VLOOKUP(O$163&amp;"_1",管理者用人口入力シート!CO:DL,Q165,FALSE),0)</f>
        <v>171</v>
      </c>
      <c r="P165" s="18">
        <f>ROUND(VLOOKUP(O$163&amp;"_2",管理者用人口入力シート!CO:DL,Q165,FALSE),0)</f>
        <v>150</v>
      </c>
      <c r="Q165" s="2">
        <v>4</v>
      </c>
    </row>
    <row r="166" spans="7:17" x14ac:dyDescent="0.15">
      <c r="G166" s="2" t="s">
        <v>1</v>
      </c>
      <c r="H166" s="18">
        <f>ROUND(VLOOKUP(H$163&amp;"_1",管理者用人口入力シート!BH:CE,J166,FALSE),0)</f>
        <v>185</v>
      </c>
      <c r="I166" s="18">
        <f>ROUND(VLOOKUP(H$163&amp;"_2",管理者用人口入力シート!BH:CE,J166,FALSE),0)</f>
        <v>158</v>
      </c>
      <c r="J166" s="2">
        <v>5</v>
      </c>
      <c r="N166" s="2" t="s">
        <v>1</v>
      </c>
      <c r="O166" s="18">
        <f>ROUND(VLOOKUP(O$163&amp;"_1",管理者用人口入力シート!CO:DL,Q166,FALSE),0)</f>
        <v>188</v>
      </c>
      <c r="P166" s="18">
        <f>ROUND(VLOOKUP(O$163&amp;"_2",管理者用人口入力シート!CO:DL,Q166,FALSE),0)</f>
        <v>161</v>
      </c>
      <c r="Q166" s="2">
        <v>5</v>
      </c>
    </row>
    <row r="167" spans="7:17" x14ac:dyDescent="0.15">
      <c r="G167" s="2" t="s">
        <v>2</v>
      </c>
      <c r="H167" s="18">
        <f>ROUND(VLOOKUP(H$163&amp;"_1",管理者用人口入力シート!BH:CE,J167,FALSE),0)</f>
        <v>205</v>
      </c>
      <c r="I167" s="18">
        <f>ROUND(VLOOKUP(H$163&amp;"_2",管理者用人口入力シート!BH:CE,J167,FALSE),0)</f>
        <v>171</v>
      </c>
      <c r="J167" s="2">
        <v>6</v>
      </c>
      <c r="N167" s="2" t="s">
        <v>2</v>
      </c>
      <c r="O167" s="18">
        <f>ROUND(VLOOKUP(O$163&amp;"_1",管理者用人口入力シート!CO:DL,Q167,FALSE),0)</f>
        <v>209</v>
      </c>
      <c r="P167" s="18">
        <f>ROUND(VLOOKUP(O$163&amp;"_2",管理者用人口入力シート!CO:DL,Q167,FALSE),0)</f>
        <v>175</v>
      </c>
      <c r="Q167" s="2">
        <v>6</v>
      </c>
    </row>
    <row r="168" spans="7:17" x14ac:dyDescent="0.15">
      <c r="G168" s="2" t="s">
        <v>3</v>
      </c>
      <c r="H168" s="18">
        <f>ROUND(VLOOKUP(H$163&amp;"_1",管理者用人口入力シート!BH:CE,J168,FALSE),0)</f>
        <v>219</v>
      </c>
      <c r="I168" s="18">
        <f>ROUND(VLOOKUP(H$163&amp;"_2",管理者用人口入力シート!BH:CE,J168,FALSE),0)</f>
        <v>182</v>
      </c>
      <c r="J168" s="2">
        <v>7</v>
      </c>
      <c r="N168" s="2" t="s">
        <v>3</v>
      </c>
      <c r="O168" s="18">
        <f>ROUND(VLOOKUP(O$163&amp;"_1",管理者用人口入力シート!CO:DL,Q168,FALSE),0)</f>
        <v>222</v>
      </c>
      <c r="P168" s="18">
        <f>ROUND(VLOOKUP(O$163&amp;"_2",管理者用人口入力シート!CO:DL,Q168,FALSE),0)</f>
        <v>185</v>
      </c>
      <c r="Q168" s="2">
        <v>7</v>
      </c>
    </row>
    <row r="169" spans="7:17" x14ac:dyDescent="0.15">
      <c r="G169" s="2" t="s">
        <v>4</v>
      </c>
      <c r="H169" s="18">
        <f>ROUND(VLOOKUP(H$163&amp;"_1",管理者用人口入力シート!BH:CE,J169,FALSE),0)</f>
        <v>118</v>
      </c>
      <c r="I169" s="18">
        <f>ROUND(VLOOKUP(H$163&amp;"_2",管理者用人口入力シート!BH:CE,J169,FALSE),0)</f>
        <v>102</v>
      </c>
      <c r="J169" s="2">
        <v>8</v>
      </c>
      <c r="N169" s="2" t="s">
        <v>4</v>
      </c>
      <c r="O169" s="18">
        <f>ROUND(VLOOKUP(O$163&amp;"_1",管理者用人口入力シート!CO:DL,Q169,FALSE),0)</f>
        <v>119</v>
      </c>
      <c r="P169" s="18">
        <f>ROUND(VLOOKUP(O$163&amp;"_2",管理者用人口入力シート!CO:DL,Q169,FALSE),0)</f>
        <v>103</v>
      </c>
      <c r="Q169" s="2">
        <v>8</v>
      </c>
    </row>
    <row r="170" spans="7:17" x14ac:dyDescent="0.15">
      <c r="G170" s="2" t="s">
        <v>5</v>
      </c>
      <c r="H170" s="18">
        <f>ROUND(VLOOKUP(H$163&amp;"_1",管理者用人口入力シート!BH:CE,J170,FALSE),0)</f>
        <v>171</v>
      </c>
      <c r="I170" s="18">
        <f>ROUND(VLOOKUP(H$163&amp;"_2",管理者用人口入力シート!BH:CE,J170,FALSE),0)</f>
        <v>156</v>
      </c>
      <c r="J170" s="2">
        <v>9</v>
      </c>
      <c r="N170" s="2" t="s">
        <v>5</v>
      </c>
      <c r="O170" s="18">
        <f>ROUND(VLOOKUP(O$163&amp;"_1",管理者用人口入力シート!CO:DL,Q170,FALSE),0)</f>
        <v>174</v>
      </c>
      <c r="P170" s="18">
        <f>ROUND(VLOOKUP(O$163&amp;"_2",管理者用人口入力シート!CO:DL,Q170,FALSE),0)</f>
        <v>158</v>
      </c>
      <c r="Q170" s="2">
        <v>9</v>
      </c>
    </row>
    <row r="171" spans="7:17" x14ac:dyDescent="0.15">
      <c r="G171" s="2" t="s">
        <v>6</v>
      </c>
      <c r="H171" s="18">
        <f>ROUND(VLOOKUP(H$163&amp;"_1",管理者用人口入力シート!BH:CE,J171,FALSE),0)</f>
        <v>209</v>
      </c>
      <c r="I171" s="18">
        <f>ROUND(VLOOKUP(H$163&amp;"_2",管理者用人口入力シート!BH:CE,J171,FALSE),0)</f>
        <v>191</v>
      </c>
      <c r="J171" s="2">
        <v>10</v>
      </c>
      <c r="N171" s="2" t="s">
        <v>6</v>
      </c>
      <c r="O171" s="18">
        <f>ROUND(VLOOKUP(O$163&amp;"_1",管理者用人口入力シート!CO:DL,Q171,FALSE),0)</f>
        <v>212</v>
      </c>
      <c r="P171" s="18">
        <f>ROUND(VLOOKUP(O$163&amp;"_2",管理者用人口入力シート!CO:DL,Q171,FALSE),0)</f>
        <v>194</v>
      </c>
      <c r="Q171" s="2">
        <v>10</v>
      </c>
    </row>
    <row r="172" spans="7:17" x14ac:dyDescent="0.15">
      <c r="G172" s="2" t="s">
        <v>7</v>
      </c>
      <c r="H172" s="18">
        <f>ROUND(VLOOKUP(H$163&amp;"_1",管理者用人口入力シート!BH:CE,J172,FALSE),0)</f>
        <v>221</v>
      </c>
      <c r="I172" s="18">
        <f>ROUND(VLOOKUP(H$163&amp;"_2",管理者用人口入力シート!BH:CE,J172,FALSE),0)</f>
        <v>202</v>
      </c>
      <c r="J172" s="2">
        <v>11</v>
      </c>
      <c r="N172" s="2" t="s">
        <v>7</v>
      </c>
      <c r="O172" s="18">
        <f>ROUND(VLOOKUP(O$163&amp;"_1",管理者用人口入力シート!CO:DL,Q172,FALSE),0)</f>
        <v>223</v>
      </c>
      <c r="P172" s="18">
        <f>ROUND(VLOOKUP(O$163&amp;"_2",管理者用人口入力シート!CO:DL,Q172,FALSE),0)</f>
        <v>204</v>
      </c>
      <c r="Q172" s="2">
        <v>11</v>
      </c>
    </row>
    <row r="173" spans="7:17" x14ac:dyDescent="0.15">
      <c r="G173" s="2" t="s">
        <v>8</v>
      </c>
      <c r="H173" s="18">
        <f>ROUND(VLOOKUP(H$163&amp;"_1",管理者用人口入力シート!BH:CE,J173,FALSE),0)</f>
        <v>232</v>
      </c>
      <c r="I173" s="18">
        <f>ROUND(VLOOKUP(H$163&amp;"_2",管理者用人口入力シート!BH:CE,J173,FALSE),0)</f>
        <v>196</v>
      </c>
      <c r="J173" s="2">
        <v>12</v>
      </c>
      <c r="N173" s="2" t="s">
        <v>8</v>
      </c>
      <c r="O173" s="18">
        <f>ROUND(VLOOKUP(O$163&amp;"_1",管理者用人口入力シート!CO:DL,Q173,FALSE),0)</f>
        <v>234</v>
      </c>
      <c r="P173" s="18">
        <f>ROUND(VLOOKUP(O$163&amp;"_2",管理者用人口入力シート!CO:DL,Q173,FALSE),0)</f>
        <v>199</v>
      </c>
      <c r="Q173" s="2">
        <v>12</v>
      </c>
    </row>
    <row r="174" spans="7:17" x14ac:dyDescent="0.15">
      <c r="G174" s="2" t="s">
        <v>9</v>
      </c>
      <c r="H174" s="18">
        <f>ROUND(VLOOKUP(H$163&amp;"_1",管理者用人口入力シート!BH:CE,J174,FALSE),0)</f>
        <v>212</v>
      </c>
      <c r="I174" s="18">
        <f>ROUND(VLOOKUP(H$163&amp;"_2",管理者用人口入力シート!BH:CE,J174,FALSE),0)</f>
        <v>245</v>
      </c>
      <c r="J174" s="2">
        <v>13</v>
      </c>
      <c r="N174" s="2" t="s">
        <v>9</v>
      </c>
      <c r="O174" s="18">
        <f>ROUND(VLOOKUP(O$163&amp;"_1",管理者用人口入力シート!CO:DL,Q174,FALSE),0)</f>
        <v>214</v>
      </c>
      <c r="P174" s="18">
        <f>ROUND(VLOOKUP(O$163&amp;"_2",管理者用人口入力シート!CO:DL,Q174,FALSE),0)</f>
        <v>248</v>
      </c>
      <c r="Q174" s="2">
        <v>13</v>
      </c>
    </row>
    <row r="175" spans="7:17" x14ac:dyDescent="0.15">
      <c r="G175" s="2" t="s">
        <v>10</v>
      </c>
      <c r="H175" s="18">
        <f>ROUND(VLOOKUP(H$163&amp;"_1",管理者用人口入力シート!BH:CE,J175,FALSE),0)</f>
        <v>242</v>
      </c>
      <c r="I175" s="18">
        <f>ROUND(VLOOKUP(H$163&amp;"_2",管理者用人口入力シート!BH:CE,J175,FALSE),0)</f>
        <v>219</v>
      </c>
      <c r="J175" s="2">
        <v>14</v>
      </c>
      <c r="N175" s="2" t="s">
        <v>10</v>
      </c>
      <c r="O175" s="18">
        <f>ROUND(VLOOKUP(O$163&amp;"_1",管理者用人口入力シート!CO:DL,Q175,FALSE),0)</f>
        <v>242</v>
      </c>
      <c r="P175" s="18">
        <f>ROUND(VLOOKUP(O$163&amp;"_2",管理者用人口入力シート!CO:DL,Q175,FALSE),0)</f>
        <v>220</v>
      </c>
      <c r="Q175" s="2">
        <v>14</v>
      </c>
    </row>
    <row r="176" spans="7:17" x14ac:dyDescent="0.15">
      <c r="G176" s="2" t="s">
        <v>11</v>
      </c>
      <c r="H176" s="18">
        <f>ROUND(VLOOKUP(H$163&amp;"_1",管理者用人口入力シート!BH:CE,J176,FALSE),0)</f>
        <v>256</v>
      </c>
      <c r="I176" s="18">
        <f>ROUND(VLOOKUP(H$163&amp;"_2",管理者用人口入力シート!BH:CE,J176,FALSE),0)</f>
        <v>239</v>
      </c>
      <c r="J176" s="2">
        <v>15</v>
      </c>
      <c r="N176" s="2" t="s">
        <v>11</v>
      </c>
      <c r="O176" s="18">
        <f>ROUND(VLOOKUP(O$163&amp;"_1",管理者用人口入力シート!CO:DL,Q176,FALSE),0)</f>
        <v>256</v>
      </c>
      <c r="P176" s="18">
        <f>ROUND(VLOOKUP(O$163&amp;"_2",管理者用人口入力シート!CO:DL,Q176,FALSE),0)</f>
        <v>240</v>
      </c>
      <c r="Q176" s="2">
        <v>15</v>
      </c>
    </row>
    <row r="177" spans="7:17" x14ac:dyDescent="0.15">
      <c r="G177" s="2" t="s">
        <v>12</v>
      </c>
      <c r="H177" s="18">
        <f>ROUND(VLOOKUP(H$163&amp;"_1",管理者用人口入力シート!BH:CE,J177,FALSE),0)</f>
        <v>279</v>
      </c>
      <c r="I177" s="18">
        <f>ROUND(VLOOKUP(H$163&amp;"_2",管理者用人口入力シート!BH:CE,J177,FALSE),0)</f>
        <v>322</v>
      </c>
      <c r="J177" s="2">
        <v>16</v>
      </c>
      <c r="N177" s="2" t="s">
        <v>12</v>
      </c>
      <c r="O177" s="18">
        <f>ROUND(VLOOKUP(O$163&amp;"_1",管理者用人口入力シート!CO:DL,Q177,FALSE),0)</f>
        <v>279</v>
      </c>
      <c r="P177" s="18">
        <f>ROUND(VLOOKUP(O$163&amp;"_2",管理者用人口入力シート!CO:DL,Q177,FALSE),0)</f>
        <v>323</v>
      </c>
      <c r="Q177" s="2">
        <v>16</v>
      </c>
    </row>
    <row r="178" spans="7:17" x14ac:dyDescent="0.15">
      <c r="G178" s="2" t="s">
        <v>13</v>
      </c>
      <c r="H178" s="18">
        <f>ROUND(VLOOKUP(H$163&amp;"_1",管理者用人口入力シート!BH:CE,J178,FALSE),0)</f>
        <v>278</v>
      </c>
      <c r="I178" s="18">
        <f>ROUND(VLOOKUP(H$163&amp;"_2",管理者用人口入力シート!BH:CE,J178,FALSE),0)</f>
        <v>357</v>
      </c>
      <c r="J178" s="2">
        <v>17</v>
      </c>
      <c r="N178" s="2" t="s">
        <v>13</v>
      </c>
      <c r="O178" s="18">
        <f>ROUND(VLOOKUP(O$163&amp;"_1",管理者用人口入力シート!CO:DL,Q178,FALSE),0)</f>
        <v>278</v>
      </c>
      <c r="P178" s="18">
        <f>ROUND(VLOOKUP(O$163&amp;"_2",管理者用人口入力シート!CO:DL,Q178,FALSE),0)</f>
        <v>357</v>
      </c>
      <c r="Q178" s="2">
        <v>17</v>
      </c>
    </row>
    <row r="179" spans="7:17" x14ac:dyDescent="0.15">
      <c r="G179" s="2" t="s">
        <v>14</v>
      </c>
      <c r="H179" s="18">
        <f>ROUND(VLOOKUP(H$163&amp;"_1",管理者用人口入力シート!BH:CE,J179,FALSE),0)</f>
        <v>282</v>
      </c>
      <c r="I179" s="18">
        <f>ROUND(VLOOKUP(H$163&amp;"_2",管理者用人口入力シート!BH:CE,J179,FALSE),0)</f>
        <v>346</v>
      </c>
      <c r="J179" s="2">
        <v>18</v>
      </c>
      <c r="N179" s="2" t="s">
        <v>14</v>
      </c>
      <c r="O179" s="18">
        <f>ROUND(VLOOKUP(O$163&amp;"_1",管理者用人口入力シート!CO:DL,Q179,FALSE),0)</f>
        <v>282</v>
      </c>
      <c r="P179" s="18">
        <f>ROUND(VLOOKUP(O$163&amp;"_2",管理者用人口入力シート!CO:DL,Q179,FALSE),0)</f>
        <v>346</v>
      </c>
      <c r="Q179" s="2">
        <v>18</v>
      </c>
    </row>
    <row r="180" spans="7:17" x14ac:dyDescent="0.15">
      <c r="G180" s="2" t="s">
        <v>15</v>
      </c>
      <c r="H180" s="18">
        <f>ROUND(VLOOKUP(H$163&amp;"_1",管理者用人口入力シート!BH:CE,J180,FALSE),0)</f>
        <v>216</v>
      </c>
      <c r="I180" s="18">
        <f>ROUND(VLOOKUP(H$163&amp;"_2",管理者用人口入力シート!BH:CE,J180,FALSE),0)</f>
        <v>310</v>
      </c>
      <c r="J180" s="2">
        <v>19</v>
      </c>
      <c r="N180" s="2" t="s">
        <v>15</v>
      </c>
      <c r="O180" s="18">
        <f>ROUND(VLOOKUP(O$163&amp;"_1",管理者用人口入力シート!CO:DL,Q180,FALSE),0)</f>
        <v>216</v>
      </c>
      <c r="P180" s="18">
        <f>ROUND(VLOOKUP(O$163&amp;"_2",管理者用人口入力シート!CO:DL,Q180,FALSE),0)</f>
        <v>310</v>
      </c>
      <c r="Q180" s="2">
        <v>19</v>
      </c>
    </row>
    <row r="181" spans="7:17" x14ac:dyDescent="0.15">
      <c r="G181" s="2" t="s">
        <v>16</v>
      </c>
      <c r="H181" s="18">
        <f>ROUND(VLOOKUP(H$163&amp;"_1",管理者用人口入力シート!BH:CE,J181,FALSE),0)</f>
        <v>223</v>
      </c>
      <c r="I181" s="18">
        <f>ROUND(VLOOKUP(H$163&amp;"_2",管理者用人口入力シート!BH:CE,J181,FALSE),0)</f>
        <v>307</v>
      </c>
      <c r="J181" s="2">
        <v>20</v>
      </c>
      <c r="N181" s="2" t="s">
        <v>16</v>
      </c>
      <c r="O181" s="18">
        <f>ROUND(VLOOKUP(O$163&amp;"_1",管理者用人口入力シート!CO:DL,Q181,FALSE),0)</f>
        <v>223</v>
      </c>
      <c r="P181" s="18">
        <f>ROUND(VLOOKUP(O$163&amp;"_2",管理者用人口入力シート!CO:DL,Q181,FALSE),0)</f>
        <v>307</v>
      </c>
      <c r="Q181" s="2">
        <v>20</v>
      </c>
    </row>
    <row r="182" spans="7:17" x14ac:dyDescent="0.15">
      <c r="G182" s="2" t="s">
        <v>17</v>
      </c>
      <c r="H182" s="18">
        <f>ROUND(VLOOKUP(H$163&amp;"_1",管理者用人口入力シート!BH:CE,J182,FALSE),0)</f>
        <v>174</v>
      </c>
      <c r="I182" s="18">
        <f>ROUND(VLOOKUP(H$163&amp;"_2",管理者用人口入力シート!BH:CE,J182,FALSE),0)</f>
        <v>289</v>
      </c>
      <c r="J182" s="2">
        <v>21</v>
      </c>
      <c r="N182" s="2" t="s">
        <v>17</v>
      </c>
      <c r="O182" s="18">
        <f>ROUND(VLOOKUP(O$163&amp;"_1",管理者用人口入力シート!CO:DL,Q182,FALSE),0)</f>
        <v>174</v>
      </c>
      <c r="P182" s="18">
        <f>ROUND(VLOOKUP(O$163&amp;"_2",管理者用人口入力シート!CO:DL,Q182,FALSE),0)</f>
        <v>289</v>
      </c>
      <c r="Q182" s="2">
        <v>21</v>
      </c>
    </row>
    <row r="183" spans="7:17" x14ac:dyDescent="0.15">
      <c r="G183" s="2" t="s">
        <v>18</v>
      </c>
      <c r="H183" s="18">
        <f>ROUND(VLOOKUP(H$163&amp;"_1",管理者用人口入力シート!BH:CE,J183,FALSE),0)</f>
        <v>90</v>
      </c>
      <c r="I183" s="18">
        <f>ROUND(VLOOKUP(H$163&amp;"_2",管理者用人口入力シート!BH:CE,J183,FALSE),0)</f>
        <v>197</v>
      </c>
      <c r="J183" s="2">
        <v>22</v>
      </c>
      <c r="N183" s="2" t="s">
        <v>18</v>
      </c>
      <c r="O183" s="18">
        <f>ROUND(VLOOKUP(O$163&amp;"_1",管理者用人口入力シート!CO:DL,Q183,FALSE),0)</f>
        <v>90</v>
      </c>
      <c r="P183" s="18">
        <f>ROUND(VLOOKUP(O$163&amp;"_2",管理者用人口入力シート!CO:DL,Q183,FALSE),0)</f>
        <v>197</v>
      </c>
      <c r="Q183" s="2">
        <v>22</v>
      </c>
    </row>
    <row r="184" spans="7:17" x14ac:dyDescent="0.15">
      <c r="G184" s="2" t="s">
        <v>19</v>
      </c>
      <c r="H184" s="18">
        <f>ROUND(VLOOKUP(H$163&amp;"_1",管理者用人口入力シート!BH:CE,J184,FALSE),0)</f>
        <v>24</v>
      </c>
      <c r="I184" s="18">
        <f>ROUND(VLOOKUP(H$163&amp;"_2",管理者用人口入力シート!BH:CE,J184,FALSE),0)</f>
        <v>91</v>
      </c>
      <c r="J184" s="2">
        <v>23</v>
      </c>
      <c r="N184" s="2" t="s">
        <v>19</v>
      </c>
      <c r="O184" s="18">
        <f>ROUND(VLOOKUP(O$163&amp;"_1",管理者用人口入力シート!CO:DL,Q184,FALSE),0)</f>
        <v>24</v>
      </c>
      <c r="P184" s="18">
        <f>ROUND(VLOOKUP(O$163&amp;"_2",管理者用人口入力シート!CO:DL,Q184,FALSE),0)</f>
        <v>91</v>
      </c>
      <c r="Q184" s="2">
        <v>23</v>
      </c>
    </row>
    <row r="185" spans="7:17" x14ac:dyDescent="0.15">
      <c r="G185" s="2" t="s">
        <v>20</v>
      </c>
      <c r="H185" s="18">
        <f>ROUND(VLOOKUP(H$163&amp;"_1",管理者用人口入力シート!BH:CE,J185,FALSE),0)</f>
        <v>0</v>
      </c>
      <c r="I185" s="18">
        <f>ROUND(VLOOKUP(H$163&amp;"_2",管理者用人口入力シート!BH:CE,J185,FALSE),0)</f>
        <v>17</v>
      </c>
      <c r="J185" s="2">
        <v>24</v>
      </c>
      <c r="N185" s="2" t="s">
        <v>20</v>
      </c>
      <c r="O185" s="18">
        <f>ROUND(VLOOKUP(O$163&amp;"_1",管理者用人口入力シート!CO:DL,Q185,FALSE),0)</f>
        <v>0</v>
      </c>
      <c r="P185" s="18">
        <f>ROUND(VLOOKUP(O$163&amp;"_2",管理者用人口入力シート!CO:DL,Q185,FALSE),0)</f>
        <v>17</v>
      </c>
      <c r="Q185" s="2">
        <v>24</v>
      </c>
    </row>
    <row r="187" spans="7:17" x14ac:dyDescent="0.15">
      <c r="G187" s="2" t="s">
        <v>396</v>
      </c>
      <c r="H187" s="342">
        <f>管理者入力シート!B13</f>
        <v>2050</v>
      </c>
      <c r="I187" s="343"/>
      <c r="J187" s="2" t="s">
        <v>114</v>
      </c>
      <c r="O187" s="342">
        <f>管理者入力シート!B13</f>
        <v>2050</v>
      </c>
      <c r="P187" s="343"/>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148</v>
      </c>
      <c r="I189" s="18">
        <f>ROUND(VLOOKUP(H$187&amp;"_2",管理者用人口入力シート!BH:CE,J189,FALSE),0)</f>
        <v>130</v>
      </c>
      <c r="J189" s="2">
        <v>4</v>
      </c>
      <c r="N189" s="2" t="s">
        <v>0</v>
      </c>
      <c r="O189" s="18">
        <f>ROUND(VLOOKUP(O$187&amp;"_1",管理者用人口入力シート!CO:DL,Q189,FALSE),0)</f>
        <v>152</v>
      </c>
      <c r="P189" s="18">
        <f>ROUND(VLOOKUP(O$187&amp;"_2",管理者用人口入力シート!CO:DL,Q189,FALSE),0)</f>
        <v>134</v>
      </c>
      <c r="Q189" s="2">
        <v>4</v>
      </c>
    </row>
    <row r="190" spans="7:17" x14ac:dyDescent="0.15">
      <c r="G190" s="2" t="s">
        <v>1</v>
      </c>
      <c r="H190" s="18">
        <f>ROUND(VLOOKUP(H$187&amp;"_1",管理者用人口入力シート!BH:CE,J190,FALSE),0)</f>
        <v>169</v>
      </c>
      <c r="I190" s="18">
        <f>ROUND(VLOOKUP(H$187&amp;"_2",管理者用人口入力シート!BH:CE,J190,FALSE),0)</f>
        <v>145</v>
      </c>
      <c r="J190" s="2">
        <v>5</v>
      </c>
      <c r="N190" s="2" t="s">
        <v>1</v>
      </c>
      <c r="O190" s="18">
        <f>ROUND(VLOOKUP(O$187&amp;"_1",管理者用人口入力シート!CO:DL,Q190,FALSE),0)</f>
        <v>173</v>
      </c>
      <c r="P190" s="18">
        <f>ROUND(VLOOKUP(O$187&amp;"_2",管理者用人口入力シート!CO:DL,Q190,FALSE),0)</f>
        <v>148</v>
      </c>
      <c r="Q190" s="2">
        <v>5</v>
      </c>
    </row>
    <row r="191" spans="7:17" x14ac:dyDescent="0.15">
      <c r="G191" s="2" t="s">
        <v>2</v>
      </c>
      <c r="H191" s="18">
        <f>ROUND(VLOOKUP(H$187&amp;"_1",管理者用人口入力シート!BH:CE,J191,FALSE),0)</f>
        <v>182</v>
      </c>
      <c r="I191" s="18">
        <f>ROUND(VLOOKUP(H$187&amp;"_2",管理者用人口入力シート!BH:CE,J191,FALSE),0)</f>
        <v>152</v>
      </c>
      <c r="J191" s="2">
        <v>6</v>
      </c>
      <c r="N191" s="2" t="s">
        <v>2</v>
      </c>
      <c r="O191" s="18">
        <f>ROUND(VLOOKUP(O$187&amp;"_1",管理者用人口入力シート!CO:DL,Q191,FALSE),0)</f>
        <v>185</v>
      </c>
      <c r="P191" s="18">
        <f>ROUND(VLOOKUP(O$187&amp;"_2",管理者用人口入力シート!CO:DL,Q191,FALSE),0)</f>
        <v>155</v>
      </c>
      <c r="Q191" s="2">
        <v>6</v>
      </c>
    </row>
    <row r="192" spans="7:17" x14ac:dyDescent="0.15">
      <c r="G192" s="2" t="s">
        <v>3</v>
      </c>
      <c r="H192" s="18">
        <f>ROUND(VLOOKUP(H$187&amp;"_1",管理者用人口入力シート!BH:CE,J192,FALSE),0)</f>
        <v>207</v>
      </c>
      <c r="I192" s="18">
        <f>ROUND(VLOOKUP(H$187&amp;"_2",管理者用人口入力シート!BH:CE,J192,FALSE),0)</f>
        <v>172</v>
      </c>
      <c r="J192" s="2">
        <v>7</v>
      </c>
      <c r="N192" s="2" t="s">
        <v>3</v>
      </c>
      <c r="O192" s="18">
        <f>ROUND(VLOOKUP(O$187&amp;"_1",管理者用人口入力シート!CO:DL,Q192,FALSE),0)</f>
        <v>211</v>
      </c>
      <c r="P192" s="18">
        <f>ROUND(VLOOKUP(O$187&amp;"_2",管理者用人口入力シート!CO:DL,Q192,FALSE),0)</f>
        <v>175</v>
      </c>
      <c r="Q192" s="2">
        <v>7</v>
      </c>
    </row>
    <row r="193" spans="7:17" x14ac:dyDescent="0.15">
      <c r="G193" s="2" t="s">
        <v>4</v>
      </c>
      <c r="H193" s="18">
        <f>ROUND(VLOOKUP(H$187&amp;"_1",管理者用人口入力シート!BH:CE,J193,FALSE),0)</f>
        <v>112</v>
      </c>
      <c r="I193" s="18">
        <f>ROUND(VLOOKUP(H$187&amp;"_2",管理者用人口入力シート!BH:CE,J193,FALSE),0)</f>
        <v>97</v>
      </c>
      <c r="J193" s="2">
        <v>8</v>
      </c>
      <c r="N193" s="2" t="s">
        <v>4</v>
      </c>
      <c r="O193" s="18">
        <f>ROUND(VLOOKUP(O$187&amp;"_1",管理者用人口入力シート!CO:DL,Q193,FALSE),0)</f>
        <v>113</v>
      </c>
      <c r="P193" s="18">
        <f>ROUND(VLOOKUP(O$187&amp;"_2",管理者用人口入力シート!CO:DL,Q193,FALSE),0)</f>
        <v>98</v>
      </c>
      <c r="Q193" s="2">
        <v>8</v>
      </c>
    </row>
    <row r="194" spans="7:17" x14ac:dyDescent="0.15">
      <c r="G194" s="2" t="s">
        <v>5</v>
      </c>
      <c r="H194" s="18">
        <f>ROUND(VLOOKUP(H$187&amp;"_1",管理者用人口入力シート!BH:CE,J194,FALSE),0)</f>
        <v>150</v>
      </c>
      <c r="I194" s="18">
        <f>ROUND(VLOOKUP(H$187&amp;"_2",管理者用人口入力シート!BH:CE,J194,FALSE),0)</f>
        <v>136</v>
      </c>
      <c r="J194" s="2">
        <v>9</v>
      </c>
      <c r="N194" s="2" t="s">
        <v>5</v>
      </c>
      <c r="O194" s="18">
        <f>ROUND(VLOOKUP(O$187&amp;"_1",管理者用人口入力シート!CO:DL,Q194,FALSE),0)</f>
        <v>153</v>
      </c>
      <c r="P194" s="18">
        <f>ROUND(VLOOKUP(O$187&amp;"_2",管理者用人口入力シート!CO:DL,Q194,FALSE),0)</f>
        <v>140</v>
      </c>
      <c r="Q194" s="2">
        <v>9</v>
      </c>
    </row>
    <row r="195" spans="7:17" x14ac:dyDescent="0.15">
      <c r="G195" s="2" t="s">
        <v>6</v>
      </c>
      <c r="H195" s="18">
        <f>ROUND(VLOOKUP(H$187&amp;"_1",管理者用人口入力シート!BH:CE,J195,FALSE),0)</f>
        <v>193</v>
      </c>
      <c r="I195" s="18">
        <f>ROUND(VLOOKUP(H$187&amp;"_2",管理者用人口入力シート!BH:CE,J195,FALSE),0)</f>
        <v>162</v>
      </c>
      <c r="J195" s="2">
        <v>10</v>
      </c>
      <c r="N195" s="2" t="s">
        <v>6</v>
      </c>
      <c r="O195" s="18">
        <f>ROUND(VLOOKUP(O$187&amp;"_1",管理者用人口入力シート!CO:DL,Q195,FALSE),0)</f>
        <v>196</v>
      </c>
      <c r="P195" s="18">
        <f>ROUND(VLOOKUP(O$187&amp;"_2",管理者用人口入力シート!CO:DL,Q195,FALSE),0)</f>
        <v>165</v>
      </c>
      <c r="Q195" s="2">
        <v>10</v>
      </c>
    </row>
    <row r="196" spans="7:17" x14ac:dyDescent="0.15">
      <c r="G196" s="2" t="s">
        <v>7</v>
      </c>
      <c r="H196" s="18">
        <f>ROUND(VLOOKUP(H$187&amp;"_1",管理者用人口入力シート!BH:CE,J196,FALSE),0)</f>
        <v>210</v>
      </c>
      <c r="I196" s="18">
        <f>ROUND(VLOOKUP(H$187&amp;"_2",管理者用人口入力シート!BH:CE,J196,FALSE),0)</f>
        <v>180</v>
      </c>
      <c r="J196" s="2">
        <v>11</v>
      </c>
      <c r="N196" s="2" t="s">
        <v>7</v>
      </c>
      <c r="O196" s="18">
        <f>ROUND(VLOOKUP(O$187&amp;"_1",管理者用人口入力シート!CO:DL,Q196,FALSE),0)</f>
        <v>213</v>
      </c>
      <c r="P196" s="18">
        <f>ROUND(VLOOKUP(O$187&amp;"_2",管理者用人口入力シート!CO:DL,Q196,FALSE),0)</f>
        <v>183</v>
      </c>
      <c r="Q196" s="2">
        <v>11</v>
      </c>
    </row>
    <row r="197" spans="7:17" x14ac:dyDescent="0.15">
      <c r="G197" s="2" t="s">
        <v>8</v>
      </c>
      <c r="H197" s="18">
        <f>ROUND(VLOOKUP(H$187&amp;"_1",管理者用人口入力シート!BH:CE,J197,FALSE),0)</f>
        <v>217</v>
      </c>
      <c r="I197" s="18">
        <f>ROUND(VLOOKUP(H$187&amp;"_2",管理者用人口入力シート!BH:CE,J197,FALSE),0)</f>
        <v>200</v>
      </c>
      <c r="J197" s="2">
        <v>12</v>
      </c>
      <c r="N197" s="2" t="s">
        <v>8</v>
      </c>
      <c r="O197" s="18">
        <f>ROUND(VLOOKUP(O$187&amp;"_1",管理者用人口入力シート!CO:DL,Q197,FALSE),0)</f>
        <v>219</v>
      </c>
      <c r="P197" s="18">
        <f>ROUND(VLOOKUP(O$187&amp;"_2",管理者用人口入力シート!CO:DL,Q197,FALSE),0)</f>
        <v>203</v>
      </c>
      <c r="Q197" s="2">
        <v>12</v>
      </c>
    </row>
    <row r="198" spans="7:17" x14ac:dyDescent="0.15">
      <c r="G198" s="2" t="s">
        <v>9</v>
      </c>
      <c r="H198" s="18">
        <f>ROUND(VLOOKUP(H$187&amp;"_1",管理者用人口入力シート!BH:CE,J198,FALSE),0)</f>
        <v>227</v>
      </c>
      <c r="I198" s="18">
        <f>ROUND(VLOOKUP(H$187&amp;"_2",管理者用人口入力シート!BH:CE,J198,FALSE),0)</f>
        <v>192</v>
      </c>
      <c r="J198" s="2">
        <v>13</v>
      </c>
      <c r="N198" s="2" t="s">
        <v>9</v>
      </c>
      <c r="O198" s="18">
        <f>ROUND(VLOOKUP(O$187&amp;"_1",管理者用人口入力シート!CO:DL,Q198,FALSE),0)</f>
        <v>230</v>
      </c>
      <c r="P198" s="18">
        <f>ROUND(VLOOKUP(O$187&amp;"_2",管理者用人口入力シート!CO:DL,Q198,FALSE),0)</f>
        <v>195</v>
      </c>
      <c r="Q198" s="2">
        <v>13</v>
      </c>
    </row>
    <row r="199" spans="7:17" x14ac:dyDescent="0.15">
      <c r="G199" s="2" t="s">
        <v>10</v>
      </c>
      <c r="H199" s="18">
        <f>ROUND(VLOOKUP(H$187&amp;"_1",管理者用人口入力シート!BH:CE,J199,FALSE),0)</f>
        <v>211</v>
      </c>
      <c r="I199" s="18">
        <f>ROUND(VLOOKUP(H$187&amp;"_2",管理者用人口入力シート!BH:CE,J199,FALSE),0)</f>
        <v>241</v>
      </c>
      <c r="J199" s="2">
        <v>14</v>
      </c>
      <c r="N199" s="2" t="s">
        <v>10</v>
      </c>
      <c r="O199" s="18">
        <f>ROUND(VLOOKUP(O$187&amp;"_1",管理者用人口入力シート!CO:DL,Q199,FALSE),0)</f>
        <v>213</v>
      </c>
      <c r="P199" s="18">
        <f>ROUND(VLOOKUP(O$187&amp;"_2",管理者用人口入力シート!CO:DL,Q199,FALSE),0)</f>
        <v>244</v>
      </c>
      <c r="Q199" s="2">
        <v>14</v>
      </c>
    </row>
    <row r="200" spans="7:17" x14ac:dyDescent="0.15">
      <c r="G200" s="2" t="s">
        <v>11</v>
      </c>
      <c r="H200" s="18">
        <f>ROUND(VLOOKUP(H$187&amp;"_1",管理者用人口入力シート!BH:CE,J200,FALSE),0)</f>
        <v>225</v>
      </c>
      <c r="I200" s="18">
        <f>ROUND(VLOOKUP(H$187&amp;"_2",管理者用人口入力シート!BH:CE,J200,FALSE),0)</f>
        <v>222</v>
      </c>
      <c r="J200" s="2">
        <v>15</v>
      </c>
      <c r="N200" s="2" t="s">
        <v>11</v>
      </c>
      <c r="O200" s="18">
        <f>ROUND(VLOOKUP(O$187&amp;"_1",管理者用人口入力シート!CO:DL,Q200,FALSE),0)</f>
        <v>225</v>
      </c>
      <c r="P200" s="18">
        <f>ROUND(VLOOKUP(O$187&amp;"_2",管理者用人口入力シート!CO:DL,Q200,FALSE),0)</f>
        <v>223</v>
      </c>
      <c r="Q200" s="2">
        <v>15</v>
      </c>
    </row>
    <row r="201" spans="7:17" x14ac:dyDescent="0.15">
      <c r="G201" s="2" t="s">
        <v>12</v>
      </c>
      <c r="H201" s="18">
        <f>ROUND(VLOOKUP(H$187&amp;"_1",管理者用人口入力シート!BH:CE,J201,FALSE),0)</f>
        <v>252</v>
      </c>
      <c r="I201" s="18">
        <f>ROUND(VLOOKUP(H$187&amp;"_2",管理者用人口入力シート!BH:CE,J201,FALSE),0)</f>
        <v>237</v>
      </c>
      <c r="J201" s="2">
        <v>16</v>
      </c>
      <c r="N201" s="2" t="s">
        <v>12</v>
      </c>
      <c r="O201" s="18">
        <f>ROUND(VLOOKUP(O$187&amp;"_1",管理者用人口入力シート!CO:DL,Q201,FALSE),0)</f>
        <v>252</v>
      </c>
      <c r="P201" s="18">
        <f>ROUND(VLOOKUP(O$187&amp;"_2",管理者用人口入力シート!CO:DL,Q201,FALSE),0)</f>
        <v>238</v>
      </c>
      <c r="Q201" s="2">
        <v>16</v>
      </c>
    </row>
    <row r="202" spans="7:17" x14ac:dyDescent="0.15">
      <c r="G202" s="2" t="s">
        <v>13</v>
      </c>
      <c r="H202" s="18">
        <f>ROUND(VLOOKUP(H$187&amp;"_1",管理者用人口入力シート!BH:CE,J202,FALSE),0)</f>
        <v>267</v>
      </c>
      <c r="I202" s="18">
        <f>ROUND(VLOOKUP(H$187&amp;"_2",管理者用人口入力シート!BH:CE,J202,FALSE),0)</f>
        <v>318</v>
      </c>
      <c r="J202" s="2">
        <v>17</v>
      </c>
      <c r="N202" s="2" t="s">
        <v>13</v>
      </c>
      <c r="O202" s="18">
        <f>ROUND(VLOOKUP(O$187&amp;"_1",管理者用人口入力シート!CO:DL,Q202,FALSE),0)</f>
        <v>267</v>
      </c>
      <c r="P202" s="18">
        <f>ROUND(VLOOKUP(O$187&amp;"_2",管理者用人口入力シート!CO:DL,Q202,FALSE),0)</f>
        <v>319</v>
      </c>
      <c r="Q202" s="2">
        <v>17</v>
      </c>
    </row>
    <row r="203" spans="7:17" x14ac:dyDescent="0.15">
      <c r="G203" s="2" t="s">
        <v>14</v>
      </c>
      <c r="H203" s="18">
        <f>ROUND(VLOOKUP(H$187&amp;"_1",管理者用人口入力シート!BH:CE,J203,FALSE),0)</f>
        <v>265</v>
      </c>
      <c r="I203" s="18">
        <f>ROUND(VLOOKUP(H$187&amp;"_2",管理者用人口入力シート!BH:CE,J203,FALSE),0)</f>
        <v>345</v>
      </c>
      <c r="J203" s="2">
        <v>18</v>
      </c>
      <c r="N203" s="2" t="s">
        <v>14</v>
      </c>
      <c r="O203" s="18">
        <f>ROUND(VLOOKUP(O$187&amp;"_1",管理者用人口入力シート!CO:DL,Q203,FALSE),0)</f>
        <v>265</v>
      </c>
      <c r="P203" s="18">
        <f>ROUND(VLOOKUP(O$187&amp;"_2",管理者用人口入力シート!CO:DL,Q203,FALSE),0)</f>
        <v>345</v>
      </c>
      <c r="Q203" s="2">
        <v>18</v>
      </c>
    </row>
    <row r="204" spans="7:17" x14ac:dyDescent="0.15">
      <c r="G204" s="2" t="s">
        <v>15</v>
      </c>
      <c r="H204" s="18">
        <f>ROUND(VLOOKUP(H$187&amp;"_1",管理者用人口入力シート!BH:CE,J204,FALSE),0)</f>
        <v>249</v>
      </c>
      <c r="I204" s="18">
        <f>ROUND(VLOOKUP(H$187&amp;"_2",管理者用人口入力シート!BH:CE,J204,FALSE),0)</f>
        <v>322</v>
      </c>
      <c r="J204" s="2">
        <v>19</v>
      </c>
      <c r="N204" s="2" t="s">
        <v>15</v>
      </c>
      <c r="O204" s="18">
        <f>ROUND(VLOOKUP(O$187&amp;"_1",管理者用人口入力シート!CO:DL,Q204,FALSE),0)</f>
        <v>249</v>
      </c>
      <c r="P204" s="18">
        <f>ROUND(VLOOKUP(O$187&amp;"_2",管理者用人口入力シート!CO:DL,Q204,FALSE),0)</f>
        <v>322</v>
      </c>
      <c r="Q204" s="2">
        <v>19</v>
      </c>
    </row>
    <row r="205" spans="7:17" x14ac:dyDescent="0.15">
      <c r="G205" s="2" t="s">
        <v>16</v>
      </c>
      <c r="H205" s="18">
        <f>ROUND(VLOOKUP(H$187&amp;"_1",管理者用人口入力シート!BH:CE,J205,FALSE),0)</f>
        <v>174</v>
      </c>
      <c r="I205" s="18">
        <f>ROUND(VLOOKUP(H$187&amp;"_2",管理者用人口入力シート!BH:CE,J205,FALSE),0)</f>
        <v>276</v>
      </c>
      <c r="J205" s="2">
        <v>20</v>
      </c>
      <c r="N205" s="2" t="s">
        <v>16</v>
      </c>
      <c r="O205" s="18">
        <f>ROUND(VLOOKUP(O$187&amp;"_1",管理者用人口入力シート!CO:DL,Q205,FALSE),0)</f>
        <v>174</v>
      </c>
      <c r="P205" s="18">
        <f>ROUND(VLOOKUP(O$187&amp;"_2",管理者用人口入力シート!CO:DL,Q205,FALSE),0)</f>
        <v>276</v>
      </c>
      <c r="Q205" s="2">
        <v>20</v>
      </c>
    </row>
    <row r="206" spans="7:17" x14ac:dyDescent="0.15">
      <c r="G206" s="2" t="s">
        <v>17</v>
      </c>
      <c r="H206" s="18">
        <f>ROUND(VLOOKUP(H$187&amp;"_1",管理者用人口入力シート!BH:CE,J206,FALSE),0)</f>
        <v>156</v>
      </c>
      <c r="I206" s="18">
        <f>ROUND(VLOOKUP(H$187&amp;"_2",管理者用人口入力シート!BH:CE,J206,FALSE),0)</f>
        <v>243</v>
      </c>
      <c r="J206" s="2">
        <v>21</v>
      </c>
      <c r="N206" s="2" t="s">
        <v>17</v>
      </c>
      <c r="O206" s="18">
        <f>ROUND(VLOOKUP(O$187&amp;"_1",管理者用人口入力シート!CO:DL,Q206,FALSE),0)</f>
        <v>156</v>
      </c>
      <c r="P206" s="18">
        <f>ROUND(VLOOKUP(O$187&amp;"_2",管理者用人口入力シート!CO:DL,Q206,FALSE),0)</f>
        <v>243</v>
      </c>
      <c r="Q206" s="2">
        <v>21</v>
      </c>
    </row>
    <row r="207" spans="7:17" x14ac:dyDescent="0.15">
      <c r="G207" s="2" t="s">
        <v>18</v>
      </c>
      <c r="H207" s="18">
        <f>ROUND(VLOOKUP(H$187&amp;"_1",管理者用人口入力シート!BH:CE,J207,FALSE),0)</f>
        <v>73</v>
      </c>
      <c r="I207" s="18">
        <f>ROUND(VLOOKUP(H$187&amp;"_2",管理者用人口入力シート!BH:CE,J207,FALSE),0)</f>
        <v>183</v>
      </c>
      <c r="J207" s="2">
        <v>22</v>
      </c>
      <c r="N207" s="2" t="s">
        <v>18</v>
      </c>
      <c r="O207" s="18">
        <f>ROUND(VLOOKUP(O$187&amp;"_1",管理者用人口入力シート!CO:DL,Q207,FALSE),0)</f>
        <v>73</v>
      </c>
      <c r="P207" s="18">
        <f>ROUND(VLOOKUP(O$187&amp;"_2",管理者用人口入力シート!CO:DL,Q207,FALSE),0)</f>
        <v>183</v>
      </c>
      <c r="Q207" s="2">
        <v>22</v>
      </c>
    </row>
    <row r="208" spans="7:17" x14ac:dyDescent="0.15">
      <c r="G208" s="2" t="s">
        <v>19</v>
      </c>
      <c r="H208" s="18">
        <f>ROUND(VLOOKUP(H$187&amp;"_1",管理者用人口入力シート!BH:CE,J208,FALSE),0)</f>
        <v>24</v>
      </c>
      <c r="I208" s="18">
        <f>ROUND(VLOOKUP(H$187&amp;"_2",管理者用人口入力シート!BH:CE,J208,FALSE),0)</f>
        <v>81</v>
      </c>
      <c r="J208" s="2">
        <v>23</v>
      </c>
      <c r="N208" s="2" t="s">
        <v>19</v>
      </c>
      <c r="O208" s="18">
        <f>ROUND(VLOOKUP(O$187&amp;"_1",管理者用人口入力シート!CO:DL,Q208,FALSE),0)</f>
        <v>24</v>
      </c>
      <c r="P208" s="18">
        <f>ROUND(VLOOKUP(O$187&amp;"_2",管理者用人口入力シート!CO:DL,Q208,FALSE),0)</f>
        <v>81</v>
      </c>
      <c r="Q208" s="2">
        <v>23</v>
      </c>
    </row>
    <row r="209" spans="7:17" x14ac:dyDescent="0.15">
      <c r="G209" s="2" t="s">
        <v>20</v>
      </c>
      <c r="H209" s="18">
        <f>ROUND(VLOOKUP(H$187&amp;"_1",管理者用人口入力シート!BH:CE,J209,FALSE),0)</f>
        <v>0</v>
      </c>
      <c r="I209" s="18">
        <f>ROUND(VLOOKUP(H$187&amp;"_2",管理者用人口入力シート!BH:CE,J209,FALSE),0)</f>
        <v>20</v>
      </c>
      <c r="J209" s="2">
        <v>24</v>
      </c>
      <c r="N209" s="2" t="s">
        <v>20</v>
      </c>
      <c r="O209" s="18">
        <f>ROUND(VLOOKUP(O$187&amp;"_1",管理者用人口入力シート!CO:DL,Q209,FALSE),0)</f>
        <v>0</v>
      </c>
      <c r="P209" s="18">
        <f>ROUND(VLOOKUP(O$187&amp;"_2",管理者用人口入力シート!CO:DL,Q209,FALSE),0)</f>
        <v>20</v>
      </c>
      <c r="Q209" s="2">
        <v>24</v>
      </c>
    </row>
    <row r="212" spans="7:17" x14ac:dyDescent="0.15">
      <c r="N212" s="2" t="s">
        <v>273</v>
      </c>
      <c r="O212" s="342">
        <f>O91</f>
        <v>2030</v>
      </c>
      <c r="P212" s="343"/>
      <c r="Q212" s="2" t="s">
        <v>114</v>
      </c>
    </row>
    <row r="213" spans="7:17" x14ac:dyDescent="0.15">
      <c r="N213" s="2" t="s">
        <v>115</v>
      </c>
      <c r="O213" s="84" t="s">
        <v>329</v>
      </c>
      <c r="P213" s="84" t="s">
        <v>330</v>
      </c>
    </row>
    <row r="214" spans="7:17" x14ac:dyDescent="0.15">
      <c r="N214" s="2" t="s">
        <v>0</v>
      </c>
      <c r="O214" s="18">
        <f>H93+I93</f>
        <v>412</v>
      </c>
      <c r="P214" s="18">
        <f>O93+P93</f>
        <v>415</v>
      </c>
      <c r="Q214" s="2">
        <v>4</v>
      </c>
    </row>
    <row r="215" spans="7:17" x14ac:dyDescent="0.15">
      <c r="N215" s="2" t="s">
        <v>1</v>
      </c>
      <c r="O215" s="18">
        <f t="shared" ref="O215:O233" si="37">H94+I94</f>
        <v>434</v>
      </c>
      <c r="P215" s="18">
        <f t="shared" ref="P215:P233" si="38">O94+P94</f>
        <v>436</v>
      </c>
      <c r="Q215" s="2">
        <v>5</v>
      </c>
    </row>
    <row r="216" spans="7:17" x14ac:dyDescent="0.15">
      <c r="N216" s="2" t="s">
        <v>2</v>
      </c>
      <c r="O216" s="18">
        <f t="shared" si="37"/>
        <v>479</v>
      </c>
      <c r="P216" s="18">
        <f t="shared" si="38"/>
        <v>481</v>
      </c>
      <c r="Q216" s="2">
        <v>6</v>
      </c>
    </row>
    <row r="217" spans="7:17" x14ac:dyDescent="0.15">
      <c r="N217" s="2" t="s">
        <v>3</v>
      </c>
      <c r="O217" s="18">
        <f t="shared" si="37"/>
        <v>543</v>
      </c>
      <c r="P217" s="18">
        <f t="shared" si="38"/>
        <v>545</v>
      </c>
      <c r="Q217" s="2">
        <v>7</v>
      </c>
    </row>
    <row r="218" spans="7:17" x14ac:dyDescent="0.15">
      <c r="N218" s="2" t="s">
        <v>4</v>
      </c>
      <c r="O218" s="18">
        <f t="shared" si="37"/>
        <v>306</v>
      </c>
      <c r="P218" s="18">
        <f t="shared" si="38"/>
        <v>306</v>
      </c>
      <c r="Q218" s="2">
        <v>8</v>
      </c>
    </row>
    <row r="219" spans="7:17" x14ac:dyDescent="0.15">
      <c r="N219" s="2" t="s">
        <v>5</v>
      </c>
      <c r="O219" s="18">
        <f t="shared" si="37"/>
        <v>409</v>
      </c>
      <c r="P219" s="18">
        <f t="shared" si="38"/>
        <v>413</v>
      </c>
      <c r="Q219" s="2">
        <v>9</v>
      </c>
    </row>
    <row r="220" spans="7:17" x14ac:dyDescent="0.15">
      <c r="N220" s="2" t="s">
        <v>6</v>
      </c>
      <c r="O220" s="18">
        <f t="shared" si="37"/>
        <v>486</v>
      </c>
      <c r="P220" s="18">
        <f t="shared" si="38"/>
        <v>490</v>
      </c>
      <c r="Q220" s="2">
        <v>10</v>
      </c>
    </row>
    <row r="221" spans="7:17" x14ac:dyDescent="0.15">
      <c r="N221" s="2" t="s">
        <v>7</v>
      </c>
      <c r="O221" s="18">
        <f t="shared" si="37"/>
        <v>483</v>
      </c>
      <c r="P221" s="18">
        <f t="shared" si="38"/>
        <v>483</v>
      </c>
      <c r="Q221" s="2">
        <v>11</v>
      </c>
    </row>
    <row r="222" spans="7:17" x14ac:dyDescent="0.15">
      <c r="N222" s="2" t="s">
        <v>8</v>
      </c>
      <c r="O222" s="18">
        <f t="shared" si="37"/>
        <v>529</v>
      </c>
      <c r="P222" s="18">
        <f t="shared" si="38"/>
        <v>530</v>
      </c>
      <c r="Q222" s="2">
        <v>12</v>
      </c>
    </row>
    <row r="223" spans="7:17" x14ac:dyDescent="0.15">
      <c r="N223" s="2" t="s">
        <v>9</v>
      </c>
      <c r="O223" s="18">
        <f t="shared" si="37"/>
        <v>633</v>
      </c>
      <c r="P223" s="18">
        <f t="shared" si="38"/>
        <v>634</v>
      </c>
      <c r="Q223" s="2">
        <v>13</v>
      </c>
    </row>
    <row r="224" spans="7:17" x14ac:dyDescent="0.15">
      <c r="N224" s="2" t="s">
        <v>10</v>
      </c>
      <c r="O224" s="18">
        <f t="shared" si="37"/>
        <v>677</v>
      </c>
      <c r="P224" s="18">
        <f t="shared" si="38"/>
        <v>677</v>
      </c>
      <c r="Q224" s="2">
        <v>14</v>
      </c>
    </row>
    <row r="225" spans="14:17" x14ac:dyDescent="0.15">
      <c r="N225" s="2" t="s">
        <v>11</v>
      </c>
      <c r="O225" s="18">
        <f t="shared" si="37"/>
        <v>679</v>
      </c>
      <c r="P225" s="18">
        <f t="shared" si="38"/>
        <v>679</v>
      </c>
      <c r="Q225" s="2">
        <v>15</v>
      </c>
    </row>
    <row r="226" spans="14:17" x14ac:dyDescent="0.15">
      <c r="N226" s="2" t="s">
        <v>12</v>
      </c>
      <c r="O226" s="18">
        <f t="shared" si="37"/>
        <v>617</v>
      </c>
      <c r="P226" s="18">
        <f t="shared" si="38"/>
        <v>617</v>
      </c>
      <c r="Q226" s="2">
        <v>16</v>
      </c>
    </row>
    <row r="227" spans="14:17" x14ac:dyDescent="0.15">
      <c r="N227" s="2" t="s">
        <v>13</v>
      </c>
      <c r="O227" s="18">
        <f t="shared" si="37"/>
        <v>713</v>
      </c>
      <c r="P227" s="18">
        <f t="shared" si="38"/>
        <v>713</v>
      </c>
      <c r="Q227" s="2">
        <v>17</v>
      </c>
    </row>
    <row r="228" spans="14:17" x14ac:dyDescent="0.15">
      <c r="N228" s="2" t="s">
        <v>14</v>
      </c>
      <c r="O228" s="18">
        <f t="shared" si="37"/>
        <v>792</v>
      </c>
      <c r="P228" s="18">
        <f t="shared" si="38"/>
        <v>792</v>
      </c>
      <c r="Q228" s="2">
        <v>18</v>
      </c>
    </row>
    <row r="229" spans="14:17" x14ac:dyDescent="0.15">
      <c r="N229" s="2" t="s">
        <v>15</v>
      </c>
      <c r="O229" s="18">
        <f t="shared" si="37"/>
        <v>826</v>
      </c>
      <c r="P229" s="18">
        <f t="shared" si="38"/>
        <v>826</v>
      </c>
      <c r="Q229" s="2">
        <v>19</v>
      </c>
    </row>
    <row r="230" spans="14:17" x14ac:dyDescent="0.15">
      <c r="N230" s="2" t="s">
        <v>16</v>
      </c>
      <c r="O230" s="18">
        <f t="shared" si="37"/>
        <v>750</v>
      </c>
      <c r="P230" s="18">
        <f t="shared" si="38"/>
        <v>750</v>
      </c>
      <c r="Q230" s="2">
        <v>20</v>
      </c>
    </row>
    <row r="231" spans="14:17" x14ac:dyDescent="0.15">
      <c r="N231" s="2" t="s">
        <v>17</v>
      </c>
      <c r="O231" s="18">
        <f t="shared" si="37"/>
        <v>468</v>
      </c>
      <c r="P231" s="18">
        <f t="shared" si="38"/>
        <v>468</v>
      </c>
      <c r="Q231" s="2">
        <v>21</v>
      </c>
    </row>
    <row r="232" spans="14:17" x14ac:dyDescent="0.15">
      <c r="N232" s="2" t="s">
        <v>18</v>
      </c>
      <c r="O232" s="18">
        <f t="shared" si="37"/>
        <v>266</v>
      </c>
      <c r="P232" s="18">
        <f t="shared" si="38"/>
        <v>266</v>
      </c>
      <c r="Q232" s="2">
        <v>22</v>
      </c>
    </row>
    <row r="233" spans="14:17" x14ac:dyDescent="0.15">
      <c r="N233" s="2" t="s">
        <v>19</v>
      </c>
      <c r="O233" s="18">
        <f t="shared" si="37"/>
        <v>108</v>
      </c>
      <c r="P233" s="18">
        <f t="shared" si="38"/>
        <v>108</v>
      </c>
      <c r="Q233" s="2">
        <v>23</v>
      </c>
    </row>
    <row r="234" spans="14:17" x14ac:dyDescent="0.15">
      <c r="N234" s="2" t="s">
        <v>20</v>
      </c>
      <c r="O234" s="18">
        <f>H113+I113</f>
        <v>20</v>
      </c>
      <c r="P234" s="18">
        <f>O113+P113</f>
        <v>20</v>
      </c>
      <c r="Q234" s="2">
        <v>24</v>
      </c>
    </row>
    <row r="236" spans="14:17" x14ac:dyDescent="0.15">
      <c r="N236" s="2" t="s">
        <v>273</v>
      </c>
      <c r="O236" s="342">
        <f>O139</f>
        <v>2040</v>
      </c>
      <c r="P236" s="343"/>
      <c r="Q236" s="2" t="s">
        <v>114</v>
      </c>
    </row>
    <row r="237" spans="14:17" x14ac:dyDescent="0.15">
      <c r="N237" s="2" t="s">
        <v>115</v>
      </c>
      <c r="O237" s="84" t="s">
        <v>329</v>
      </c>
      <c r="P237" s="84" t="s">
        <v>330</v>
      </c>
    </row>
    <row r="238" spans="14:17" x14ac:dyDescent="0.15">
      <c r="N238" s="2" t="s">
        <v>0</v>
      </c>
      <c r="O238" s="18">
        <f>H141+I141</f>
        <v>344</v>
      </c>
      <c r="P238" s="18">
        <f>O141+P141</f>
        <v>349</v>
      </c>
      <c r="Q238" s="2">
        <v>4</v>
      </c>
    </row>
    <row r="239" spans="14:17" x14ac:dyDescent="0.15">
      <c r="N239" s="2" t="s">
        <v>1</v>
      </c>
      <c r="O239" s="18">
        <f t="shared" ref="O239:O257" si="39">H142+I142</f>
        <v>388</v>
      </c>
      <c r="P239" s="18">
        <f t="shared" ref="P239:P257" si="40">O142+P142</f>
        <v>393</v>
      </c>
      <c r="Q239" s="2">
        <v>5</v>
      </c>
    </row>
    <row r="240" spans="14:17" x14ac:dyDescent="0.15">
      <c r="N240" s="2" t="s">
        <v>2</v>
      </c>
      <c r="O240" s="18">
        <f t="shared" si="39"/>
        <v>398</v>
      </c>
      <c r="P240" s="18">
        <f t="shared" si="40"/>
        <v>404</v>
      </c>
      <c r="Q240" s="2">
        <v>6</v>
      </c>
    </row>
    <row r="241" spans="14:17" x14ac:dyDescent="0.15">
      <c r="N241" s="2" t="s">
        <v>3</v>
      </c>
      <c r="O241" s="18">
        <f t="shared" si="39"/>
        <v>423</v>
      </c>
      <c r="P241" s="18">
        <f t="shared" si="40"/>
        <v>427</v>
      </c>
      <c r="Q241" s="2">
        <v>7</v>
      </c>
    </row>
    <row r="242" spans="14:17" x14ac:dyDescent="0.15">
      <c r="N242" s="2" t="s">
        <v>4</v>
      </c>
      <c r="O242" s="18">
        <f t="shared" si="39"/>
        <v>250</v>
      </c>
      <c r="P242" s="18">
        <f t="shared" si="40"/>
        <v>252</v>
      </c>
      <c r="Q242" s="2">
        <v>8</v>
      </c>
    </row>
    <row r="243" spans="14:17" x14ac:dyDescent="0.15">
      <c r="N243" s="2" t="s">
        <v>5</v>
      </c>
      <c r="O243" s="18">
        <f t="shared" si="39"/>
        <v>369</v>
      </c>
      <c r="P243" s="18">
        <f t="shared" si="40"/>
        <v>374</v>
      </c>
      <c r="Q243" s="2">
        <v>9</v>
      </c>
    </row>
    <row r="244" spans="14:17" x14ac:dyDescent="0.15">
      <c r="N244" s="2" t="s">
        <v>6</v>
      </c>
      <c r="O244" s="18">
        <f t="shared" si="39"/>
        <v>432</v>
      </c>
      <c r="P244" s="18">
        <f t="shared" si="40"/>
        <v>437</v>
      </c>
      <c r="Q244" s="2">
        <v>10</v>
      </c>
    </row>
    <row r="245" spans="14:17" x14ac:dyDescent="0.15">
      <c r="N245" s="2" t="s">
        <v>7</v>
      </c>
      <c r="O245" s="18">
        <f t="shared" si="39"/>
        <v>433</v>
      </c>
      <c r="P245" s="18">
        <f t="shared" si="40"/>
        <v>437</v>
      </c>
      <c r="Q245" s="2">
        <v>11</v>
      </c>
    </row>
    <row r="246" spans="14:17" x14ac:dyDescent="0.15">
      <c r="N246" s="2" t="s">
        <v>8</v>
      </c>
      <c r="O246" s="18">
        <f t="shared" si="39"/>
        <v>466</v>
      </c>
      <c r="P246" s="18">
        <f t="shared" si="40"/>
        <v>472</v>
      </c>
      <c r="Q246" s="2">
        <v>12</v>
      </c>
    </row>
    <row r="247" spans="14:17" x14ac:dyDescent="0.15">
      <c r="N247" s="2" t="s">
        <v>9</v>
      </c>
      <c r="O247" s="18">
        <f t="shared" si="39"/>
        <v>467</v>
      </c>
      <c r="P247" s="18">
        <f t="shared" si="40"/>
        <v>468</v>
      </c>
      <c r="Q247" s="2">
        <v>13</v>
      </c>
    </row>
    <row r="248" spans="14:17" x14ac:dyDescent="0.15">
      <c r="N248" s="2" t="s">
        <v>10</v>
      </c>
      <c r="O248" s="18">
        <f t="shared" si="39"/>
        <v>511</v>
      </c>
      <c r="P248" s="18">
        <f t="shared" si="40"/>
        <v>512</v>
      </c>
      <c r="Q248" s="2">
        <v>14</v>
      </c>
    </row>
    <row r="249" spans="14:17" x14ac:dyDescent="0.15">
      <c r="N249" s="2" t="s">
        <v>11</v>
      </c>
      <c r="O249" s="18">
        <f t="shared" si="39"/>
        <v>607</v>
      </c>
      <c r="P249" s="18">
        <f t="shared" si="40"/>
        <v>608</v>
      </c>
      <c r="Q249" s="2">
        <v>15</v>
      </c>
    </row>
    <row r="250" spans="14:17" x14ac:dyDescent="0.15">
      <c r="N250" s="2" t="s">
        <v>12</v>
      </c>
      <c r="O250" s="18">
        <f t="shared" si="39"/>
        <v>653</v>
      </c>
      <c r="P250" s="18">
        <f t="shared" si="40"/>
        <v>653</v>
      </c>
      <c r="Q250" s="2">
        <v>16</v>
      </c>
    </row>
    <row r="251" spans="14:17" x14ac:dyDescent="0.15">
      <c r="N251" s="2" t="s">
        <v>13</v>
      </c>
      <c r="O251" s="18">
        <f t="shared" si="39"/>
        <v>654</v>
      </c>
      <c r="P251" s="18">
        <f t="shared" si="40"/>
        <v>654</v>
      </c>
      <c r="Q251" s="2">
        <v>17</v>
      </c>
    </row>
    <row r="252" spans="14:17" x14ac:dyDescent="0.15">
      <c r="N252" s="2" t="s">
        <v>14</v>
      </c>
      <c r="O252" s="18">
        <f t="shared" si="39"/>
        <v>577</v>
      </c>
      <c r="P252" s="18">
        <f t="shared" si="40"/>
        <v>577</v>
      </c>
      <c r="Q252" s="2">
        <v>18</v>
      </c>
    </row>
    <row r="253" spans="14:17" x14ac:dyDescent="0.15">
      <c r="N253" s="2" t="s">
        <v>15</v>
      </c>
      <c r="O253" s="18">
        <f t="shared" si="39"/>
        <v>623</v>
      </c>
      <c r="P253" s="18">
        <f t="shared" si="40"/>
        <v>623</v>
      </c>
      <c r="Q253" s="2">
        <v>19</v>
      </c>
    </row>
    <row r="254" spans="14:17" x14ac:dyDescent="0.15">
      <c r="N254" s="2" t="s">
        <v>16</v>
      </c>
      <c r="O254" s="18">
        <f t="shared" si="39"/>
        <v>616</v>
      </c>
      <c r="P254" s="18">
        <f t="shared" si="40"/>
        <v>616</v>
      </c>
      <c r="Q254" s="2">
        <v>20</v>
      </c>
    </row>
    <row r="255" spans="14:17" x14ac:dyDescent="0.15">
      <c r="N255" s="2" t="s">
        <v>17</v>
      </c>
      <c r="O255" s="18">
        <f t="shared" si="39"/>
        <v>526</v>
      </c>
      <c r="P255" s="18">
        <f t="shared" si="40"/>
        <v>526</v>
      </c>
      <c r="Q255" s="2">
        <v>21</v>
      </c>
    </row>
    <row r="256" spans="14:17" x14ac:dyDescent="0.15">
      <c r="N256" s="2" t="s">
        <v>18</v>
      </c>
      <c r="O256" s="18">
        <f t="shared" si="39"/>
        <v>310</v>
      </c>
      <c r="P256" s="18">
        <f t="shared" si="40"/>
        <v>310</v>
      </c>
      <c r="Q256" s="2">
        <v>22</v>
      </c>
    </row>
    <row r="257" spans="14:17" x14ac:dyDescent="0.15">
      <c r="N257" s="2" t="s">
        <v>19</v>
      </c>
      <c r="O257" s="18">
        <f t="shared" si="39"/>
        <v>96</v>
      </c>
      <c r="P257" s="18">
        <f t="shared" si="40"/>
        <v>96</v>
      </c>
      <c r="Q257" s="2">
        <v>23</v>
      </c>
    </row>
    <row r="258" spans="14:17" x14ac:dyDescent="0.15">
      <c r="N258" s="2" t="s">
        <v>20</v>
      </c>
      <c r="O258" s="18">
        <f>H161+I161</f>
        <v>18</v>
      </c>
      <c r="P258" s="18">
        <f>O161+P161</f>
        <v>18</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2019-03-18T09:10:32Z</cp:lastPrinted>
  <dcterms:created xsi:type="dcterms:W3CDTF">2018-08-17T00:57:13Z</dcterms:created>
  <dcterms:modified xsi:type="dcterms:W3CDTF">2023-03-06T08:09:00Z</dcterms:modified>
</cp:coreProperties>
</file>