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jZ826BZPcDDBgQEVo1CbYJeGIFpx/Xyfj5z2v3/mM5CLd4saA1qNcjr/ofNSc77YVvZuUpyRkj6myNWNbsUEbA==" workbookSaltValue="6xFd9JSIA8VkP4QzD7DF1Q=="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B2" i="15"/>
  <c r="A15" i="25"/>
  <c r="BH19" i="17" l="1"/>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BB8" i="17" s="1"/>
  <c r="CA4" i="17" s="1"/>
  <c r="AX4" i="17"/>
  <c r="AT4" i="17"/>
  <c r="AP4" i="17"/>
  <c r="AR4" i="17"/>
  <c r="AY4" i="17"/>
  <c r="AM4" i="17"/>
  <c r="BE4" i="17"/>
  <c r="BA4" i="17"/>
  <c r="AW4" i="17"/>
  <c r="AS4" i="17"/>
  <c r="AO4" i="17"/>
  <c r="AV4" i="17"/>
  <c r="BC4" i="17"/>
  <c r="AU4" i="17"/>
  <c r="AU8" i="17" s="1"/>
  <c r="BT4" i="17" s="1"/>
  <c r="BD4" i="17"/>
  <c r="AZ4" i="17"/>
  <c r="AN4" i="17"/>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BI13" i="17"/>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T8" i="17" l="1"/>
  <c r="BS4" i="17" s="1"/>
  <c r="AX8" i="17"/>
  <c r="BW4" i="17" s="1"/>
  <c r="O46" i="18"/>
  <c r="AN8" i="17"/>
  <c r="BM4" i="17" s="1"/>
  <c r="CT4" i="17" s="1"/>
  <c r="AP8" i="17"/>
  <c r="BO4" i="17" s="1"/>
  <c r="CV4" i="17" s="1"/>
  <c r="AV8" i="17"/>
  <c r="BU4" i="17" s="1"/>
  <c r="EJ4" i="17" s="1"/>
  <c r="O14" i="18"/>
  <c r="BD8" i="17"/>
  <c r="CC4" i="17" s="1"/>
  <c r="ER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O53" i="18"/>
  <c r="O43" i="18"/>
  <c r="O25" i="18"/>
  <c r="O64" i="18"/>
  <c r="O56" i="18"/>
  <c r="O20" i="18"/>
  <c r="A77" i="21" s="1"/>
  <c r="EP4" i="17"/>
  <c r="CY3" i="17"/>
  <c r="CZ6" i="17" s="1"/>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B245" i="21"/>
  <c r="DA4" i="17"/>
  <c r="DB7" i="17" s="1"/>
  <c r="EI4" i="17"/>
  <c r="CW3" i="17"/>
  <c r="CX6" i="17" s="1"/>
  <c r="CU3" i="17"/>
  <c r="CV6" i="17" s="1"/>
  <c r="EC3" i="17"/>
  <c r="EC20" i="17" s="1"/>
  <c r="EQ3" i="17"/>
  <c r="EQ20" i="17" s="1"/>
  <c r="CZ4" i="17"/>
  <c r="DA7" i="17" s="1"/>
  <c r="EH4" i="17"/>
  <c r="EN3" i="17"/>
  <c r="EN20" i="17" s="1"/>
  <c r="EP3" i="17"/>
  <c r="EP20" i="17" s="1"/>
  <c r="CT3" i="17"/>
  <c r="CU6" i="17" s="1"/>
  <c r="EB3" i="17"/>
  <c r="DD4" i="17"/>
  <c r="EL4" i="17"/>
  <c r="DB3" i="17"/>
  <c r="EJ3" i="17"/>
  <c r="EJ20" i="17" s="1"/>
  <c r="CS3" i="17"/>
  <c r="CT6" i="17" s="1"/>
  <c r="EA3" i="17"/>
  <c r="EA20" i="17" s="1"/>
  <c r="O35" i="18"/>
  <c r="O17" i="18"/>
  <c r="BW5" i="17"/>
  <c r="CD6" i="17"/>
  <c r="CE6" i="17"/>
  <c r="CO10" i="17"/>
  <c r="CP11" i="17"/>
  <c r="CO11" i="17" s="1"/>
  <c r="BI5" i="17"/>
  <c r="BH5" i="17" s="1"/>
  <c r="BH4" i="17"/>
  <c r="BI14" i="17"/>
  <c r="BH14" i="17" s="1"/>
  <c r="BH13" i="17"/>
  <c r="CE5" i="17"/>
  <c r="BT5" i="17"/>
  <c r="BU6" i="17"/>
  <c r="BW6" i="17"/>
  <c r="BO6" i="17"/>
  <c r="BT7" i="17"/>
  <c r="CH3" i="17"/>
  <c r="BR6" i="17"/>
  <c r="BS6" i="17"/>
  <c r="BQ6" i="17"/>
  <c r="DI3" i="17"/>
  <c r="CC6" i="17"/>
  <c r="BM6" i="17"/>
  <c r="CG3" i="17"/>
  <c r="DH4" i="17"/>
  <c r="CM3" i="17"/>
  <c r="DG3" i="17"/>
  <c r="CA6" i="17"/>
  <c r="CJ3" i="17"/>
  <c r="DF3" i="17"/>
  <c r="BZ6" i="17"/>
  <c r="DE3" i="17"/>
  <c r="BY6" i="17"/>
  <c r="CI3" i="17"/>
  <c r="DH3" i="17"/>
  <c r="CB6" i="17"/>
  <c r="CA5" i="17"/>
  <c r="BN6" i="17"/>
  <c r="BS5" i="17"/>
  <c r="BV6" i="17"/>
  <c r="BU7" i="17"/>
  <c r="BX6" i="17"/>
  <c r="BP6" i="17"/>
  <c r="BT6" i="17"/>
  <c r="O42" i="18"/>
  <c r="O60" i="18"/>
  <c r="O52" i="18"/>
  <c r="O24" i="18"/>
  <c r="O34" i="18"/>
  <c r="O16" i="18"/>
  <c r="DJ4" i="17" l="1"/>
  <c r="EB4" i="17"/>
  <c r="EB21" i="17" s="1"/>
  <c r="CC5" i="17"/>
  <c r="CJ5" i="17" s="1"/>
  <c r="BU5" i="17"/>
  <c r="BO5" i="17"/>
  <c r="ED4" i="17"/>
  <c r="ED21" i="17" s="1"/>
  <c r="BM5" i="17"/>
  <c r="DB4" i="17"/>
  <c r="P79" i="18" s="1"/>
  <c r="O75" i="18"/>
  <c r="BQ5" i="17"/>
  <c r="O88" i="18"/>
  <c r="BR7" i="17"/>
  <c r="BR8" i="17" s="1"/>
  <c r="O71" i="18"/>
  <c r="CD7" i="17"/>
  <c r="CD8" i="17" s="1"/>
  <c r="DK4" i="17"/>
  <c r="DL7" i="17" s="1"/>
  <c r="DL8" i="17" s="1"/>
  <c r="CE7" i="17"/>
  <c r="CE8" i="17" s="1"/>
  <c r="O76" i="18"/>
  <c r="DK7" i="17"/>
  <c r="DL10" i="17" s="1"/>
  <c r="P137" i="18" s="1"/>
  <c r="BR5" i="17"/>
  <c r="ES4" i="17"/>
  <c r="ES5" i="17" s="1"/>
  <c r="CY4" i="17"/>
  <c r="CZ7" i="17" s="1"/>
  <c r="DA10" i="17" s="1"/>
  <c r="DI7" i="17"/>
  <c r="DJ10" i="17" s="1"/>
  <c r="DG4" i="17"/>
  <c r="DG5" i="17" s="1"/>
  <c r="EQ4" i="17"/>
  <c r="EQ5" i="17" s="1"/>
  <c r="E74" i="15"/>
  <c r="K6" i="18"/>
  <c r="R6" i="18" s="1"/>
  <c r="P6" i="18"/>
  <c r="O82" i="18"/>
  <c r="BY5" i="17"/>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X8" i="17"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M4" i="17"/>
  <c r="BK3" i="17" s="1"/>
  <c r="DZ3" i="17" s="1"/>
  <c r="BW7" i="17"/>
  <c r="BX10" i="17" s="1"/>
  <c r="BY13" i="17" s="1"/>
  <c r="I155" i="18" s="1"/>
  <c r="EA4" i="17"/>
  <c r="EA21" i="17" s="1"/>
  <c r="EA22" i="17" s="1"/>
  <c r="EC4" i="17"/>
  <c r="ED7" i="17" s="1"/>
  <c r="CG4" i="17"/>
  <c r="CW4" i="17"/>
  <c r="CX7" i="17" s="1"/>
  <c r="P75" i="18" s="1"/>
  <c r="CU4" i="17"/>
  <c r="CV7" i="17" s="1"/>
  <c r="P73" i="18" s="1"/>
  <c r="CJ4" i="17"/>
  <c r="BO7" i="17"/>
  <c r="BP10" i="17" s="1"/>
  <c r="BQ13" i="17" s="1"/>
  <c r="BN5" i="17"/>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T6" i="17"/>
  <c r="ET23" i="17" s="1"/>
  <c r="ES20" i="17"/>
  <c r="EY20" i="17" s="1"/>
  <c r="EJ7" i="17"/>
  <c r="EI21" i="17"/>
  <c r="EI22" i="17" s="1"/>
  <c r="EK7" i="17"/>
  <c r="EJ21" i="17"/>
  <c r="EJ22" i="17" s="1"/>
  <c r="P42" i="18"/>
  <c r="C71" i="15"/>
  <c r="ET7" i="17"/>
  <c r="ET24" i="17" s="1"/>
  <c r="EM7" i="17"/>
  <c r="EM24" i="17" s="1"/>
  <c r="EL21" i="17"/>
  <c r="EL22" i="17" s="1"/>
  <c r="EB20" i="17"/>
  <c r="EW20" i="17" s="1"/>
  <c r="EW3" i="17"/>
  <c r="ES7" i="17"/>
  <c r="ER21" i="17"/>
  <c r="ER22" i="17" s="1"/>
  <c r="EQ7" i="17"/>
  <c r="EP21" i="17"/>
  <c r="EI7" i="17"/>
  <c r="EH21" i="17"/>
  <c r="EH22" i="17" s="1"/>
  <c r="ET22" i="17"/>
  <c r="P34" i="18"/>
  <c r="C70" i="15"/>
  <c r="H78" i="18"/>
  <c r="H86" i="18"/>
  <c r="H77" i="18"/>
  <c r="H73" i="18"/>
  <c r="I71" i="18"/>
  <c r="H72" i="18"/>
  <c r="H75" i="18"/>
  <c r="H74" i="18"/>
  <c r="H71" i="18"/>
  <c r="H80" i="18"/>
  <c r="I73" i="18"/>
  <c r="I89" i="18"/>
  <c r="H87" i="18"/>
  <c r="H76" i="18"/>
  <c r="H81" i="18"/>
  <c r="H89" i="18"/>
  <c r="I87" i="18"/>
  <c r="I76" i="18"/>
  <c r="I88" i="18"/>
  <c r="BV10" i="17"/>
  <c r="BW13" i="17" s="1"/>
  <c r="I79" i="18"/>
  <c r="BU10" i="17"/>
  <c r="BV13" i="17" s="1"/>
  <c r="I152" i="18" s="1"/>
  <c r="I78" i="18"/>
  <c r="BT10" i="17"/>
  <c r="BU13" i="17" s="1"/>
  <c r="I151" i="18" s="1"/>
  <c r="I77" i="18"/>
  <c r="I75" i="18"/>
  <c r="I81" i="18"/>
  <c r="I82" i="18"/>
  <c r="I86" i="18"/>
  <c r="I80" i="18"/>
  <c r="CE9" i="17"/>
  <c r="H137" i="18" s="1"/>
  <c r="H88" i="18"/>
  <c r="P87" i="18"/>
  <c r="DL5" i="17"/>
  <c r="DA9" i="17"/>
  <c r="DO3" i="17"/>
  <c r="DC6" i="17"/>
  <c r="DD5" i="17"/>
  <c r="DC10" i="17"/>
  <c r="EQ6" i="17"/>
  <c r="EQ23" i="17" s="1"/>
  <c r="EP5" i="17"/>
  <c r="EC7" i="17"/>
  <c r="ED5" i="17"/>
  <c r="EL5" i="17"/>
  <c r="EM6" i="17"/>
  <c r="EM23" i="17" s="1"/>
  <c r="ER6" i="17"/>
  <c r="ER23" i="17" s="1"/>
  <c r="ER5" i="17"/>
  <c r="ES6" i="17"/>
  <c r="ES23" i="17" s="1"/>
  <c r="EP6" i="17"/>
  <c r="EP23" i="17" s="1"/>
  <c r="EY3" i="17"/>
  <c r="EO6" i="17"/>
  <c r="EO23" i="17" s="1"/>
  <c r="ED6" i="17"/>
  <c r="EL6" i="17"/>
  <c r="EL23" i="17" s="1"/>
  <c r="EH5" i="17"/>
  <c r="EI6" i="17"/>
  <c r="EI23" i="17" s="1"/>
  <c r="EJ5" i="17"/>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J5" i="17"/>
  <c r="DT3" i="17"/>
  <c r="BU9" i="17"/>
  <c r="H127" i="18" s="1"/>
  <c r="BT8" i="17"/>
  <c r="BO9" i="17"/>
  <c r="H121" i="18" s="1"/>
  <c r="BZ9" i="17"/>
  <c r="H132" i="18" s="1"/>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BU8" i="17"/>
  <c r="BS10" i="17" l="1"/>
  <c r="BT13" i="17" s="1"/>
  <c r="I150" i="18" s="1"/>
  <c r="CG5" i="17"/>
  <c r="I17" i="18" s="1"/>
  <c r="P17" i="18" s="1"/>
  <c r="P84" i="18"/>
  <c r="DB5" i="17"/>
  <c r="CH5" i="17"/>
  <c r="I25" i="18" s="1"/>
  <c r="P25" i="18" s="1"/>
  <c r="DC7" i="17"/>
  <c r="P80" i="18" s="1"/>
  <c r="BY10" i="17"/>
  <c r="BZ13" i="17" s="1"/>
  <c r="I156" i="18" s="1"/>
  <c r="DI5" i="17"/>
  <c r="P86" i="18"/>
  <c r="DH7" i="17"/>
  <c r="P85" i="18" s="1"/>
  <c r="DK8" i="17"/>
  <c r="CE10" i="17"/>
  <c r="I137" i="18" s="1"/>
  <c r="EQ21" i="17"/>
  <c r="EQ22" i="17" s="1"/>
  <c r="P88" i="18"/>
  <c r="DK5" i="17"/>
  <c r="BV8" i="17"/>
  <c r="CM5" i="17"/>
  <c r="CD10" i="17"/>
  <c r="CE13" i="17" s="1"/>
  <c r="I113" i="18" s="1"/>
  <c r="O234" i="18" s="1"/>
  <c r="EM5" i="17"/>
  <c r="ES21" i="17"/>
  <c r="ES22" i="17" s="1"/>
  <c r="CI5" i="17"/>
  <c r="CY5" i="17"/>
  <c r="ER7" i="17"/>
  <c r="ES10" i="17" s="1"/>
  <c r="P76" i="18"/>
  <c r="CC10" i="17"/>
  <c r="CD13" i="17" s="1"/>
  <c r="I160" i="18" s="1"/>
  <c r="EV4"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I125"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T25" i="17"/>
  <c r="ET8" i="17"/>
  <c r="EY23" i="17"/>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L11" i="17"/>
  <c r="DD9" i="17"/>
  <c r="O80" i="18"/>
  <c r="BY16" i="17"/>
  <c r="I106" i="18"/>
  <c r="P112" i="18"/>
  <c r="BV16" i="17"/>
  <c r="I103" i="18"/>
  <c r="BU16" i="17"/>
  <c r="I102" i="18"/>
  <c r="O84" i="18"/>
  <c r="I112" i="18"/>
  <c r="CA16" i="17"/>
  <c r="I108" i="18"/>
  <c r="BW16" i="17"/>
  <c r="I104" i="18"/>
  <c r="DG10" i="17"/>
  <c r="BL6" i="17"/>
  <c r="H70" i="18" s="1"/>
  <c r="EO9" i="17"/>
  <c r="EO26" i="17" s="1"/>
  <c r="EC8" i="17"/>
  <c r="ED9" i="17"/>
  <c r="EQ9" i="17"/>
  <c r="EQ26" i="17" s="1"/>
  <c r="ES9" i="17"/>
  <c r="ES26" i="17" s="1"/>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BW14" i="17"/>
  <c r="DP6" i="17"/>
  <c r="BP11" i="17"/>
  <c r="BQ12" i="17"/>
  <c r="H147" i="18" s="1"/>
  <c r="CZ8" i="17"/>
  <c r="DI9" i="17"/>
  <c r="O134" i="18" s="1"/>
  <c r="DG12" i="17"/>
  <c r="CB11" i="17"/>
  <c r="CC12" i="17"/>
  <c r="H159" i="18" s="1"/>
  <c r="CF3" i="17"/>
  <c r="BO11" i="17"/>
  <c r="BP12" i="17"/>
  <c r="H146" i="18" s="1"/>
  <c r="CM9" i="17"/>
  <c r="BV11" i="17"/>
  <c r="BO12" i="17"/>
  <c r="BN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S11" i="17"/>
  <c r="BT12" i="17"/>
  <c r="H150" i="18" s="1"/>
  <c r="O247" i="18" s="1"/>
  <c r="BT11" i="17"/>
  <c r="BU12" i="17"/>
  <c r="H151" i="18" s="1"/>
  <c r="O248" i="18" s="1"/>
  <c r="BR12" i="17"/>
  <c r="H148" i="18" s="1"/>
  <c r="DE9" i="17"/>
  <c r="O130" i="18" s="1"/>
  <c r="DD8" i="17"/>
  <c r="BU11" i="17"/>
  <c r="BV12" i="17"/>
  <c r="H152" i="18" s="1"/>
  <c r="O249" i="18" s="1"/>
  <c r="BY11" i="17" l="1"/>
  <c r="DC8" i="17"/>
  <c r="DD10" i="17"/>
  <c r="DE13" i="17" s="1"/>
  <c r="DF16" i="17" s="1"/>
  <c r="CE11" i="17"/>
  <c r="I136" i="18"/>
  <c r="DP7" i="17"/>
  <c r="CE14" i="17"/>
  <c r="CD11" i="17"/>
  <c r="DQ5" i="17"/>
  <c r="DQ7" i="17"/>
  <c r="DI10" i="17"/>
  <c r="DQ10" i="17" s="1"/>
  <c r="DH8" i="17"/>
  <c r="I161" i="18"/>
  <c r="O258" i="18" s="1"/>
  <c r="EO8" i="17"/>
  <c r="EY21" i="17"/>
  <c r="CC11" i="17"/>
  <c r="DP5" i="17"/>
  <c r="ER8" i="17"/>
  <c r="ER24" i="17"/>
  <c r="ER25" i="17" s="1"/>
  <c r="O255" i="18"/>
  <c r="EO10" i="17"/>
  <c r="EO27" i="17" s="1"/>
  <c r="EO28" i="17" s="1"/>
  <c r="DT5" i="17"/>
  <c r="EX21" i="17"/>
  <c r="EN24" i="17"/>
  <c r="EN25" i="17" s="1"/>
  <c r="CI8" i="17"/>
  <c r="I135" i="18"/>
  <c r="O257" i="18"/>
  <c r="BK5" i="17"/>
  <c r="CF5" i="17" s="1"/>
  <c r="CK5" i="17" s="1"/>
  <c r="CE16" i="17"/>
  <c r="I185" i="18" s="1"/>
  <c r="CR4" i="17"/>
  <c r="P69" i="18" s="1"/>
  <c r="P129" i="18"/>
  <c r="BZ11" i="17"/>
  <c r="BL7" i="17"/>
  <c r="BL8" i="17" s="1"/>
  <c r="EL8" i="17"/>
  <c r="EL24" i="17"/>
  <c r="EL25" i="17" s="1"/>
  <c r="CJ10" i="17"/>
  <c r="O256" i="18"/>
  <c r="CI13" i="17"/>
  <c r="CF4" i="17"/>
  <c r="O244" i="18"/>
  <c r="DA13" i="17"/>
  <c r="DA14" i="17" s="1"/>
  <c r="DC14" i="17"/>
  <c r="CZ11" i="17"/>
  <c r="EC10" i="17"/>
  <c r="EC27" i="17" s="1"/>
  <c r="EC28" i="17" s="1"/>
  <c r="EX7" i="17"/>
  <c r="DL16" i="17"/>
  <c r="P185" i="18" s="1"/>
  <c r="P107" i="18"/>
  <c r="P155"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DG19" i="17"/>
  <c r="P204" i="18" s="1"/>
  <c r="P179" i="18"/>
  <c r="EW22" i="17"/>
  <c r="EX5" i="17"/>
  <c r="O246" i="18"/>
  <c r="O250" i="18"/>
  <c r="P106" i="18"/>
  <c r="DE18" i="17"/>
  <c r="O202" i="18" s="1"/>
  <c r="O177" i="18"/>
  <c r="O104" i="18"/>
  <c r="O152" i="18"/>
  <c r="DE19" i="17"/>
  <c r="P202" i="18" s="1"/>
  <c r="P177" i="18"/>
  <c r="P104" i="18"/>
  <c r="P152" i="18"/>
  <c r="P103" i="18"/>
  <c r="P151" i="18"/>
  <c r="DD18" i="17"/>
  <c r="O201" i="18" s="1"/>
  <c r="O176" i="18"/>
  <c r="O103" i="18"/>
  <c r="O151" i="18"/>
  <c r="P248" i="18" s="1"/>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CC19" i="17" s="1"/>
  <c r="I207" i="18" s="1"/>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V19" i="17"/>
  <c r="I200" i="18" s="1"/>
  <c r="I175"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CW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DP8" i="17"/>
  <c r="P154" i="18" l="1"/>
  <c r="P224" i="18"/>
  <c r="DP10" i="17"/>
  <c r="P134" i="18"/>
  <c r="Q45" i="18" s="1"/>
  <c r="DI11" i="17"/>
  <c r="DJ13" i="17"/>
  <c r="DK16" i="17" s="1"/>
  <c r="DL19" i="17" s="1"/>
  <c r="P209" i="18" s="1"/>
  <c r="CI11" i="17"/>
  <c r="EX8" i="17"/>
  <c r="P249" i="18"/>
  <c r="EY8" i="17"/>
  <c r="DE14" i="17"/>
  <c r="CG7" i="17"/>
  <c r="BK8" i="17"/>
  <c r="EO11" i="17"/>
  <c r="EY25" i="17"/>
  <c r="P226" i="18"/>
  <c r="P250" i="18"/>
  <c r="I45" i="18"/>
  <c r="P45" i="18" s="1"/>
  <c r="CS7" i="17"/>
  <c r="P70" i="18" s="1"/>
  <c r="Q61" i="18" s="1"/>
  <c r="EP13" i="17"/>
  <c r="EP30" i="17" s="1"/>
  <c r="I182" i="18"/>
  <c r="DB16" i="17"/>
  <c r="DC19" i="17" s="1"/>
  <c r="P200" i="18" s="1"/>
  <c r="DM4" i="17"/>
  <c r="DS4" i="17" s="1"/>
  <c r="CR5" i="17"/>
  <c r="DM5" i="17" s="1"/>
  <c r="DR5" i="17" s="1"/>
  <c r="CK4" i="17"/>
  <c r="CJ11" i="17"/>
  <c r="CI16" i="17"/>
  <c r="EC11" i="17"/>
  <c r="CL5" i="17"/>
  <c r="CJ16" i="17"/>
  <c r="CL4" i="17"/>
  <c r="CW14" i="17"/>
  <c r="CF7" i="17"/>
  <c r="CK7" i="17" s="1"/>
  <c r="I93" i="18"/>
  <c r="O214" i="18" s="1"/>
  <c r="BM10" i="17"/>
  <c r="I119" i="18" s="1"/>
  <c r="I94" i="18"/>
  <c r="ED13" i="17"/>
  <c r="ED30" i="17" s="1"/>
  <c r="P150" i="18"/>
  <c r="P247" i="18" s="1"/>
  <c r="P223" i="18"/>
  <c r="P252" i="18"/>
  <c r="P225" i="18"/>
  <c r="O221" i="18"/>
  <c r="I37" i="18"/>
  <c r="P37" i="18" s="1"/>
  <c r="CM13" i="17"/>
  <c r="DT13" i="17"/>
  <c r="CR12" i="17" s="1"/>
  <c r="O141" i="18" s="1"/>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CJ19" i="17"/>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CI19" i="17"/>
  <c r="DH14" i="17"/>
  <c r="DI15" i="17"/>
  <c r="O182" i="18" s="1"/>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DS3" i="17"/>
  <c r="DR3" i="17"/>
  <c r="CM14" i="17"/>
  <c r="CG8" i="17"/>
  <c r="I18" i="18" s="1"/>
  <c r="CJ14" i="17"/>
  <c r="DQ11" i="17"/>
  <c r="CG9" i="17"/>
  <c r="BN12" i="17"/>
  <c r="CH9" i="17"/>
  <c r="CF8" i="17"/>
  <c r="CV14" i="17"/>
  <c r="DT12" i="17"/>
  <c r="DN6" i="17"/>
  <c r="BL11" i="17"/>
  <c r="BM12" i="17"/>
  <c r="DP12" i="17"/>
  <c r="CI14" i="17"/>
  <c r="BM13" i="17"/>
  <c r="Q37" i="18" l="1"/>
  <c r="H142" i="18"/>
  <c r="EY11" i="17"/>
  <c r="P175" i="18"/>
  <c r="DJ14" i="17"/>
  <c r="DP14" i="17" s="1"/>
  <c r="DP13" i="17"/>
  <c r="DC20" i="17"/>
  <c r="P184" i="18"/>
  <c r="DQ13" i="17"/>
  <c r="EP14" i="17"/>
  <c r="O215" i="18"/>
  <c r="DN7" i="17"/>
  <c r="DS5" i="17"/>
  <c r="CS8" i="17"/>
  <c r="DN8" i="17" s="1"/>
  <c r="Q18" i="18" s="1"/>
  <c r="T7" i="18"/>
  <c r="U7" i="18" s="1"/>
  <c r="Q53" i="18"/>
  <c r="BN13" i="17"/>
  <c r="CH13" i="17" s="1"/>
  <c r="CT10" i="17"/>
  <c r="CU13" i="17" s="1"/>
  <c r="P144" i="18" s="1"/>
  <c r="DR4" i="17"/>
  <c r="DM7" i="17"/>
  <c r="DS7" i="17" s="1"/>
  <c r="CF10" i="17"/>
  <c r="CK10" i="17" s="1"/>
  <c r="EY30" i="17"/>
  <c r="DB17" i="17"/>
  <c r="EP31" i="17"/>
  <c r="CG10" i="17"/>
  <c r="CH10" i="17"/>
  <c r="CL7" i="17"/>
  <c r="DJ19" i="17"/>
  <c r="P207" i="18" s="1"/>
  <c r="EX30" i="17"/>
  <c r="ED14" i="17"/>
  <c r="BM15" i="17"/>
  <c r="BN18" i="17" s="1"/>
  <c r="BM11" i="17"/>
  <c r="CH11" i="17" s="1"/>
  <c r="I27" i="18" s="1"/>
  <c r="P27" i="18" s="1"/>
  <c r="CR13" i="17"/>
  <c r="P141" i="18" s="1"/>
  <c r="P238" i="18" s="1"/>
  <c r="P256" i="18"/>
  <c r="P173" i="18"/>
  <c r="CZ17" i="17"/>
  <c r="P231" i="18"/>
  <c r="CY20" i="17"/>
  <c r="P232" i="18"/>
  <c r="CS15" i="17"/>
  <c r="CT18" i="17" s="1"/>
  <c r="O191" i="18" s="1"/>
  <c r="BK12" i="17"/>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CV16" i="17"/>
  <c r="DT16" i="17" s="1"/>
  <c r="CR15" i="17" s="1"/>
  <c r="O165" i="18" s="1"/>
  <c r="P94" i="18"/>
  <c r="P142" i="18"/>
  <c r="P230" i="18"/>
  <c r="Q44" i="18"/>
  <c r="P228" i="18"/>
  <c r="Q36" i="18"/>
  <c r="CT12" i="17"/>
  <c r="CU15" i="17" s="1"/>
  <c r="O118" i="18"/>
  <c r="CU12" i="17"/>
  <c r="CV15" i="17" s="1"/>
  <c r="O169" i="18" s="1"/>
  <c r="O119" i="18"/>
  <c r="CS12" i="17"/>
  <c r="O117" i="18"/>
  <c r="BL13" i="17"/>
  <c r="I142" i="18" s="1"/>
  <c r="O239" i="18" s="1"/>
  <c r="EQ31" i="17"/>
  <c r="P36" i="18"/>
  <c r="CA20" i="17"/>
  <c r="EX11" i="17"/>
  <c r="CB20" i="17"/>
  <c r="H206" i="18"/>
  <c r="CE20" i="17"/>
  <c r="H209" i="18"/>
  <c r="BR20" i="17"/>
  <c r="H196" i="18"/>
  <c r="CD20" i="17"/>
  <c r="H208" i="18"/>
  <c r="BS20" i="17"/>
  <c r="H197" i="18"/>
  <c r="I95" i="18"/>
  <c r="I143" i="18"/>
  <c r="H95" i="18"/>
  <c r="H143" i="18"/>
  <c r="H96" i="18"/>
  <c r="H144" i="18"/>
  <c r="I96" i="18"/>
  <c r="BQ20" i="17"/>
  <c r="H195" i="18"/>
  <c r="H198" i="18"/>
  <c r="BW20" i="17"/>
  <c r="H201" i="18"/>
  <c r="EX27" i="17"/>
  <c r="BV20" i="17"/>
  <c r="H200" i="18"/>
  <c r="BT19" i="17"/>
  <c r="I198" i="18" s="1"/>
  <c r="I173" i="18"/>
  <c r="CC20" i="17"/>
  <c r="H207" i="18"/>
  <c r="BX20" i="17"/>
  <c r="H202" i="18"/>
  <c r="BK11" i="17"/>
  <c r="I117" i="18"/>
  <c r="EY13" i="17"/>
  <c r="EX13" i="17"/>
  <c r="EQ14" i="17"/>
  <c r="EY14" i="17" s="1"/>
  <c r="CJ17" i="17"/>
  <c r="EY28" i="17"/>
  <c r="EY27" i="17"/>
  <c r="ED31" i="17"/>
  <c r="EB28" i="17"/>
  <c r="EW28" i="17" s="1"/>
  <c r="EW26" i="17"/>
  <c r="EX29" i="17"/>
  <c r="EX28" i="17"/>
  <c r="EY29" i="17"/>
  <c r="CI18" i="17"/>
  <c r="EC13" i="17"/>
  <c r="EW10" i="17"/>
  <c r="EV8" i="17"/>
  <c r="EC12" i="17"/>
  <c r="EB11" i="17"/>
  <c r="EW9" i="17"/>
  <c r="CK9" i="17"/>
  <c r="DQ14" i="17"/>
  <c r="DR6" i="17"/>
  <c r="BN15" i="17"/>
  <c r="DG17" i="17"/>
  <c r="DH18" i="17"/>
  <c r="O205" i="18" s="1"/>
  <c r="DQ15" i="17"/>
  <c r="DP15" i="17"/>
  <c r="BZ20" i="17"/>
  <c r="CJ18" i="17"/>
  <c r="DI17" i="17"/>
  <c r="DJ18" i="17"/>
  <c r="DJ17" i="17"/>
  <c r="DK18" i="17"/>
  <c r="DK17" i="17"/>
  <c r="DL18" i="17"/>
  <c r="BN16" i="17"/>
  <c r="BO15" i="17"/>
  <c r="H169" i="18" s="1"/>
  <c r="CS11" i="17"/>
  <c r="CI17" i="17"/>
  <c r="DT14" i="17"/>
  <c r="P46" i="18"/>
  <c r="P38" i="18"/>
  <c r="BM14" i="17"/>
  <c r="CH12" i="17"/>
  <c r="DO9" i="17"/>
  <c r="CL8" i="17"/>
  <c r="CK8" i="17"/>
  <c r="CG12" i="17"/>
  <c r="DM9" i="17"/>
  <c r="DO10" i="17"/>
  <c r="P18" i="18"/>
  <c r="DN9" i="17"/>
  <c r="DW8" i="17" l="1"/>
  <c r="CF12" i="17"/>
  <c r="CK12" i="17" s="1"/>
  <c r="DW7" i="17"/>
  <c r="DW9" i="17" s="1"/>
  <c r="DW10" i="17"/>
  <c r="DW16" i="17" s="1"/>
  <c r="DM8" i="17"/>
  <c r="DR8" i="17" s="1"/>
  <c r="BO16" i="17"/>
  <c r="I169" i="18" s="1"/>
  <c r="BN14" i="17"/>
  <c r="DR7" i="17"/>
  <c r="DN10" i="17"/>
  <c r="CT11" i="17"/>
  <c r="DM11" i="17" s="1"/>
  <c r="DM10" i="17"/>
  <c r="DR10" i="17" s="1"/>
  <c r="P119" i="18"/>
  <c r="T9" i="18" s="1"/>
  <c r="I144" i="18"/>
  <c r="O241" i="18" s="1"/>
  <c r="CR14" i="17"/>
  <c r="CL10" i="17"/>
  <c r="EY31" i="17"/>
  <c r="CS16" i="17"/>
  <c r="DN16" i="17" s="1"/>
  <c r="CG11" i="17"/>
  <c r="I19" i="18" s="1"/>
  <c r="P19" i="18" s="1"/>
  <c r="O240" i="18"/>
  <c r="H167" i="18"/>
  <c r="EX31" i="17"/>
  <c r="CF11" i="17"/>
  <c r="CL11" i="17" s="1"/>
  <c r="DN12" i="17"/>
  <c r="O217" i="18"/>
  <c r="O166" i="18"/>
  <c r="I141" i="18"/>
  <c r="BL16" i="17"/>
  <c r="H141" i="18"/>
  <c r="BL15" i="17"/>
  <c r="BK14" i="17"/>
  <c r="DQ19" i="17"/>
  <c r="CG13" i="17"/>
  <c r="DK20" i="17"/>
  <c r="O208" i="18"/>
  <c r="DL20" i="17"/>
  <c r="O209" i="18"/>
  <c r="DJ20" i="17"/>
  <c r="O207" i="18"/>
  <c r="DP19" i="17"/>
  <c r="BM16" i="17"/>
  <c r="I167" i="18" s="1"/>
  <c r="BL14" i="17"/>
  <c r="CF13" i="17"/>
  <c r="CK13" i="17" s="1"/>
  <c r="EX14" i="17"/>
  <c r="O216" i="18"/>
  <c r="P197" i="18"/>
  <c r="CZ20" i="17"/>
  <c r="DO12" i="17"/>
  <c r="P95" i="18"/>
  <c r="T8" i="18" s="1"/>
  <c r="P143" i="18"/>
  <c r="T10" i="18" s="1"/>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P241" i="18" s="1"/>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H20" i="17"/>
  <c r="DP18" i="17"/>
  <c r="DQ18" i="17"/>
  <c r="BN17" i="17"/>
  <c r="BO18" i="17"/>
  <c r="H193" i="18" s="1"/>
  <c r="BO17" i="17"/>
  <c r="CM17" i="17" s="1"/>
  <c r="BP18" i="17"/>
  <c r="H194" i="18" s="1"/>
  <c r="CM15" i="17"/>
  <c r="DQ17" i="17"/>
  <c r="DP17" i="17"/>
  <c r="CM16" i="17"/>
  <c r="BP19" i="17"/>
  <c r="DM12" i="17"/>
  <c r="DR12" i="17" s="1"/>
  <c r="CL12" i="17"/>
  <c r="DO13" i="17"/>
  <c r="DR9" i="17"/>
  <c r="DS9" i="17"/>
  <c r="CU14" i="17"/>
  <c r="CH14" i="17"/>
  <c r="I28" i="18" s="1"/>
  <c r="DW17" i="17" l="1"/>
  <c r="DX1" i="17" s="1"/>
  <c r="DS8" i="17"/>
  <c r="DS10" i="17"/>
  <c r="CT19" i="17"/>
  <c r="DO19" i="17" s="1"/>
  <c r="Q63" i="18"/>
  <c r="Q55" i="18"/>
  <c r="DO11" i="17"/>
  <c r="Q27" i="18" s="1"/>
  <c r="J10" i="18"/>
  <c r="F12" i="19" s="1"/>
  <c r="DN11" i="17"/>
  <c r="Q19" i="18" s="1"/>
  <c r="CK11" i="17"/>
  <c r="CF14" i="17"/>
  <c r="CL14" i="17" s="1"/>
  <c r="CS17" i="17"/>
  <c r="P166" i="18"/>
  <c r="DR13" i="17"/>
  <c r="CL13" i="17"/>
  <c r="I56" i="18"/>
  <c r="E74" i="19" s="1"/>
  <c r="CG16" i="17"/>
  <c r="BN19" i="17"/>
  <c r="I192" i="18" s="1"/>
  <c r="I64" i="18"/>
  <c r="P64" i="18" s="1"/>
  <c r="U9" i="18"/>
  <c r="O238" i="18"/>
  <c r="CU17" i="17"/>
  <c r="H166" i="18"/>
  <c r="BM18" i="17"/>
  <c r="CG15" i="17"/>
  <c r="BL17" i="17"/>
  <c r="CG14" i="17"/>
  <c r="I20" i="18" s="1"/>
  <c r="F36" i="19" s="1"/>
  <c r="F40" i="19" s="1"/>
  <c r="I10" i="18"/>
  <c r="C12" i="19"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U10" i="18" s="1"/>
  <c r="D44" i="21" s="1"/>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CK14" i="17" l="1"/>
  <c r="G71" i="19"/>
  <c r="EF3" i="17"/>
  <c r="EE4" i="17"/>
  <c r="EF7" i="17" s="1"/>
  <c r="EF24" i="17" s="1"/>
  <c r="EE12" i="17"/>
  <c r="DX18" i="17"/>
  <c r="EE3" i="17"/>
  <c r="EG3" i="17"/>
  <c r="EF4" i="17"/>
  <c r="EF21" i="17" s="1"/>
  <c r="C37" i="21"/>
  <c r="EE6" i="17"/>
  <c r="EE10" i="17"/>
  <c r="EG4" i="17"/>
  <c r="EE13" i="17"/>
  <c r="EE30" i="17" s="1"/>
  <c r="EE9" i="17"/>
  <c r="EE7" i="17"/>
  <c r="EG7" i="17"/>
  <c r="EF6" i="17"/>
  <c r="EG9" i="17" s="1"/>
  <c r="DN17" i="17"/>
  <c r="Q10" i="18"/>
  <c r="P191" i="18"/>
  <c r="CT20" i="17"/>
  <c r="DN20" i="17" s="1"/>
  <c r="E75" i="19"/>
  <c r="P56" i="18"/>
  <c r="G70" i="19"/>
  <c r="BK18" i="17"/>
  <c r="H189" i="18" s="1"/>
  <c r="BN20" i="17"/>
  <c r="K10" i="18"/>
  <c r="D10" i="19" s="1"/>
  <c r="D47" i="21" s="1"/>
  <c r="P10" i="18"/>
  <c r="C83" i="21"/>
  <c r="CG17" i="17"/>
  <c r="P20" i="18"/>
  <c r="DS15" i="17"/>
  <c r="CV20" i="17"/>
  <c r="DT20" i="17" s="1"/>
  <c r="CH19" i="17"/>
  <c r="H191" i="18"/>
  <c r="BM20" i="17"/>
  <c r="CH18" i="17"/>
  <c r="CH17" i="17"/>
  <c r="C82" i="21"/>
  <c r="D6" i="19"/>
  <c r="D7" i="19" s="1"/>
  <c r="R8" i="18"/>
  <c r="P193" i="18"/>
  <c r="DM19" i="17"/>
  <c r="DS19" i="17" s="1"/>
  <c r="P189" i="18"/>
  <c r="CR18" i="17"/>
  <c r="CR20" i="17" s="1"/>
  <c r="DN19" i="17"/>
  <c r="P190" i="18"/>
  <c r="DM17" i="17"/>
  <c r="DR17" i="17" s="1"/>
  <c r="E117" i="21"/>
  <c r="G113" i="21"/>
  <c r="O192" i="18"/>
  <c r="CU20" i="17"/>
  <c r="DO18" i="17"/>
  <c r="DO17" i="17"/>
  <c r="G112" i="21"/>
  <c r="E116" i="21"/>
  <c r="DR16" i="17"/>
  <c r="BL18" i="17"/>
  <c r="BK17" i="17"/>
  <c r="CF17" i="17" s="1"/>
  <c r="CF15" i="17"/>
  <c r="CM20" i="17"/>
  <c r="CF16" i="17"/>
  <c r="BL19" i="17"/>
  <c r="DR14" i="17"/>
  <c r="DS14" i="17"/>
  <c r="EG26" i="17" l="1"/>
  <c r="EH12" i="17"/>
  <c r="EH29" i="17" s="1"/>
  <c r="EE24" i="17"/>
  <c r="FB24" i="17" s="1"/>
  <c r="FB7" i="17"/>
  <c r="EF13" i="17"/>
  <c r="EE27" i="17"/>
  <c r="EH6" i="17"/>
  <c r="EG20" i="17"/>
  <c r="EG5" i="17"/>
  <c r="EE21" i="17"/>
  <c r="EU4" i="17"/>
  <c r="FB4" i="17"/>
  <c r="EF10" i="17"/>
  <c r="EF12" i="17"/>
  <c r="EE26" i="17"/>
  <c r="EE28" i="17" s="1"/>
  <c r="EE11" i="17"/>
  <c r="EE23" i="17"/>
  <c r="EE8" i="17"/>
  <c r="EE20" i="17"/>
  <c r="EE5" i="17"/>
  <c r="FB3" i="17"/>
  <c r="EU3" i="17"/>
  <c r="EG6" i="17"/>
  <c r="EF5" i="17"/>
  <c r="EF20" i="17"/>
  <c r="EF22" i="17" s="1"/>
  <c r="EG24" i="17"/>
  <c r="EH10" i="17"/>
  <c r="D37" i="21"/>
  <c r="D38" i="21"/>
  <c r="C39" i="21"/>
  <c r="D39" i="21"/>
  <c r="C38" i="21"/>
  <c r="EF23" i="17"/>
  <c r="EF25" i="17" s="1"/>
  <c r="EF8" i="17"/>
  <c r="EF9" i="17"/>
  <c r="EG21" i="17"/>
  <c r="EH7" i="17"/>
  <c r="EE29" i="17"/>
  <c r="EE31" i="17" s="1"/>
  <c r="EE14" i="17"/>
  <c r="EG10" i="17"/>
  <c r="EG11" i="17" s="1"/>
  <c r="DO20" i="17"/>
  <c r="BK20" i="17"/>
  <c r="R10" i="18"/>
  <c r="CH20" i="17"/>
  <c r="D46" i="21"/>
  <c r="DR19" i="17"/>
  <c r="D11" i="19"/>
  <c r="DM18" i="17"/>
  <c r="DR18" i="17" s="1"/>
  <c r="O189" i="18"/>
  <c r="DS17" i="17"/>
  <c r="DM20" i="17"/>
  <c r="DR20" i="17" s="1"/>
  <c r="CF18" i="17"/>
  <c r="CL18" i="17" s="1"/>
  <c r="H190" i="18"/>
  <c r="CG19" i="17"/>
  <c r="I190" i="18"/>
  <c r="CF19" i="17"/>
  <c r="CK15" i="17"/>
  <c r="CL15" i="17"/>
  <c r="BL20" i="17"/>
  <c r="CG20" i="17" s="1"/>
  <c r="CG18" i="17"/>
  <c r="CL17" i="17"/>
  <c r="CK17" i="17"/>
  <c r="CK16" i="17"/>
  <c r="CL16" i="17"/>
  <c r="FB5" i="17" l="1"/>
  <c r="EU5" i="17"/>
  <c r="EE25" i="17"/>
  <c r="EF14" i="17"/>
  <c r="EF29" i="17"/>
  <c r="EU21" i="17"/>
  <c r="FB21" i="17"/>
  <c r="FB10" i="17"/>
  <c r="EG27" i="17"/>
  <c r="EG28" i="17" s="1"/>
  <c r="EH13" i="17"/>
  <c r="EI10" i="17"/>
  <c r="EH24" i="17"/>
  <c r="EH25" i="17" s="1"/>
  <c r="FA4" i="17"/>
  <c r="EZ4" i="17"/>
  <c r="EH23" i="17"/>
  <c r="EI9" i="17"/>
  <c r="EH8" i="17"/>
  <c r="EF26" i="17"/>
  <c r="FB26" i="17" s="1"/>
  <c r="EF11" i="17"/>
  <c r="FB11" i="17" s="1"/>
  <c r="EG12" i="17"/>
  <c r="EI13" i="17"/>
  <c r="EI30" i="17" s="1"/>
  <c r="EH27" i="17"/>
  <c r="EH9" i="17"/>
  <c r="EG23" i="17"/>
  <c r="EG25" i="17" s="1"/>
  <c r="EG8" i="17"/>
  <c r="FB8" i="17" s="1"/>
  <c r="EE22" i="17"/>
  <c r="FB20" i="17"/>
  <c r="EU20" i="17"/>
  <c r="FB9" i="17"/>
  <c r="EF27" i="17"/>
  <c r="FB27" i="17" s="1"/>
  <c r="EG13" i="17"/>
  <c r="FB13" i="17" s="1"/>
  <c r="EF30" i="17"/>
  <c r="EZ3" i="17"/>
  <c r="FA3" i="17"/>
  <c r="FB6" i="17"/>
  <c r="EG22" i="17"/>
  <c r="DZ7" i="17"/>
  <c r="DZ6" i="17"/>
  <c r="CK18" i="17"/>
  <c r="DS20" i="17"/>
  <c r="DS18" i="17"/>
  <c r="CK19" i="17"/>
  <c r="CL19" i="17"/>
  <c r="CF20" i="17"/>
  <c r="FB25" i="17" l="1"/>
  <c r="FB22" i="17"/>
  <c r="EU22" i="17"/>
  <c r="EH30" i="17"/>
  <c r="EH31" i="17" s="1"/>
  <c r="EH14" i="17"/>
  <c r="DZ12" i="17"/>
  <c r="DZ13" i="17"/>
  <c r="EF31" i="17"/>
  <c r="FA5" i="17"/>
  <c r="EZ5" i="17"/>
  <c r="EU7" i="17"/>
  <c r="DZ24" i="17"/>
  <c r="EU24" i="17" s="1"/>
  <c r="EA10" i="17"/>
  <c r="EZ21" i="17"/>
  <c r="FA21" i="17"/>
  <c r="EG29" i="17"/>
  <c r="FB12" i="17"/>
  <c r="EI11" i="17"/>
  <c r="EJ12" i="17"/>
  <c r="EI26" i="17"/>
  <c r="DZ10" i="17"/>
  <c r="DZ9" i="17"/>
  <c r="EF28" i="17"/>
  <c r="FB28" i="17" s="1"/>
  <c r="FA20" i="17"/>
  <c r="EZ20" i="17"/>
  <c r="EA9" i="17"/>
  <c r="DZ8" i="17"/>
  <c r="EU8" i="17" s="1"/>
  <c r="DZ23" i="17"/>
  <c r="EU6" i="17"/>
  <c r="EG14" i="17"/>
  <c r="FB14" i="17" s="1"/>
  <c r="EG30" i="17"/>
  <c r="FB30" i="17" s="1"/>
  <c r="EH26" i="17"/>
  <c r="EH28" i="17" s="1"/>
  <c r="EH11" i="17"/>
  <c r="EI12" i="17"/>
  <c r="EJ13" i="17"/>
  <c r="EJ30" i="17" s="1"/>
  <c r="EI27" i="17"/>
  <c r="FB23" i="17"/>
  <c r="CK20" i="17"/>
  <c r="CL20" i="17"/>
  <c r="EI29" i="17" l="1"/>
  <c r="EI31" i="17" s="1"/>
  <c r="EI14" i="17"/>
  <c r="DZ11" i="17"/>
  <c r="DZ26" i="17"/>
  <c r="EU9" i="17"/>
  <c r="EA12" i="17"/>
  <c r="FA6" i="17"/>
  <c r="EZ6" i="17"/>
  <c r="EA13" i="17"/>
  <c r="EA30" i="17" s="1"/>
  <c r="DZ27" i="17"/>
  <c r="EU10" i="17"/>
  <c r="EB12" i="17"/>
  <c r="EA26" i="17"/>
  <c r="EA11" i="17"/>
  <c r="EV11" i="17" s="1"/>
  <c r="EV9" i="17"/>
  <c r="EZ7" i="17"/>
  <c r="FA7" i="17"/>
  <c r="EU23" i="17"/>
  <c r="DZ25" i="17"/>
  <c r="EU25" i="17" s="1"/>
  <c r="EI28" i="17"/>
  <c r="FB29" i="17"/>
  <c r="EG31" i="17"/>
  <c r="FB31" i="17" s="1"/>
  <c r="EV10" i="17"/>
  <c r="EA27" i="17"/>
  <c r="EV27" i="17" s="1"/>
  <c r="EB13" i="17"/>
  <c r="DZ30" i="17"/>
  <c r="EU13" i="17"/>
  <c r="H36" i="21"/>
  <c r="FA22" i="17"/>
  <c r="EZ22" i="17"/>
  <c r="FA8" i="17"/>
  <c r="EZ8" i="17"/>
  <c r="EJ29" i="17"/>
  <c r="EJ31" i="17" s="1"/>
  <c r="EJ14" i="17"/>
  <c r="FA24" i="17"/>
  <c r="EZ24" i="17"/>
  <c r="DZ29" i="17"/>
  <c r="DZ14" i="17"/>
  <c r="DZ28" i="17" l="1"/>
  <c r="EU26" i="17"/>
  <c r="EZ13" i="17"/>
  <c r="FA13" i="17"/>
  <c r="H37" i="21"/>
  <c r="FA25" i="17"/>
  <c r="EZ25" i="17"/>
  <c r="FA10" i="17"/>
  <c r="EZ10" i="17"/>
  <c r="EU11" i="17"/>
  <c r="EB29" i="17"/>
  <c r="EB14" i="17"/>
  <c r="EW14" i="17" s="1"/>
  <c r="EW12" i="17"/>
  <c r="EU12" i="17"/>
  <c r="EU30" i="17"/>
  <c r="EZ23" i="17"/>
  <c r="FA23" i="17"/>
  <c r="EU27" i="17"/>
  <c r="EA14" i="17"/>
  <c r="EA29" i="17"/>
  <c r="EU29" i="17" s="1"/>
  <c r="EV12" i="17"/>
  <c r="DZ31" i="17"/>
  <c r="EV13" i="17"/>
  <c r="EB30" i="17"/>
  <c r="EW30" i="17" s="1"/>
  <c r="EW13" i="17"/>
  <c r="EA28" i="17"/>
  <c r="EV28" i="17" s="1"/>
  <c r="EV26" i="17"/>
  <c r="EV30" i="17"/>
  <c r="FA9" i="17"/>
  <c r="EZ9" i="17"/>
  <c r="EV14" i="17" l="1"/>
  <c r="EZ30" i="17"/>
  <c r="FA30" i="17"/>
  <c r="FA27" i="17"/>
  <c r="EZ27" i="17"/>
  <c r="FA12" i="17"/>
  <c r="EZ12" i="17"/>
  <c r="FA11" i="17"/>
  <c r="EZ11" i="17"/>
  <c r="EU14" i="17"/>
  <c r="FA26" i="17"/>
  <c r="EZ26" i="17"/>
  <c r="EZ29" i="17"/>
  <c r="FA29" i="17"/>
  <c r="EW29" i="17"/>
  <c r="EB31" i="17"/>
  <c r="EW31" i="17" s="1"/>
  <c r="EA31" i="17"/>
  <c r="EV29" i="17"/>
  <c r="EU28" i="17"/>
  <c r="EU31" i="17" l="1"/>
  <c r="H39" i="21" s="1"/>
  <c r="FA31" i="17"/>
  <c r="FA28" i="17"/>
  <c r="EZ28" i="17"/>
  <c r="H38" i="21"/>
  <c r="FA14" i="17"/>
  <c r="EZ14" i="17"/>
  <c r="EV31" i="17"/>
  <c r="EZ31" i="17" l="1"/>
</calcChain>
</file>

<file path=xl/sharedStrings.xml><?xml version="1.0" encoding="utf-8"?>
<sst xmlns="http://schemas.openxmlformats.org/spreadsheetml/2006/main" count="1378" uniqueCount="458">
  <si>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</si>
  <si>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</si>
  <si>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</si>
  <si>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</si>
  <si>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</si>
  <si>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</si>
  <si>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</si>
  <si>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</si>
  <si>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</si>
  <si>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</si>
  <si>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</si>
  <si>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</si>
  <si>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</si>
  <si>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</si>
  <si>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</si>
  <si>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</si>
  <si>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</si>
  <si>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</si>
  <si>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</si>
  <si>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</si>
  <si>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</si>
  <si>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</si>
  <si>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</si>
  <si>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</si>
  <si>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</si>
  <si>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</si>
  <si>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</si>
  <si>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</si>
  <si>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</si>
  <si>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</si>
  <si>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</si>
  <si>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</si>
  <si>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</si>
  <si>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</si>
  <si>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</si>
  <si>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</si>
  <si>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</si>
  <si>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</si>
  <si>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</si>
  <si>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</si>
  <si>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</si>
  <si>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</si>
  <si>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</si>
  <si>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</si>
  <si>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</si>
  <si>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</si>
  <si>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</si>
  <si>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</si>
  <si>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</si>
  <si>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</si>
  <si>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</si>
  <si>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</si>
  <si>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</si>
  <si>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</si>
  <si>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</si>
  <si>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</si>
  <si>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</si>
  <si>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</si>
  <si>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</si>
  <si>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</si>
  <si>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</si>
  <si>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</si>
  <si>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</si>
  <si>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</si>
  <si>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</si>
  <si>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</si>
  <si>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</si>
  <si>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</si>
  <si>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</si>
  <si>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</si>
  <si>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</si>
  <si>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</si>
  <si>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</si>
  <si>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</si>
  <si>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</si>
  <si>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</si>
  <si>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</si>
  <si>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</si>
  <si>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</si>
  <si>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</si>
  <si>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</si>
  <si>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</si>
  <si>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</si>
  <si>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</si>
  <si>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</si>
  <si>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</si>
  <si>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</si>
  <si>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</si>
  <si>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</si>
  <si>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</si>
  <si>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</si>
  <si>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</si>
  <si>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</si>
  <si>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</si>
  <si>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</si>
  <si>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</si>
  <si>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</si>
  <si>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</si>
  <si>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</si>
  <si>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</si>
  <si>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</si>
  <si>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</si>
  <si>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</si>
  <si>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</si>
  <si>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</si>
  <si>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</si>
  <si>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</si>
  <si>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</si>
  <si>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</si>
  <si>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</si>
  <si>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</si>
  <si>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</si>
  <si>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</si>
  <si>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</si>
  <si>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</si>
  <si>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</si>
  <si>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</si>
  <si>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</si>
  <si>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</si>
  <si>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</si>
  <si>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</si>
  <si>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</si>
  <si>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</si>
  <si>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</si>
  <si>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</si>
  <si>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</si>
  <si>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</si>
  <si>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</si>
  <si>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</si>
  <si>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</si>
  <si>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</si>
  <si>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</si>
  <si>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</si>
  <si>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</si>
  <si>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</si>
  <si>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</si>
  <si>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</si>
  <si>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</si>
  <si>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</si>
  <si>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</si>
  <si>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</si>
  <si>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</si>
  <si>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</si>
  <si>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</si>
  <si>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</si>
  <si>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</si>
  <si>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</si>
  <si>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</si>
  <si>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</si>
  <si>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</si>
  <si>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</si>
  <si>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</si>
  <si>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</si>
  <si>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</si>
  <si>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</si>
  <si>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</si>
  <si>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</si>
  <si>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</si>
  <si>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</si>
  <si>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</si>
  <si>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</si>
  <si>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</si>
  <si>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</si>
  <si>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</si>
  <si>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</si>
  <si>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</si>
  <si>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</si>
  <si>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</si>
  <si>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</si>
  <si>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</si>
  <si>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</si>
  <si>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</si>
  <si>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</si>
  <si>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</si>
  <si>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</si>
  <si>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</si>
  <si>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</si>
  <si>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</si>
  <si>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</si>
  <si>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</si>
  <si>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</si>
  <si>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</si>
  <si>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</si>
  <si>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</si>
  <si>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</si>
  <si>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</si>
  <si>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</si>
  <si>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</si>
  <si>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</si>
  <si>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</si>
  <si>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</si>
  <si>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</si>
  <si>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</si>
  <si>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</si>
  <si>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</si>
  <si>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</si>
  <si>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</si>
  <si>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</si>
  <si>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</si>
  <si>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</si>
  <si>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</si>
  <si>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</si>
  <si>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</si>
  <si>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</si>
  <si>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</si>
  <si>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</si>
  <si>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</si>
  <si>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</si>
  <si>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</si>
  <si>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</si>
  <si>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</si>
  <si>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</si>
  <si>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</si>
  <si>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</si>
  <si>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</si>
  <si>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</si>
  <si>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</si>
  <si>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</si>
  <si>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</si>
  <si>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</si>
  <si>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</si>
  <si>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</si>
  <si>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</si>
  <si>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</si>
  <si>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</si>
  <si>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</si>
  <si>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</si>
  <si>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</si>
  <si>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</si>
  <si>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</si>
  <si>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</si>
  <si>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</si>
  <si>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</si>
  <si>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</si>
  <si>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</si>
  <si>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</si>
  <si>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</si>
  <si>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</si>
  <si>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</si>
  <si>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</si>
  <si>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</si>
  <si>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</si>
  <si>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</si>
  <si>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</si>
  <si>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</si>
  <si>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</si>
  <si>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</si>
  <si>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</si>
  <si>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</si>
  <si>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</si>
  <si>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</si>
  <si>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</si>
  <si>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</si>
  <si>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</si>
  <si>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</si>
  <si>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</si>
  <si>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</si>
  <si>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</si>
  <si>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</si>
  <si>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</si>
  <si>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</si>
  <si>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</si>
  <si>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</si>
  <si>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</si>
  <si>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</si>
  <si>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</si>
  <si>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</si>
  <si>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</si>
  <si>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</si>
  <si>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</si>
  <si>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</si>
  <si>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</si>
  <si>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</si>
  <si>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</si>
  <si>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</si>
  <si>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</si>
  <si>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</si>
  <si>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</si>
  <si>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</si>
  <si>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</si>
  <si>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</si>
  <si>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</si>
  <si>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</si>
  <si>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</si>
  <si>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</si>
  <si>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</si>
  <si>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</si>
  <si>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</si>
  <si>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</si>
  <si>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</si>
  <si>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</si>
  <si>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</si>
  <si>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</si>
  <si>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</si>
  <si>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</si>
  <si>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</si>
  <si>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</si>
  <si>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</si>
  <si>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</si>
  <si>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</si>
  <si>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</si>
  <si>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</si>
  <si>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</si>
  <si>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</si>
  <si>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</si>
  <si>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</si>
  <si>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</si>
  <si>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</si>
  <si>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</si>
  <si>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</si>
  <si>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</si>
  <si>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</si>
  <si>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</si>
  <si>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</si>
  <si>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</si>
  <si>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</si>
  <si>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</si>
  <si>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</si>
  <si>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</si>
  <si>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</si>
  <si>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</si>
  <si>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</si>
  <si>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</si>
  <si>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</si>
  <si>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</si>
  <si>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</si>
  <si>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</si>
  <si>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</si>
  <si>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</si>
  <si>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</si>
  <si>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</si>
  <si>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</si>
  <si>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</si>
  <si>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</si>
  <si>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</si>
  <si>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</si>
  <si>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</si>
  <si>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</si>
  <si>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</si>
  <si>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</si>
  <si>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</si>
  <si>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</si>
  <si>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</si>
  <si>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</si>
  <si>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</si>
  <si>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</si>
  <si>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</si>
  <si>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</si>
  <si>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</si>
  <si>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</si>
  <si>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</si>
  <si>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</si>
  <si>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</si>
  <si>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</si>
  <si>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</si>
  <si>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</si>
  <si>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</si>
  <si>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</si>
  <si>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</si>
  <si>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</si>
  <si>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</si>
  <si>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</si>
  <si>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</si>
  <si>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</si>
  <si>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</si>
  <si>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</si>
  <si>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</si>
  <si>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</si>
  <si>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</si>
  <si>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</si>
  <si>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</si>
  <si>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</si>
  <si>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</si>
  <si>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</si>
  <si>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</si>
  <si>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</si>
  <si>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</si>
  <si>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</si>
  <si>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</si>
  <si>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</si>
  <si>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</si>
  <si>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</si>
  <si>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</si>
  <si>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</si>
  <si>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</si>
  <si>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</si>
  <si>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</si>
  <si>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</si>
  <si>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</si>
  <si>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</si>
  <si>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</si>
  <si>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</si>
  <si>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</si>
  <si>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</si>
  <si>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</si>
  <si>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</si>
  <si>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</si>
  <si>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</si>
  <si>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</si>
  <si>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</si>
  <si>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</si>
  <si>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</si>
  <si>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</si>
  <si>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</si>
  <si>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</si>
  <si>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</si>
  <si>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</si>
  <si>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</si>
  <si>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</si>
  <si>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</si>
  <si>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</si>
  <si>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</si>
  <si>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</si>
  <si>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</si>
  <si>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</si>
  <si>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</si>
  <si>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</si>
  <si>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</si>
  <si>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</si>
  <si>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</si>
  <si>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</si>
  <si>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</si>
  <si>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</si>
  <si>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</si>
  <si>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</si>
  <si>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</si>
  <si>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</si>
  <si>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</si>
  <si>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45206_1</t>
  </si>
  <si>
    <t>日向市</t>
    <rPh sb="0" eb="3">
      <t>ヒュウガシ</t>
    </rPh>
    <phoneticPr fontId="1"/>
  </si>
  <si>
    <t>富高小学校</t>
  </si>
  <si>
    <t>45206_2</t>
  </si>
  <si>
    <t>日知屋小学校</t>
  </si>
  <si>
    <t>45206_3</t>
  </si>
  <si>
    <t>財光寺小学校</t>
  </si>
  <si>
    <t>45206_4</t>
  </si>
  <si>
    <t>細島小学校</t>
  </si>
  <si>
    <t>45206_5</t>
  </si>
  <si>
    <t>塩見小学校</t>
  </si>
  <si>
    <t>45206_6</t>
  </si>
  <si>
    <t>平岩小学校</t>
  </si>
  <si>
    <t>45206_7</t>
  </si>
  <si>
    <t>美々津小学校</t>
  </si>
  <si>
    <t>45206_8</t>
  </si>
  <si>
    <t>大王谷小学校</t>
  </si>
  <si>
    <t>45206_9</t>
  </si>
  <si>
    <t>日知屋東小学校</t>
  </si>
  <si>
    <t>45206_10</t>
  </si>
  <si>
    <t>財光寺南小学校</t>
  </si>
  <si>
    <t>45206_11</t>
  </si>
  <si>
    <t>東郷小学校</t>
  </si>
  <si>
    <t>45206_12</t>
  </si>
  <si>
    <t>坪谷小学校</t>
  </si>
  <si>
    <t>45206_13</t>
  </si>
  <si>
    <t>寺迫小学校</t>
  </si>
  <si>
    <t>45206_4</t>
    <phoneticPr fontId="2"/>
  </si>
  <si>
    <t>※将来予測シート①の最後で挙げた問題をもとに考えてみてください。</t>
    <rPh sb="10" eb="12">
      <t>サイゴ</t>
    </rPh>
    <rPh sb="13" eb="14">
      <t>ア</t>
    </rPh>
    <rPh sb="16" eb="18">
      <t>モンダイ</t>
    </rPh>
    <rPh sb="22" eb="23">
      <t>カンガ</t>
    </rPh>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</si>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</sst>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2">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187" fontId="10" fillId="5" borderId="0" xfId="0" applyNumberFormat="1" applyFont="1" applyFill="1" applyAlignment="1">
      <alignment horizontal="center" vertical="center"/>
    </xf>
    <xf numFmtId="177" fontId="10" fillId="5" borderId="0" xfId="0" applyNumberFormat="1"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38" fontId="10" fillId="5" borderId="0" xfId="1" applyFont="1" applyFill="1" applyBorder="1" applyAlignment="1">
      <alignment horizontal="center" vertical="center"/>
    </xf>
    <xf numFmtId="179" fontId="10" fillId="5" borderId="0" xfId="1" applyNumberFormat="1" applyFont="1" applyFill="1" applyBorder="1" applyAlignment="1">
      <alignment horizontal="center" vertical="center"/>
    </xf>
    <xf numFmtId="0" fontId="10" fillId="5" borderId="0" xfId="0" applyFont="1" applyFill="1" applyAlignment="1">
      <alignment horizontal="center" vertical="center"/>
    </xf>
    <xf numFmtId="38" fontId="10" fillId="5" borderId="0" xfId="0" applyNumberFormat="1" applyFont="1" applyFill="1" applyAlignment="1">
      <alignment horizontal="center" vertical="center"/>
    </xf>
    <xf numFmtId="0" fontId="7" fillId="5" borderId="0" xfId="0" applyFont="1" applyFill="1" applyAlignment="1">
      <alignment horizontal="center" vertical="center"/>
    </xf>
    <xf numFmtId="187" fontId="38"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78" fontId="10" fillId="5" borderId="0" xfId="2" applyNumberFormat="1" applyFont="1" applyFill="1" applyAlignment="1">
      <alignment horizontal="center" vertical="center"/>
    </xf>
    <xf numFmtId="38" fontId="10" fillId="5" borderId="0" xfId="1" applyFont="1" applyFill="1" applyAlignment="1">
      <alignment horizontal="center" vertical="center"/>
    </xf>
    <xf numFmtId="0" fontId="18" fillId="5" borderId="0" xfId="0" applyFont="1" applyFill="1" applyAlignment="1">
      <alignment horizontal="right" vertical="center"/>
    </xf>
    <xf numFmtId="0" fontId="3" fillId="10" borderId="1" xfId="0"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11" borderId="1" xfId="0" applyFont="1" applyFill="1" applyBorder="1" applyAlignment="1">
      <alignment horizontal="center" vertical="center"/>
    </xf>
    <xf numFmtId="0" fontId="0" fillId="2" borderId="1" xfId="0" applyFill="1" applyBorder="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125</c:v>
                </c:pt>
                <c:pt idx="1">
                  <c:v>109</c:v>
                </c:pt>
                <c:pt idx="2">
                  <c:v>96</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2153416"/>
        <c:axId val="392148712"/>
      </c:barChart>
      <c:catAx>
        <c:axId val="3921534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148712"/>
        <c:crosses val="autoZero"/>
        <c:auto val="1"/>
        <c:lblAlgn val="ctr"/>
        <c:lblOffset val="100"/>
        <c:noMultiLvlLbl val="0"/>
      </c:catAx>
      <c:valAx>
        <c:axId val="39214871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15341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68</c:v>
                </c:pt>
                <c:pt idx="1">
                  <c:v>50</c:v>
                </c:pt>
                <c:pt idx="2">
                  <c:v>46</c:v>
                </c:pt>
                <c:pt idx="3">
                  <c:v>39</c:v>
                </c:pt>
                <c:pt idx="4">
                  <c:v>30</c:v>
                </c:pt>
                <c:pt idx="5">
                  <c:v>23</c:v>
                </c:pt>
                <c:pt idx="6">
                  <c:v>19</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2151456"/>
        <c:axId val="392152240"/>
      </c:barChart>
      <c:catAx>
        <c:axId val="3921514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152240"/>
        <c:crosses val="autoZero"/>
        <c:auto val="1"/>
        <c:lblAlgn val="ctr"/>
        <c:lblOffset val="100"/>
        <c:noMultiLvlLbl val="0"/>
      </c:catAx>
      <c:valAx>
        <c:axId val="39215224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15145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0.31</c:v>
                </c:pt>
                <c:pt idx="1">
                  <c:v>0.33</c:v>
                </c:pt>
                <c:pt idx="2">
                  <c:v>0.36</c:v>
                </c:pt>
                <c:pt idx="3">
                  <c:v>0.39</c:v>
                </c:pt>
                <c:pt idx="4">
                  <c:v>0.41</c:v>
                </c:pt>
                <c:pt idx="5">
                  <c:v>0.44</c:v>
                </c:pt>
                <c:pt idx="6">
                  <c:v>0.45</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393003408"/>
        <c:axId val="393000272"/>
      </c:barChart>
      <c:catAx>
        <c:axId val="3930034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000272"/>
        <c:crosses val="autoZero"/>
        <c:auto val="1"/>
        <c:lblAlgn val="ctr"/>
        <c:lblOffset val="100"/>
        <c:noMultiLvlLbl val="0"/>
      </c:catAx>
      <c:valAx>
        <c:axId val="39300027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00340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0.19</c:v>
                </c:pt>
                <c:pt idx="1">
                  <c:v>0.2</c:v>
                </c:pt>
                <c:pt idx="2">
                  <c:v>0.21</c:v>
                </c:pt>
                <c:pt idx="3">
                  <c:v>0.22</c:v>
                </c:pt>
                <c:pt idx="4">
                  <c:v>0.24</c:v>
                </c:pt>
                <c:pt idx="5">
                  <c:v>0.26</c:v>
                </c:pt>
                <c:pt idx="6">
                  <c:v>0.28000000000000003</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393001056"/>
        <c:axId val="393003016"/>
      </c:barChart>
      <c:catAx>
        <c:axId val="3930010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003016"/>
        <c:crosses val="autoZero"/>
        <c:auto val="1"/>
        <c:lblAlgn val="ctr"/>
        <c:lblOffset val="100"/>
        <c:noMultiLvlLbl val="0"/>
      </c:catAx>
      <c:valAx>
        <c:axId val="3930030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00105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164895186799638"/>
          <c:y val="2.1489274572511333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4.345681597601278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4F87-45E7-BB9C-4CDBCBF5584B}"/>
                </c:ext>
                <c:ext xmlns:c15="http://schemas.microsoft.com/office/drawing/2012/chart" uri="{CE6537A1-D6FC-4f65-9D91-7224C49458BB}"/>
              </c:extLst>
            </c:dLbl>
            <c:dLbl>
              <c:idx val="20"/>
              <c:layout>
                <c:manualLayout>
                  <c:x val="-3.670825779718085E-2"/>
                  <c:y val="-1.664218823546678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4F87-45E7-BB9C-4CDBCBF5584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22</c:v>
                </c:pt>
                <c:pt idx="1">
                  <c:v>25</c:v>
                </c:pt>
                <c:pt idx="2">
                  <c:v>27</c:v>
                </c:pt>
                <c:pt idx="3">
                  <c:v>27</c:v>
                </c:pt>
                <c:pt idx="4">
                  <c:v>36</c:v>
                </c:pt>
                <c:pt idx="5">
                  <c:v>32</c:v>
                </c:pt>
                <c:pt idx="6">
                  <c:v>40</c:v>
                </c:pt>
                <c:pt idx="7">
                  <c:v>42</c:v>
                </c:pt>
                <c:pt idx="8">
                  <c:v>29</c:v>
                </c:pt>
                <c:pt idx="9">
                  <c:v>44</c:v>
                </c:pt>
                <c:pt idx="10">
                  <c:v>60</c:v>
                </c:pt>
                <c:pt idx="11">
                  <c:v>55</c:v>
                </c:pt>
                <c:pt idx="12">
                  <c:v>67</c:v>
                </c:pt>
                <c:pt idx="13">
                  <c:v>63</c:v>
                </c:pt>
                <c:pt idx="14">
                  <c:v>67</c:v>
                </c:pt>
                <c:pt idx="15">
                  <c:v>61</c:v>
                </c:pt>
                <c:pt idx="16">
                  <c:v>47</c:v>
                </c:pt>
                <c:pt idx="17">
                  <c:v>22</c:v>
                </c:pt>
                <c:pt idx="18">
                  <c:v>9</c:v>
                </c:pt>
                <c:pt idx="19">
                  <c:v>2</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393006152"/>
        <c:axId val="392998704"/>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20</c:v>
                </c:pt>
                <c:pt idx="1">
                  <c:v>21</c:v>
                </c:pt>
                <c:pt idx="2">
                  <c:v>24</c:v>
                </c:pt>
                <c:pt idx="3">
                  <c:v>21</c:v>
                </c:pt>
                <c:pt idx="4">
                  <c:v>24</c:v>
                </c:pt>
                <c:pt idx="5">
                  <c:v>20</c:v>
                </c:pt>
                <c:pt idx="6">
                  <c:v>26</c:v>
                </c:pt>
                <c:pt idx="7">
                  <c:v>37</c:v>
                </c:pt>
                <c:pt idx="8">
                  <c:v>37</c:v>
                </c:pt>
                <c:pt idx="9">
                  <c:v>40</c:v>
                </c:pt>
                <c:pt idx="10">
                  <c:v>58</c:v>
                </c:pt>
                <c:pt idx="11">
                  <c:v>49</c:v>
                </c:pt>
                <c:pt idx="12">
                  <c:v>64</c:v>
                </c:pt>
                <c:pt idx="13">
                  <c:v>66</c:v>
                </c:pt>
                <c:pt idx="14">
                  <c:v>70</c:v>
                </c:pt>
                <c:pt idx="15">
                  <c:v>85</c:v>
                </c:pt>
                <c:pt idx="16">
                  <c:v>63</c:v>
                </c:pt>
                <c:pt idx="17">
                  <c:v>50</c:v>
                </c:pt>
                <c:pt idx="18">
                  <c:v>30</c:v>
                </c:pt>
                <c:pt idx="19">
                  <c:v>13</c:v>
                </c:pt>
                <c:pt idx="20">
                  <c:v>6</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393000664"/>
        <c:axId val="393004584"/>
      </c:barChart>
      <c:catAx>
        <c:axId val="39300615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998704"/>
        <c:crosses val="autoZero"/>
        <c:auto val="1"/>
        <c:lblAlgn val="ctr"/>
        <c:lblOffset val="100"/>
        <c:noMultiLvlLbl val="0"/>
      </c:catAx>
      <c:valAx>
        <c:axId val="392998704"/>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006152"/>
        <c:crosses val="autoZero"/>
        <c:crossBetween val="between"/>
        <c:majorUnit val="100"/>
      </c:valAx>
      <c:valAx>
        <c:axId val="393004584"/>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000664"/>
        <c:crosses val="max"/>
        <c:crossBetween val="between"/>
        <c:majorUnit val="100"/>
      </c:valAx>
      <c:catAx>
        <c:axId val="393000664"/>
        <c:scaling>
          <c:orientation val="minMax"/>
        </c:scaling>
        <c:delete val="1"/>
        <c:axPos val="l"/>
        <c:numFmt formatCode="General" sourceLinked="1"/>
        <c:majorTickMark val="out"/>
        <c:minorTickMark val="none"/>
        <c:tickLblPos val="nextTo"/>
        <c:crossAx val="39300458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1.7142999188841804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62CC-407C-B325-26974980A6C9}"/>
                </c:ext>
                <c:ext xmlns:c15="http://schemas.microsoft.com/office/drawing/2012/chart" uri="{CE6537A1-D6FC-4f65-9D91-7224C49458BB}"/>
              </c:extLst>
            </c:dLbl>
            <c:dLbl>
              <c:idx val="20"/>
              <c:layout>
                <c:manualLayout>
                  <c:x val="-3.5664332915034076E-2"/>
                  <c:y val="-1.665441845655767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62CC-407C-B325-26974980A6C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14</c:v>
                </c:pt>
                <c:pt idx="1">
                  <c:v>17</c:v>
                </c:pt>
                <c:pt idx="2">
                  <c:v>18</c:v>
                </c:pt>
                <c:pt idx="3">
                  <c:v>17</c:v>
                </c:pt>
                <c:pt idx="4">
                  <c:v>23</c:v>
                </c:pt>
                <c:pt idx="5">
                  <c:v>24</c:v>
                </c:pt>
                <c:pt idx="6">
                  <c:v>27</c:v>
                </c:pt>
                <c:pt idx="7">
                  <c:v>27</c:v>
                </c:pt>
                <c:pt idx="8">
                  <c:v>34</c:v>
                </c:pt>
                <c:pt idx="9">
                  <c:v>39</c:v>
                </c:pt>
                <c:pt idx="10">
                  <c:v>28</c:v>
                </c:pt>
                <c:pt idx="11">
                  <c:v>45</c:v>
                </c:pt>
                <c:pt idx="12">
                  <c:v>64</c:v>
                </c:pt>
                <c:pt idx="13">
                  <c:v>53</c:v>
                </c:pt>
                <c:pt idx="14">
                  <c:v>61</c:v>
                </c:pt>
                <c:pt idx="15">
                  <c:v>56</c:v>
                </c:pt>
                <c:pt idx="16">
                  <c:v>44</c:v>
                </c:pt>
                <c:pt idx="17">
                  <c:v>28</c:v>
                </c:pt>
                <c:pt idx="18">
                  <c:v>9</c:v>
                </c:pt>
                <c:pt idx="19">
                  <c:v>1</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393003800"/>
        <c:axId val="393002232"/>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13</c:v>
                </c:pt>
                <c:pt idx="1">
                  <c:v>14</c:v>
                </c:pt>
                <c:pt idx="2">
                  <c:v>16</c:v>
                </c:pt>
                <c:pt idx="3">
                  <c:v>13</c:v>
                </c:pt>
                <c:pt idx="4">
                  <c:v>14</c:v>
                </c:pt>
                <c:pt idx="5">
                  <c:v>16</c:v>
                </c:pt>
                <c:pt idx="6">
                  <c:v>21</c:v>
                </c:pt>
                <c:pt idx="7">
                  <c:v>19</c:v>
                </c:pt>
                <c:pt idx="8">
                  <c:v>24</c:v>
                </c:pt>
                <c:pt idx="9">
                  <c:v>30</c:v>
                </c:pt>
                <c:pt idx="10">
                  <c:v>36</c:v>
                </c:pt>
                <c:pt idx="11">
                  <c:v>45</c:v>
                </c:pt>
                <c:pt idx="12">
                  <c:v>57</c:v>
                </c:pt>
                <c:pt idx="13">
                  <c:v>48</c:v>
                </c:pt>
                <c:pt idx="14">
                  <c:v>63</c:v>
                </c:pt>
                <c:pt idx="15">
                  <c:v>59</c:v>
                </c:pt>
                <c:pt idx="16">
                  <c:v>56</c:v>
                </c:pt>
                <c:pt idx="17">
                  <c:v>59</c:v>
                </c:pt>
                <c:pt idx="18">
                  <c:v>28</c:v>
                </c:pt>
                <c:pt idx="19">
                  <c:v>10</c:v>
                </c:pt>
                <c:pt idx="20">
                  <c:v>4</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393004976"/>
        <c:axId val="393002624"/>
      </c:barChart>
      <c:catAx>
        <c:axId val="39300380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002232"/>
        <c:crosses val="autoZero"/>
        <c:auto val="1"/>
        <c:lblAlgn val="ctr"/>
        <c:lblOffset val="100"/>
        <c:noMultiLvlLbl val="0"/>
      </c:catAx>
      <c:valAx>
        <c:axId val="393002232"/>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003800"/>
        <c:crosses val="autoZero"/>
        <c:crossBetween val="between"/>
        <c:majorUnit val="100"/>
      </c:valAx>
      <c:valAx>
        <c:axId val="393002624"/>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004976"/>
        <c:crosses val="max"/>
        <c:crossBetween val="between"/>
        <c:majorUnit val="100"/>
      </c:valAx>
      <c:catAx>
        <c:axId val="393004976"/>
        <c:scaling>
          <c:orientation val="minMax"/>
        </c:scaling>
        <c:delete val="1"/>
        <c:axPos val="l"/>
        <c:numFmt formatCode="General" sourceLinked="1"/>
        <c:majorTickMark val="out"/>
        <c:minorTickMark val="none"/>
        <c:tickLblPos val="nextTo"/>
        <c:crossAx val="39300262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2314</c:v>
                </c:pt>
                <c:pt idx="1">
                  <c:v>2182</c:v>
                </c:pt>
                <c:pt idx="2">
                  <c:v>1970</c:v>
                </c:pt>
                <c:pt idx="3">
                  <c:v>1777</c:v>
                </c:pt>
                <c:pt idx="4">
                  <c:v>1601</c:v>
                </c:pt>
                <c:pt idx="5">
                  <c:v>1433</c:v>
                </c:pt>
                <c:pt idx="6">
                  <c:v>1274</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FCC2-4275-A74C-1BFBC1FC9EB1}"/>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CC2-4275-A74C-1BFBC1FC9EB1}"/>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FCC2-4275-A74C-1BFBC1FC9EB1}"/>
                </c:ext>
                <c:ext xmlns:c15="http://schemas.microsoft.com/office/drawing/2012/chart" uri="{CE6537A1-D6FC-4f65-9D91-7224C49458BB}"/>
              </c:extLst>
            </c:dLbl>
            <c:dLbl>
              <c:idx val="6"/>
              <c:layout>
                <c:manualLayout>
                  <c:x val="0"/>
                  <c:y val="-1.6301474593526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CC2-4275-A74C-1BFBC1FC9EB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1786</c:v>
                </c:pt>
                <c:pt idx="4" formatCode="#,##0_);[Red]\(#,##0\)">
                  <c:v>1620</c:v>
                </c:pt>
                <c:pt idx="5" formatCode="#,##0_);[Red]\(#,##0\)">
                  <c:v>1461</c:v>
                </c:pt>
                <c:pt idx="6" formatCode="#,##0_);[Red]\(#,##0\)">
                  <c:v>1309</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393005368"/>
        <c:axId val="393005760"/>
      </c:barChart>
      <c:catAx>
        <c:axId val="3930053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005760"/>
        <c:crosses val="autoZero"/>
        <c:auto val="1"/>
        <c:lblAlgn val="ctr"/>
        <c:lblOffset val="100"/>
        <c:noMultiLvlLbl val="0"/>
      </c:catAx>
      <c:valAx>
        <c:axId val="39300576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005368"/>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7.410854014346295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125</c:v>
                </c:pt>
                <c:pt idx="1">
                  <c:v>109</c:v>
                </c:pt>
                <c:pt idx="2">
                  <c:v>96</c:v>
                </c:pt>
                <c:pt idx="3">
                  <c:v>75</c:v>
                </c:pt>
                <c:pt idx="4">
                  <c:v>58</c:v>
                </c:pt>
                <c:pt idx="5">
                  <c:v>48</c:v>
                </c:pt>
                <c:pt idx="6">
                  <c:v>39</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76</c:v>
                </c:pt>
                <c:pt idx="4">
                  <c:v>60</c:v>
                </c:pt>
                <c:pt idx="5">
                  <c:v>52</c:v>
                </c:pt>
                <c:pt idx="6">
                  <c:v>44</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392999880"/>
        <c:axId val="392742496"/>
      </c:barChart>
      <c:catAx>
        <c:axId val="3929998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742496"/>
        <c:crosses val="autoZero"/>
        <c:auto val="1"/>
        <c:lblAlgn val="ctr"/>
        <c:lblOffset val="100"/>
        <c:noMultiLvlLbl val="0"/>
      </c:catAx>
      <c:valAx>
        <c:axId val="39274249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999880"/>
        <c:crosses val="autoZero"/>
        <c:crossBetween val="between"/>
      </c:valAx>
      <c:spPr>
        <a:noFill/>
        <a:ln>
          <a:noFill/>
        </a:ln>
        <a:effectLst/>
      </c:spPr>
    </c:plotArea>
    <c:legend>
      <c:legendPos val="t"/>
      <c:layout>
        <c:manualLayout>
          <c:xMode val="edge"/>
          <c:yMode val="edge"/>
          <c:x val="5.5207664058325827E-2"/>
          <c:y val="0.14774313634248487"/>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0.31</c:v>
                </c:pt>
                <c:pt idx="1">
                  <c:v>0.33</c:v>
                </c:pt>
                <c:pt idx="2">
                  <c:v>0.36</c:v>
                </c:pt>
                <c:pt idx="3">
                  <c:v>0.39</c:v>
                </c:pt>
                <c:pt idx="4">
                  <c:v>0.41</c:v>
                </c:pt>
                <c:pt idx="5">
                  <c:v>0.44</c:v>
                </c:pt>
                <c:pt idx="6">
                  <c:v>0.45</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4965-43A9-97C6-C1623F3841E5}"/>
                </c:ext>
                <c:ext xmlns:c15="http://schemas.microsoft.com/office/drawing/2012/chart" uri="{CE6537A1-D6FC-4f65-9D91-7224C49458BB}"/>
              </c:extLst>
            </c:dLbl>
            <c:dLbl>
              <c:idx val="4"/>
              <c:layout>
                <c:manualLayout>
                  <c:x val="2.3218844926453002E-3"/>
                  <c:y val="-0.10307065795691059"/>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4965-43A9-97C6-C1623F3841E5}"/>
                </c:ext>
                <c:ext xmlns:c15="http://schemas.microsoft.com/office/drawing/2012/chart" uri="{CE6537A1-D6FC-4f65-9D91-7224C49458BB}"/>
              </c:extLst>
            </c:dLbl>
            <c:dLbl>
              <c:idx val="5"/>
              <c:layout>
                <c:manualLayout>
                  <c:x val="6.9656244598342194E-3"/>
                  <c:y val="-9.6136942845744366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4965-43A9-97C6-C1623F3841E5}"/>
                </c:ext>
                <c:ext xmlns:c15="http://schemas.microsoft.com/office/drawing/2012/chart" uri="{CE6537A1-D6FC-4f65-9D91-7224C49458BB}"/>
              </c:extLst>
            </c:dLbl>
            <c:dLbl>
              <c:idx val="6"/>
              <c:layout>
                <c:manualLayout>
                  <c:x val="1.5037542100321082E-2"/>
                  <c:y val="-0.10105631772482351"/>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4965-43A9-97C6-C1623F3841E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0.38</c:v>
                </c:pt>
                <c:pt idx="4" formatCode="0%">
                  <c:v>0.4</c:v>
                </c:pt>
                <c:pt idx="5" formatCode="0%">
                  <c:v>0.43</c:v>
                </c:pt>
                <c:pt idx="6" formatCode="0%">
                  <c:v>0.44</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392738184"/>
        <c:axId val="392745240"/>
      </c:barChart>
      <c:catAx>
        <c:axId val="3927381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745240"/>
        <c:crosses val="autoZero"/>
        <c:auto val="1"/>
        <c:lblAlgn val="ctr"/>
        <c:lblOffset val="100"/>
        <c:noMultiLvlLbl val="0"/>
      </c:catAx>
      <c:valAx>
        <c:axId val="39274524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738184"/>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0.19</c:v>
                </c:pt>
                <c:pt idx="1">
                  <c:v>0.2</c:v>
                </c:pt>
                <c:pt idx="2">
                  <c:v>0.21</c:v>
                </c:pt>
                <c:pt idx="3">
                  <c:v>0.22</c:v>
                </c:pt>
                <c:pt idx="4">
                  <c:v>0.24</c:v>
                </c:pt>
                <c:pt idx="5">
                  <c:v>0.26</c:v>
                </c:pt>
                <c:pt idx="6">
                  <c:v>0.28000000000000003</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29A2-4CA5-9370-C8F4F7E6BB9A}"/>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29A2-4CA5-9370-C8F4F7E6BB9A}"/>
                </c:ext>
                <c:ext xmlns:c15="http://schemas.microsoft.com/office/drawing/2012/chart" uri="{CE6537A1-D6FC-4f65-9D91-7224C49458BB}"/>
              </c:extLst>
            </c:dLbl>
            <c:dLbl>
              <c:idx val="5"/>
              <c:layout>
                <c:manualLayout>
                  <c:x val="4.8280571402974145E-3"/>
                  <c:y val="-0.1012677784915008"/>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29A2-4CA5-9370-C8F4F7E6BB9A}"/>
                </c:ext>
                <c:ext xmlns:c15="http://schemas.microsoft.com/office/drawing/2012/chart" uri="{CE6537A1-D6FC-4f65-9D91-7224C49458BB}"/>
              </c:extLst>
            </c:dLbl>
            <c:dLbl>
              <c:idx val="6"/>
              <c:layout>
                <c:manualLayout>
                  <c:x val="2.6387760195038128E-2"/>
                  <c:y val="-0.10900273923356167"/>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29A2-4CA5-9370-C8F4F7E6BB9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0.22</c:v>
                </c:pt>
                <c:pt idx="4" formatCode="0%">
                  <c:v>0.24</c:v>
                </c:pt>
                <c:pt idx="5" formatCode="0%">
                  <c:v>0.26</c:v>
                </c:pt>
                <c:pt idx="6" formatCode="0%">
                  <c:v>0.27</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392740928"/>
        <c:axId val="392742888"/>
      </c:barChart>
      <c:catAx>
        <c:axId val="3927409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742888"/>
        <c:crosses val="autoZero"/>
        <c:auto val="1"/>
        <c:lblAlgn val="ctr"/>
        <c:lblOffset val="100"/>
        <c:noMultiLvlLbl val="0"/>
      </c:catAx>
      <c:valAx>
        <c:axId val="39274288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740928"/>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68</c:v>
                </c:pt>
                <c:pt idx="1">
                  <c:v>50</c:v>
                </c:pt>
                <c:pt idx="2">
                  <c:v>46</c:v>
                </c:pt>
                <c:pt idx="3">
                  <c:v>39</c:v>
                </c:pt>
                <c:pt idx="4">
                  <c:v>30</c:v>
                </c:pt>
                <c:pt idx="5">
                  <c:v>23</c:v>
                </c:pt>
                <c:pt idx="6">
                  <c:v>19</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4.10288002212637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39</c:v>
                </c:pt>
                <c:pt idx="4">
                  <c:v>31</c:v>
                </c:pt>
                <c:pt idx="5">
                  <c:v>25</c:v>
                </c:pt>
                <c:pt idx="6">
                  <c:v>22</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392741320"/>
        <c:axId val="392738968"/>
      </c:barChart>
      <c:catAx>
        <c:axId val="3927413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738968"/>
        <c:crosses val="autoZero"/>
        <c:auto val="1"/>
        <c:lblAlgn val="ctr"/>
        <c:lblOffset val="100"/>
        <c:noMultiLvlLbl val="0"/>
      </c:catAx>
      <c:valAx>
        <c:axId val="39273896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741320"/>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68</c:v>
                </c:pt>
                <c:pt idx="1">
                  <c:v>50</c:v>
                </c:pt>
                <c:pt idx="2">
                  <c:v>46</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2149496"/>
        <c:axId val="392149104"/>
      </c:barChart>
      <c:catAx>
        <c:axId val="3921494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149104"/>
        <c:crosses val="autoZero"/>
        <c:auto val="1"/>
        <c:lblAlgn val="ctr"/>
        <c:lblOffset val="100"/>
        <c:noMultiLvlLbl val="0"/>
      </c:catAx>
      <c:valAx>
        <c:axId val="39214910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14949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2.242335743742743E-3"/>
                  <c:y val="1.61406037221248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5196-4B61-ACFA-1600F3AAA8F6}"/>
                </c:ext>
                <c:ext xmlns:c15="http://schemas.microsoft.com/office/drawing/2012/chart" uri="{CE6537A1-D6FC-4f65-9D91-7224C49458BB}"/>
              </c:extLst>
            </c:dLbl>
            <c:dLbl>
              <c:idx val="20"/>
              <c:layout>
                <c:manualLayout>
                  <c:x val="-3.628872106545971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196-4B61-ACFA-1600F3AAA8F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23</c:v>
                </c:pt>
                <c:pt idx="1">
                  <c:v>26</c:v>
                </c:pt>
                <c:pt idx="2">
                  <c:v>28</c:v>
                </c:pt>
                <c:pt idx="3">
                  <c:v>28</c:v>
                </c:pt>
                <c:pt idx="4">
                  <c:v>36</c:v>
                </c:pt>
                <c:pt idx="5">
                  <c:v>34</c:v>
                </c:pt>
                <c:pt idx="6">
                  <c:v>42</c:v>
                </c:pt>
                <c:pt idx="7">
                  <c:v>42</c:v>
                </c:pt>
                <c:pt idx="8">
                  <c:v>29</c:v>
                </c:pt>
                <c:pt idx="9">
                  <c:v>44</c:v>
                </c:pt>
                <c:pt idx="10">
                  <c:v>60</c:v>
                </c:pt>
                <c:pt idx="11">
                  <c:v>55</c:v>
                </c:pt>
                <c:pt idx="12">
                  <c:v>67</c:v>
                </c:pt>
                <c:pt idx="13">
                  <c:v>63</c:v>
                </c:pt>
                <c:pt idx="14">
                  <c:v>67</c:v>
                </c:pt>
                <c:pt idx="15">
                  <c:v>61</c:v>
                </c:pt>
                <c:pt idx="16">
                  <c:v>47</c:v>
                </c:pt>
                <c:pt idx="17">
                  <c:v>22</c:v>
                </c:pt>
                <c:pt idx="18">
                  <c:v>9</c:v>
                </c:pt>
                <c:pt idx="19">
                  <c:v>2</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392744848"/>
        <c:axId val="392740144"/>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22</c:v>
                </c:pt>
                <c:pt idx="1">
                  <c:v>22</c:v>
                </c:pt>
                <c:pt idx="2">
                  <c:v>25</c:v>
                </c:pt>
                <c:pt idx="3">
                  <c:v>22</c:v>
                </c:pt>
                <c:pt idx="4">
                  <c:v>24</c:v>
                </c:pt>
                <c:pt idx="5">
                  <c:v>22</c:v>
                </c:pt>
                <c:pt idx="6">
                  <c:v>28</c:v>
                </c:pt>
                <c:pt idx="7">
                  <c:v>37</c:v>
                </c:pt>
                <c:pt idx="8">
                  <c:v>38</c:v>
                </c:pt>
                <c:pt idx="9">
                  <c:v>41</c:v>
                </c:pt>
                <c:pt idx="10">
                  <c:v>58</c:v>
                </c:pt>
                <c:pt idx="11">
                  <c:v>49</c:v>
                </c:pt>
                <c:pt idx="12">
                  <c:v>64</c:v>
                </c:pt>
                <c:pt idx="13">
                  <c:v>66</c:v>
                </c:pt>
                <c:pt idx="14">
                  <c:v>70</c:v>
                </c:pt>
                <c:pt idx="15">
                  <c:v>85</c:v>
                </c:pt>
                <c:pt idx="16">
                  <c:v>63</c:v>
                </c:pt>
                <c:pt idx="17">
                  <c:v>50</c:v>
                </c:pt>
                <c:pt idx="18">
                  <c:v>30</c:v>
                </c:pt>
                <c:pt idx="19">
                  <c:v>13</c:v>
                </c:pt>
                <c:pt idx="20">
                  <c:v>6</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392742104"/>
        <c:axId val="392740536"/>
      </c:barChart>
      <c:catAx>
        <c:axId val="39274484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740144"/>
        <c:crosses val="autoZero"/>
        <c:auto val="1"/>
        <c:lblAlgn val="ctr"/>
        <c:lblOffset val="100"/>
        <c:noMultiLvlLbl val="0"/>
      </c:catAx>
      <c:valAx>
        <c:axId val="392740144"/>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744848"/>
        <c:crosses val="autoZero"/>
        <c:crossBetween val="between"/>
        <c:majorUnit val="100"/>
      </c:valAx>
      <c:valAx>
        <c:axId val="392740536"/>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742104"/>
        <c:crosses val="max"/>
        <c:crossBetween val="between"/>
        <c:majorUnit val="100"/>
      </c:valAx>
      <c:catAx>
        <c:axId val="392742104"/>
        <c:scaling>
          <c:orientation val="minMax"/>
        </c:scaling>
        <c:delete val="1"/>
        <c:axPos val="l"/>
        <c:numFmt formatCode="General" sourceLinked="1"/>
        <c:majorTickMark val="out"/>
        <c:minorTickMark val="none"/>
        <c:tickLblPos val="nextTo"/>
        <c:crossAx val="39274053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1.7654796821233188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889-4495-9EDE-0C1D2D0AF492}"/>
                </c:ext>
                <c:ext xmlns:c15="http://schemas.microsoft.com/office/drawing/2012/chart" uri="{CE6537A1-D6FC-4f65-9D91-7224C49458BB}"/>
              </c:extLst>
            </c:dLbl>
            <c:dLbl>
              <c:idx val="20"/>
              <c:layout>
                <c:manualLayout>
                  <c:x val="-3.62887210654597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889-4495-9EDE-0C1D2D0AF49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16</c:v>
                </c:pt>
                <c:pt idx="1">
                  <c:v>19</c:v>
                </c:pt>
                <c:pt idx="2">
                  <c:v>20</c:v>
                </c:pt>
                <c:pt idx="3">
                  <c:v>18</c:v>
                </c:pt>
                <c:pt idx="4">
                  <c:v>24</c:v>
                </c:pt>
                <c:pt idx="5">
                  <c:v>26</c:v>
                </c:pt>
                <c:pt idx="6">
                  <c:v>28</c:v>
                </c:pt>
                <c:pt idx="7">
                  <c:v>29</c:v>
                </c:pt>
                <c:pt idx="8">
                  <c:v>35</c:v>
                </c:pt>
                <c:pt idx="9">
                  <c:v>39</c:v>
                </c:pt>
                <c:pt idx="10">
                  <c:v>28</c:v>
                </c:pt>
                <c:pt idx="11">
                  <c:v>45</c:v>
                </c:pt>
                <c:pt idx="12">
                  <c:v>64</c:v>
                </c:pt>
                <c:pt idx="13">
                  <c:v>53</c:v>
                </c:pt>
                <c:pt idx="14">
                  <c:v>61</c:v>
                </c:pt>
                <c:pt idx="15">
                  <c:v>56</c:v>
                </c:pt>
                <c:pt idx="16">
                  <c:v>44</c:v>
                </c:pt>
                <c:pt idx="17">
                  <c:v>28</c:v>
                </c:pt>
                <c:pt idx="18">
                  <c:v>9</c:v>
                </c:pt>
                <c:pt idx="19">
                  <c:v>1</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392744064"/>
        <c:axId val="392741712"/>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16</c:v>
                </c:pt>
                <c:pt idx="1">
                  <c:v>16</c:v>
                </c:pt>
                <c:pt idx="2">
                  <c:v>18</c:v>
                </c:pt>
                <c:pt idx="3">
                  <c:v>14</c:v>
                </c:pt>
                <c:pt idx="4">
                  <c:v>14</c:v>
                </c:pt>
                <c:pt idx="5">
                  <c:v>19</c:v>
                </c:pt>
                <c:pt idx="6">
                  <c:v>23</c:v>
                </c:pt>
                <c:pt idx="7">
                  <c:v>21</c:v>
                </c:pt>
                <c:pt idx="8">
                  <c:v>27</c:v>
                </c:pt>
                <c:pt idx="9">
                  <c:v>31</c:v>
                </c:pt>
                <c:pt idx="10">
                  <c:v>37</c:v>
                </c:pt>
                <c:pt idx="11">
                  <c:v>46</c:v>
                </c:pt>
                <c:pt idx="12">
                  <c:v>57</c:v>
                </c:pt>
                <c:pt idx="13">
                  <c:v>48</c:v>
                </c:pt>
                <c:pt idx="14">
                  <c:v>63</c:v>
                </c:pt>
                <c:pt idx="15">
                  <c:v>59</c:v>
                </c:pt>
                <c:pt idx="16">
                  <c:v>56</c:v>
                </c:pt>
                <c:pt idx="17">
                  <c:v>59</c:v>
                </c:pt>
                <c:pt idx="18">
                  <c:v>28</c:v>
                </c:pt>
                <c:pt idx="19">
                  <c:v>10</c:v>
                </c:pt>
                <c:pt idx="20">
                  <c:v>4</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392743672"/>
        <c:axId val="392744456"/>
      </c:barChart>
      <c:catAx>
        <c:axId val="39274406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741712"/>
        <c:crosses val="autoZero"/>
        <c:auto val="1"/>
        <c:lblAlgn val="ctr"/>
        <c:lblOffset val="100"/>
        <c:noMultiLvlLbl val="0"/>
      </c:catAx>
      <c:valAx>
        <c:axId val="392741712"/>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744064"/>
        <c:crosses val="autoZero"/>
        <c:crossBetween val="between"/>
        <c:majorUnit val="100"/>
      </c:valAx>
      <c:valAx>
        <c:axId val="392744456"/>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743672"/>
        <c:crosses val="max"/>
        <c:crossBetween val="between"/>
        <c:majorUnit val="100"/>
      </c:valAx>
      <c:catAx>
        <c:axId val="392743672"/>
        <c:scaling>
          <c:orientation val="minMax"/>
        </c:scaling>
        <c:delete val="1"/>
        <c:axPos val="l"/>
        <c:numFmt formatCode="General" sourceLinked="1"/>
        <c:majorTickMark val="out"/>
        <c:minorTickMark val="none"/>
        <c:tickLblPos val="nextTo"/>
        <c:crossAx val="39274445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20"/>
              <c:layout>
                <c:manualLayout>
                  <c:x val="-4.0124220462720558E-2"/>
                  <c:y val="1.60109227271266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0F90-4189-8BFB-05EF86F4786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42</c:v>
                </c:pt>
                <c:pt idx="1">
                  <c:v>46</c:v>
                </c:pt>
                <c:pt idx="2">
                  <c:v>51</c:v>
                </c:pt>
                <c:pt idx="3">
                  <c:v>48</c:v>
                </c:pt>
                <c:pt idx="4">
                  <c:v>60</c:v>
                </c:pt>
                <c:pt idx="5">
                  <c:v>52</c:v>
                </c:pt>
                <c:pt idx="6">
                  <c:v>66</c:v>
                </c:pt>
                <c:pt idx="7">
                  <c:v>79</c:v>
                </c:pt>
                <c:pt idx="8">
                  <c:v>66</c:v>
                </c:pt>
                <c:pt idx="9">
                  <c:v>84</c:v>
                </c:pt>
                <c:pt idx="10">
                  <c:v>118</c:v>
                </c:pt>
                <c:pt idx="11">
                  <c:v>104</c:v>
                </c:pt>
                <c:pt idx="12">
                  <c:v>131</c:v>
                </c:pt>
                <c:pt idx="13">
                  <c:v>129</c:v>
                </c:pt>
                <c:pt idx="14">
                  <c:v>137</c:v>
                </c:pt>
                <c:pt idx="15">
                  <c:v>146</c:v>
                </c:pt>
                <c:pt idx="16">
                  <c:v>110</c:v>
                </c:pt>
                <c:pt idx="17">
                  <c:v>72</c:v>
                </c:pt>
                <c:pt idx="18">
                  <c:v>39</c:v>
                </c:pt>
                <c:pt idx="19">
                  <c:v>15</c:v>
                </c:pt>
                <c:pt idx="20">
                  <c:v>6</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7243984"/>
        <c:axId val="457236536"/>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45</c:v>
                </c:pt>
                <c:pt idx="1">
                  <c:v>48</c:v>
                </c:pt>
                <c:pt idx="2">
                  <c:v>53</c:v>
                </c:pt>
                <c:pt idx="3">
                  <c:v>50</c:v>
                </c:pt>
                <c:pt idx="4">
                  <c:v>60</c:v>
                </c:pt>
                <c:pt idx="5">
                  <c:v>56</c:v>
                </c:pt>
                <c:pt idx="6">
                  <c:v>70</c:v>
                </c:pt>
                <c:pt idx="7">
                  <c:v>79</c:v>
                </c:pt>
                <c:pt idx="8">
                  <c:v>67</c:v>
                </c:pt>
                <c:pt idx="9">
                  <c:v>85</c:v>
                </c:pt>
                <c:pt idx="10">
                  <c:v>118</c:v>
                </c:pt>
                <c:pt idx="11">
                  <c:v>104</c:v>
                </c:pt>
                <c:pt idx="12">
                  <c:v>131</c:v>
                </c:pt>
                <c:pt idx="13">
                  <c:v>129</c:v>
                </c:pt>
                <c:pt idx="14">
                  <c:v>137</c:v>
                </c:pt>
                <c:pt idx="15">
                  <c:v>146</c:v>
                </c:pt>
                <c:pt idx="16">
                  <c:v>110</c:v>
                </c:pt>
                <c:pt idx="17">
                  <c:v>72</c:v>
                </c:pt>
                <c:pt idx="18">
                  <c:v>39</c:v>
                </c:pt>
                <c:pt idx="19">
                  <c:v>15</c:v>
                </c:pt>
                <c:pt idx="20">
                  <c:v>6</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7242808"/>
        <c:axId val="457237712"/>
      </c:barChart>
      <c:catAx>
        <c:axId val="45724398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236536"/>
        <c:crosses val="autoZero"/>
        <c:auto val="1"/>
        <c:lblAlgn val="ctr"/>
        <c:lblOffset val="100"/>
        <c:noMultiLvlLbl val="0"/>
      </c:catAx>
      <c:valAx>
        <c:axId val="457236536"/>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243984"/>
        <c:crosses val="autoZero"/>
        <c:crossBetween val="between"/>
        <c:majorUnit val="150"/>
      </c:valAx>
      <c:valAx>
        <c:axId val="457237712"/>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242808"/>
        <c:crosses val="max"/>
        <c:crossBetween val="between"/>
        <c:majorUnit val="150"/>
      </c:valAx>
      <c:catAx>
        <c:axId val="457242808"/>
        <c:scaling>
          <c:orientation val="minMax"/>
        </c:scaling>
        <c:delete val="1"/>
        <c:axPos val="l"/>
        <c:numFmt formatCode="General" sourceLinked="1"/>
        <c:majorTickMark val="out"/>
        <c:minorTickMark val="none"/>
        <c:tickLblPos val="nextTo"/>
        <c:crossAx val="457237712"/>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20"/>
              <c:layout>
                <c:manualLayout>
                  <c:x val="-4.0099316018339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8845-4E8E-A4E1-C6FEBB3A70B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27</c:v>
                </c:pt>
                <c:pt idx="1">
                  <c:v>31</c:v>
                </c:pt>
                <c:pt idx="2">
                  <c:v>34</c:v>
                </c:pt>
                <c:pt idx="3">
                  <c:v>30</c:v>
                </c:pt>
                <c:pt idx="4">
                  <c:v>37</c:v>
                </c:pt>
                <c:pt idx="5">
                  <c:v>40</c:v>
                </c:pt>
                <c:pt idx="6">
                  <c:v>48</c:v>
                </c:pt>
                <c:pt idx="7">
                  <c:v>46</c:v>
                </c:pt>
                <c:pt idx="8">
                  <c:v>58</c:v>
                </c:pt>
                <c:pt idx="9">
                  <c:v>69</c:v>
                </c:pt>
                <c:pt idx="10">
                  <c:v>64</c:v>
                </c:pt>
                <c:pt idx="11">
                  <c:v>90</c:v>
                </c:pt>
                <c:pt idx="12">
                  <c:v>121</c:v>
                </c:pt>
                <c:pt idx="13">
                  <c:v>101</c:v>
                </c:pt>
                <c:pt idx="14">
                  <c:v>124</c:v>
                </c:pt>
                <c:pt idx="15">
                  <c:v>115</c:v>
                </c:pt>
                <c:pt idx="16">
                  <c:v>100</c:v>
                </c:pt>
                <c:pt idx="17">
                  <c:v>87</c:v>
                </c:pt>
                <c:pt idx="18">
                  <c:v>37</c:v>
                </c:pt>
                <c:pt idx="19">
                  <c:v>11</c:v>
                </c:pt>
                <c:pt idx="20">
                  <c:v>4</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7239280"/>
        <c:axId val="457238104"/>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32</c:v>
                </c:pt>
                <c:pt idx="1">
                  <c:v>35</c:v>
                </c:pt>
                <c:pt idx="2">
                  <c:v>38</c:v>
                </c:pt>
                <c:pt idx="3">
                  <c:v>32</c:v>
                </c:pt>
                <c:pt idx="4">
                  <c:v>38</c:v>
                </c:pt>
                <c:pt idx="5">
                  <c:v>45</c:v>
                </c:pt>
                <c:pt idx="6">
                  <c:v>51</c:v>
                </c:pt>
                <c:pt idx="7">
                  <c:v>50</c:v>
                </c:pt>
                <c:pt idx="8">
                  <c:v>62</c:v>
                </c:pt>
                <c:pt idx="9">
                  <c:v>70</c:v>
                </c:pt>
                <c:pt idx="10">
                  <c:v>65</c:v>
                </c:pt>
                <c:pt idx="11">
                  <c:v>91</c:v>
                </c:pt>
                <c:pt idx="12">
                  <c:v>121</c:v>
                </c:pt>
                <c:pt idx="13">
                  <c:v>101</c:v>
                </c:pt>
                <c:pt idx="14">
                  <c:v>124</c:v>
                </c:pt>
                <c:pt idx="15">
                  <c:v>115</c:v>
                </c:pt>
                <c:pt idx="16">
                  <c:v>100</c:v>
                </c:pt>
                <c:pt idx="17">
                  <c:v>87</c:v>
                </c:pt>
                <c:pt idx="18">
                  <c:v>37</c:v>
                </c:pt>
                <c:pt idx="19">
                  <c:v>11</c:v>
                </c:pt>
                <c:pt idx="20">
                  <c:v>4</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7241632"/>
        <c:axId val="457243592"/>
      </c:barChart>
      <c:catAx>
        <c:axId val="45723928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238104"/>
        <c:crosses val="autoZero"/>
        <c:auto val="1"/>
        <c:lblAlgn val="ctr"/>
        <c:lblOffset val="100"/>
        <c:noMultiLvlLbl val="0"/>
      </c:catAx>
      <c:valAx>
        <c:axId val="457238104"/>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239280"/>
        <c:crosses val="autoZero"/>
        <c:crossBetween val="between"/>
        <c:majorUnit val="150"/>
      </c:valAx>
      <c:valAx>
        <c:axId val="457243592"/>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241632"/>
        <c:crosses val="max"/>
        <c:crossBetween val="between"/>
        <c:majorUnit val="150"/>
      </c:valAx>
      <c:catAx>
        <c:axId val="457241632"/>
        <c:scaling>
          <c:orientation val="minMax"/>
        </c:scaling>
        <c:delete val="1"/>
        <c:axPos val="l"/>
        <c:numFmt formatCode="General" sourceLinked="1"/>
        <c:majorTickMark val="out"/>
        <c:minorTickMark val="none"/>
        <c:tickLblPos val="nextTo"/>
        <c:crossAx val="457243592"/>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日向市平均</c:v>
                </c:pt>
                <c:pt idx="2">
                  <c:v>細島小学校</c:v>
                </c:pt>
              </c:strCache>
            </c:strRef>
          </c:cat>
          <c:val>
            <c:numRef>
              <c:f>管理者用地域特徴シート!$H$3:$H$5</c:f>
              <c:numCache>
                <c:formatCode>0.0%</c:formatCode>
                <c:ptCount val="3"/>
                <c:pt idx="0">
                  <c:v>0.46108733927332846</c:v>
                </c:pt>
                <c:pt idx="1">
                  <c:v>0.48642488704066539</c:v>
                </c:pt>
                <c:pt idx="2">
                  <c:v>0.54660966631041441</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57236928"/>
        <c:axId val="457238888"/>
      </c:barChart>
      <c:catAx>
        <c:axId val="45723692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238888"/>
        <c:crosses val="autoZero"/>
        <c:auto val="1"/>
        <c:lblAlgn val="ctr"/>
        <c:lblOffset val="100"/>
        <c:noMultiLvlLbl val="0"/>
      </c:catAx>
      <c:valAx>
        <c:axId val="45723888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23692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日向市平均</c:v>
                </c:pt>
                <c:pt idx="2">
                  <c:v>細島小学校</c:v>
                </c:pt>
              </c:strCache>
            </c:strRef>
          </c:cat>
          <c:val>
            <c:numRef>
              <c:f>管理者用地域特徴シート!$J$3:$J$5</c:f>
              <c:numCache>
                <c:formatCode>0.0%</c:formatCode>
                <c:ptCount val="3"/>
                <c:pt idx="0">
                  <c:v>0.15075281438403673</c:v>
                </c:pt>
                <c:pt idx="1">
                  <c:v>0.15218521332320362</c:v>
                </c:pt>
                <c:pt idx="2">
                  <c:v>0.17824486403040019</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57239672"/>
        <c:axId val="457240064"/>
      </c:barChart>
      <c:catAx>
        <c:axId val="45723967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240064"/>
        <c:crosses val="autoZero"/>
        <c:auto val="1"/>
        <c:lblAlgn val="ctr"/>
        <c:lblOffset val="100"/>
        <c:noMultiLvlLbl val="0"/>
      </c:catAx>
      <c:valAx>
        <c:axId val="45724006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23967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日向市平均</c:v>
                </c:pt>
                <c:pt idx="2">
                  <c:v>細島小学校</c:v>
                </c:pt>
              </c:strCache>
            </c:strRef>
          </c:cat>
          <c:val>
            <c:numRef>
              <c:f>管理者用地域特徴シート!$P$3:$P$5</c:f>
              <c:numCache>
                <c:formatCode>0.0%</c:formatCode>
                <c:ptCount val="3"/>
                <c:pt idx="0">
                  <c:v>0.34758352842621743</c:v>
                </c:pt>
                <c:pt idx="1">
                  <c:v>0.37602508846366695</c:v>
                </c:pt>
                <c:pt idx="2">
                  <c:v>0.31210061872400857</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57243200"/>
        <c:axId val="457242024"/>
      </c:barChart>
      <c:catAx>
        <c:axId val="45724320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242024"/>
        <c:crosses val="autoZero"/>
        <c:auto val="1"/>
        <c:lblAlgn val="ctr"/>
        <c:lblOffset val="100"/>
        <c:noMultiLvlLbl val="0"/>
      </c:catAx>
      <c:valAx>
        <c:axId val="45724202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24320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日向市平均</c:v>
                </c:pt>
                <c:pt idx="2">
                  <c:v>細島小学校</c:v>
                </c:pt>
              </c:strCache>
            </c:strRef>
          </c:cat>
          <c:val>
            <c:numRef>
              <c:f>管理者用地域特徴シート!$AO$3:$AO$5</c:f>
              <c:numCache>
                <c:formatCode>0.0%</c:formatCode>
                <c:ptCount val="3"/>
                <c:pt idx="0">
                  <c:v>0.5259093009439566</c:v>
                </c:pt>
                <c:pt idx="1">
                  <c:v>0.5193868349864742</c:v>
                </c:pt>
                <c:pt idx="2">
                  <c:v>0.4974160206718346</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55929872"/>
        <c:axId val="455930656"/>
      </c:barChart>
      <c:catAx>
        <c:axId val="45592987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930656"/>
        <c:crosses val="autoZero"/>
        <c:auto val="1"/>
        <c:lblAlgn val="ctr"/>
        <c:lblOffset val="100"/>
        <c:noMultiLvlLbl val="0"/>
      </c:catAx>
      <c:valAx>
        <c:axId val="45593065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92987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細島小学校</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1.7443053560435049E-2</c:v>
                </c:pt>
                <c:pt idx="1">
                  <c:v>0.13472193720500719</c:v>
                </c:pt>
                <c:pt idx="2">
                  <c:v>0</c:v>
                </c:pt>
                <c:pt idx="3">
                  <c:v>8.0545864970244199E-2</c:v>
                </c:pt>
                <c:pt idx="4">
                  <c:v>0.18623024830699775</c:v>
                </c:pt>
                <c:pt idx="5">
                  <c:v>1.1286681715575622E-3</c:v>
                </c:pt>
                <c:pt idx="6">
                  <c:v>4.6172788836445723E-3</c:v>
                </c:pt>
                <c:pt idx="7">
                  <c:v>6.1358506053765645E-2</c:v>
                </c:pt>
                <c:pt idx="8">
                  <c:v>0.16119433613790271</c:v>
                </c:pt>
                <c:pt idx="9">
                  <c:v>1.6724810178534784E-2</c:v>
                </c:pt>
                <c:pt idx="10">
                  <c:v>1.0671044531089679E-2</c:v>
                </c:pt>
                <c:pt idx="11">
                  <c:v>2.3496819207880153E-2</c:v>
                </c:pt>
                <c:pt idx="12">
                  <c:v>4.0939872768315205E-2</c:v>
                </c:pt>
                <c:pt idx="13">
                  <c:v>3.4167863738969829E-2</c:v>
                </c:pt>
                <c:pt idx="14">
                  <c:v>1.395444284834804E-2</c:v>
                </c:pt>
                <c:pt idx="15">
                  <c:v>0.11892058280320132</c:v>
                </c:pt>
                <c:pt idx="16">
                  <c:v>1.1594500307818592E-2</c:v>
                </c:pt>
                <c:pt idx="17">
                  <c:v>5.4278678432177298E-2</c:v>
                </c:pt>
                <c:pt idx="18">
                  <c:v>1.2415349887133182E-2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日向市平均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5.7295275045032561E-2</c:v>
                </c:pt>
                <c:pt idx="1">
                  <c:v>8.3829846196480529E-3</c:v>
                </c:pt>
                <c:pt idx="2">
                  <c:v>3.1176389081335733E-4</c:v>
                </c:pt>
                <c:pt idx="3">
                  <c:v>0.10052653457115145</c:v>
                </c:pt>
                <c:pt idx="4">
                  <c:v>0.18536095330469723</c:v>
                </c:pt>
                <c:pt idx="5">
                  <c:v>5.681030899265623E-3</c:v>
                </c:pt>
                <c:pt idx="6">
                  <c:v>5.9581543577663853E-3</c:v>
                </c:pt>
                <c:pt idx="7">
                  <c:v>4.274629347374255E-2</c:v>
                </c:pt>
                <c:pt idx="8">
                  <c:v>0.14393099625883332</c:v>
                </c:pt>
                <c:pt idx="9">
                  <c:v>1.6558126645420536E-2</c:v>
                </c:pt>
                <c:pt idx="10">
                  <c:v>1.1916308715532772E-2</c:v>
                </c:pt>
                <c:pt idx="11">
                  <c:v>1.9502563391991131E-2</c:v>
                </c:pt>
                <c:pt idx="12">
                  <c:v>4.6972426215879166E-2</c:v>
                </c:pt>
                <c:pt idx="13">
                  <c:v>3.1938478592212834E-2</c:v>
                </c:pt>
                <c:pt idx="14">
                  <c:v>4.0217541914923098E-2</c:v>
                </c:pt>
                <c:pt idx="15">
                  <c:v>0.16724400720520993</c:v>
                </c:pt>
                <c:pt idx="16">
                  <c:v>1.309408341416101E-2</c:v>
                </c:pt>
                <c:pt idx="17">
                  <c:v>5.4385478730774553E-2</c:v>
                </c:pt>
                <c:pt idx="18">
                  <c:v>3.470971317722045E-2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55935360"/>
        <c:axId val="455933792"/>
      </c:barChart>
      <c:catAx>
        <c:axId val="4559353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933792"/>
        <c:crosses val="autoZero"/>
        <c:auto val="1"/>
        <c:lblAlgn val="ctr"/>
        <c:lblOffset val="100"/>
        <c:noMultiLvlLbl val="0"/>
      </c:catAx>
      <c:valAx>
        <c:axId val="455933792"/>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935360"/>
        <c:crosses val="autoZero"/>
        <c:crossBetween val="between"/>
      </c:valAx>
      <c:spPr>
        <a:noFill/>
        <a:ln>
          <a:noFill/>
        </a:ln>
        <a:effectLst/>
      </c:spPr>
    </c:plotArea>
    <c:legend>
      <c:legendPos val="b"/>
      <c:layout>
        <c:manualLayout>
          <c:xMode val="edge"/>
          <c:yMode val="edge"/>
          <c:x val="0.65097586041181477"/>
          <c:y val="8.6826734058814664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日向市平均</c:v>
                </c:pt>
                <c:pt idx="2">
                  <c:v>細島小学校</c:v>
                </c:pt>
              </c:strCache>
            </c:strRef>
          </c:cat>
          <c:val>
            <c:numRef>
              <c:f>管理者用地域特徴シート!$CK$3:$CK$5</c:f>
              <c:numCache>
                <c:formatCode>0.0%</c:formatCode>
                <c:ptCount val="3"/>
                <c:pt idx="0">
                  <c:v>0.82747216160708559</c:v>
                </c:pt>
                <c:pt idx="1">
                  <c:v>0.80338090619370928</c:v>
                </c:pt>
                <c:pt idx="2">
                  <c:v>0.82659552636979261</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55932616"/>
        <c:axId val="455934576"/>
      </c:barChart>
      <c:catAx>
        <c:axId val="45593261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934576"/>
        <c:crosses val="autoZero"/>
        <c:auto val="1"/>
        <c:lblAlgn val="ctr"/>
        <c:lblOffset val="100"/>
        <c:noMultiLvlLbl val="0"/>
      </c:catAx>
      <c:valAx>
        <c:axId val="45593457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93261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0.31</c:v>
                </c:pt>
                <c:pt idx="1">
                  <c:v>0.33</c:v>
                </c:pt>
                <c:pt idx="2">
                  <c:v>0.36</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2151064"/>
        <c:axId val="392146752"/>
      </c:barChart>
      <c:catAx>
        <c:axId val="3921510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146752"/>
        <c:crosses val="autoZero"/>
        <c:auto val="1"/>
        <c:lblAlgn val="ctr"/>
        <c:lblOffset val="100"/>
        <c:noMultiLvlLbl val="0"/>
      </c:catAx>
      <c:valAx>
        <c:axId val="3921467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15106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0.19</c:v>
                </c:pt>
                <c:pt idx="1">
                  <c:v>0.2</c:v>
                </c:pt>
                <c:pt idx="2">
                  <c:v>0.21</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2149888"/>
        <c:axId val="392150280"/>
      </c:barChart>
      <c:catAx>
        <c:axId val="3921498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150280"/>
        <c:crosses val="autoZero"/>
        <c:auto val="1"/>
        <c:lblAlgn val="ctr"/>
        <c:lblOffset val="100"/>
        <c:noMultiLvlLbl val="0"/>
      </c:catAx>
      <c:valAx>
        <c:axId val="39215028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14988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6.1816562243691827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9523-479D-A65B-4D79AD56EDA0}"/>
                </c:ext>
                <c:ext xmlns:c15="http://schemas.microsoft.com/office/drawing/2012/chart" uri="{CE6537A1-D6FC-4f65-9D91-7224C49458BB}"/>
              </c:extLst>
            </c:dLbl>
            <c:dLbl>
              <c:idx val="20"/>
              <c:layout>
                <c:manualLayout>
                  <c:x val="-3.9054063196311876E-2"/>
                  <c:y val="-1.5232796477622291E-1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9523-479D-A65B-4D79AD56EDA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52</c:v>
                </c:pt>
                <c:pt idx="1">
                  <c:v>56</c:v>
                </c:pt>
                <c:pt idx="2">
                  <c:v>56</c:v>
                </c:pt>
                <c:pt idx="3">
                  <c:v>64</c:v>
                </c:pt>
                <c:pt idx="4">
                  <c:v>56</c:v>
                </c:pt>
                <c:pt idx="5">
                  <c:v>44</c:v>
                </c:pt>
                <c:pt idx="6">
                  <c:v>72</c:v>
                </c:pt>
                <c:pt idx="7">
                  <c:v>57</c:v>
                </c:pt>
                <c:pt idx="8">
                  <c:v>70</c:v>
                </c:pt>
                <c:pt idx="9">
                  <c:v>60</c:v>
                </c:pt>
                <c:pt idx="10">
                  <c:v>74</c:v>
                </c:pt>
                <c:pt idx="11">
                  <c:v>70</c:v>
                </c:pt>
                <c:pt idx="12">
                  <c:v>78</c:v>
                </c:pt>
                <c:pt idx="13">
                  <c:v>58</c:v>
                </c:pt>
                <c:pt idx="14">
                  <c:v>60</c:v>
                </c:pt>
                <c:pt idx="15">
                  <c:v>81</c:v>
                </c:pt>
                <c:pt idx="16">
                  <c:v>62</c:v>
                </c:pt>
                <c:pt idx="17">
                  <c:v>16</c:v>
                </c:pt>
                <c:pt idx="18">
                  <c:v>12</c:v>
                </c:pt>
                <c:pt idx="19">
                  <c:v>2</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2319768"/>
        <c:axId val="392319376"/>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47</c:v>
                </c:pt>
                <c:pt idx="1">
                  <c:v>42</c:v>
                </c:pt>
                <c:pt idx="2">
                  <c:v>54</c:v>
                </c:pt>
                <c:pt idx="3">
                  <c:v>58</c:v>
                </c:pt>
                <c:pt idx="4">
                  <c:v>44</c:v>
                </c:pt>
                <c:pt idx="5">
                  <c:v>50</c:v>
                </c:pt>
                <c:pt idx="6">
                  <c:v>64</c:v>
                </c:pt>
                <c:pt idx="7">
                  <c:v>58</c:v>
                </c:pt>
                <c:pt idx="8">
                  <c:v>64</c:v>
                </c:pt>
                <c:pt idx="9">
                  <c:v>66</c:v>
                </c:pt>
                <c:pt idx="10">
                  <c:v>64</c:v>
                </c:pt>
                <c:pt idx="11">
                  <c:v>90</c:v>
                </c:pt>
                <c:pt idx="12">
                  <c:v>84</c:v>
                </c:pt>
                <c:pt idx="13">
                  <c:v>80</c:v>
                </c:pt>
                <c:pt idx="14">
                  <c:v>83</c:v>
                </c:pt>
                <c:pt idx="15">
                  <c:v>100</c:v>
                </c:pt>
                <c:pt idx="16">
                  <c:v>88</c:v>
                </c:pt>
                <c:pt idx="17">
                  <c:v>51</c:v>
                </c:pt>
                <c:pt idx="18">
                  <c:v>20</c:v>
                </c:pt>
                <c:pt idx="19">
                  <c:v>7</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2322904"/>
        <c:axId val="392321336"/>
      </c:barChart>
      <c:catAx>
        <c:axId val="39231976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319376"/>
        <c:crosses val="autoZero"/>
        <c:auto val="1"/>
        <c:lblAlgn val="ctr"/>
        <c:lblOffset val="100"/>
        <c:noMultiLvlLbl val="0"/>
      </c:catAx>
      <c:valAx>
        <c:axId val="392319376"/>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319768"/>
        <c:crosses val="autoZero"/>
        <c:crossBetween val="between"/>
        <c:majorUnit val="100"/>
      </c:valAx>
      <c:valAx>
        <c:axId val="392321336"/>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322904"/>
        <c:crosses val="max"/>
        <c:crossBetween val="between"/>
        <c:majorUnit val="100"/>
      </c:valAx>
      <c:catAx>
        <c:axId val="392322904"/>
        <c:scaling>
          <c:orientation val="minMax"/>
        </c:scaling>
        <c:delete val="1"/>
        <c:axPos val="l"/>
        <c:numFmt formatCode="General" sourceLinked="1"/>
        <c:majorTickMark val="out"/>
        <c:minorTickMark val="none"/>
        <c:tickLblPos val="nextTo"/>
        <c:crossAx val="39232133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1100</c:v>
                </c:pt>
                <c:pt idx="1">
                  <c:v>1018</c:v>
                </c:pt>
                <c:pt idx="2">
                  <c:v>939</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1214</c:v>
                </c:pt>
                <c:pt idx="1">
                  <c:v>1164</c:v>
                </c:pt>
                <c:pt idx="2">
                  <c:v>1031</c:v>
                </c:pt>
              </c:numCache>
            </c:numRef>
          </c:val>
          <c:extLst xmlns:c16r2="http://schemas.microsoft.com/office/drawing/2015/06/chart">
            <c:ext xmlns:c16="http://schemas.microsoft.com/office/drawing/2014/chart" uri="{C3380CC4-5D6E-409C-BE32-E72D297353CC}">
              <c16:uniqueId val="{00000000-6FCD-43EE-AB2E-51AC592D4189}"/>
            </c:ext>
          </c:extLst>
        </c:ser>
        <c:dLbls>
          <c:showLegendKey val="0"/>
          <c:showVal val="0"/>
          <c:showCatName val="0"/>
          <c:showSerName val="0"/>
          <c:showPercent val="0"/>
          <c:showBubbleSize val="0"/>
        </c:dLbls>
        <c:gapWidth val="219"/>
        <c:overlap val="100"/>
        <c:axId val="392325256"/>
        <c:axId val="392320160"/>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2314</c:v>
                </c:pt>
                <c:pt idx="1">
                  <c:v>2182</c:v>
                </c:pt>
                <c:pt idx="2">
                  <c:v>1970</c:v>
                </c:pt>
              </c:numCache>
            </c:numRef>
          </c:val>
          <c:smooth val="0"/>
          <c:extLst xmlns:c16r2="http://schemas.microsoft.com/office/drawing/2015/06/chart">
            <c:ext xmlns:c16="http://schemas.microsoft.com/office/drawing/2014/chart" uri="{C3380CC4-5D6E-409C-BE32-E72D297353CC}">
              <c16:uniqueId val="{00000001-6FCD-43EE-AB2E-51AC592D4189}"/>
            </c:ext>
          </c:extLst>
        </c:ser>
        <c:dLbls>
          <c:showLegendKey val="0"/>
          <c:showVal val="0"/>
          <c:showCatName val="0"/>
          <c:showSerName val="0"/>
          <c:showPercent val="0"/>
          <c:showBubbleSize val="0"/>
        </c:dLbls>
        <c:marker val="1"/>
        <c:smooth val="0"/>
        <c:axId val="392325256"/>
        <c:axId val="392320160"/>
      </c:lineChart>
      <c:catAx>
        <c:axId val="3923252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320160"/>
        <c:crosses val="autoZero"/>
        <c:auto val="1"/>
        <c:lblAlgn val="ctr"/>
        <c:lblOffset val="100"/>
        <c:noMultiLvlLbl val="0"/>
      </c:catAx>
      <c:valAx>
        <c:axId val="39232016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325256"/>
        <c:crosses val="autoZero"/>
        <c:crossBetween val="between"/>
      </c:valAx>
      <c:spPr>
        <a:noFill/>
        <a:ln>
          <a:noFill/>
        </a:ln>
        <a:effectLst/>
      </c:spPr>
    </c:plotArea>
    <c:legend>
      <c:legendPos val="t"/>
      <c:legendEntry>
        <c:idx val="2"/>
        <c:delete val="1"/>
      </c:legendEntry>
      <c:layout>
        <c:manualLayout>
          <c:xMode val="edge"/>
          <c:yMode val="edge"/>
          <c:x val="0.70851120857035632"/>
          <c:y val="6.0772596013155725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20"/>
              <c:layout>
                <c:manualLayout>
                  <c:x val="-3.6947386544700221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D9C-45AB-BAB7-5854B06458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32</c:v>
                </c:pt>
                <c:pt idx="1">
                  <c:v>42</c:v>
                </c:pt>
                <c:pt idx="2">
                  <c:v>41</c:v>
                </c:pt>
                <c:pt idx="3">
                  <c:v>37</c:v>
                </c:pt>
                <c:pt idx="4">
                  <c:v>54</c:v>
                </c:pt>
                <c:pt idx="5">
                  <c:v>49</c:v>
                </c:pt>
                <c:pt idx="6">
                  <c:v>34</c:v>
                </c:pt>
                <c:pt idx="7">
                  <c:v>48</c:v>
                </c:pt>
                <c:pt idx="8">
                  <c:v>61</c:v>
                </c:pt>
                <c:pt idx="9">
                  <c:v>54</c:v>
                </c:pt>
                <c:pt idx="10">
                  <c:v>63</c:v>
                </c:pt>
                <c:pt idx="11">
                  <c:v>65</c:v>
                </c:pt>
                <c:pt idx="12">
                  <c:v>75</c:v>
                </c:pt>
                <c:pt idx="13">
                  <c:v>68</c:v>
                </c:pt>
                <c:pt idx="14">
                  <c:v>72</c:v>
                </c:pt>
                <c:pt idx="15">
                  <c:v>48</c:v>
                </c:pt>
                <c:pt idx="16">
                  <c:v>48</c:v>
                </c:pt>
                <c:pt idx="17">
                  <c:v>33</c:v>
                </c:pt>
                <c:pt idx="18">
                  <c:v>13</c:v>
                </c:pt>
                <c:pt idx="19">
                  <c:v>1</c:v>
                </c:pt>
                <c:pt idx="20">
                  <c:v>1</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2324472"/>
        <c:axId val="392325648"/>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30</c:v>
                </c:pt>
                <c:pt idx="1">
                  <c:v>34</c:v>
                </c:pt>
                <c:pt idx="2">
                  <c:v>42</c:v>
                </c:pt>
                <c:pt idx="3">
                  <c:v>26</c:v>
                </c:pt>
                <c:pt idx="4">
                  <c:v>30</c:v>
                </c:pt>
                <c:pt idx="5">
                  <c:v>40</c:v>
                </c:pt>
                <c:pt idx="6">
                  <c:v>40</c:v>
                </c:pt>
                <c:pt idx="7">
                  <c:v>49</c:v>
                </c:pt>
                <c:pt idx="8">
                  <c:v>61</c:v>
                </c:pt>
                <c:pt idx="9">
                  <c:v>44</c:v>
                </c:pt>
                <c:pt idx="10">
                  <c:v>66</c:v>
                </c:pt>
                <c:pt idx="11">
                  <c:v>66</c:v>
                </c:pt>
                <c:pt idx="12">
                  <c:v>71</c:v>
                </c:pt>
                <c:pt idx="13">
                  <c:v>94</c:v>
                </c:pt>
                <c:pt idx="14">
                  <c:v>78</c:v>
                </c:pt>
                <c:pt idx="15">
                  <c:v>73</c:v>
                </c:pt>
                <c:pt idx="16">
                  <c:v>67</c:v>
                </c:pt>
                <c:pt idx="17">
                  <c:v>63</c:v>
                </c:pt>
                <c:pt idx="18">
                  <c:v>43</c:v>
                </c:pt>
                <c:pt idx="19">
                  <c:v>11</c:v>
                </c:pt>
                <c:pt idx="20">
                  <c:v>3</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2326432"/>
        <c:axId val="392323296"/>
      </c:barChart>
      <c:catAx>
        <c:axId val="39232447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325648"/>
        <c:crosses val="autoZero"/>
        <c:auto val="1"/>
        <c:lblAlgn val="ctr"/>
        <c:lblOffset val="100"/>
        <c:noMultiLvlLbl val="0"/>
      </c:catAx>
      <c:valAx>
        <c:axId val="392325648"/>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324472"/>
        <c:crosses val="autoZero"/>
        <c:crossBetween val="between"/>
        <c:majorUnit val="100"/>
      </c:valAx>
      <c:valAx>
        <c:axId val="392323296"/>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326432"/>
        <c:crosses val="max"/>
        <c:crossBetween val="between"/>
        <c:majorUnit val="100"/>
      </c:valAx>
      <c:catAx>
        <c:axId val="392326432"/>
        <c:scaling>
          <c:orientation val="minMax"/>
        </c:scaling>
        <c:delete val="1"/>
        <c:axPos val="l"/>
        <c:numFmt formatCode="General" sourceLinked="1"/>
        <c:majorTickMark val="out"/>
        <c:minorTickMark val="none"/>
        <c:tickLblPos val="nextTo"/>
        <c:crossAx val="39232329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20CE-40F2-B18D-1516953A1FA9}"/>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20CE-40F2-B18D-1516953A1FA9}"/>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20CE-40F2-B18D-1516953A1FA9}"/>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20CE-40F2-B18D-1516953A1FA9}"/>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20CE-40F2-B18D-1516953A1FA9}"/>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1100</c:v>
                </c:pt>
                <c:pt idx="1">
                  <c:v>1018</c:v>
                </c:pt>
                <c:pt idx="2">
                  <c:v>939</c:v>
                </c:pt>
                <c:pt idx="3">
                  <c:v>856</c:v>
                </c:pt>
                <c:pt idx="4">
                  <c:v>777</c:v>
                </c:pt>
                <c:pt idx="5">
                  <c:v>702</c:v>
                </c:pt>
                <c:pt idx="6">
                  <c:v>629</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20CE-40F2-B18D-1516953A1FA9}"/>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20CE-40F2-B18D-1516953A1FA9}"/>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20CE-40F2-B18D-1516953A1FA9}"/>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1214</c:v>
                </c:pt>
                <c:pt idx="1">
                  <c:v>1164</c:v>
                </c:pt>
                <c:pt idx="2">
                  <c:v>1031</c:v>
                </c:pt>
                <c:pt idx="3">
                  <c:v>921</c:v>
                </c:pt>
                <c:pt idx="4">
                  <c:v>824</c:v>
                </c:pt>
                <c:pt idx="5">
                  <c:v>731</c:v>
                </c:pt>
                <c:pt idx="6">
                  <c:v>645</c:v>
                </c:pt>
              </c:numCache>
            </c:numRef>
          </c:val>
          <c:extLst xmlns:c16r2="http://schemas.microsoft.com/office/drawing/2015/06/chart">
            <c:ext xmlns:c16="http://schemas.microsoft.com/office/drawing/2014/chart" uri="{C3380CC4-5D6E-409C-BE32-E72D297353CC}">
              <c16:uniqueId val="{00000010-20CE-40F2-B18D-1516953A1FA9}"/>
            </c:ext>
          </c:extLst>
        </c:ser>
        <c:dLbls>
          <c:showLegendKey val="0"/>
          <c:showVal val="0"/>
          <c:showCatName val="0"/>
          <c:showSerName val="0"/>
          <c:showPercent val="0"/>
          <c:showBubbleSize val="0"/>
        </c:dLbls>
        <c:gapWidth val="219"/>
        <c:overlap val="100"/>
        <c:axId val="392323688"/>
        <c:axId val="392322512"/>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2314</c:v>
                </c:pt>
                <c:pt idx="1">
                  <c:v>2182</c:v>
                </c:pt>
                <c:pt idx="2">
                  <c:v>1970</c:v>
                </c:pt>
                <c:pt idx="3">
                  <c:v>1777</c:v>
                </c:pt>
                <c:pt idx="4">
                  <c:v>1601</c:v>
                </c:pt>
                <c:pt idx="5">
                  <c:v>1433</c:v>
                </c:pt>
                <c:pt idx="6">
                  <c:v>1274</c:v>
                </c:pt>
              </c:numCache>
            </c:numRef>
          </c:val>
          <c:smooth val="0"/>
          <c:extLst xmlns:c16r2="http://schemas.microsoft.com/office/drawing/2015/06/chart">
            <c:ext xmlns:c16="http://schemas.microsoft.com/office/drawing/2014/chart" uri="{C3380CC4-5D6E-409C-BE32-E72D297353CC}">
              <c16:uniqueId val="{00000011-20CE-40F2-B18D-1516953A1FA9}"/>
            </c:ext>
          </c:extLst>
        </c:ser>
        <c:dLbls>
          <c:showLegendKey val="0"/>
          <c:showVal val="0"/>
          <c:showCatName val="0"/>
          <c:showSerName val="0"/>
          <c:showPercent val="0"/>
          <c:showBubbleSize val="0"/>
        </c:dLbls>
        <c:marker val="1"/>
        <c:smooth val="0"/>
        <c:axId val="392323688"/>
        <c:axId val="392322512"/>
      </c:lineChart>
      <c:catAx>
        <c:axId val="3923236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322512"/>
        <c:crosses val="autoZero"/>
        <c:auto val="1"/>
        <c:lblAlgn val="ctr"/>
        <c:lblOffset val="100"/>
        <c:noMultiLvlLbl val="0"/>
      </c:catAx>
      <c:valAx>
        <c:axId val="39232251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323688"/>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125</c:v>
                </c:pt>
                <c:pt idx="1">
                  <c:v>109</c:v>
                </c:pt>
                <c:pt idx="2">
                  <c:v>96</c:v>
                </c:pt>
                <c:pt idx="3">
                  <c:v>75</c:v>
                </c:pt>
                <c:pt idx="4">
                  <c:v>58</c:v>
                </c:pt>
                <c:pt idx="5">
                  <c:v>48</c:v>
                </c:pt>
                <c:pt idx="6">
                  <c:v>39</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2320944"/>
        <c:axId val="392321728"/>
      </c:barChart>
      <c:catAx>
        <c:axId val="3923209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321728"/>
        <c:crosses val="autoZero"/>
        <c:auto val="1"/>
        <c:lblAlgn val="ctr"/>
        <c:lblOffset val="100"/>
        <c:noMultiLvlLbl val="0"/>
      </c:catAx>
      <c:valAx>
        <c:axId val="39232172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32094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364583</xdr:colOff>
      <xdr:row>49</xdr:row>
      <xdr:rowOff>145285</xdr:rowOff>
    </xdr:from>
    <xdr:to>
      <xdr:col>1</xdr:col>
      <xdr:colOff>395985</xdr:colOff>
      <xdr:row>50</xdr:row>
      <xdr:rowOff>171084</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364583" y="12807932"/>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210436</xdr:colOff>
      <xdr:row>98</xdr:row>
      <xdr:rowOff>22151</xdr:rowOff>
    </xdr:from>
    <xdr:to>
      <xdr:col>1</xdr:col>
      <xdr:colOff>241838</xdr:colOff>
      <xdr:row>99</xdr:row>
      <xdr:rowOff>47950</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210436" y="26747529"/>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0.03613</cdr:x>
      <cdr:y>0.07514</cdr:y>
    </cdr:from>
    <cdr:to>
      <cdr:x>0.17959</cdr:x>
      <cdr:y>0.17304</cdr:y>
    </cdr:to>
    <cdr:sp macro="" textlink="">
      <cdr:nvSpPr>
        <cdr:cNvPr id="2" name="テキスト ボックス 1"/>
        <cdr:cNvSpPr txBox="1"/>
      </cdr:nvSpPr>
      <cdr:spPr>
        <a:xfrm xmlns:a="http://schemas.openxmlformats.org/drawingml/2006/main">
          <a:off x="222273"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0.05718</cdr:x>
      <cdr:y>0.0446</cdr:y>
    </cdr:from>
    <cdr:to>
      <cdr:x>0.1871</cdr:x>
      <cdr:y>0.1172</cdr:y>
    </cdr:to>
    <cdr:sp macro="" textlink="">
      <cdr:nvSpPr>
        <cdr:cNvPr id="3" name="テキスト ボックス 13"/>
        <cdr:cNvSpPr txBox="1"/>
      </cdr:nvSpPr>
      <cdr:spPr>
        <a:xfrm xmlns:a="http://schemas.openxmlformats.org/drawingml/2006/main">
          <a:off x="351119" y="218887"/>
          <a:ext cx="797858" cy="356347"/>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0</xdr:colOff>
      <xdr:row>14</xdr:row>
      <xdr:rowOff>80308</xdr:rowOff>
    </xdr:from>
    <xdr:to>
      <xdr:col>2</xdr:col>
      <xdr:colOff>112058</xdr:colOff>
      <xdr:row>15</xdr:row>
      <xdr:rowOff>102719</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4417" y="4440641"/>
          <a:ext cx="736474" cy="3081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4" t="s">
        <v>322</v>
      </c>
      <c r="B8" s="244"/>
      <c r="C8" s="244"/>
      <c r="D8" s="244"/>
      <c r="E8" s="244"/>
      <c r="F8" s="244"/>
      <c r="G8" s="244"/>
      <c r="H8" s="244"/>
      <c r="I8" s="244"/>
      <c r="J8" s="244"/>
    </row>
    <row r="9" spans="1:10" x14ac:dyDescent="0.15">
      <c r="A9" s="247" t="s">
        <v>357</v>
      </c>
      <c r="B9" s="247"/>
      <c r="C9" s="247"/>
      <c r="D9" s="247"/>
      <c r="E9" s="247"/>
      <c r="F9" s="247"/>
      <c r="G9" s="247"/>
      <c r="H9" s="247"/>
      <c r="I9" s="247"/>
      <c r="J9" s="247"/>
    </row>
    <row r="10" spans="1:10" x14ac:dyDescent="0.15">
      <c r="A10" s="247"/>
      <c r="B10" s="247"/>
      <c r="C10" s="247"/>
      <c r="D10" s="247"/>
      <c r="E10" s="247"/>
      <c r="F10" s="247"/>
      <c r="G10" s="247"/>
      <c r="H10" s="247"/>
      <c r="I10" s="247"/>
      <c r="J10" s="247"/>
    </row>
    <row r="11" spans="1:10" x14ac:dyDescent="0.15">
      <c r="A11" s="247"/>
      <c r="B11" s="247"/>
      <c r="C11" s="247"/>
      <c r="D11" s="247"/>
      <c r="E11" s="247"/>
      <c r="F11" s="247"/>
      <c r="G11" s="247"/>
      <c r="H11" s="247"/>
      <c r="I11" s="247"/>
      <c r="J11" s="247"/>
    </row>
    <row r="12" spans="1:10" x14ac:dyDescent="0.15">
      <c r="A12" s="247"/>
      <c r="B12" s="247"/>
      <c r="C12" s="247"/>
      <c r="D12" s="247"/>
      <c r="E12" s="247"/>
      <c r="F12" s="247"/>
      <c r="G12" s="247"/>
      <c r="H12" s="247"/>
      <c r="I12" s="247"/>
      <c r="J12" s="247"/>
    </row>
    <row r="15" spans="1:10" ht="18.75" customHeight="1" x14ac:dyDescent="0.15">
      <c r="A15" s="245" t="str">
        <f>管理者入力シート!B4</f>
        <v>細島小学校</v>
      </c>
      <c r="B15" s="245"/>
      <c r="C15" s="245"/>
      <c r="D15" s="245"/>
      <c r="E15" s="245"/>
      <c r="F15" s="245"/>
      <c r="G15" s="245"/>
      <c r="H15" s="245"/>
      <c r="I15" s="245"/>
      <c r="J15" s="245"/>
    </row>
    <row r="16" spans="1:10" ht="18.75" customHeight="1" x14ac:dyDescent="0.15">
      <c r="A16" s="245"/>
      <c r="B16" s="245"/>
      <c r="C16" s="245"/>
      <c r="D16" s="245"/>
      <c r="E16" s="245"/>
      <c r="F16" s="245"/>
      <c r="G16" s="245"/>
      <c r="H16" s="245"/>
      <c r="I16" s="245"/>
      <c r="J16" s="245"/>
    </row>
    <row r="19" spans="1:10" ht="18.75" customHeight="1" x14ac:dyDescent="0.15">
      <c r="A19" s="246" t="s">
        <v>358</v>
      </c>
      <c r="B19" s="246"/>
      <c r="C19" s="246"/>
      <c r="D19" s="246"/>
      <c r="E19" s="246"/>
      <c r="F19" s="246"/>
      <c r="G19" s="246"/>
      <c r="H19" s="246"/>
      <c r="I19" s="246"/>
      <c r="J19" s="246"/>
    </row>
    <row r="20" spans="1:10" x14ac:dyDescent="0.15">
      <c r="A20" s="246"/>
      <c r="B20" s="246"/>
      <c r="C20" s="246"/>
      <c r="D20" s="246"/>
      <c r="E20" s="246"/>
      <c r="F20" s="246"/>
      <c r="G20" s="246"/>
      <c r="H20" s="246"/>
      <c r="I20" s="246"/>
      <c r="J20" s="246"/>
    </row>
    <row r="21" spans="1:10" x14ac:dyDescent="0.15">
      <c r="A21" s="246"/>
      <c r="B21" s="246"/>
      <c r="C21" s="246"/>
      <c r="D21" s="246"/>
      <c r="E21" s="246"/>
      <c r="F21" s="246"/>
      <c r="G21" s="246"/>
      <c r="H21" s="246"/>
      <c r="I21" s="246"/>
      <c r="J21" s="246"/>
    </row>
    <row r="22" spans="1:10" x14ac:dyDescent="0.15">
      <c r="A22" s="246"/>
      <c r="B22" s="246"/>
      <c r="C22" s="246"/>
      <c r="D22" s="246"/>
      <c r="E22" s="246"/>
      <c r="F22" s="246"/>
      <c r="G22" s="246"/>
      <c r="H22" s="246"/>
      <c r="I22" s="246"/>
      <c r="J22" s="246"/>
    </row>
    <row r="23" spans="1:10" x14ac:dyDescent="0.15">
      <c r="A23" s="246"/>
      <c r="B23" s="246"/>
      <c r="C23" s="246"/>
      <c r="D23" s="246"/>
      <c r="E23" s="246"/>
      <c r="F23" s="246"/>
      <c r="G23" s="246"/>
      <c r="H23" s="246"/>
      <c r="I23" s="246"/>
      <c r="J23" s="246"/>
    </row>
    <row r="24" spans="1:10" x14ac:dyDescent="0.15">
      <c r="A24" s="246"/>
      <c r="B24" s="246"/>
      <c r="C24" s="246"/>
      <c r="D24" s="246"/>
      <c r="E24" s="246"/>
      <c r="F24" s="246"/>
      <c r="G24" s="246"/>
      <c r="H24" s="246"/>
      <c r="I24" s="246"/>
      <c r="J24" s="246"/>
    </row>
    <row r="25" spans="1:10" x14ac:dyDescent="0.15">
      <c r="A25" s="246"/>
      <c r="B25" s="246"/>
      <c r="C25" s="246"/>
      <c r="D25" s="246"/>
      <c r="E25" s="246"/>
      <c r="F25" s="246"/>
      <c r="G25" s="246"/>
      <c r="H25" s="246"/>
      <c r="I25" s="246"/>
      <c r="J25" s="246"/>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9"/>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3" t="s">
        <v>127</v>
      </c>
      <c r="B1" s="324" t="s">
        <v>128</v>
      </c>
      <c r="C1" s="326" t="s">
        <v>129</v>
      </c>
      <c r="D1" s="328" t="s">
        <v>130</v>
      </c>
      <c r="E1" s="328"/>
      <c r="F1" s="328"/>
      <c r="G1" s="328"/>
      <c r="H1" s="328"/>
      <c r="I1" s="328"/>
      <c r="J1" s="328"/>
      <c r="K1" s="305" t="s">
        <v>131</v>
      </c>
      <c r="L1" s="305"/>
      <c r="M1" s="305"/>
      <c r="N1" s="305"/>
      <c r="O1" s="305"/>
      <c r="P1" s="305"/>
      <c r="Q1" s="305"/>
      <c r="R1" s="329" t="s">
        <v>132</v>
      </c>
      <c r="S1" s="330"/>
      <c r="T1" s="330"/>
      <c r="U1" s="330"/>
      <c r="V1" s="330"/>
      <c r="W1" s="330"/>
      <c r="X1" s="330"/>
      <c r="Y1" s="330"/>
      <c r="Z1" s="330"/>
      <c r="AA1" s="330"/>
      <c r="AB1" s="330"/>
      <c r="AC1" s="330"/>
      <c r="AD1" s="330"/>
      <c r="AE1" s="330"/>
      <c r="AF1" s="330"/>
      <c r="AG1" s="330"/>
      <c r="AH1" s="330"/>
      <c r="AI1" s="330"/>
      <c r="AJ1" s="330"/>
      <c r="AK1" s="330"/>
      <c r="AL1" s="330"/>
      <c r="AM1" s="330"/>
      <c r="AN1" s="330"/>
      <c r="AO1" s="331"/>
      <c r="AP1" s="317" t="s">
        <v>133</v>
      </c>
      <c r="AQ1" s="318"/>
      <c r="AR1" s="318"/>
      <c r="AS1" s="318"/>
      <c r="AT1" s="318"/>
      <c r="AU1" s="318"/>
      <c r="AV1" s="318"/>
      <c r="AW1" s="318"/>
      <c r="AX1" s="318"/>
      <c r="AY1" s="318"/>
      <c r="AZ1" s="318"/>
      <c r="BA1" s="318"/>
      <c r="BB1" s="318"/>
      <c r="BC1" s="318"/>
      <c r="BD1" s="318"/>
      <c r="BE1" s="318"/>
      <c r="BF1" s="318"/>
      <c r="BG1" s="318"/>
      <c r="BH1" s="318"/>
      <c r="BI1" s="318"/>
      <c r="BJ1" s="318"/>
      <c r="BK1" s="318"/>
      <c r="BL1" s="318"/>
      <c r="BM1" s="318"/>
      <c r="BN1" s="318"/>
      <c r="BO1" s="318"/>
      <c r="BP1" s="318"/>
      <c r="BQ1" s="318"/>
      <c r="BR1" s="318"/>
      <c r="BS1" s="318"/>
      <c r="BT1" s="318"/>
      <c r="BU1" s="318"/>
      <c r="BV1" s="318"/>
      <c r="BW1" s="318"/>
      <c r="BX1" s="318"/>
      <c r="BY1" s="318"/>
      <c r="BZ1" s="318"/>
      <c r="CA1" s="318"/>
      <c r="CB1" s="319"/>
      <c r="CC1" s="320" t="s">
        <v>134</v>
      </c>
      <c r="CD1" s="321"/>
      <c r="CE1" s="321"/>
      <c r="CF1" s="321"/>
      <c r="CG1" s="321"/>
      <c r="CH1" s="321"/>
      <c r="CI1" s="321"/>
      <c r="CJ1" s="321"/>
      <c r="CK1" s="321"/>
      <c r="CL1" s="321"/>
      <c r="CM1" s="321"/>
      <c r="CN1" s="321"/>
      <c r="CO1" s="321"/>
      <c r="CP1" s="322"/>
    </row>
    <row r="2" spans="1:94" s="80" customFormat="1" ht="60" x14ac:dyDescent="0.15">
      <c r="A2" s="324"/>
      <c r="B2" s="325"/>
      <c r="C2" s="327"/>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日向市平均</v>
      </c>
      <c r="C4" s="88" t="str">
        <f>B4</f>
        <v>日向市平均</v>
      </c>
      <c r="D4" s="185">
        <f>SUM(D7:D70)</f>
        <v>25009.000000000004</v>
      </c>
      <c r="E4" s="186">
        <f>SUM(E7:E70)</f>
        <v>12165.000000000002</v>
      </c>
      <c r="F4" s="186">
        <f>SUM(F7:F70)</f>
        <v>3721</v>
      </c>
      <c r="G4" s="187">
        <f>SUM(G7:G70)</f>
        <v>3806</v>
      </c>
      <c r="H4" s="148">
        <f>E4/D4</f>
        <v>0.48642488704066539</v>
      </c>
      <c r="I4" s="149">
        <f>F4/D4</f>
        <v>0.1487864368827222</v>
      </c>
      <c r="J4" s="150">
        <f>G4/D4</f>
        <v>0.15218521332320362</v>
      </c>
      <c r="K4" s="185">
        <f>SUM(K7:K70)</f>
        <v>59629</v>
      </c>
      <c r="L4" s="186">
        <f>SUM(L7:L70)</f>
        <v>6305</v>
      </c>
      <c r="M4" s="186">
        <f>SUM(M7:M70)</f>
        <v>22421.999999999996</v>
      </c>
      <c r="N4" s="187">
        <f>SUM(N7:N70)</f>
        <v>29549</v>
      </c>
      <c r="O4" s="148">
        <f>L4/K4</f>
        <v>0.10573714132385249</v>
      </c>
      <c r="P4" s="149">
        <f>M4/K4</f>
        <v>0.37602508846366695</v>
      </c>
      <c r="Q4" s="150">
        <f>N4/K4</f>
        <v>0.49554746851364267</v>
      </c>
      <c r="R4" s="185">
        <f>SUM(R7:R70)</f>
        <v>59629</v>
      </c>
      <c r="S4" s="145">
        <f>SUM(S7:S70)</f>
        <v>8352</v>
      </c>
      <c r="T4" s="145">
        <f>SUM(T7:T70)</f>
        <v>2712.9999999999995</v>
      </c>
      <c r="U4" s="144">
        <f>SUM(U7:U70)</f>
        <v>2004</v>
      </c>
      <c r="V4" s="144">
        <f>SUM(V7:V70)</f>
        <v>239</v>
      </c>
      <c r="W4" s="146">
        <f>S4+T4+U4+V4</f>
        <v>13308</v>
      </c>
      <c r="X4" s="143">
        <f>SUM(X7:X70)</f>
        <v>28372</v>
      </c>
      <c r="Y4" s="144">
        <f>SUM(Y7:Y70)</f>
        <v>3805</v>
      </c>
      <c r="Z4" s="144">
        <f>SUM(Z7:Z70)</f>
        <v>1328.0000000000002</v>
      </c>
      <c r="AA4" s="144">
        <f>SUM(AA7:AA70)</f>
        <v>1163.0000000000002</v>
      </c>
      <c r="AB4" s="144">
        <f>SUM(AB7:AB70)</f>
        <v>100</v>
      </c>
      <c r="AC4" s="146">
        <f>Y4+Z4+AA4+AB4</f>
        <v>6396</v>
      </c>
      <c r="AD4" s="143">
        <f>SUM(AD7:AD70)</f>
        <v>31257</v>
      </c>
      <c r="AE4" s="143">
        <f t="shared" ref="AE4:AH4" si="0">SUM(AE7:AE70)</f>
        <v>4546.9999999999991</v>
      </c>
      <c r="AF4" s="143">
        <f t="shared" si="0"/>
        <v>1385.0000000000002</v>
      </c>
      <c r="AG4" s="143">
        <f t="shared" si="0"/>
        <v>841.00000000000011</v>
      </c>
      <c r="AH4" s="143">
        <f t="shared" si="0"/>
        <v>139</v>
      </c>
      <c r="AI4" s="146">
        <f>AE4+AF4+AG4+AH4</f>
        <v>6911.9999999999991</v>
      </c>
      <c r="AJ4" s="148">
        <f>W4/R4</f>
        <v>0.22317999631052005</v>
      </c>
      <c r="AK4" s="149">
        <f>T4/W4</f>
        <v>0.20386233844304175</v>
      </c>
      <c r="AL4" s="149">
        <f>U4/W4</f>
        <v>0.15058611361587015</v>
      </c>
      <c r="AM4" s="149">
        <f>V4/W4</f>
        <v>1.7959122332431621E-2</v>
      </c>
      <c r="AN4" s="147">
        <f>AC4/W4</f>
        <v>0.48061316501352569</v>
      </c>
      <c r="AO4" s="150">
        <f>AI4/W4</f>
        <v>0.5193868349864742</v>
      </c>
      <c r="AP4" s="143">
        <f>SUM(AP7:AP70)</f>
        <v>28868</v>
      </c>
      <c r="AQ4" s="144">
        <f t="shared" ref="AQ4:BI4" si="1">SUM(AQ7:AQ70)</f>
        <v>1654</v>
      </c>
      <c r="AR4" s="144">
        <f t="shared" si="1"/>
        <v>242</v>
      </c>
      <c r="AS4" s="144">
        <f t="shared" si="1"/>
        <v>9</v>
      </c>
      <c r="AT4" s="144">
        <f t="shared" si="1"/>
        <v>2902</v>
      </c>
      <c r="AU4" s="144">
        <f t="shared" si="1"/>
        <v>5351</v>
      </c>
      <c r="AV4" s="144">
        <f t="shared" si="1"/>
        <v>164</v>
      </c>
      <c r="AW4" s="144">
        <f t="shared" si="1"/>
        <v>172</v>
      </c>
      <c r="AX4" s="144">
        <f t="shared" si="1"/>
        <v>1234</v>
      </c>
      <c r="AY4" s="144">
        <f t="shared" si="1"/>
        <v>4155</v>
      </c>
      <c r="AZ4" s="144">
        <f t="shared" si="1"/>
        <v>478</v>
      </c>
      <c r="BA4" s="144">
        <f t="shared" si="1"/>
        <v>344.00000000000006</v>
      </c>
      <c r="BB4" s="144">
        <f t="shared" si="1"/>
        <v>563</v>
      </c>
      <c r="BC4" s="144">
        <f t="shared" si="1"/>
        <v>1355.9999999999998</v>
      </c>
      <c r="BD4" s="144">
        <f t="shared" si="1"/>
        <v>922</v>
      </c>
      <c r="BE4" s="144">
        <f t="shared" si="1"/>
        <v>1161</v>
      </c>
      <c r="BF4" s="144">
        <f t="shared" si="1"/>
        <v>4828</v>
      </c>
      <c r="BG4" s="144">
        <f t="shared" si="1"/>
        <v>378.00000000000006</v>
      </c>
      <c r="BH4" s="144">
        <f t="shared" si="1"/>
        <v>1569.9999999999998</v>
      </c>
      <c r="BI4" s="146">
        <f t="shared" si="1"/>
        <v>1002</v>
      </c>
      <c r="BJ4" s="147">
        <f>IF($AP4=0,0,AQ4/$AP4)</f>
        <v>5.7295275045032561E-2</v>
      </c>
      <c r="BK4" s="149">
        <f t="shared" ref="BK4:CB4" si="2">IF($AP4=0,0,AR4/$AP4)</f>
        <v>8.3829846196480529E-3</v>
      </c>
      <c r="BL4" s="149">
        <f t="shared" si="2"/>
        <v>3.1176389081335733E-4</v>
      </c>
      <c r="BM4" s="149">
        <f t="shared" si="2"/>
        <v>0.10052653457115145</v>
      </c>
      <c r="BN4" s="149">
        <f t="shared" si="2"/>
        <v>0.18536095330469723</v>
      </c>
      <c r="BO4" s="149">
        <f t="shared" si="2"/>
        <v>5.681030899265623E-3</v>
      </c>
      <c r="BP4" s="149">
        <f t="shared" si="2"/>
        <v>5.9581543577663853E-3</v>
      </c>
      <c r="BQ4" s="149">
        <f t="shared" si="2"/>
        <v>4.274629347374255E-2</v>
      </c>
      <c r="BR4" s="149">
        <f t="shared" si="2"/>
        <v>0.14393099625883332</v>
      </c>
      <c r="BS4" s="149">
        <f t="shared" si="2"/>
        <v>1.6558126645420536E-2</v>
      </c>
      <c r="BT4" s="149">
        <f t="shared" si="2"/>
        <v>1.1916308715532772E-2</v>
      </c>
      <c r="BU4" s="149">
        <f t="shared" si="2"/>
        <v>1.9502563391991131E-2</v>
      </c>
      <c r="BV4" s="149">
        <f t="shared" si="2"/>
        <v>4.6972426215879166E-2</v>
      </c>
      <c r="BW4" s="149">
        <f t="shared" si="2"/>
        <v>3.1938478592212834E-2</v>
      </c>
      <c r="BX4" s="149">
        <f t="shared" si="2"/>
        <v>4.0217541914923098E-2</v>
      </c>
      <c r="BY4" s="149">
        <f t="shared" si="2"/>
        <v>0.16724400720520993</v>
      </c>
      <c r="BZ4" s="149">
        <f t="shared" si="2"/>
        <v>1.309408341416101E-2</v>
      </c>
      <c r="CA4" s="149">
        <f t="shared" si="2"/>
        <v>5.4385478730774553E-2</v>
      </c>
      <c r="CB4" s="150">
        <f t="shared" si="2"/>
        <v>3.470971317722045E-2</v>
      </c>
      <c r="CC4" s="143">
        <f>SUM(CC7:CC70)</f>
        <v>28868</v>
      </c>
      <c r="CD4" s="144">
        <f t="shared" ref="CD4:CI4" si="3">SUM(CD7:CD70)</f>
        <v>23192</v>
      </c>
      <c r="CE4" s="144">
        <f t="shared" si="3"/>
        <v>5039</v>
      </c>
      <c r="CF4" s="144">
        <f t="shared" si="3"/>
        <v>162</v>
      </c>
      <c r="CG4" s="143">
        <f t="shared" si="3"/>
        <v>2206</v>
      </c>
      <c r="CH4" s="144">
        <f t="shared" si="3"/>
        <v>1324.0000000000002</v>
      </c>
      <c r="CI4" s="144">
        <f t="shared" si="3"/>
        <v>792</v>
      </c>
      <c r="CJ4" s="144">
        <f>SUM(CJ7:CJ70)</f>
        <v>33</v>
      </c>
      <c r="CK4" s="148">
        <f t="shared" ref="CK4:CM4" si="4">IF($CC4=0,0,CD4/$CC4)</f>
        <v>0.80338090619370928</v>
      </c>
      <c r="CL4" s="149">
        <f t="shared" si="4"/>
        <v>0.17455313842316753</v>
      </c>
      <c r="CM4" s="150">
        <f t="shared" si="4"/>
        <v>5.6117500346404324E-3</v>
      </c>
      <c r="CN4" s="148">
        <f t="shared" ref="CN4:CP4" si="5">IF($CG4=0,0,CH4/$CG4)</f>
        <v>0.60018132366273813</v>
      </c>
      <c r="CO4" s="149">
        <f t="shared" si="5"/>
        <v>0.35902085222121488</v>
      </c>
      <c r="CP4" s="150">
        <f t="shared" si="5"/>
        <v>1.4959202175883953E-2</v>
      </c>
    </row>
    <row r="5" spans="1:94" s="181" customFormat="1" x14ac:dyDescent="0.15">
      <c r="A5" s="183" t="str">
        <f>管理者入力シート!B2</f>
        <v>45206_4</v>
      </c>
      <c r="B5" s="201" t="str">
        <f>VLOOKUP($A$5,$A$7:$CP$50,2,FALSE)</f>
        <v>日向市</v>
      </c>
      <c r="C5" s="201" t="str">
        <f>VLOOKUP($A$5,$A$7:$CP$50,3,FALSE)</f>
        <v>細島小学校</v>
      </c>
      <c r="D5" s="188">
        <f>VLOOKUP($A$5,$A$7:$CP$70,4,FALSE)</f>
        <v>842.1</v>
      </c>
      <c r="E5" s="189">
        <f>VLOOKUP($A$5,$A$7:$CP$70,5,FALSE)</f>
        <v>460.3</v>
      </c>
      <c r="F5" s="189">
        <f>VLOOKUP($A$5,$A$7:$CP$70,6,FALSE)</f>
        <v>128.4</v>
      </c>
      <c r="G5" s="190">
        <f>VLOOKUP($A$5,$A$7:$CP$70,7,FALSE)</f>
        <v>150.1</v>
      </c>
      <c r="H5" s="178">
        <f>VLOOKUP($A$5,$A$7:$CP$70,8,FALSE)</f>
        <v>0.54660966631041441</v>
      </c>
      <c r="I5" s="179">
        <f>VLOOKUP($A$5,$A$7:$CP$70,9,FALSE)</f>
        <v>0.15247595297470609</v>
      </c>
      <c r="J5" s="180">
        <f>VLOOKUP($A$5,$A$7:$CP$70,10,FALSE)</f>
        <v>0.17824486403040019</v>
      </c>
      <c r="K5" s="188">
        <f>VLOOKUP($A$5,$A$7:$CP$70,11,FALSE)</f>
        <v>1971.8</v>
      </c>
      <c r="L5" s="189">
        <f>VLOOKUP($A$5,$A$7:$CP$70,12,FALSE)</f>
        <v>255.9</v>
      </c>
      <c r="M5" s="189">
        <f>VLOOKUP($A$5,$A$7:$CP$70,13,FALSE)</f>
        <v>615.40000000000009</v>
      </c>
      <c r="N5" s="190">
        <f>VLOOKUP($A$5,$A$7:$CP$70,14,FALSE)</f>
        <v>1013.6</v>
      </c>
      <c r="O5" s="178">
        <f>VLOOKUP($A$5,$A$7:$CP$70,15,FALSE)</f>
        <v>0.12977989654123137</v>
      </c>
      <c r="P5" s="179">
        <f>VLOOKUP($A$5,$A$7:$CP$70,16,FALSE)</f>
        <v>0.31210061872400857</v>
      </c>
      <c r="Q5" s="180">
        <f>VLOOKUP($A$5,$A$7:$CP$70,17,FALSE)</f>
        <v>0.51404807789836704</v>
      </c>
      <c r="R5" s="188">
        <f>VLOOKUP($A$5,$A$7:$CP$70,18,FALSE)</f>
        <v>1971.8</v>
      </c>
      <c r="S5" s="189">
        <f>VLOOKUP($A$5,$A$7:$CP$70,19,FALSE)</f>
        <v>259</v>
      </c>
      <c r="T5" s="189">
        <f>VLOOKUP($A$5,$A$7:$CP$70,20,FALSE)</f>
        <v>43.3</v>
      </c>
      <c r="U5" s="189">
        <f>VLOOKUP($A$5,$A$7:$CP$70,21,FALSE)</f>
        <v>54.7</v>
      </c>
      <c r="V5" s="189">
        <f>VLOOKUP($A$5,$A$7:$CP$70,22,FALSE)</f>
        <v>30</v>
      </c>
      <c r="W5" s="190">
        <f>VLOOKUP($A$5,$A$7:$CP$70,23,FALSE)</f>
        <v>387</v>
      </c>
      <c r="X5" s="188">
        <f>VLOOKUP($A$5,$A$7:$CP$70,24,FALSE)</f>
        <v>939.8</v>
      </c>
      <c r="Y5" s="189">
        <f>VLOOKUP($A$5,$A$7:$CP$70,25,FALSE)</f>
        <v>116.7</v>
      </c>
      <c r="Z5" s="189">
        <f>VLOOKUP($A$5,$A$7:$CP$70,26,FALSE)</f>
        <v>18.7</v>
      </c>
      <c r="AA5" s="189">
        <f>VLOOKUP($A$5,$A$7:$CP$70,27,FALSE)</f>
        <v>30.1</v>
      </c>
      <c r="AB5" s="189">
        <f>VLOOKUP($A$5,$A$7:$CP$70,28,FALSE)</f>
        <v>29</v>
      </c>
      <c r="AC5" s="191">
        <f>VLOOKUP($A$5,$A$7:$CP$70,29,FALSE)</f>
        <v>194.5</v>
      </c>
      <c r="AD5" s="188">
        <f>VLOOKUP($A$5,$A$7:$CP$70,30,FALSE)</f>
        <v>1032</v>
      </c>
      <c r="AE5" s="189">
        <f>VLOOKUP($A$5,$A$7:$CP$70,31,FALSE)</f>
        <v>142.30000000000001</v>
      </c>
      <c r="AF5" s="189">
        <f>VLOOKUP($A$5,$A$7:$CP$70,32,FALSE)</f>
        <v>24.6</v>
      </c>
      <c r="AG5" s="189">
        <f>VLOOKUP($A$5,$A$7:$CP$70,33,FALSE)</f>
        <v>24.6</v>
      </c>
      <c r="AH5" s="189">
        <f>VLOOKUP($A$5,$A$7:$CP$70,34,FALSE)</f>
        <v>1</v>
      </c>
      <c r="AI5" s="191">
        <f>VLOOKUP($A$5,$A$7:$CP$70,35,FALSE)</f>
        <v>192.5</v>
      </c>
      <c r="AJ5" s="178">
        <f>VLOOKUP($A$5,$A$7:$CP$70,36,FALSE)</f>
        <v>0.19626736991581298</v>
      </c>
      <c r="AK5" s="179">
        <f>VLOOKUP($A$5,$A$7:$CP$70,37,FALSE)</f>
        <v>0.11188630490956071</v>
      </c>
      <c r="AL5" s="179">
        <f>VLOOKUP($A$5,$A$7:$CP$70,38,FALSE)</f>
        <v>0.14134366925064601</v>
      </c>
      <c r="AM5" s="179">
        <f>VLOOKUP($A$5,$A$7:$CP$70,39,FALSE)</f>
        <v>7.7519379844961239E-2</v>
      </c>
      <c r="AN5" s="182">
        <f>VLOOKUP($A$5,$A$7:$CP$70,40,FALSE)</f>
        <v>0.50258397932816534</v>
      </c>
      <c r="AO5" s="180">
        <f>VLOOKUP($A$5,$A$7:$CP$70,41,FALSE)</f>
        <v>0.4974160206718346</v>
      </c>
      <c r="AP5" s="192">
        <f>VLOOKUP($A$5,$A$7:$CP$70,42,FALSE)</f>
        <v>974.6</v>
      </c>
      <c r="AQ5" s="189">
        <f>VLOOKUP($A$5,$A$7:$CP$70,43,FALSE)</f>
        <v>17</v>
      </c>
      <c r="AR5" s="189">
        <f>VLOOKUP($A$5,$A$7:$CP$70,44,FALSE)</f>
        <v>131.30000000000001</v>
      </c>
      <c r="AS5" s="189">
        <f>VLOOKUP($A$5,$A$7:$CP$70,45,FALSE)</f>
        <v>0</v>
      </c>
      <c r="AT5" s="189">
        <f>VLOOKUP($A$5,$A$7:$CP$70,46,FALSE)</f>
        <v>78.5</v>
      </c>
      <c r="AU5" s="189">
        <f>VLOOKUP($A$5,$A$7:$CP$70,47,FALSE)</f>
        <v>181.5</v>
      </c>
      <c r="AV5" s="189">
        <f>VLOOKUP($A$5,$A$7:$CP$70,48,FALSE)</f>
        <v>1.1000000000000001</v>
      </c>
      <c r="AW5" s="189">
        <f>VLOOKUP($A$5,$A$7:$CP$70,49,FALSE)</f>
        <v>4.5</v>
      </c>
      <c r="AX5" s="189">
        <f>VLOOKUP($A$5,$A$7:$CP$70,50,FALSE)</f>
        <v>59.8</v>
      </c>
      <c r="AY5" s="189">
        <f>VLOOKUP($A$5,$A$7:$CP$70,51,FALSE)</f>
        <v>157.1</v>
      </c>
      <c r="AZ5" s="189">
        <f>VLOOKUP($A$5,$A$7:$CP$70,52,FALSE)</f>
        <v>16.3</v>
      </c>
      <c r="BA5" s="189">
        <f>VLOOKUP($A$5,$A$7:$CP$70,53,FALSE)</f>
        <v>10.4</v>
      </c>
      <c r="BB5" s="189">
        <f>VLOOKUP($A$5,$A$7:$CP$70,54,FALSE)</f>
        <v>22.9</v>
      </c>
      <c r="BC5" s="189">
        <f>VLOOKUP($A$5,$A$7:$CP$70,55,FALSE)</f>
        <v>39.9</v>
      </c>
      <c r="BD5" s="189">
        <f>VLOOKUP($A$5,$A$7:$CP$70,56,FALSE)</f>
        <v>33.299999999999997</v>
      </c>
      <c r="BE5" s="189">
        <f>VLOOKUP($A$5,$A$7:$CP$70,57,FALSE)</f>
        <v>13.6</v>
      </c>
      <c r="BF5" s="189">
        <f>VLOOKUP($A$5,$A$7:$CP$70,58,FALSE)</f>
        <v>115.9</v>
      </c>
      <c r="BG5" s="189">
        <f>VLOOKUP($A$5,$A$7:$CP$70,59,FALSE)</f>
        <v>11.3</v>
      </c>
      <c r="BH5" s="189">
        <f>VLOOKUP($A$5,$A$7:$CP$70,60,FALSE)</f>
        <v>52.9</v>
      </c>
      <c r="BI5" s="189">
        <f>VLOOKUP($A$5,$A$7:$CP$70,61,FALSE)</f>
        <v>12.1</v>
      </c>
      <c r="BJ5" s="178">
        <f>VLOOKUP($A$5,$A$7:$CP$70,62,FALSE)</f>
        <v>1.7443053560435049E-2</v>
      </c>
      <c r="BK5" s="179">
        <f>VLOOKUP($A$5,$A$7:$CP$70,63,FALSE)</f>
        <v>0.13472193720500719</v>
      </c>
      <c r="BL5" s="179">
        <f>VLOOKUP($A$5,$A$7:$CP$70,64,FALSE)</f>
        <v>0</v>
      </c>
      <c r="BM5" s="179">
        <f>VLOOKUP($A$5,$A$7:$CP$70,65,FALSE)</f>
        <v>8.0545864970244199E-2</v>
      </c>
      <c r="BN5" s="179">
        <f>VLOOKUP($A$5,$A$7:$CP$70,66,FALSE)</f>
        <v>0.18623024830699775</v>
      </c>
      <c r="BO5" s="179">
        <f>VLOOKUP($A$5,$A$7:$CP$70,67,FALSE)</f>
        <v>1.1286681715575622E-3</v>
      </c>
      <c r="BP5" s="179">
        <f>VLOOKUP($A$5,$A$7:$CP$70,68,FALSE)</f>
        <v>4.6172788836445723E-3</v>
      </c>
      <c r="BQ5" s="179">
        <f>VLOOKUP($A$5,$A$7:$CP$70,69,FALSE)</f>
        <v>6.1358506053765645E-2</v>
      </c>
      <c r="BR5" s="179">
        <f>VLOOKUP($A$5,$A$7:$CP$70,70,FALSE)</f>
        <v>0.16119433613790271</v>
      </c>
      <c r="BS5" s="179">
        <f>VLOOKUP($A$5,$A$7:$CP$70,71,FALSE)</f>
        <v>1.6724810178534784E-2</v>
      </c>
      <c r="BT5" s="179">
        <f>VLOOKUP($A$5,$A$7:$CP$70,72,FALSE)</f>
        <v>1.0671044531089679E-2</v>
      </c>
      <c r="BU5" s="179">
        <f>VLOOKUP($A$5,$A$7:$CP$70,73,FALSE)</f>
        <v>2.3496819207880153E-2</v>
      </c>
      <c r="BV5" s="179">
        <f>VLOOKUP($A$5,$A$7:$CP$70,74,FALSE)</f>
        <v>4.0939872768315205E-2</v>
      </c>
      <c r="BW5" s="179">
        <f>VLOOKUP($A$5,$A$7:$CP$70,75,FALSE)</f>
        <v>3.4167863738969829E-2</v>
      </c>
      <c r="BX5" s="179">
        <f>VLOOKUP($A$5,$A$7:$CP$70,76,FALSE)</f>
        <v>1.395444284834804E-2</v>
      </c>
      <c r="BY5" s="179">
        <f>VLOOKUP($A$5,$A$7:$CP$70,77,FALSE)</f>
        <v>0.11892058280320132</v>
      </c>
      <c r="BZ5" s="179">
        <f>VLOOKUP($A$5,$A$7:$CP$70,78,FALSE)</f>
        <v>1.1594500307818592E-2</v>
      </c>
      <c r="CA5" s="179">
        <f>VLOOKUP($A$5,$A$7:$CP$70,79,FALSE)</f>
        <v>5.4278678432177298E-2</v>
      </c>
      <c r="CB5" s="180">
        <f>VLOOKUP($A$5,$A$7:$CP$70,80,FALSE)</f>
        <v>1.2415349887133182E-2</v>
      </c>
      <c r="CC5" s="188">
        <f>VLOOKUP($A$5,$A$7:$CP$70,81,FALSE)</f>
        <v>974.6</v>
      </c>
      <c r="CD5" s="190">
        <f>VLOOKUP($A$5,$A$7:$CP$70,82,FALSE)</f>
        <v>805.59999999999991</v>
      </c>
      <c r="CE5" s="189">
        <f>VLOOKUP($A$5,$A$7:$CP$70,83,FALSE)</f>
        <v>145.9</v>
      </c>
      <c r="CF5" s="191">
        <f>VLOOKUP($A$5,$A$7:$CP$70,84,FALSE)</f>
        <v>5.7</v>
      </c>
      <c r="CG5" s="188">
        <f>VLOOKUP($A$5,$A$7:$CP$70,85,FALSE)</f>
        <v>56</v>
      </c>
      <c r="CH5" s="189">
        <f>VLOOKUP($A$5,$A$7:$CP$70,86,FALSE)</f>
        <v>35.299999999999997</v>
      </c>
      <c r="CI5" s="189">
        <f>VLOOKUP($A$5,$A$7:$CP$70,87,FALSE)</f>
        <v>20.5</v>
      </c>
      <c r="CJ5" s="191">
        <f>VLOOKUP($A$5,$A$7:$CP$70,88,FALSE)</f>
        <v>0</v>
      </c>
      <c r="CK5" s="178">
        <f>VLOOKUP($A$5,$A$7:$CP$70,89,FALSE)</f>
        <v>0.82659552636979261</v>
      </c>
      <c r="CL5" s="179">
        <f>VLOOKUP($A$5,$A$7:$CP$70,90,FALSE)</f>
        <v>0.14970244202749847</v>
      </c>
      <c r="CM5" s="180">
        <f>VLOOKUP($A$5,$A$7:$CP$70,91,FALSE)</f>
        <v>5.8485532526164584E-3</v>
      </c>
      <c r="CN5" s="178">
        <f>VLOOKUP($A$5,$A$7:$CP$70,92,FALSE)</f>
        <v>0.63035714285714284</v>
      </c>
      <c r="CO5" s="179">
        <f>VLOOKUP($A$5,$A$7:$CP$70,93,FALSE)</f>
        <v>0.36607142857142855</v>
      </c>
      <c r="CP5" s="180">
        <f>VLOOKUP($A$5,$A$7:$CP$70,94,FALSE)</f>
        <v>0</v>
      </c>
    </row>
    <row r="6" spans="1:94" s="242" customFormat="1" x14ac:dyDescent="0.15"/>
    <row r="7" spans="1:94" x14ac:dyDescent="0.15">
      <c r="A7" t="s">
        <v>428</v>
      </c>
      <c r="B7" t="s">
        <v>429</v>
      </c>
      <c r="C7" t="s">
        <v>430</v>
      </c>
      <c r="D7">
        <v>3922.1</v>
      </c>
      <c r="E7">
        <v>1780.9</v>
      </c>
      <c r="F7">
        <v>562.80000000000007</v>
      </c>
      <c r="G7">
        <v>622.20000000000005</v>
      </c>
      <c r="H7">
        <v>0.45406797378955155</v>
      </c>
      <c r="I7">
        <v>0.14349455648759596</v>
      </c>
      <c r="J7">
        <v>0.15863950434716098</v>
      </c>
      <c r="K7">
        <v>8652.1999999999989</v>
      </c>
      <c r="L7">
        <v>821.00000000000011</v>
      </c>
      <c r="M7">
        <v>3460.3</v>
      </c>
      <c r="N7">
        <v>4157.5999999999995</v>
      </c>
      <c r="O7">
        <v>9.4889161138207653E-2</v>
      </c>
      <c r="P7">
        <v>0.39993296502623615</v>
      </c>
      <c r="Q7">
        <v>0.48052518434617786</v>
      </c>
      <c r="R7">
        <v>8652.1999999999989</v>
      </c>
      <c r="S7">
        <v>1286.8999999999999</v>
      </c>
      <c r="T7">
        <v>492.29999999999995</v>
      </c>
      <c r="U7">
        <v>378.90000000000009</v>
      </c>
      <c r="V7">
        <v>17.100000000000001</v>
      </c>
      <c r="W7">
        <v>2175.1999999999998</v>
      </c>
      <c r="X7">
        <v>4142.2999999999993</v>
      </c>
      <c r="Y7">
        <v>589.5</v>
      </c>
      <c r="Z7">
        <v>238.4</v>
      </c>
      <c r="AA7">
        <v>231.49999999999997</v>
      </c>
      <c r="AB7">
        <v>6.1</v>
      </c>
      <c r="AC7">
        <v>1065.4999999999998</v>
      </c>
      <c r="AD7">
        <v>4509.8999999999996</v>
      </c>
      <c r="AE7">
        <v>697.40000000000009</v>
      </c>
      <c r="AF7">
        <v>253.89999999999995</v>
      </c>
      <c r="AG7">
        <v>147.4</v>
      </c>
      <c r="AH7">
        <v>11</v>
      </c>
      <c r="AI7">
        <v>1109.7</v>
      </c>
      <c r="AJ7">
        <v>0.25140426712281272</v>
      </c>
      <c r="AK7">
        <v>0.22632401618242001</v>
      </c>
      <c r="AL7">
        <v>0.17419087899963229</v>
      </c>
      <c r="AM7">
        <v>7.8613460831187948E-3</v>
      </c>
      <c r="AN7">
        <v>0.48984001471129085</v>
      </c>
      <c r="AO7">
        <v>0.51015998528870909</v>
      </c>
      <c r="AP7">
        <v>4173.3999999999996</v>
      </c>
      <c r="AQ7">
        <v>130.19999999999999</v>
      </c>
      <c r="AR7">
        <v>5</v>
      </c>
      <c r="AS7">
        <v>0.1</v>
      </c>
      <c r="AT7">
        <v>376.8</v>
      </c>
      <c r="AU7">
        <v>700.6</v>
      </c>
      <c r="AV7">
        <v>34.6</v>
      </c>
      <c r="AW7">
        <v>38.1</v>
      </c>
      <c r="AX7">
        <v>131.1</v>
      </c>
      <c r="AY7">
        <v>687.2</v>
      </c>
      <c r="AZ7">
        <v>95.299999999999983</v>
      </c>
      <c r="BA7">
        <v>54.400000000000006</v>
      </c>
      <c r="BB7">
        <v>124.60000000000001</v>
      </c>
      <c r="BC7">
        <v>242.10000000000002</v>
      </c>
      <c r="BD7">
        <v>141.30000000000001</v>
      </c>
      <c r="BE7">
        <v>217</v>
      </c>
      <c r="BF7">
        <v>670.19999999999993</v>
      </c>
      <c r="BG7">
        <v>62.9</v>
      </c>
      <c r="BH7">
        <v>226.89999999999998</v>
      </c>
      <c r="BI7">
        <v>193.20000000000002</v>
      </c>
      <c r="BJ7">
        <v>3.1197584703119757E-2</v>
      </c>
      <c r="BK7">
        <v>1.1980639286912351E-3</v>
      </c>
      <c r="BL7">
        <v>2.3961278573824703E-5</v>
      </c>
      <c r="BM7">
        <v>9.0286097666171475E-2</v>
      </c>
      <c r="BN7">
        <v>0.16787271768821585</v>
      </c>
      <c r="BO7">
        <v>8.290602386543347E-3</v>
      </c>
      <c r="BP7">
        <v>9.1292471366272113E-3</v>
      </c>
      <c r="BQ7">
        <v>3.1413236210284183E-2</v>
      </c>
      <c r="BR7">
        <v>0.16466190635932335</v>
      </c>
      <c r="BS7">
        <v>2.2835098480854937E-2</v>
      </c>
      <c r="BT7">
        <v>1.3034935544160639E-2</v>
      </c>
      <c r="BU7">
        <v>2.9855753102985581E-2</v>
      </c>
      <c r="BV7">
        <v>5.8010255427229609E-2</v>
      </c>
      <c r="BW7">
        <v>3.3857286624814305E-2</v>
      </c>
      <c r="BX7">
        <v>5.1995974505199605E-2</v>
      </c>
      <c r="BY7">
        <v>0.16058848900177314</v>
      </c>
      <c r="BZ7">
        <v>1.5071644222935736E-2</v>
      </c>
      <c r="CA7">
        <v>5.436814108400824E-2</v>
      </c>
      <c r="CB7">
        <v>4.6293190204629325E-2</v>
      </c>
      <c r="CC7">
        <v>4173.3999999999996</v>
      </c>
      <c r="CD7">
        <v>3319.8999999999996</v>
      </c>
      <c r="CE7">
        <v>773.09999999999991</v>
      </c>
      <c r="CF7">
        <v>19.500000000000004</v>
      </c>
      <c r="CG7">
        <v>328</v>
      </c>
      <c r="CH7">
        <v>194.80000000000004</v>
      </c>
      <c r="CI7">
        <v>117.69999999999999</v>
      </c>
      <c r="CJ7">
        <v>5.3</v>
      </c>
      <c r="CK7">
        <v>0.79549048737240613</v>
      </c>
      <c r="CL7">
        <v>0.18524464465423873</v>
      </c>
      <c r="CM7">
        <v>4.6724493218958177E-3</v>
      </c>
      <c r="CN7">
        <v>0.59390243902439033</v>
      </c>
      <c r="CO7">
        <v>0.35884146341463413</v>
      </c>
      <c r="CP7">
        <v>1.6158536585365854E-2</v>
      </c>
    </row>
    <row r="8" spans="1:94" x14ac:dyDescent="0.15">
      <c r="A8" t="s">
        <v>431</v>
      </c>
      <c r="B8" t="s">
        <v>429</v>
      </c>
      <c r="C8" t="s">
        <v>432</v>
      </c>
      <c r="D8">
        <v>2099.4</v>
      </c>
      <c r="E8">
        <v>938.7</v>
      </c>
      <c r="F8">
        <v>263.5</v>
      </c>
      <c r="G8">
        <v>370</v>
      </c>
      <c r="H8">
        <v>0.44712775078593886</v>
      </c>
      <c r="I8">
        <v>0.12551205106220825</v>
      </c>
      <c r="J8">
        <v>0.17624083071353719</v>
      </c>
      <c r="K8">
        <v>4412.5</v>
      </c>
      <c r="L8">
        <v>358.00000000000006</v>
      </c>
      <c r="M8">
        <v>1865.1</v>
      </c>
      <c r="N8">
        <v>2108.6</v>
      </c>
      <c r="O8">
        <v>8.1133144475920696E-2</v>
      </c>
      <c r="P8">
        <v>0.42268555240793199</v>
      </c>
      <c r="Q8">
        <v>0.47786968838526911</v>
      </c>
      <c r="R8">
        <v>4412.5</v>
      </c>
      <c r="S8">
        <v>655.4</v>
      </c>
      <c r="T8">
        <v>262.39999999999998</v>
      </c>
      <c r="U8">
        <v>223.4</v>
      </c>
      <c r="V8">
        <v>9.1</v>
      </c>
      <c r="W8">
        <v>1150.3</v>
      </c>
      <c r="X8">
        <v>2036</v>
      </c>
      <c r="Y8">
        <v>283.89999999999998</v>
      </c>
      <c r="Z8">
        <v>118.89999999999999</v>
      </c>
      <c r="AA8">
        <v>132.79999999999998</v>
      </c>
      <c r="AB8">
        <v>3.1</v>
      </c>
      <c r="AC8">
        <v>538.69999999999993</v>
      </c>
      <c r="AD8">
        <v>2376.5</v>
      </c>
      <c r="AE8">
        <v>371.5</v>
      </c>
      <c r="AF8">
        <v>143.5</v>
      </c>
      <c r="AG8">
        <v>90.6</v>
      </c>
      <c r="AH8">
        <v>6</v>
      </c>
      <c r="AI8">
        <v>611.6</v>
      </c>
      <c r="AJ8">
        <v>0.2606912181303116</v>
      </c>
      <c r="AK8">
        <v>0.2281144049378423</v>
      </c>
      <c r="AL8">
        <v>0.19421020603320874</v>
      </c>
      <c r="AM8">
        <v>7.9109797444145008E-3</v>
      </c>
      <c r="AN8">
        <v>0.46831261410066932</v>
      </c>
      <c r="AO8">
        <v>0.53168738589933062</v>
      </c>
      <c r="AP8">
        <v>2194.4</v>
      </c>
      <c r="AQ8">
        <v>40.799999999999997</v>
      </c>
      <c r="AR8">
        <v>6</v>
      </c>
      <c r="AS8">
        <v>0</v>
      </c>
      <c r="AT8">
        <v>181.6</v>
      </c>
      <c r="AU8">
        <v>413.3</v>
      </c>
      <c r="AV8">
        <v>18.5</v>
      </c>
      <c r="AW8">
        <v>14</v>
      </c>
      <c r="AX8">
        <v>76.000000000000014</v>
      </c>
      <c r="AY8">
        <v>351.20000000000005</v>
      </c>
      <c r="AZ8">
        <v>49.199999999999996</v>
      </c>
      <c r="BA8">
        <v>32.799999999999997</v>
      </c>
      <c r="BB8">
        <v>57.2</v>
      </c>
      <c r="BC8">
        <v>145.19999999999999</v>
      </c>
      <c r="BD8">
        <v>93.5</v>
      </c>
      <c r="BE8">
        <v>98.399999999999991</v>
      </c>
      <c r="BF8">
        <v>372.3</v>
      </c>
      <c r="BG8">
        <v>20.9</v>
      </c>
      <c r="BH8">
        <v>113.6</v>
      </c>
      <c r="BI8">
        <v>87.1</v>
      </c>
      <c r="BJ8">
        <v>1.859278162595698E-2</v>
      </c>
      <c r="BK8">
        <v>2.7342325920524969E-3</v>
      </c>
      <c r="BL8">
        <v>0</v>
      </c>
      <c r="BM8">
        <v>8.2756106452788913E-2</v>
      </c>
      <c r="BN8">
        <v>0.1883430550492162</v>
      </c>
      <c r="BO8">
        <v>8.430550492161867E-3</v>
      </c>
      <c r="BP8">
        <v>6.3798760481224934E-3</v>
      </c>
      <c r="BQ8">
        <v>3.4633612832664973E-2</v>
      </c>
      <c r="BR8">
        <v>0.16004374772147287</v>
      </c>
      <c r="BS8">
        <v>2.2420707254830474E-2</v>
      </c>
      <c r="BT8">
        <v>1.4947138169886983E-2</v>
      </c>
      <c r="BU8">
        <v>2.6066350710900472E-2</v>
      </c>
      <c r="BV8">
        <v>6.6168428727670425E-2</v>
      </c>
      <c r="BW8">
        <v>4.2608457892818079E-2</v>
      </c>
      <c r="BX8">
        <v>4.4841414509660948E-2</v>
      </c>
      <c r="BY8">
        <v>0.16965913233685745</v>
      </c>
      <c r="BZ8">
        <v>9.5242435289828644E-3</v>
      </c>
      <c r="CA8">
        <v>5.1768137076193946E-2</v>
      </c>
      <c r="CB8">
        <v>3.9691943127962079E-2</v>
      </c>
      <c r="CC8">
        <v>2194.4</v>
      </c>
      <c r="CD8">
        <v>1815.0000000000002</v>
      </c>
      <c r="CE8">
        <v>348.40000000000003</v>
      </c>
      <c r="CF8">
        <v>4.2</v>
      </c>
      <c r="CG8">
        <v>160.99999999999997</v>
      </c>
      <c r="CH8">
        <v>96.800000000000011</v>
      </c>
      <c r="CI8">
        <v>56.5</v>
      </c>
      <c r="CJ8">
        <v>4.3999999999999995</v>
      </c>
      <c r="CK8">
        <v>0.82710535909588045</v>
      </c>
      <c r="CL8">
        <v>0.15876777251184834</v>
      </c>
      <c r="CM8">
        <v>1.913962814436748E-3</v>
      </c>
      <c r="CN8">
        <v>0.60124223602484494</v>
      </c>
      <c r="CO8">
        <v>0.35093167701863359</v>
      </c>
      <c r="CP8">
        <v>2.7329192546583853E-2</v>
      </c>
    </row>
    <row r="9" spans="1:94" x14ac:dyDescent="0.15">
      <c r="A9" t="s">
        <v>433</v>
      </c>
      <c r="B9" t="s">
        <v>429</v>
      </c>
      <c r="C9" t="s">
        <v>434</v>
      </c>
      <c r="D9">
        <v>3550.6</v>
      </c>
      <c r="E9">
        <v>1648.9</v>
      </c>
      <c r="F9">
        <v>496.8</v>
      </c>
      <c r="G9">
        <v>528.9</v>
      </c>
      <c r="H9">
        <v>0.46440038303385345</v>
      </c>
      <c r="I9">
        <v>0.1399200135188419</v>
      </c>
      <c r="J9">
        <v>0.1489607390300231</v>
      </c>
      <c r="K9">
        <v>8657.2000000000007</v>
      </c>
      <c r="L9">
        <v>737.1</v>
      </c>
      <c r="M9">
        <v>3686.7000000000003</v>
      </c>
      <c r="N9">
        <v>4072.9</v>
      </c>
      <c r="O9">
        <v>8.5143002356420083E-2</v>
      </c>
      <c r="P9">
        <v>0.42585362472854965</v>
      </c>
      <c r="Q9">
        <v>0.47046389132744998</v>
      </c>
      <c r="R9">
        <v>8657.2000000000007</v>
      </c>
      <c r="S9">
        <v>1422.4</v>
      </c>
      <c r="T9">
        <v>469.9</v>
      </c>
      <c r="U9">
        <v>277.39999999999998</v>
      </c>
      <c r="V9">
        <v>12.9</v>
      </c>
      <c r="W9">
        <v>2182.6000000000004</v>
      </c>
      <c r="X9">
        <v>4095.2</v>
      </c>
      <c r="Y9">
        <v>668.3</v>
      </c>
      <c r="Z9">
        <v>216.6</v>
      </c>
      <c r="AA9">
        <v>145.6</v>
      </c>
      <c r="AB9">
        <v>10</v>
      </c>
      <c r="AC9">
        <v>1040.5</v>
      </c>
      <c r="AD9">
        <v>4562</v>
      </c>
      <c r="AE9">
        <v>754.1</v>
      </c>
      <c r="AF9">
        <v>253.3</v>
      </c>
      <c r="AG9">
        <v>131.80000000000001</v>
      </c>
      <c r="AH9">
        <v>2.9</v>
      </c>
      <c r="AI9">
        <v>1142.1000000000001</v>
      </c>
      <c r="AJ9">
        <v>0.2521138474333503</v>
      </c>
      <c r="AK9">
        <v>0.21529368642902955</v>
      </c>
      <c r="AL9">
        <v>0.12709612388893976</v>
      </c>
      <c r="AM9">
        <v>5.910382113076147E-3</v>
      </c>
      <c r="AN9">
        <v>0.47672500687253727</v>
      </c>
      <c r="AO9">
        <v>0.52327499312746262</v>
      </c>
      <c r="AP9">
        <v>4002.1</v>
      </c>
      <c r="AQ9">
        <v>130.9</v>
      </c>
      <c r="AR9">
        <v>4.5</v>
      </c>
      <c r="AS9">
        <v>2.5</v>
      </c>
      <c r="AT9">
        <v>429.7</v>
      </c>
      <c r="AU9">
        <v>750.5</v>
      </c>
      <c r="AV9">
        <v>5.8</v>
      </c>
      <c r="AW9">
        <v>19.899999999999999</v>
      </c>
      <c r="AX9">
        <v>161.4</v>
      </c>
      <c r="AY9">
        <v>580.70000000000005</v>
      </c>
      <c r="AZ9">
        <v>68</v>
      </c>
      <c r="BA9">
        <v>51.7</v>
      </c>
      <c r="BB9">
        <v>74.5</v>
      </c>
      <c r="BC9">
        <v>182.9</v>
      </c>
      <c r="BD9">
        <v>131.6</v>
      </c>
      <c r="BE9">
        <v>178.3</v>
      </c>
      <c r="BF9">
        <v>763</v>
      </c>
      <c r="BG9">
        <v>49.9</v>
      </c>
      <c r="BH9">
        <v>236.8</v>
      </c>
      <c r="BI9">
        <v>127.5</v>
      </c>
      <c r="BJ9">
        <v>3.27078283900952E-2</v>
      </c>
      <c r="BK9">
        <v>1.1244096849154193E-3</v>
      </c>
      <c r="BL9">
        <v>6.2467204717523307E-4</v>
      </c>
      <c r="BM9">
        <v>0.10736863146847905</v>
      </c>
      <c r="BN9">
        <v>0.18752654856200496</v>
      </c>
      <c r="BO9">
        <v>1.4492391494465406E-3</v>
      </c>
      <c r="BP9">
        <v>4.9723894955148546E-3</v>
      </c>
      <c r="BQ9">
        <v>4.0328827365633042E-2</v>
      </c>
      <c r="BR9">
        <v>0.14509882311786312</v>
      </c>
      <c r="BS9">
        <v>1.6991079683166339E-2</v>
      </c>
      <c r="BT9">
        <v>1.291821793558382E-2</v>
      </c>
      <c r="BU9">
        <v>1.8615227005821945E-2</v>
      </c>
      <c r="BV9">
        <v>4.5701006971340045E-2</v>
      </c>
      <c r="BW9">
        <v>3.2882736563304267E-2</v>
      </c>
      <c r="BX9">
        <v>4.4551610404537624E-2</v>
      </c>
      <c r="BY9">
        <v>0.19064990879788113</v>
      </c>
      <c r="BZ9">
        <v>1.2468454061617651E-2</v>
      </c>
      <c r="CA9">
        <v>5.9168936308438072E-2</v>
      </c>
      <c r="CB9">
        <v>3.1858274405936887E-2</v>
      </c>
      <c r="CC9">
        <v>4002.1</v>
      </c>
      <c r="CD9">
        <v>3267.2999999999997</v>
      </c>
      <c r="CE9">
        <v>645.6</v>
      </c>
      <c r="CF9">
        <v>27.3</v>
      </c>
      <c r="CG9">
        <v>292.10000000000002</v>
      </c>
      <c r="CH9">
        <v>179.1</v>
      </c>
      <c r="CI9">
        <v>102</v>
      </c>
      <c r="CJ9">
        <v>4</v>
      </c>
      <c r="CK9">
        <v>0.8163963918942555</v>
      </c>
      <c r="CL9">
        <v>0.16131530946253217</v>
      </c>
      <c r="CM9">
        <v>6.8214187551535448E-3</v>
      </c>
      <c r="CN9">
        <v>0.61314618281410471</v>
      </c>
      <c r="CO9">
        <v>0.34919548099965764</v>
      </c>
      <c r="CP9">
        <v>1.3693940431359122E-2</v>
      </c>
    </row>
    <row r="10" spans="1:94" x14ac:dyDescent="0.15">
      <c r="A10" t="s">
        <v>435</v>
      </c>
      <c r="B10" t="s">
        <v>429</v>
      </c>
      <c r="C10" t="s">
        <v>436</v>
      </c>
      <c r="D10">
        <v>842.1</v>
      </c>
      <c r="E10">
        <v>460.3</v>
      </c>
      <c r="F10">
        <v>128.4</v>
      </c>
      <c r="G10">
        <v>150.1</v>
      </c>
      <c r="H10">
        <v>0.54660966631041441</v>
      </c>
      <c r="I10">
        <v>0.15247595297470609</v>
      </c>
      <c r="J10">
        <v>0.17824486403040019</v>
      </c>
      <c r="K10">
        <v>1971.8</v>
      </c>
      <c r="L10">
        <v>255.9</v>
      </c>
      <c r="M10">
        <v>615.40000000000009</v>
      </c>
      <c r="N10">
        <v>1013.6</v>
      </c>
      <c r="O10">
        <v>0.12977989654123137</v>
      </c>
      <c r="P10">
        <v>0.31210061872400857</v>
      </c>
      <c r="Q10">
        <v>0.51404807789836704</v>
      </c>
      <c r="R10">
        <v>1971.8</v>
      </c>
      <c r="S10">
        <v>259</v>
      </c>
      <c r="T10">
        <v>43.3</v>
      </c>
      <c r="U10">
        <v>54.7</v>
      </c>
      <c r="V10">
        <v>30</v>
      </c>
      <c r="W10">
        <v>387</v>
      </c>
      <c r="X10">
        <v>939.8</v>
      </c>
      <c r="Y10">
        <v>116.7</v>
      </c>
      <c r="Z10">
        <v>18.7</v>
      </c>
      <c r="AA10">
        <v>30.1</v>
      </c>
      <c r="AB10">
        <v>29</v>
      </c>
      <c r="AC10">
        <v>194.5</v>
      </c>
      <c r="AD10">
        <v>1032</v>
      </c>
      <c r="AE10">
        <v>142.30000000000001</v>
      </c>
      <c r="AF10">
        <v>24.6</v>
      </c>
      <c r="AG10">
        <v>24.6</v>
      </c>
      <c r="AH10">
        <v>1</v>
      </c>
      <c r="AI10">
        <v>192.5</v>
      </c>
      <c r="AJ10">
        <v>0.19626736991581298</v>
      </c>
      <c r="AK10">
        <v>0.11188630490956071</v>
      </c>
      <c r="AL10">
        <v>0.14134366925064601</v>
      </c>
      <c r="AM10">
        <v>7.7519379844961239E-2</v>
      </c>
      <c r="AN10">
        <v>0.50258397932816534</v>
      </c>
      <c r="AO10">
        <v>0.4974160206718346</v>
      </c>
      <c r="AP10">
        <v>974.6</v>
      </c>
      <c r="AQ10">
        <v>17</v>
      </c>
      <c r="AR10">
        <v>131.30000000000001</v>
      </c>
      <c r="AS10">
        <v>0</v>
      </c>
      <c r="AT10">
        <v>78.5</v>
      </c>
      <c r="AU10">
        <v>181.5</v>
      </c>
      <c r="AV10">
        <v>1.1000000000000001</v>
      </c>
      <c r="AW10">
        <v>4.5</v>
      </c>
      <c r="AX10">
        <v>59.8</v>
      </c>
      <c r="AY10">
        <v>157.1</v>
      </c>
      <c r="AZ10">
        <v>16.3</v>
      </c>
      <c r="BA10">
        <v>10.4</v>
      </c>
      <c r="BB10">
        <v>22.9</v>
      </c>
      <c r="BC10">
        <v>39.9</v>
      </c>
      <c r="BD10">
        <v>33.299999999999997</v>
      </c>
      <c r="BE10">
        <v>13.6</v>
      </c>
      <c r="BF10">
        <v>115.9</v>
      </c>
      <c r="BG10">
        <v>11.3</v>
      </c>
      <c r="BH10">
        <v>52.9</v>
      </c>
      <c r="BI10">
        <v>12.1</v>
      </c>
      <c r="BJ10">
        <v>1.7443053560435049E-2</v>
      </c>
      <c r="BK10">
        <v>0.13472193720500719</v>
      </c>
      <c r="BL10">
        <v>0</v>
      </c>
      <c r="BM10">
        <v>8.0545864970244199E-2</v>
      </c>
      <c r="BN10">
        <v>0.18623024830699775</v>
      </c>
      <c r="BO10">
        <v>1.1286681715575622E-3</v>
      </c>
      <c r="BP10">
        <v>4.6172788836445723E-3</v>
      </c>
      <c r="BQ10">
        <v>6.1358506053765645E-2</v>
      </c>
      <c r="BR10">
        <v>0.16119433613790271</v>
      </c>
      <c r="BS10">
        <v>1.6724810178534784E-2</v>
      </c>
      <c r="BT10">
        <v>1.0671044531089679E-2</v>
      </c>
      <c r="BU10">
        <v>2.3496819207880153E-2</v>
      </c>
      <c r="BV10">
        <v>4.0939872768315205E-2</v>
      </c>
      <c r="BW10">
        <v>3.4167863738969829E-2</v>
      </c>
      <c r="BX10">
        <v>1.395444284834804E-2</v>
      </c>
      <c r="BY10">
        <v>0.11892058280320132</v>
      </c>
      <c r="BZ10">
        <v>1.1594500307818592E-2</v>
      </c>
      <c r="CA10">
        <v>5.4278678432177298E-2</v>
      </c>
      <c r="CB10">
        <v>1.2415349887133182E-2</v>
      </c>
      <c r="CC10">
        <v>974.6</v>
      </c>
      <c r="CD10">
        <v>805.59999999999991</v>
      </c>
      <c r="CE10">
        <v>145.9</v>
      </c>
      <c r="CF10">
        <v>5.7</v>
      </c>
      <c r="CG10">
        <v>56</v>
      </c>
      <c r="CH10">
        <v>35.299999999999997</v>
      </c>
      <c r="CI10">
        <v>20.5</v>
      </c>
      <c r="CJ10">
        <v>0</v>
      </c>
      <c r="CK10">
        <v>0.82659552636979261</v>
      </c>
      <c r="CL10">
        <v>0.14970244202749847</v>
      </c>
      <c r="CM10">
        <v>5.8485532526164584E-3</v>
      </c>
      <c r="CN10">
        <v>0.63035714285714284</v>
      </c>
      <c r="CO10">
        <v>0.36607142857142855</v>
      </c>
      <c r="CP10">
        <v>0</v>
      </c>
    </row>
    <row r="11" spans="1:94" x14ac:dyDescent="0.15">
      <c r="A11" t="s">
        <v>437</v>
      </c>
      <c r="B11" t="s">
        <v>429</v>
      </c>
      <c r="C11" t="s">
        <v>438</v>
      </c>
      <c r="D11">
        <v>676</v>
      </c>
      <c r="E11">
        <v>451.8</v>
      </c>
      <c r="F11">
        <v>126.4</v>
      </c>
      <c r="G11">
        <v>113</v>
      </c>
      <c r="H11">
        <v>0.66834319526627217</v>
      </c>
      <c r="I11">
        <v>0.18698224852071008</v>
      </c>
      <c r="J11">
        <v>0.16715976331360946</v>
      </c>
      <c r="K11">
        <v>2255.6</v>
      </c>
      <c r="L11">
        <v>352.4</v>
      </c>
      <c r="M11">
        <v>665.40000000000009</v>
      </c>
      <c r="N11">
        <v>1013</v>
      </c>
      <c r="O11">
        <v>0.15623337471182833</v>
      </c>
      <c r="P11">
        <v>0.29499911331796425</v>
      </c>
      <c r="Q11">
        <v>0.44910445114381986</v>
      </c>
      <c r="R11">
        <v>2255.6</v>
      </c>
      <c r="S11">
        <v>353.4</v>
      </c>
      <c r="T11">
        <v>65.599999999999994</v>
      </c>
      <c r="U11">
        <v>19.2</v>
      </c>
      <c r="V11">
        <v>0</v>
      </c>
      <c r="W11">
        <v>438.2</v>
      </c>
      <c r="X11">
        <v>1021.2</v>
      </c>
      <c r="Y11">
        <v>128</v>
      </c>
      <c r="Z11">
        <v>29.2</v>
      </c>
      <c r="AA11">
        <v>8</v>
      </c>
      <c r="AB11">
        <v>0</v>
      </c>
      <c r="AC11">
        <v>165.2</v>
      </c>
      <c r="AD11">
        <v>1234.4000000000001</v>
      </c>
      <c r="AE11">
        <v>225.4</v>
      </c>
      <c r="AF11">
        <v>36.4</v>
      </c>
      <c r="AG11">
        <v>11.2</v>
      </c>
      <c r="AH11">
        <v>0</v>
      </c>
      <c r="AI11">
        <v>273</v>
      </c>
      <c r="AJ11">
        <v>0.19427203404859017</v>
      </c>
      <c r="AK11">
        <v>0.149703331811958</v>
      </c>
      <c r="AL11">
        <v>4.3815609310816975E-2</v>
      </c>
      <c r="AM11">
        <v>0</v>
      </c>
      <c r="AN11">
        <v>0.37699680511182104</v>
      </c>
      <c r="AO11">
        <v>0.6230031948881789</v>
      </c>
      <c r="AP11">
        <v>904.4</v>
      </c>
      <c r="AQ11">
        <v>214</v>
      </c>
      <c r="AR11">
        <v>1</v>
      </c>
      <c r="AS11">
        <v>1</v>
      </c>
      <c r="AT11">
        <v>94.2</v>
      </c>
      <c r="AU11">
        <v>135.19999999999999</v>
      </c>
      <c r="AV11">
        <v>4</v>
      </c>
      <c r="AW11">
        <v>3</v>
      </c>
      <c r="AX11">
        <v>34.200000000000003</v>
      </c>
      <c r="AY11">
        <v>85</v>
      </c>
      <c r="AZ11">
        <v>13.2</v>
      </c>
      <c r="BA11">
        <v>4</v>
      </c>
      <c r="BB11">
        <v>19.399999999999999</v>
      </c>
      <c r="BC11">
        <v>22.8</v>
      </c>
      <c r="BD11">
        <v>16.399999999999999</v>
      </c>
      <c r="BE11">
        <v>15</v>
      </c>
      <c r="BF11">
        <v>155</v>
      </c>
      <c r="BG11">
        <v>9.8000000000000007</v>
      </c>
      <c r="BH11">
        <v>34.799999999999997</v>
      </c>
      <c r="BI11">
        <v>13</v>
      </c>
      <c r="BJ11">
        <v>0.23662096417514375</v>
      </c>
      <c r="BK11">
        <v>1.1057054400707652E-3</v>
      </c>
      <c r="BL11">
        <v>1.1057054400707652E-3</v>
      </c>
      <c r="BM11">
        <v>0.10415745245466608</v>
      </c>
      <c r="BN11">
        <v>0.14949137549756744</v>
      </c>
      <c r="BO11">
        <v>4.4228217602830609E-3</v>
      </c>
      <c r="BP11">
        <v>3.3171163202122956E-3</v>
      </c>
      <c r="BQ11">
        <v>3.7815126050420172E-2</v>
      </c>
      <c r="BR11">
        <v>9.3984962406015046E-2</v>
      </c>
      <c r="BS11">
        <v>1.45953118089341E-2</v>
      </c>
      <c r="BT11">
        <v>4.4228217602830609E-3</v>
      </c>
      <c r="BU11">
        <v>2.1450685537372841E-2</v>
      </c>
      <c r="BV11">
        <v>2.5210084033613446E-2</v>
      </c>
      <c r="BW11">
        <v>1.8133569217160549E-2</v>
      </c>
      <c r="BX11">
        <v>1.6585581601061477E-2</v>
      </c>
      <c r="BY11">
        <v>0.1713843432109686</v>
      </c>
      <c r="BZ11">
        <v>1.0835913312693499E-2</v>
      </c>
      <c r="CA11">
        <v>3.8478549314462623E-2</v>
      </c>
      <c r="CB11">
        <v>1.4374170720919947E-2</v>
      </c>
      <c r="CC11">
        <v>904.4</v>
      </c>
      <c r="CD11">
        <v>771.19999999999993</v>
      </c>
      <c r="CE11">
        <v>110.6</v>
      </c>
      <c r="CF11">
        <v>2</v>
      </c>
      <c r="CG11">
        <v>60.8</v>
      </c>
      <c r="CH11">
        <v>43.6</v>
      </c>
      <c r="CI11">
        <v>15.4</v>
      </c>
      <c r="CJ11">
        <v>1.8</v>
      </c>
      <c r="CK11">
        <v>0.85272003538257402</v>
      </c>
      <c r="CL11">
        <v>0.12229102167182662</v>
      </c>
      <c r="CM11">
        <v>2.2114108801415304E-3</v>
      </c>
      <c r="CN11">
        <v>0.7171052631578948</v>
      </c>
      <c r="CO11">
        <v>0.25328947368421056</v>
      </c>
      <c r="CP11">
        <v>2.9605263157894739E-2</v>
      </c>
    </row>
    <row r="12" spans="1:94" x14ac:dyDescent="0.15">
      <c r="A12" t="s">
        <v>439</v>
      </c>
      <c r="B12" t="s">
        <v>429</v>
      </c>
      <c r="C12" t="s">
        <v>440</v>
      </c>
      <c r="D12">
        <v>854</v>
      </c>
      <c r="E12">
        <v>557</v>
      </c>
      <c r="F12">
        <v>167</v>
      </c>
      <c r="G12">
        <v>145</v>
      </c>
      <c r="H12">
        <v>0.65222482435597184</v>
      </c>
      <c r="I12">
        <v>0.1955503512880562</v>
      </c>
      <c r="J12">
        <v>0.16978922716627634</v>
      </c>
      <c r="K12">
        <v>2211</v>
      </c>
      <c r="L12">
        <v>358</v>
      </c>
      <c r="M12">
        <v>602</v>
      </c>
      <c r="N12">
        <v>1242</v>
      </c>
      <c r="O12">
        <v>0.16191768430574402</v>
      </c>
      <c r="P12">
        <v>0.27227498869289912</v>
      </c>
      <c r="Q12">
        <v>0.56173677069199457</v>
      </c>
      <c r="R12">
        <v>2211</v>
      </c>
      <c r="S12">
        <v>184</v>
      </c>
      <c r="T12">
        <v>52</v>
      </c>
      <c r="U12">
        <v>52</v>
      </c>
      <c r="V12">
        <v>9</v>
      </c>
      <c r="W12">
        <v>297</v>
      </c>
      <c r="X12">
        <v>1052</v>
      </c>
      <c r="Y12">
        <v>73</v>
      </c>
      <c r="Z12">
        <v>27</v>
      </c>
      <c r="AA12">
        <v>23</v>
      </c>
      <c r="AB12">
        <v>5</v>
      </c>
      <c r="AC12">
        <v>128</v>
      </c>
      <c r="AD12">
        <v>1159</v>
      </c>
      <c r="AE12">
        <v>111</v>
      </c>
      <c r="AF12">
        <v>25</v>
      </c>
      <c r="AG12">
        <v>29</v>
      </c>
      <c r="AH12">
        <v>4</v>
      </c>
      <c r="AI12">
        <v>169</v>
      </c>
      <c r="AJ12">
        <v>0.13432835820895522</v>
      </c>
      <c r="AK12">
        <v>0.17508417508417509</v>
      </c>
      <c r="AL12">
        <v>0.17508417508417509</v>
      </c>
      <c r="AM12">
        <v>3.0303030303030304E-2</v>
      </c>
      <c r="AN12">
        <v>0.43097643097643096</v>
      </c>
      <c r="AO12">
        <v>0.56902356902356899</v>
      </c>
      <c r="AP12">
        <v>1018</v>
      </c>
      <c r="AQ12">
        <v>148</v>
      </c>
      <c r="AR12">
        <v>6</v>
      </c>
      <c r="AS12">
        <v>0</v>
      </c>
      <c r="AT12">
        <v>84</v>
      </c>
      <c r="AU12">
        <v>213</v>
      </c>
      <c r="AV12">
        <v>4</v>
      </c>
      <c r="AW12">
        <v>6</v>
      </c>
      <c r="AX12">
        <v>35</v>
      </c>
      <c r="AY12">
        <v>123</v>
      </c>
      <c r="AZ12">
        <v>12</v>
      </c>
      <c r="BA12">
        <v>10</v>
      </c>
      <c r="BB12">
        <v>9</v>
      </c>
      <c r="BC12">
        <v>44</v>
      </c>
      <c r="BD12">
        <v>20</v>
      </c>
      <c r="BE12">
        <v>20</v>
      </c>
      <c r="BF12">
        <v>158</v>
      </c>
      <c r="BG12">
        <v>14</v>
      </c>
      <c r="BH12">
        <v>50</v>
      </c>
      <c r="BI12">
        <v>27</v>
      </c>
      <c r="BJ12">
        <v>0.14538310412573674</v>
      </c>
      <c r="BK12">
        <v>5.893909626719057E-3</v>
      </c>
      <c r="BL12">
        <v>0</v>
      </c>
      <c r="BM12">
        <v>8.2514734774066803E-2</v>
      </c>
      <c r="BN12">
        <v>0.20923379174852652</v>
      </c>
      <c r="BO12">
        <v>3.929273084479371E-3</v>
      </c>
      <c r="BP12">
        <v>5.893909626719057E-3</v>
      </c>
      <c r="BQ12">
        <v>3.4381139489194502E-2</v>
      </c>
      <c r="BR12">
        <v>0.12082514734774066</v>
      </c>
      <c r="BS12">
        <v>1.1787819253438114E-2</v>
      </c>
      <c r="BT12">
        <v>9.823182711198428E-3</v>
      </c>
      <c r="BU12">
        <v>8.840864440078585E-3</v>
      </c>
      <c r="BV12">
        <v>4.3222003929273084E-2</v>
      </c>
      <c r="BW12">
        <v>1.9646365422396856E-2</v>
      </c>
      <c r="BX12">
        <v>1.9646365422396856E-2</v>
      </c>
      <c r="BY12">
        <v>0.15520628683693516</v>
      </c>
      <c r="BZ12">
        <v>1.37524557956778E-2</v>
      </c>
      <c r="CA12">
        <v>4.9115913555992138E-2</v>
      </c>
      <c r="CB12">
        <v>2.6522593320235755E-2</v>
      </c>
      <c r="CC12">
        <v>1018</v>
      </c>
      <c r="CD12">
        <v>827</v>
      </c>
      <c r="CE12">
        <v>152</v>
      </c>
      <c r="CF12">
        <v>7</v>
      </c>
      <c r="CG12">
        <v>107</v>
      </c>
      <c r="CH12">
        <v>62</v>
      </c>
      <c r="CI12">
        <v>41</v>
      </c>
      <c r="CJ12">
        <v>0</v>
      </c>
      <c r="CK12">
        <v>0.81237721021610998</v>
      </c>
      <c r="CL12">
        <v>0.14931237721021612</v>
      </c>
      <c r="CM12">
        <v>6.8762278978389E-3</v>
      </c>
      <c r="CN12">
        <v>0.57943925233644855</v>
      </c>
      <c r="CO12">
        <v>0.38317757009345793</v>
      </c>
      <c r="CP12">
        <v>0</v>
      </c>
    </row>
    <row r="13" spans="1:94" x14ac:dyDescent="0.15">
      <c r="A13" t="s">
        <v>441</v>
      </c>
      <c r="B13" t="s">
        <v>429</v>
      </c>
      <c r="C13" t="s">
        <v>442</v>
      </c>
      <c r="D13">
        <v>856</v>
      </c>
      <c r="E13">
        <v>576.5</v>
      </c>
      <c r="F13">
        <v>161.5</v>
      </c>
      <c r="G13">
        <v>172</v>
      </c>
      <c r="H13">
        <v>0.67348130841121501</v>
      </c>
      <c r="I13">
        <v>0.18866822429906541</v>
      </c>
      <c r="J13">
        <v>0.20093457943925233</v>
      </c>
      <c r="K13">
        <v>1963</v>
      </c>
      <c r="L13">
        <v>282.5</v>
      </c>
      <c r="M13">
        <v>607.5</v>
      </c>
      <c r="N13">
        <v>1057</v>
      </c>
      <c r="O13">
        <v>0.14391237901171677</v>
      </c>
      <c r="P13">
        <v>0.30947529291900155</v>
      </c>
      <c r="Q13">
        <v>0.53846153846153844</v>
      </c>
      <c r="R13">
        <v>1963</v>
      </c>
      <c r="S13">
        <v>241</v>
      </c>
      <c r="T13">
        <v>32</v>
      </c>
      <c r="U13">
        <v>48.5</v>
      </c>
      <c r="V13">
        <v>79</v>
      </c>
      <c r="W13">
        <v>400.5</v>
      </c>
      <c r="X13">
        <v>860</v>
      </c>
      <c r="Y13">
        <v>85</v>
      </c>
      <c r="Z13">
        <v>12.5</v>
      </c>
      <c r="AA13">
        <v>26.5</v>
      </c>
      <c r="AB13">
        <v>0</v>
      </c>
      <c r="AC13">
        <v>124</v>
      </c>
      <c r="AD13">
        <v>1103</v>
      </c>
      <c r="AE13">
        <v>156</v>
      </c>
      <c r="AF13">
        <v>19.5</v>
      </c>
      <c r="AG13">
        <v>22</v>
      </c>
      <c r="AH13">
        <v>79</v>
      </c>
      <c r="AI13">
        <v>276.5</v>
      </c>
      <c r="AJ13">
        <v>0.20402445236882322</v>
      </c>
      <c r="AK13">
        <v>7.990012484394507E-2</v>
      </c>
      <c r="AL13">
        <v>0.12109862671660425</v>
      </c>
      <c r="AM13">
        <v>0.1972534332084894</v>
      </c>
      <c r="AN13">
        <v>0.30961298377028712</v>
      </c>
      <c r="AO13">
        <v>0.69038701622971288</v>
      </c>
      <c r="AP13">
        <v>862.5</v>
      </c>
      <c r="AQ13">
        <v>63</v>
      </c>
      <c r="AR13">
        <v>30</v>
      </c>
      <c r="AS13">
        <v>0</v>
      </c>
      <c r="AT13">
        <v>69</v>
      </c>
      <c r="AU13">
        <v>263.5</v>
      </c>
      <c r="AV13">
        <v>4</v>
      </c>
      <c r="AW13">
        <v>6</v>
      </c>
      <c r="AX13">
        <v>38</v>
      </c>
      <c r="AY13">
        <v>89.5</v>
      </c>
      <c r="AZ13">
        <v>7</v>
      </c>
      <c r="BA13">
        <v>6</v>
      </c>
      <c r="BB13">
        <v>5</v>
      </c>
      <c r="BC13">
        <v>45.5</v>
      </c>
      <c r="BD13">
        <v>28</v>
      </c>
      <c r="BE13">
        <v>18</v>
      </c>
      <c r="BF13">
        <v>102</v>
      </c>
      <c r="BG13">
        <v>9</v>
      </c>
      <c r="BH13">
        <v>40</v>
      </c>
      <c r="BI13">
        <v>24</v>
      </c>
      <c r="BJ13">
        <v>7.3043478260869571E-2</v>
      </c>
      <c r="BK13">
        <v>3.4782608695652174E-2</v>
      </c>
      <c r="BL13">
        <v>0</v>
      </c>
      <c r="BM13">
        <v>0.08</v>
      </c>
      <c r="BN13">
        <v>0.30550724637681159</v>
      </c>
      <c r="BO13">
        <v>4.6376811594202897E-3</v>
      </c>
      <c r="BP13">
        <v>6.956521739130435E-3</v>
      </c>
      <c r="BQ13">
        <v>4.4057971014492756E-2</v>
      </c>
      <c r="BR13">
        <v>0.10376811594202899</v>
      </c>
      <c r="BS13">
        <v>8.1159420289855077E-3</v>
      </c>
      <c r="BT13">
        <v>6.956521739130435E-3</v>
      </c>
      <c r="BU13">
        <v>5.7971014492753624E-3</v>
      </c>
      <c r="BV13">
        <v>5.2753623188405797E-2</v>
      </c>
      <c r="BW13">
        <v>3.2463768115942031E-2</v>
      </c>
      <c r="BX13">
        <v>2.0869565217391306E-2</v>
      </c>
      <c r="BY13">
        <v>0.11826086956521739</v>
      </c>
      <c r="BZ13">
        <v>1.0434782608695653E-2</v>
      </c>
      <c r="CA13">
        <v>4.6376811594202899E-2</v>
      </c>
      <c r="CB13">
        <v>2.782608695652174E-2</v>
      </c>
      <c r="CC13">
        <v>862.5</v>
      </c>
      <c r="CD13">
        <v>710</v>
      </c>
      <c r="CE13">
        <v>134.5</v>
      </c>
      <c r="CF13">
        <v>5</v>
      </c>
      <c r="CG13">
        <v>41</v>
      </c>
      <c r="CH13">
        <v>19</v>
      </c>
      <c r="CI13">
        <v>20</v>
      </c>
      <c r="CJ13">
        <v>0</v>
      </c>
      <c r="CK13">
        <v>0.8231884057971014</v>
      </c>
      <c r="CL13">
        <v>0.15594202898550724</v>
      </c>
      <c r="CM13">
        <v>5.7971014492753624E-3</v>
      </c>
      <c r="CN13">
        <v>0.46341463414634149</v>
      </c>
      <c r="CO13">
        <v>0.48780487804878048</v>
      </c>
      <c r="CP13">
        <v>0</v>
      </c>
    </row>
    <row r="14" spans="1:94" x14ac:dyDescent="0.15">
      <c r="A14" t="s">
        <v>443</v>
      </c>
      <c r="B14" t="s">
        <v>429</v>
      </c>
      <c r="C14" t="s">
        <v>444</v>
      </c>
      <c r="D14">
        <v>4271.5</v>
      </c>
      <c r="E14">
        <v>1701.6000000000001</v>
      </c>
      <c r="F14">
        <v>591.29999999999995</v>
      </c>
      <c r="G14">
        <v>479.79999999999995</v>
      </c>
      <c r="H14">
        <v>0.39836123141753488</v>
      </c>
      <c r="I14">
        <v>0.13842912325880838</v>
      </c>
      <c r="J14">
        <v>0.11232588083811307</v>
      </c>
      <c r="K14">
        <v>10037.700000000001</v>
      </c>
      <c r="L14">
        <v>864.59999999999991</v>
      </c>
      <c r="M14">
        <v>3980.2</v>
      </c>
      <c r="N14">
        <v>4945.8</v>
      </c>
      <c r="O14">
        <v>8.6135270031979419E-2</v>
      </c>
      <c r="P14">
        <v>0.39652510037159905</v>
      </c>
      <c r="Q14">
        <v>0.49272243641471652</v>
      </c>
      <c r="R14">
        <v>10037.700000000001</v>
      </c>
      <c r="S14">
        <v>1323.3</v>
      </c>
      <c r="T14">
        <v>535.70000000000005</v>
      </c>
      <c r="U14">
        <v>434.49999999999994</v>
      </c>
      <c r="V14">
        <v>28.8</v>
      </c>
      <c r="W14">
        <v>2322.3000000000002</v>
      </c>
      <c r="X14">
        <v>4919.5</v>
      </c>
      <c r="Y14">
        <v>622.59999999999991</v>
      </c>
      <c r="Z14">
        <v>293.5</v>
      </c>
      <c r="AA14">
        <v>283.7</v>
      </c>
      <c r="AB14">
        <v>20.8</v>
      </c>
      <c r="AC14">
        <v>1220.5999999999999</v>
      </c>
      <c r="AD14">
        <v>5118.2</v>
      </c>
      <c r="AE14">
        <v>700.7</v>
      </c>
      <c r="AF14">
        <v>242.20000000000002</v>
      </c>
      <c r="AG14">
        <v>150.80000000000001</v>
      </c>
      <c r="AH14">
        <v>8</v>
      </c>
      <c r="AI14">
        <v>1101.7</v>
      </c>
      <c r="AJ14">
        <v>0.23135778116500791</v>
      </c>
      <c r="AK14">
        <v>0.23067648451965725</v>
      </c>
      <c r="AL14">
        <v>0.18709899668432153</v>
      </c>
      <c r="AM14">
        <v>1.2401498514403824E-2</v>
      </c>
      <c r="AN14">
        <v>0.5255996210653231</v>
      </c>
      <c r="AO14">
        <v>0.47440037893467679</v>
      </c>
      <c r="AP14">
        <v>5076.8</v>
      </c>
      <c r="AQ14">
        <v>114</v>
      </c>
      <c r="AR14">
        <v>14</v>
      </c>
      <c r="AS14">
        <v>0.9</v>
      </c>
      <c r="AT14">
        <v>498.4</v>
      </c>
      <c r="AU14">
        <v>895.9</v>
      </c>
      <c r="AV14">
        <v>60.9</v>
      </c>
      <c r="AW14">
        <v>37.9</v>
      </c>
      <c r="AX14">
        <v>239.7</v>
      </c>
      <c r="AY14">
        <v>737.59999999999991</v>
      </c>
      <c r="AZ14">
        <v>67.3</v>
      </c>
      <c r="BA14">
        <v>72.8</v>
      </c>
      <c r="BB14">
        <v>113.8</v>
      </c>
      <c r="BC14">
        <v>239.89999999999998</v>
      </c>
      <c r="BD14">
        <v>153.80000000000001</v>
      </c>
      <c r="BE14">
        <v>278.60000000000002</v>
      </c>
      <c r="BF14">
        <v>897.5</v>
      </c>
      <c r="BG14">
        <v>65.400000000000006</v>
      </c>
      <c r="BH14">
        <v>284.70000000000005</v>
      </c>
      <c r="BI14">
        <v>247.7</v>
      </c>
      <c r="BJ14">
        <v>2.2455089820359281E-2</v>
      </c>
      <c r="BK14">
        <v>2.7576426095178063E-3</v>
      </c>
      <c r="BL14">
        <v>1.7727702489757328E-4</v>
      </c>
      <c r="BM14">
        <v>9.8172076898833907E-2</v>
      </c>
      <c r="BN14">
        <v>0.17646942956192876</v>
      </c>
      <c r="BO14">
        <v>1.1995745351402458E-2</v>
      </c>
      <c r="BP14">
        <v>7.4653324929089184E-3</v>
      </c>
      <c r="BQ14">
        <v>4.7214780964387013E-2</v>
      </c>
      <c r="BR14">
        <v>0.14528837062716671</v>
      </c>
      <c r="BS14">
        <v>1.3256381972896311E-2</v>
      </c>
      <c r="BT14">
        <v>1.4339741569492593E-2</v>
      </c>
      <c r="BU14">
        <v>2.2415694925937597E-2</v>
      </c>
      <c r="BV14">
        <v>4.7254175858808693E-2</v>
      </c>
      <c r="BW14">
        <v>3.0294673810274189E-2</v>
      </c>
      <c r="BX14">
        <v>5.487708792940435E-2</v>
      </c>
      <c r="BY14">
        <v>0.17678458871730224</v>
      </c>
      <c r="BZ14">
        <v>1.2882130475890326E-2</v>
      </c>
      <c r="CA14">
        <v>5.6078632209265684E-2</v>
      </c>
      <c r="CB14">
        <v>4.8790576741254331E-2</v>
      </c>
      <c r="CC14">
        <v>5076.8</v>
      </c>
      <c r="CD14">
        <v>3891.8999999999996</v>
      </c>
      <c r="CE14">
        <v>1082.9000000000001</v>
      </c>
      <c r="CF14">
        <v>34.299999999999997</v>
      </c>
      <c r="CG14">
        <v>414.20000000000005</v>
      </c>
      <c r="CH14">
        <v>217.8</v>
      </c>
      <c r="CI14">
        <v>176.39999999999998</v>
      </c>
      <c r="CJ14">
        <v>5.5</v>
      </c>
      <c r="CK14">
        <v>0.76660494799873924</v>
      </c>
      <c r="CL14">
        <v>0.21330365584620234</v>
      </c>
      <c r="CM14">
        <v>6.756224393318625E-3</v>
      </c>
      <c r="CN14">
        <v>0.52583293095123129</v>
      </c>
      <c r="CO14">
        <v>0.42588121680347646</v>
      </c>
      <c r="CP14">
        <v>1.3278609367455334E-2</v>
      </c>
    </row>
    <row r="15" spans="1:94" x14ac:dyDescent="0.15">
      <c r="A15" t="s">
        <v>445</v>
      </c>
      <c r="B15" t="s">
        <v>429</v>
      </c>
      <c r="C15" t="s">
        <v>446</v>
      </c>
      <c r="D15" s="202">
        <v>3606.9</v>
      </c>
      <c r="E15" s="202">
        <v>1595.7</v>
      </c>
      <c r="F15" s="202">
        <v>495.59999999999997</v>
      </c>
      <c r="G15" s="202">
        <v>497.9</v>
      </c>
      <c r="H15" s="202">
        <v>0.44240206271313315</v>
      </c>
      <c r="I15" s="202">
        <v>0.13740331032188305</v>
      </c>
      <c r="J15" s="202">
        <v>0.13804097701627435</v>
      </c>
      <c r="K15" s="202">
        <v>8761.2000000000007</v>
      </c>
      <c r="L15" s="202">
        <v>826.1</v>
      </c>
      <c r="M15" s="202">
        <v>3327.6000000000004</v>
      </c>
      <c r="N15" s="202">
        <v>4418.3999999999996</v>
      </c>
      <c r="O15" s="202">
        <v>9.4290736428799704E-2</v>
      </c>
      <c r="P15" s="202">
        <v>0.37981098479660319</v>
      </c>
      <c r="Q15" s="202">
        <v>0.50431447746883984</v>
      </c>
      <c r="R15" s="202">
        <v>8761.2000000000007</v>
      </c>
      <c r="S15" s="202">
        <v>1280</v>
      </c>
      <c r="T15" s="202">
        <v>333.7</v>
      </c>
      <c r="U15" s="202">
        <v>268.3</v>
      </c>
      <c r="V15" s="202">
        <v>34</v>
      </c>
      <c r="W15" s="202">
        <v>1916</v>
      </c>
      <c r="X15" s="202">
        <v>4205.2</v>
      </c>
      <c r="Y15" s="202">
        <v>613.29999999999995</v>
      </c>
      <c r="Z15" s="202">
        <v>160.30000000000001</v>
      </c>
      <c r="AA15" s="202">
        <v>142.9</v>
      </c>
      <c r="AB15" s="202">
        <v>17</v>
      </c>
      <c r="AC15" s="202">
        <v>933.49999999999989</v>
      </c>
      <c r="AD15" s="202">
        <v>4555.9999999999991</v>
      </c>
      <c r="AE15" s="202">
        <v>666.7</v>
      </c>
      <c r="AF15" s="202">
        <v>173.4</v>
      </c>
      <c r="AG15" s="202">
        <v>125.39999999999999</v>
      </c>
      <c r="AH15" s="202">
        <v>17</v>
      </c>
      <c r="AI15" s="202">
        <v>982.5</v>
      </c>
      <c r="AJ15" s="202">
        <v>0.21869150344701638</v>
      </c>
      <c r="AK15" s="202">
        <v>0.17416492693110647</v>
      </c>
      <c r="AL15" s="202">
        <v>0.14003131524008353</v>
      </c>
      <c r="AM15" s="202">
        <v>1.7745302713987474E-2</v>
      </c>
      <c r="AN15" s="202">
        <v>0.48721294363256779</v>
      </c>
      <c r="AO15" s="202">
        <v>0.51278705636743216</v>
      </c>
      <c r="AP15" s="202">
        <v>4410.3999999999996</v>
      </c>
      <c r="AQ15" s="202">
        <v>121</v>
      </c>
      <c r="AR15" s="202">
        <v>33.699999999999996</v>
      </c>
      <c r="AS15" s="202">
        <v>2</v>
      </c>
      <c r="AT15" s="202">
        <v>536.49999999999989</v>
      </c>
      <c r="AU15" s="202">
        <v>820.5</v>
      </c>
      <c r="AV15" s="202">
        <v>12.9</v>
      </c>
      <c r="AW15" s="202">
        <v>29.5</v>
      </c>
      <c r="AX15" s="202">
        <v>236.2</v>
      </c>
      <c r="AY15" s="202">
        <v>671.89999999999986</v>
      </c>
      <c r="AZ15" s="202">
        <v>88.7</v>
      </c>
      <c r="BA15" s="202">
        <v>52.6</v>
      </c>
      <c r="BB15" s="202">
        <v>73.100000000000009</v>
      </c>
      <c r="BC15" s="202">
        <v>209.1</v>
      </c>
      <c r="BD15" s="202">
        <v>152.70000000000002</v>
      </c>
      <c r="BE15" s="202">
        <v>172.4</v>
      </c>
      <c r="BF15" s="202">
        <v>715.1</v>
      </c>
      <c r="BG15" s="202">
        <v>53.699999999999996</v>
      </c>
      <c r="BH15" s="202">
        <v>266.10000000000002</v>
      </c>
      <c r="BI15" s="202">
        <v>115.9</v>
      </c>
      <c r="BJ15" s="202">
        <v>2.743515327407945E-2</v>
      </c>
      <c r="BK15" s="202">
        <v>7.6410302920370031E-3</v>
      </c>
      <c r="BL15" s="202">
        <v>4.53473607836024E-4</v>
      </c>
      <c r="BM15" s="202">
        <v>0.12164429530201341</v>
      </c>
      <c r="BN15" s="202">
        <v>0.18603754761472885</v>
      </c>
      <c r="BO15" s="202">
        <v>2.9249047705423546E-3</v>
      </c>
      <c r="BP15" s="202">
        <v>6.6887357155813541E-3</v>
      </c>
      <c r="BQ15" s="202">
        <v>5.3555233085434431E-2</v>
      </c>
      <c r="BR15" s="202">
        <v>0.15234445855251222</v>
      </c>
      <c r="BS15" s="202">
        <v>2.0111554507527662E-2</v>
      </c>
      <c r="BT15" s="202">
        <v>1.192635588608743E-2</v>
      </c>
      <c r="BU15" s="202">
        <v>1.6574460366406678E-2</v>
      </c>
      <c r="BV15" s="202">
        <v>4.7410665699256303E-2</v>
      </c>
      <c r="BW15" s="202">
        <v>3.4622709958280436E-2</v>
      </c>
      <c r="BX15" s="202">
        <v>3.908942499546527E-2</v>
      </c>
      <c r="BY15" s="202">
        <v>0.16213948848177037</v>
      </c>
      <c r="BZ15" s="202">
        <v>1.2175766370397243E-2</v>
      </c>
      <c r="CA15" s="202">
        <v>6.0334663522582994E-2</v>
      </c>
      <c r="CB15" s="202">
        <v>2.627879557409759E-2</v>
      </c>
      <c r="CC15" s="202">
        <v>4410.3999999999996</v>
      </c>
      <c r="CD15" s="202">
        <v>3484.4</v>
      </c>
      <c r="CE15" s="202">
        <v>819.1</v>
      </c>
      <c r="CF15" s="202">
        <v>38.299999999999997</v>
      </c>
      <c r="CG15" s="202">
        <v>387.00000000000006</v>
      </c>
      <c r="CH15" s="202">
        <v>239.7</v>
      </c>
      <c r="CI15" s="202">
        <v>131.5</v>
      </c>
      <c r="CJ15" s="202">
        <v>8</v>
      </c>
      <c r="CK15" s="202">
        <v>0.79004171957192104</v>
      </c>
      <c r="CL15" s="202">
        <v>0.18572011608924363</v>
      </c>
      <c r="CM15" s="202">
        <v>8.684019590059858E-3</v>
      </c>
      <c r="CN15" s="202">
        <v>0.61937984496124021</v>
      </c>
      <c r="CO15" s="202">
        <v>0.33979328165374673</v>
      </c>
      <c r="CP15" s="202">
        <v>2.0671834625322995E-2</v>
      </c>
    </row>
    <row r="16" spans="1:94" x14ac:dyDescent="0.15">
      <c r="A16" t="s">
        <v>447</v>
      </c>
      <c r="B16" t="s">
        <v>429</v>
      </c>
      <c r="C16" t="s">
        <v>448</v>
      </c>
      <c r="D16">
        <v>2634.4</v>
      </c>
      <c r="E16">
        <v>1235.0999999999999</v>
      </c>
      <c r="F16">
        <v>366.2</v>
      </c>
      <c r="G16">
        <v>357.1</v>
      </c>
      <c r="H16">
        <v>0.46883540844214994</v>
      </c>
      <c r="I16">
        <v>0.13900698451260249</v>
      </c>
      <c r="J16">
        <v>0.13555268751897967</v>
      </c>
      <c r="K16">
        <v>6544.8</v>
      </c>
      <c r="L16">
        <v>677.9</v>
      </c>
      <c r="M16">
        <v>2626.2999999999997</v>
      </c>
      <c r="N16">
        <v>3132.1</v>
      </c>
      <c r="O16">
        <v>0.10357841339689523</v>
      </c>
      <c r="P16">
        <v>0.40128040581835955</v>
      </c>
      <c r="Q16">
        <v>0.47856313409118689</v>
      </c>
      <c r="R16">
        <v>6544.8</v>
      </c>
      <c r="S16">
        <v>1008.6</v>
      </c>
      <c r="T16">
        <v>289.10000000000002</v>
      </c>
      <c r="U16">
        <v>174.6</v>
      </c>
      <c r="V16">
        <v>11.1</v>
      </c>
      <c r="W16">
        <v>1483.3999999999999</v>
      </c>
      <c r="X16">
        <v>3119.8</v>
      </c>
      <c r="Y16">
        <v>481.7</v>
      </c>
      <c r="Z16">
        <v>148.4</v>
      </c>
      <c r="AA16">
        <v>101.4</v>
      </c>
      <c r="AB16">
        <v>4</v>
      </c>
      <c r="AC16">
        <v>735.5</v>
      </c>
      <c r="AD16">
        <v>3425</v>
      </c>
      <c r="AE16">
        <v>526.9</v>
      </c>
      <c r="AF16">
        <v>140.69999999999999</v>
      </c>
      <c r="AG16">
        <v>73.2</v>
      </c>
      <c r="AH16">
        <v>7.1</v>
      </c>
      <c r="AI16">
        <v>747.9</v>
      </c>
      <c r="AJ16">
        <v>0.22665322087764328</v>
      </c>
      <c r="AK16">
        <v>0.19489011729809899</v>
      </c>
      <c r="AL16">
        <v>0.11770257516516112</v>
      </c>
      <c r="AM16">
        <v>7.4828097613590409E-3</v>
      </c>
      <c r="AN16">
        <v>0.49582041256572745</v>
      </c>
      <c r="AO16">
        <v>0.5041795874342726</v>
      </c>
      <c r="AP16">
        <v>3215.9</v>
      </c>
      <c r="AQ16">
        <v>134.1</v>
      </c>
      <c r="AR16">
        <v>3.5</v>
      </c>
      <c r="AS16">
        <v>0.5</v>
      </c>
      <c r="AT16">
        <v>384.3</v>
      </c>
      <c r="AU16">
        <v>673.5</v>
      </c>
      <c r="AV16">
        <v>12.2</v>
      </c>
      <c r="AW16">
        <v>9.1</v>
      </c>
      <c r="AX16">
        <v>140.6</v>
      </c>
      <c r="AY16">
        <v>456.3</v>
      </c>
      <c r="AZ16">
        <v>43</v>
      </c>
      <c r="BA16">
        <v>39.299999999999997</v>
      </c>
      <c r="BB16">
        <v>39.5</v>
      </c>
      <c r="BC16">
        <v>137.1</v>
      </c>
      <c r="BD16">
        <v>96.4</v>
      </c>
      <c r="BE16">
        <v>115.7</v>
      </c>
      <c r="BF16">
        <v>592</v>
      </c>
      <c r="BG16">
        <v>48.1</v>
      </c>
      <c r="BH16">
        <v>168.2</v>
      </c>
      <c r="BI16">
        <v>85.5</v>
      </c>
      <c r="BJ16">
        <v>4.1699057806523832E-2</v>
      </c>
      <c r="BK16">
        <v>1.0883422992008457E-3</v>
      </c>
      <c r="BL16">
        <v>1.5547747131440653E-4</v>
      </c>
      <c r="BM16">
        <v>0.11949998445225286</v>
      </c>
      <c r="BN16">
        <v>0.20942815386050562</v>
      </c>
      <c r="BO16">
        <v>3.7936503000715193E-3</v>
      </c>
      <c r="BP16">
        <v>2.8296899779221988E-3</v>
      </c>
      <c r="BQ16">
        <v>4.3720264933611114E-2</v>
      </c>
      <c r="BR16">
        <v>0.1418887403215274</v>
      </c>
      <c r="BS16">
        <v>1.3371062533038961E-2</v>
      </c>
      <c r="BT16">
        <v>1.2220529245312353E-2</v>
      </c>
      <c r="BU16">
        <v>1.2282720233838116E-2</v>
      </c>
      <c r="BV16">
        <v>4.263192263441027E-2</v>
      </c>
      <c r="BW16">
        <v>2.9976056469417582E-2</v>
      </c>
      <c r="BX16">
        <v>3.5977486862153671E-2</v>
      </c>
      <c r="BY16">
        <v>0.18408532603625735</v>
      </c>
      <c r="BZ16">
        <v>1.4956932740445909E-2</v>
      </c>
      <c r="CA16">
        <v>5.2302621350166355E-2</v>
      </c>
      <c r="CB16">
        <v>2.6586647594763518E-2</v>
      </c>
      <c r="CC16">
        <v>3215.9</v>
      </c>
      <c r="CD16">
        <v>2593.7000000000003</v>
      </c>
      <c r="CE16">
        <v>552.4</v>
      </c>
      <c r="CF16">
        <v>14.7</v>
      </c>
      <c r="CG16">
        <v>246.9</v>
      </c>
      <c r="CH16">
        <v>165.9</v>
      </c>
      <c r="CI16">
        <v>74</v>
      </c>
      <c r="CJ16">
        <v>4</v>
      </c>
      <c r="CK16">
        <v>0.80652383469635258</v>
      </c>
      <c r="CL16">
        <v>0.17177151030815635</v>
      </c>
      <c r="CM16">
        <v>4.571037656643552E-3</v>
      </c>
      <c r="CN16">
        <v>0.67193195625759417</v>
      </c>
      <c r="CO16">
        <v>0.29971648440664234</v>
      </c>
      <c r="CP16">
        <v>1.6200891049007696E-2</v>
      </c>
    </row>
    <row r="17" spans="1:94" x14ac:dyDescent="0.15">
      <c r="A17" t="s">
        <v>449</v>
      </c>
      <c r="B17" t="s">
        <v>429</v>
      </c>
      <c r="C17" t="s">
        <v>450</v>
      </c>
      <c r="D17">
        <v>977</v>
      </c>
      <c r="E17">
        <v>700.5</v>
      </c>
      <c r="F17">
        <v>203.5</v>
      </c>
      <c r="G17">
        <v>233</v>
      </c>
      <c r="H17">
        <v>0.71699078812691919</v>
      </c>
      <c r="I17">
        <v>0.20829068577277379</v>
      </c>
      <c r="J17">
        <v>0.23848515864892528</v>
      </c>
      <c r="K17">
        <v>2385</v>
      </c>
      <c r="L17">
        <v>378.5</v>
      </c>
      <c r="M17">
        <v>661.5</v>
      </c>
      <c r="N17">
        <v>1329</v>
      </c>
      <c r="O17">
        <v>0.15870020964360587</v>
      </c>
      <c r="P17">
        <v>0.27735849056603773</v>
      </c>
      <c r="Q17">
        <v>0.55723270440251571</v>
      </c>
      <c r="R17">
        <v>2385</v>
      </c>
      <c r="S17">
        <v>251</v>
      </c>
      <c r="T17">
        <v>101</v>
      </c>
      <c r="U17">
        <v>44.5</v>
      </c>
      <c r="V17">
        <v>7</v>
      </c>
      <c r="W17">
        <v>403.5</v>
      </c>
      <c r="X17">
        <v>1106</v>
      </c>
      <c r="Y17">
        <v>99</v>
      </c>
      <c r="Z17">
        <v>43.5</v>
      </c>
      <c r="AA17">
        <v>23.5</v>
      </c>
      <c r="AB17">
        <v>4</v>
      </c>
      <c r="AC17">
        <v>170</v>
      </c>
      <c r="AD17">
        <v>1279</v>
      </c>
      <c r="AE17">
        <v>152</v>
      </c>
      <c r="AF17">
        <v>57.5</v>
      </c>
      <c r="AG17">
        <v>21</v>
      </c>
      <c r="AH17">
        <v>3</v>
      </c>
      <c r="AI17">
        <v>233.5</v>
      </c>
      <c r="AJ17">
        <v>0.16918238993710691</v>
      </c>
      <c r="AK17">
        <v>0.2503097893432466</v>
      </c>
      <c r="AL17">
        <v>0.11028500619578686</v>
      </c>
      <c r="AM17">
        <v>1.7348203221809171E-2</v>
      </c>
      <c r="AN17">
        <v>0.42131350681536556</v>
      </c>
      <c r="AO17">
        <v>0.5786864931846345</v>
      </c>
      <c r="AP17">
        <v>1082.5</v>
      </c>
      <c r="AQ17">
        <v>191</v>
      </c>
      <c r="AR17">
        <v>1</v>
      </c>
      <c r="AS17">
        <v>1</v>
      </c>
      <c r="AT17">
        <v>112</v>
      </c>
      <c r="AU17">
        <v>156.5</v>
      </c>
      <c r="AV17">
        <v>5</v>
      </c>
      <c r="AW17">
        <v>0</v>
      </c>
      <c r="AX17">
        <v>54</v>
      </c>
      <c r="AY17">
        <v>142.5</v>
      </c>
      <c r="AZ17">
        <v>11</v>
      </c>
      <c r="BA17">
        <v>6</v>
      </c>
      <c r="BB17">
        <v>16</v>
      </c>
      <c r="BC17">
        <v>36.5</v>
      </c>
      <c r="BD17">
        <v>28</v>
      </c>
      <c r="BE17">
        <v>20</v>
      </c>
      <c r="BF17">
        <v>168</v>
      </c>
      <c r="BG17">
        <v>16</v>
      </c>
      <c r="BH17">
        <v>57</v>
      </c>
      <c r="BI17">
        <v>48</v>
      </c>
      <c r="BJ17">
        <v>0.17644341801385682</v>
      </c>
      <c r="BK17">
        <v>9.2378752886836026E-4</v>
      </c>
      <c r="BL17">
        <v>9.2378752886836026E-4</v>
      </c>
      <c r="BM17">
        <v>0.10346420323325635</v>
      </c>
      <c r="BN17">
        <v>0.14457274826789837</v>
      </c>
      <c r="BO17">
        <v>4.6189376443418013E-3</v>
      </c>
      <c r="BP17">
        <v>0</v>
      </c>
      <c r="BQ17">
        <v>4.9884526558891452E-2</v>
      </c>
      <c r="BR17">
        <v>0.13163972286374134</v>
      </c>
      <c r="BS17">
        <v>1.0161662817551964E-2</v>
      </c>
      <c r="BT17">
        <v>5.5427251732101616E-3</v>
      </c>
      <c r="BU17">
        <v>1.4780600461893764E-2</v>
      </c>
      <c r="BV17">
        <v>3.3718244803695153E-2</v>
      </c>
      <c r="BW17">
        <v>2.5866050808314087E-2</v>
      </c>
      <c r="BX17">
        <v>1.8475750577367205E-2</v>
      </c>
      <c r="BY17">
        <v>0.15519630484988453</v>
      </c>
      <c r="BZ17">
        <v>1.4780600461893764E-2</v>
      </c>
      <c r="CA17">
        <v>5.2655889145496536E-2</v>
      </c>
      <c r="CB17">
        <v>4.4341801385681293E-2</v>
      </c>
      <c r="CC17">
        <v>1082.5</v>
      </c>
      <c r="CD17">
        <v>921</v>
      </c>
      <c r="CE17">
        <v>136.5</v>
      </c>
      <c r="CF17">
        <v>2</v>
      </c>
      <c r="CG17">
        <v>62</v>
      </c>
      <c r="CH17">
        <v>43</v>
      </c>
      <c r="CI17">
        <v>16</v>
      </c>
      <c r="CJ17">
        <v>0</v>
      </c>
      <c r="CK17">
        <v>0.85080831408775981</v>
      </c>
      <c r="CL17">
        <v>0.12609699769053118</v>
      </c>
      <c r="CM17">
        <v>1.8475750577367205E-3</v>
      </c>
      <c r="CN17">
        <v>0.69354838709677424</v>
      </c>
      <c r="CO17">
        <v>0.25806451612903225</v>
      </c>
      <c r="CP17">
        <v>0</v>
      </c>
    </row>
    <row r="18" spans="1:94" x14ac:dyDescent="0.15">
      <c r="A18" t="s">
        <v>451</v>
      </c>
      <c r="B18" t="s">
        <v>429</v>
      </c>
      <c r="C18" t="s">
        <v>452</v>
      </c>
      <c r="D18">
        <v>264</v>
      </c>
      <c r="E18">
        <v>212</v>
      </c>
      <c r="F18">
        <v>67</v>
      </c>
      <c r="G18">
        <v>74</v>
      </c>
      <c r="H18">
        <v>0.80303030303030298</v>
      </c>
      <c r="I18">
        <v>0.25378787878787878</v>
      </c>
      <c r="J18">
        <v>0.28030303030303028</v>
      </c>
      <c r="K18">
        <v>530</v>
      </c>
      <c r="L18">
        <v>127</v>
      </c>
      <c r="M18">
        <v>88</v>
      </c>
      <c r="N18">
        <v>315</v>
      </c>
      <c r="O18">
        <v>0.23962264150943396</v>
      </c>
      <c r="P18">
        <v>0.16603773584905659</v>
      </c>
      <c r="Q18">
        <v>0.59433962264150941</v>
      </c>
      <c r="R18">
        <v>530</v>
      </c>
      <c r="S18">
        <v>25</v>
      </c>
      <c r="T18">
        <v>5</v>
      </c>
      <c r="U18">
        <v>13</v>
      </c>
      <c r="V18">
        <v>1</v>
      </c>
      <c r="W18">
        <v>44</v>
      </c>
      <c r="X18">
        <v>272</v>
      </c>
      <c r="Y18">
        <v>14</v>
      </c>
      <c r="Z18">
        <v>1</v>
      </c>
      <c r="AA18">
        <v>7</v>
      </c>
      <c r="AB18">
        <v>1</v>
      </c>
      <c r="AC18">
        <v>23</v>
      </c>
      <c r="AD18">
        <v>258</v>
      </c>
      <c r="AE18">
        <v>11</v>
      </c>
      <c r="AF18">
        <v>4</v>
      </c>
      <c r="AG18">
        <v>6</v>
      </c>
      <c r="AH18">
        <v>0</v>
      </c>
      <c r="AI18">
        <v>21</v>
      </c>
      <c r="AJ18">
        <v>8.3018867924528297E-2</v>
      </c>
      <c r="AK18">
        <v>0.11363636363636363</v>
      </c>
      <c r="AL18">
        <v>0.29545454545454547</v>
      </c>
      <c r="AM18">
        <v>2.2727272727272728E-2</v>
      </c>
      <c r="AN18">
        <v>0.52272727272727271</v>
      </c>
      <c r="AO18">
        <v>0.47727272727272729</v>
      </c>
      <c r="AP18">
        <v>282</v>
      </c>
      <c r="AQ18">
        <v>106</v>
      </c>
      <c r="AR18">
        <v>0</v>
      </c>
      <c r="AS18">
        <v>1</v>
      </c>
      <c r="AT18">
        <v>26</v>
      </c>
      <c r="AU18">
        <v>46</v>
      </c>
      <c r="AV18">
        <v>0</v>
      </c>
      <c r="AW18">
        <v>1</v>
      </c>
      <c r="AX18">
        <v>9</v>
      </c>
      <c r="AY18">
        <v>19</v>
      </c>
      <c r="AZ18">
        <v>1</v>
      </c>
      <c r="BA18">
        <v>3</v>
      </c>
      <c r="BB18">
        <v>3</v>
      </c>
      <c r="BC18">
        <v>6</v>
      </c>
      <c r="BD18">
        <v>4</v>
      </c>
      <c r="BE18">
        <v>5</v>
      </c>
      <c r="BF18">
        <v>24</v>
      </c>
      <c r="BG18">
        <v>3</v>
      </c>
      <c r="BH18">
        <v>15</v>
      </c>
      <c r="BI18">
        <v>10</v>
      </c>
      <c r="BJ18">
        <v>0.37588652482269502</v>
      </c>
      <c r="BK18">
        <v>0</v>
      </c>
      <c r="BL18">
        <v>3.5460992907801418E-3</v>
      </c>
      <c r="BM18">
        <v>9.2198581560283682E-2</v>
      </c>
      <c r="BN18">
        <v>0.16312056737588654</v>
      </c>
      <c r="BO18">
        <v>0</v>
      </c>
      <c r="BP18">
        <v>3.5460992907801418E-3</v>
      </c>
      <c r="BQ18">
        <v>3.1914893617021274E-2</v>
      </c>
      <c r="BR18">
        <v>6.7375886524822695E-2</v>
      </c>
      <c r="BS18">
        <v>3.5460992907801418E-3</v>
      </c>
      <c r="BT18">
        <v>1.0638297872340425E-2</v>
      </c>
      <c r="BU18">
        <v>1.0638297872340425E-2</v>
      </c>
      <c r="BV18">
        <v>2.1276595744680851E-2</v>
      </c>
      <c r="BW18">
        <v>1.4184397163120567E-2</v>
      </c>
      <c r="BX18">
        <v>1.7730496453900711E-2</v>
      </c>
      <c r="BY18">
        <v>8.5106382978723402E-2</v>
      </c>
      <c r="BZ18">
        <v>1.0638297872340425E-2</v>
      </c>
      <c r="CA18">
        <v>5.3191489361702128E-2</v>
      </c>
      <c r="CB18">
        <v>3.5460992907801421E-2</v>
      </c>
      <c r="CC18">
        <v>282</v>
      </c>
      <c r="CD18">
        <v>256</v>
      </c>
      <c r="CE18">
        <v>21</v>
      </c>
      <c r="CF18">
        <v>0</v>
      </c>
      <c r="CG18">
        <v>10</v>
      </c>
      <c r="CH18">
        <v>8</v>
      </c>
      <c r="CI18">
        <v>2</v>
      </c>
      <c r="CJ18">
        <v>0</v>
      </c>
      <c r="CK18">
        <v>0.90780141843971629</v>
      </c>
      <c r="CL18">
        <v>7.4468085106382975E-2</v>
      </c>
      <c r="CM18">
        <v>0</v>
      </c>
      <c r="CN18">
        <v>0.8</v>
      </c>
      <c r="CO18">
        <v>0.2</v>
      </c>
      <c r="CP18">
        <v>0</v>
      </c>
    </row>
    <row r="19" spans="1:94" x14ac:dyDescent="0.15">
      <c r="A19" t="s">
        <v>453</v>
      </c>
      <c r="B19" t="s">
        <v>429</v>
      </c>
      <c r="C19" t="s">
        <v>454</v>
      </c>
      <c r="D19">
        <v>455</v>
      </c>
      <c r="E19">
        <v>306</v>
      </c>
      <c r="F19">
        <v>91</v>
      </c>
      <c r="G19">
        <v>63</v>
      </c>
      <c r="H19">
        <v>0.67252747252747258</v>
      </c>
      <c r="I19">
        <v>0.2</v>
      </c>
      <c r="J19">
        <v>0.13846153846153847</v>
      </c>
      <c r="K19">
        <v>1247</v>
      </c>
      <c r="L19">
        <v>266</v>
      </c>
      <c r="M19">
        <v>236</v>
      </c>
      <c r="N19">
        <v>744</v>
      </c>
      <c r="O19">
        <v>0.21331194867682438</v>
      </c>
      <c r="P19">
        <v>0.1892542101042502</v>
      </c>
      <c r="Q19">
        <v>0.59663191659983961</v>
      </c>
      <c r="R19">
        <v>1247</v>
      </c>
      <c r="S19">
        <v>62</v>
      </c>
      <c r="T19">
        <v>31</v>
      </c>
      <c r="U19">
        <v>15</v>
      </c>
      <c r="V19">
        <v>0</v>
      </c>
      <c r="W19">
        <v>108</v>
      </c>
      <c r="X19">
        <v>603</v>
      </c>
      <c r="Y19">
        <v>30</v>
      </c>
      <c r="Z19">
        <v>20</v>
      </c>
      <c r="AA19">
        <v>7</v>
      </c>
      <c r="AB19">
        <v>0</v>
      </c>
      <c r="AC19">
        <v>57</v>
      </c>
      <c r="AD19">
        <v>644</v>
      </c>
      <c r="AE19">
        <v>32</v>
      </c>
      <c r="AF19">
        <v>11</v>
      </c>
      <c r="AG19">
        <v>8</v>
      </c>
      <c r="AH19">
        <v>0</v>
      </c>
      <c r="AI19">
        <v>51</v>
      </c>
      <c r="AJ19">
        <v>8.660785886126704E-2</v>
      </c>
      <c r="AK19">
        <v>0.28703703703703703</v>
      </c>
      <c r="AL19">
        <v>0.1388888888888889</v>
      </c>
      <c r="AM19">
        <v>0</v>
      </c>
      <c r="AN19">
        <v>0.52777777777777779</v>
      </c>
      <c r="AO19">
        <v>0.47222222222222221</v>
      </c>
      <c r="AP19">
        <v>671</v>
      </c>
      <c r="AQ19">
        <v>244</v>
      </c>
      <c r="AR19">
        <v>6</v>
      </c>
      <c r="AS19">
        <v>0</v>
      </c>
      <c r="AT19">
        <v>31</v>
      </c>
      <c r="AU19">
        <v>101</v>
      </c>
      <c r="AV19">
        <v>1</v>
      </c>
      <c r="AW19">
        <v>3</v>
      </c>
      <c r="AX19">
        <v>19</v>
      </c>
      <c r="AY19">
        <v>54</v>
      </c>
      <c r="AZ19">
        <v>6</v>
      </c>
      <c r="BA19">
        <v>1</v>
      </c>
      <c r="BB19">
        <v>5</v>
      </c>
      <c r="BC19">
        <v>5</v>
      </c>
      <c r="BD19">
        <v>23</v>
      </c>
      <c r="BE19">
        <v>9</v>
      </c>
      <c r="BF19">
        <v>95</v>
      </c>
      <c r="BG19">
        <v>14</v>
      </c>
      <c r="BH19">
        <v>24</v>
      </c>
      <c r="BI19">
        <v>11</v>
      </c>
      <c r="BJ19">
        <v>0.36363636363636365</v>
      </c>
      <c r="BK19">
        <v>8.9418777943368107E-3</v>
      </c>
      <c r="BL19">
        <v>0</v>
      </c>
      <c r="BM19">
        <v>4.6199701937406856E-2</v>
      </c>
      <c r="BN19">
        <v>0.15052160953800298</v>
      </c>
      <c r="BO19">
        <v>1.4903129657228018E-3</v>
      </c>
      <c r="BP19">
        <v>4.4709388971684054E-3</v>
      </c>
      <c r="BQ19">
        <v>2.8315946348733235E-2</v>
      </c>
      <c r="BR19">
        <v>8.0476900149031291E-2</v>
      </c>
      <c r="BS19">
        <v>8.9418777943368107E-3</v>
      </c>
      <c r="BT19">
        <v>1.4903129657228018E-3</v>
      </c>
      <c r="BU19">
        <v>7.4515648286140089E-3</v>
      </c>
      <c r="BV19">
        <v>7.4515648286140089E-3</v>
      </c>
      <c r="BW19">
        <v>3.4277198211624442E-2</v>
      </c>
      <c r="BX19">
        <v>1.3412816691505217E-2</v>
      </c>
      <c r="BY19">
        <v>0.14157973174366617</v>
      </c>
      <c r="BZ19">
        <v>2.0864381520119227E-2</v>
      </c>
      <c r="CA19">
        <v>3.5767511177347243E-2</v>
      </c>
      <c r="CB19">
        <v>1.6393442622950821E-2</v>
      </c>
      <c r="CC19">
        <v>671</v>
      </c>
      <c r="CD19">
        <v>529</v>
      </c>
      <c r="CE19">
        <v>117</v>
      </c>
      <c r="CF19">
        <v>2</v>
      </c>
      <c r="CG19">
        <v>40</v>
      </c>
      <c r="CH19">
        <v>19</v>
      </c>
      <c r="CI19">
        <v>19</v>
      </c>
      <c r="CJ19">
        <v>0</v>
      </c>
      <c r="CK19">
        <v>0.7883755588673621</v>
      </c>
      <c r="CL19">
        <v>0.17436661698956782</v>
      </c>
      <c r="CM19">
        <v>2.9806259314456036E-3</v>
      </c>
      <c r="CN19">
        <v>0.47499999999999998</v>
      </c>
      <c r="CO19">
        <v>0.47499999999999998</v>
      </c>
      <c r="CP19">
        <v>0</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1" t="str">
        <f>管理者入力シート!B4</f>
        <v>細島小学校</v>
      </c>
      <c r="C2" s="251"/>
      <c r="D2" s="251"/>
      <c r="E2" s="250" t="s">
        <v>225</v>
      </c>
      <c r="F2" s="250"/>
      <c r="G2" s="250"/>
      <c r="H2" s="250"/>
      <c r="I2" s="250"/>
    </row>
    <row r="3" spans="1:10" ht="22.5" customHeight="1" x14ac:dyDescent="0.15">
      <c r="B3" s="251"/>
      <c r="C3" s="251"/>
      <c r="D3" s="251"/>
      <c r="E3" s="250"/>
      <c r="F3" s="250"/>
      <c r="G3" s="250"/>
      <c r="H3" s="250"/>
      <c r="I3" s="250"/>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9">
        <f>管理者入力シート!B5</f>
        <v>2020</v>
      </c>
      <c r="B6" s="249"/>
      <c r="C6" s="20" t="s">
        <v>248</v>
      </c>
      <c r="E6" s="256">
        <f>管理者用グラフシート!E6</f>
        <v>1970</v>
      </c>
      <c r="F6" s="256"/>
      <c r="G6" s="20" t="s">
        <v>54</v>
      </c>
    </row>
    <row r="7" spans="1:10" ht="22.5" customHeight="1" x14ac:dyDescent="0.15">
      <c r="A7" s="249">
        <f>管理者用グラフシート!B4</f>
        <v>2010</v>
      </c>
      <c r="B7" s="249"/>
      <c r="C7" s="82" t="s">
        <v>226</v>
      </c>
      <c r="D7" s="248">
        <f>E6-管理者用グラフシート!E4</f>
        <v>-344</v>
      </c>
      <c r="E7" s="248"/>
      <c r="F7" s="20" t="s">
        <v>356</v>
      </c>
    </row>
    <row r="8" spans="1:10" ht="22.5" customHeight="1" x14ac:dyDescent="0.15">
      <c r="A8" s="257" t="s">
        <v>380</v>
      </c>
      <c r="B8" s="257"/>
      <c r="C8" s="204">
        <f>管理者用グラフシート!C6-管理者用グラフシート!C4</f>
        <v>-161</v>
      </c>
      <c r="D8" s="207" t="s">
        <v>381</v>
      </c>
      <c r="F8" s="204">
        <f>管理者用グラフシート!D6-管理者用グラフシート!D4</f>
        <v>-183</v>
      </c>
      <c r="G8" s="207"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3">
        <f>管理者用グラフシート!C12</f>
        <v>96</v>
      </c>
      <c r="G36" s="253"/>
      <c r="H36" s="20" t="s">
        <v>54</v>
      </c>
    </row>
    <row r="37" spans="1:9" ht="22.5" customHeight="1" x14ac:dyDescent="0.15">
      <c r="A37" s="20" t="s">
        <v>66</v>
      </c>
      <c r="F37" s="253">
        <f>管理者用グラフシート!C16</f>
        <v>46</v>
      </c>
      <c r="G37" s="253"/>
      <c r="H37" s="20" t="s">
        <v>54</v>
      </c>
    </row>
    <row r="38" spans="1:9" ht="22.5" customHeight="1" x14ac:dyDescent="0.15">
      <c r="D38" s="255"/>
      <c r="E38" s="255"/>
      <c r="F38" s="35"/>
      <c r="G38" s="34"/>
    </row>
    <row r="39" spans="1:9" ht="22.5" customHeight="1" x14ac:dyDescent="0.15">
      <c r="A39" s="249">
        <f>管理者用グラフシート!B4</f>
        <v>2010</v>
      </c>
      <c r="B39" s="249"/>
      <c r="C39" s="20" t="s">
        <v>228</v>
      </c>
      <c r="E39" s="34"/>
      <c r="F39" s="35"/>
    </row>
    <row r="40" spans="1:9" ht="22.5" customHeight="1" x14ac:dyDescent="0.15">
      <c r="B40" s="20" t="s">
        <v>67</v>
      </c>
      <c r="D40" s="248">
        <f>F36-管理者用グラフシート!C10</f>
        <v>-29</v>
      </c>
      <c r="E40" s="248"/>
      <c r="F40" s="20" t="s">
        <v>60</v>
      </c>
    </row>
    <row r="41" spans="1:9" ht="22.5" customHeight="1" x14ac:dyDescent="0.15">
      <c r="B41" s="20" t="s">
        <v>69</v>
      </c>
      <c r="D41" s="248">
        <f>F37-管理者用グラフシート!C14</f>
        <v>-22</v>
      </c>
      <c r="E41" s="248"/>
      <c r="F41" s="20" t="s">
        <v>70</v>
      </c>
    </row>
    <row r="53" spans="1:13" ht="22.5" customHeight="1" x14ac:dyDescent="0.15">
      <c r="M53" s="72"/>
    </row>
    <row r="62" spans="1:13" ht="22.5" customHeight="1" thickBot="1" x14ac:dyDescent="0.2"/>
    <row r="63" spans="1:13" ht="22.5" customHeight="1" x14ac:dyDescent="0.15">
      <c r="A63" s="243" t="s">
        <v>427</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3">
        <f>管理者用グラフシート!C22</f>
        <v>716</v>
      </c>
      <c r="D70" s="253"/>
      <c r="E70" s="20" t="s">
        <v>76</v>
      </c>
      <c r="F70" s="37"/>
      <c r="G70" s="252">
        <f>管理者用グラフシート!C32</f>
        <v>0.36</v>
      </c>
      <c r="H70" s="252"/>
      <c r="I70" s="20" t="s">
        <v>77</v>
      </c>
    </row>
    <row r="71" spans="1:9" ht="22.5" customHeight="1" x14ac:dyDescent="0.15">
      <c r="A71" s="20" t="s">
        <v>78</v>
      </c>
      <c r="C71" s="253">
        <f>管理者用グラフシート!C26</f>
        <v>404</v>
      </c>
      <c r="D71" s="253"/>
      <c r="E71" s="20" t="s">
        <v>76</v>
      </c>
      <c r="F71" s="37"/>
      <c r="G71" s="252">
        <f>管理者用グラフシート!C36</f>
        <v>0.21</v>
      </c>
      <c r="H71" s="252"/>
      <c r="I71" s="20" t="s">
        <v>77</v>
      </c>
    </row>
    <row r="72" spans="1:9" ht="22.5" customHeight="1" x14ac:dyDescent="0.15">
      <c r="D72" s="255"/>
      <c r="E72" s="255"/>
      <c r="F72" s="35"/>
      <c r="G72" s="34"/>
    </row>
    <row r="73" spans="1:9" ht="22.5" customHeight="1" x14ac:dyDescent="0.15">
      <c r="A73" s="249">
        <f>管理者用グラフシート!B4</f>
        <v>2010</v>
      </c>
      <c r="B73" s="249"/>
      <c r="C73" s="20" t="s">
        <v>228</v>
      </c>
      <c r="E73" s="34"/>
      <c r="F73" s="35"/>
    </row>
    <row r="74" spans="1:9" ht="22.5" customHeight="1" x14ac:dyDescent="0.15">
      <c r="B74" s="20" t="s">
        <v>81</v>
      </c>
      <c r="D74" s="37"/>
      <c r="E74" s="253"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5ポイント上昇</v>
      </c>
      <c r="F74" s="253"/>
      <c r="G74" s="253"/>
      <c r="H74" s="20" t="s">
        <v>82</v>
      </c>
    </row>
    <row r="75" spans="1:9" ht="22.5" customHeight="1" x14ac:dyDescent="0.15">
      <c r="B75" s="20" t="s">
        <v>83</v>
      </c>
      <c r="D75" s="37"/>
      <c r="E75" s="254"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2ポイント上昇</v>
      </c>
      <c r="F75" s="254"/>
      <c r="G75" s="254"/>
      <c r="H75" s="20" t="s">
        <v>77</v>
      </c>
    </row>
    <row r="95" spans="1:9" ht="22.5" customHeight="1" thickBot="1" x14ac:dyDescent="0.2"/>
    <row r="96" spans="1:9" ht="22.5" customHeight="1" x14ac:dyDescent="0.15">
      <c r="A96" s="97" t="s">
        <v>426</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9">
        <f>管理者用グラフシート!B39</f>
        <v>2010</v>
      </c>
      <c r="B104" s="249"/>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9">
        <f>管理者用グラフシート!B87</f>
        <v>2020</v>
      </c>
      <c r="B134" s="249"/>
      <c r="C134" s="37" t="s">
        <v>326</v>
      </c>
      <c r="D134" s="36"/>
      <c r="F134" s="37"/>
      <c r="G134" s="111"/>
      <c r="H134" s="111"/>
    </row>
    <row r="135" spans="1:8" ht="22.5" customHeight="1" x14ac:dyDescent="0.15">
      <c r="A135" s="249">
        <f>管理者用グラフシート!B4</f>
        <v>2010</v>
      </c>
      <c r="B135" s="249"/>
      <c r="C135" s="20" t="s">
        <v>385</v>
      </c>
      <c r="D135" s="36"/>
      <c r="F135" s="206">
        <f>SUM(管理者用グラフシート!B93:C94)-SUM(管理者用グラフシート!B45:C46)</f>
        <v>-21</v>
      </c>
      <c r="G135" s="208" t="s">
        <v>386</v>
      </c>
      <c r="H135" s="111"/>
    </row>
    <row r="136" spans="1:8" ht="22.5" customHeight="1" x14ac:dyDescent="0.15">
      <c r="A136" s="35" t="s">
        <v>387</v>
      </c>
      <c r="C136" s="206">
        <f>SUM(管理者用グラフシート!B95:C96)-SUM(管理者用グラフシート!B47:C48)</f>
        <v>-80</v>
      </c>
      <c r="D136" s="20" t="s">
        <v>388</v>
      </c>
      <c r="E136" s="34"/>
      <c r="F136" s="206">
        <f>SUM(管理者用グラフシート!B97:C98)-SUM(管理者用グラフシート!B49:C50)</f>
        <v>-40</v>
      </c>
      <c r="G136" s="20" t="s">
        <v>386</v>
      </c>
    </row>
    <row r="137" spans="1:8" ht="18.75" x14ac:dyDescent="0.15">
      <c r="A137" s="20" t="s">
        <v>389</v>
      </c>
      <c r="C137" s="206">
        <f>SUM(管理者用グラフシート!B99:C100)-SUM(管理者用グラフシート!B51:C52)</f>
        <v>-38</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A8:B8"/>
    <mergeCell ref="A134:B134"/>
    <mergeCell ref="A135:B135"/>
    <mergeCell ref="F36:G36"/>
    <mergeCell ref="F37:G37"/>
    <mergeCell ref="D40:E40"/>
    <mergeCell ref="D38:E38"/>
    <mergeCell ref="A39:B39"/>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1" t="str">
        <f>管理者入力シート!B4</f>
        <v>細島小学校</v>
      </c>
      <c r="B2" s="251"/>
      <c r="C2" s="251"/>
      <c r="D2" s="250" t="s">
        <v>230</v>
      </c>
      <c r="E2" s="250"/>
      <c r="F2" s="250"/>
      <c r="G2" s="250"/>
      <c r="H2" s="250"/>
      <c r="I2" s="250"/>
    </row>
    <row r="3" spans="1:9" ht="27.75" customHeight="1" x14ac:dyDescent="0.15">
      <c r="A3" s="251"/>
      <c r="B3" s="251"/>
      <c r="C3" s="251"/>
      <c r="D3" s="250"/>
      <c r="E3" s="250"/>
      <c r="F3" s="250"/>
      <c r="G3" s="250"/>
      <c r="H3" s="250"/>
      <c r="I3" s="250"/>
    </row>
    <row r="4" spans="1:9" ht="27.75" customHeight="1" x14ac:dyDescent="0.15"/>
    <row r="5" spans="1:9" s="39" customFormat="1" ht="40.5" customHeight="1" x14ac:dyDescent="0.15">
      <c r="A5" s="108" t="s">
        <v>64</v>
      </c>
    </row>
    <row r="6" spans="1:9" ht="22.5" customHeight="1" x14ac:dyDescent="0.15">
      <c r="A6" s="249">
        <f>管理者入力シート!B9</f>
        <v>2030</v>
      </c>
      <c r="B6" s="249"/>
      <c r="C6" s="20" t="s">
        <v>361</v>
      </c>
      <c r="D6" s="253">
        <f>管理者用グラフシート!K8</f>
        <v>1601</v>
      </c>
      <c r="E6" s="253"/>
      <c r="F6" s="20" t="s">
        <v>231</v>
      </c>
      <c r="H6" s="34"/>
      <c r="I6" s="34"/>
    </row>
    <row r="7" spans="1:9" ht="22.5" customHeight="1" x14ac:dyDescent="0.15">
      <c r="A7" s="249">
        <f>管理者入力シート!B5</f>
        <v>2020</v>
      </c>
      <c r="B7" s="249"/>
      <c r="C7" s="195" t="s">
        <v>362</v>
      </c>
      <c r="D7" s="248">
        <f>D6-現況シート!E6</f>
        <v>-369</v>
      </c>
      <c r="E7" s="248"/>
      <c r="F7" s="20" t="s">
        <v>232</v>
      </c>
      <c r="I7" s="34"/>
    </row>
    <row r="8" spans="1:9" ht="22.5" customHeight="1" x14ac:dyDescent="0.15">
      <c r="A8" s="257" t="s">
        <v>397</v>
      </c>
      <c r="B8" s="257"/>
      <c r="C8" s="206">
        <f>管理者用グラフシート!I8-管理者用グラフシート!C6</f>
        <v>-162</v>
      </c>
      <c r="D8" s="207" t="s">
        <v>398</v>
      </c>
      <c r="F8" s="258">
        <f>管理者用グラフシート!J8-管理者用グラフシート!D6</f>
        <v>-207</v>
      </c>
      <c r="G8" s="258"/>
      <c r="H8" s="20" t="s">
        <v>399</v>
      </c>
    </row>
    <row r="10" spans="1:9" ht="22.5" customHeight="1" x14ac:dyDescent="0.15">
      <c r="A10" s="249">
        <f>管理者入力シート!B11</f>
        <v>2040</v>
      </c>
      <c r="B10" s="249"/>
      <c r="C10" s="20" t="s">
        <v>361</v>
      </c>
      <c r="D10" s="253">
        <f>管理者用グラフシート!K10</f>
        <v>1274</v>
      </c>
      <c r="E10" s="253"/>
      <c r="F10" s="20" t="s">
        <v>231</v>
      </c>
      <c r="H10" s="34"/>
    </row>
    <row r="11" spans="1:9" ht="22.5" customHeight="1" x14ac:dyDescent="0.15">
      <c r="A11" s="249">
        <f>管理者入力シート!B5</f>
        <v>2020</v>
      </c>
      <c r="B11" s="249"/>
      <c r="C11" s="195" t="s">
        <v>362</v>
      </c>
      <c r="D11" s="248">
        <f>D10-現況シート!E6</f>
        <v>-696</v>
      </c>
      <c r="E11" s="248"/>
      <c r="F11" s="20" t="s">
        <v>232</v>
      </c>
      <c r="H11" s="34"/>
    </row>
    <row r="12" spans="1:9" ht="22.5" customHeight="1" x14ac:dyDescent="0.15">
      <c r="A12" s="257" t="s">
        <v>397</v>
      </c>
      <c r="B12" s="257"/>
      <c r="C12" s="206">
        <f>管理者用グラフシート!I10-管理者用グラフシート!C6</f>
        <v>-310</v>
      </c>
      <c r="D12" s="207" t="s">
        <v>398</v>
      </c>
      <c r="F12" s="258">
        <f>管理者用グラフシート!J10-管理者用グラフシート!D6</f>
        <v>-386</v>
      </c>
      <c r="G12" s="258"/>
      <c r="H12" s="20" t="s">
        <v>399</v>
      </c>
    </row>
    <row r="22" spans="7:7" ht="22.5" customHeight="1" x14ac:dyDescent="0.15">
      <c r="G22" s="20">
        <v>15</v>
      </c>
    </row>
    <row r="34" spans="1:9" s="39" customFormat="1" ht="40.5" customHeight="1" x14ac:dyDescent="0.15">
      <c r="A34" s="108" t="s">
        <v>68</v>
      </c>
    </row>
    <row r="35" spans="1:9" ht="22.5" customHeight="1" x14ac:dyDescent="0.15">
      <c r="A35" s="249">
        <f>管理者用グラフシート!H20</f>
        <v>2040</v>
      </c>
      <c r="B35" s="249"/>
      <c r="C35" s="259" t="s">
        <v>363</v>
      </c>
      <c r="D35" s="259"/>
      <c r="F35" s="36"/>
      <c r="G35" s="36"/>
      <c r="H35" s="256"/>
      <c r="I35" s="255"/>
    </row>
    <row r="36" spans="1:9" ht="22.5" customHeight="1" x14ac:dyDescent="0.15">
      <c r="A36" s="20" t="s">
        <v>237</v>
      </c>
      <c r="F36" s="253">
        <f>管理者用グラフシート!I20</f>
        <v>39</v>
      </c>
      <c r="G36" s="253"/>
      <c r="H36" s="82" t="s">
        <v>233</v>
      </c>
      <c r="I36" s="34"/>
    </row>
    <row r="37" spans="1:9" ht="22.5" customHeight="1" x14ac:dyDescent="0.15">
      <c r="A37" s="20" t="s">
        <v>234</v>
      </c>
      <c r="F37" s="253">
        <f>管理者用グラフシート!I28</f>
        <v>19</v>
      </c>
      <c r="G37" s="253"/>
      <c r="H37" s="109" t="s">
        <v>235</v>
      </c>
      <c r="I37" s="86"/>
    </row>
    <row r="38" spans="1:9" ht="22.5" customHeight="1" x14ac:dyDescent="0.15">
      <c r="D38" s="255"/>
      <c r="E38" s="255"/>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48">
        <f>F36-現況シート!F36</f>
        <v>-57</v>
      </c>
      <c r="G40" s="248"/>
      <c r="H40" s="35" t="s">
        <v>60</v>
      </c>
    </row>
    <row r="41" spans="1:9" ht="22.5" customHeight="1" x14ac:dyDescent="0.15">
      <c r="A41" s="20" t="s">
        <v>69</v>
      </c>
      <c r="C41" s="199">
        <f>管理者入力シート!B5</f>
        <v>2020</v>
      </c>
      <c r="D41" s="20" t="s">
        <v>374</v>
      </c>
      <c r="F41" s="248">
        <f>F37-現況シート!F37</f>
        <v>-27</v>
      </c>
      <c r="G41" s="248"/>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9">
        <f>管理者用グラフシート!H38</f>
        <v>2040</v>
      </c>
      <c r="B69" s="249"/>
      <c r="C69" s="259" t="s">
        <v>363</v>
      </c>
      <c r="D69" s="259"/>
      <c r="F69" s="34"/>
      <c r="G69" s="37"/>
      <c r="H69" s="67"/>
      <c r="I69" s="71"/>
    </row>
    <row r="70" spans="1:9" ht="22.5" customHeight="1" x14ac:dyDescent="0.15">
      <c r="A70" s="20" t="s">
        <v>238</v>
      </c>
      <c r="C70" s="253">
        <f>管理者用グラフシート!I38</f>
        <v>579</v>
      </c>
      <c r="D70" s="253"/>
      <c r="E70" s="82" t="s">
        <v>239</v>
      </c>
      <c r="F70" s="34"/>
      <c r="G70" s="252">
        <f>管理者用グラフシート!I56</f>
        <v>0.45</v>
      </c>
      <c r="H70" s="252"/>
      <c r="I70" s="110" t="s">
        <v>240</v>
      </c>
    </row>
    <row r="71" spans="1:9" ht="22.5" customHeight="1" x14ac:dyDescent="0.15">
      <c r="A71" s="20" t="s">
        <v>241</v>
      </c>
      <c r="C71" s="253">
        <f>管理者用グラフシート!I46</f>
        <v>354</v>
      </c>
      <c r="D71" s="253"/>
      <c r="E71" s="20" t="s">
        <v>239</v>
      </c>
      <c r="G71" s="260">
        <f>管理者用グラフシート!I64</f>
        <v>0.28000000000000003</v>
      </c>
      <c r="H71" s="255"/>
      <c r="I71" s="20" t="s">
        <v>242</v>
      </c>
    </row>
    <row r="72" spans="1:9" ht="27.75" customHeight="1" x14ac:dyDescent="0.15">
      <c r="C72" s="81"/>
      <c r="D72" s="81"/>
      <c r="G72" s="261" t="s">
        <v>236</v>
      </c>
      <c r="H72" s="261"/>
      <c r="I72" s="261"/>
    </row>
    <row r="73" spans="1:9" ht="22.5" customHeight="1" x14ac:dyDescent="0.15">
      <c r="A73" s="249">
        <f>管理者入力シート!B5</f>
        <v>2020</v>
      </c>
      <c r="B73" s="249"/>
      <c r="C73" s="20" t="s">
        <v>228</v>
      </c>
      <c r="D73" s="34"/>
      <c r="E73" s="34"/>
      <c r="F73" s="35"/>
    </row>
    <row r="74" spans="1:9" ht="22.5" customHeight="1" x14ac:dyDescent="0.15">
      <c r="B74" s="20" t="s">
        <v>81</v>
      </c>
      <c r="D74" s="37"/>
      <c r="E74" s="253"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9ポイント上昇</v>
      </c>
      <c r="F74" s="253"/>
      <c r="G74" s="253"/>
      <c r="H74" s="20" t="s">
        <v>82</v>
      </c>
    </row>
    <row r="75" spans="1:9" ht="22.5" customHeight="1" x14ac:dyDescent="0.15">
      <c r="B75" s="20" t="s">
        <v>83</v>
      </c>
      <c r="D75" s="37"/>
      <c r="E75" s="254"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7ポイント上昇</v>
      </c>
      <c r="F75" s="254"/>
      <c r="G75" s="254"/>
      <c r="H75" s="20" t="s">
        <v>77</v>
      </c>
    </row>
    <row r="101" spans="1:8" s="39" customFormat="1" ht="40.5" customHeight="1" x14ac:dyDescent="0.15">
      <c r="A101" s="108" t="s">
        <v>112</v>
      </c>
    </row>
    <row r="102" spans="1:8" ht="22.5" customHeight="1" x14ac:dyDescent="0.15">
      <c r="A102" s="249">
        <f>管理者用グラフシート!H91</f>
        <v>2030</v>
      </c>
      <c r="B102" s="249"/>
      <c r="C102" s="20" t="s">
        <v>364</v>
      </c>
      <c r="D102" s="196"/>
    </row>
    <row r="103" spans="1:8" ht="27.75" customHeight="1" x14ac:dyDescent="0.15">
      <c r="A103" s="249">
        <f>管理者入力シート!B5</f>
        <v>2020</v>
      </c>
      <c r="B103" s="249"/>
      <c r="C103" s="20" t="s">
        <v>385</v>
      </c>
      <c r="D103" s="36"/>
      <c r="G103" s="206">
        <f>SUM(管理者用グラフシート!H97:I98)-SUM(管理者用グラフシート!B93:C94)</f>
        <v>-61</v>
      </c>
      <c r="H103" s="208" t="s">
        <v>60</v>
      </c>
    </row>
    <row r="104" spans="1:8" ht="22.5" customHeight="1" x14ac:dyDescent="0.15">
      <c r="A104" s="35" t="s">
        <v>387</v>
      </c>
      <c r="C104" s="206">
        <f>SUM(管理者用グラフシート!H99:I100)-SUM(管理者用グラフシート!B95:C96)</f>
        <v>-26</v>
      </c>
      <c r="D104" s="20" t="s">
        <v>423</v>
      </c>
      <c r="E104" s="34"/>
      <c r="G104" s="206">
        <f>SUM(管理者用グラフシート!H101:I102)-SUM(管理者用グラフシート!B97:C98)</f>
        <v>-70</v>
      </c>
      <c r="H104" s="20" t="s">
        <v>60</v>
      </c>
    </row>
    <row r="105" spans="1:8" ht="22.5" customHeight="1" x14ac:dyDescent="0.15">
      <c r="A105" s="20" t="s">
        <v>389</v>
      </c>
      <c r="C105" s="206">
        <f>SUM(管理者用グラフシート!H103:I104)-SUM(管理者用グラフシート!B99:C100)</f>
        <v>-38</v>
      </c>
      <c r="D105" s="20" t="s">
        <v>70</v>
      </c>
      <c r="E105" s="34"/>
      <c r="F105" s="35"/>
    </row>
    <row r="136" spans="1:8" ht="22.5" customHeight="1" x14ac:dyDescent="0.15">
      <c r="A136" s="249">
        <f>管理者用グラフシート!H139</f>
        <v>2040</v>
      </c>
      <c r="B136" s="249"/>
      <c r="C136" s="20" t="s">
        <v>364</v>
      </c>
    </row>
    <row r="137" spans="1:8" ht="22.5" customHeight="1" x14ac:dyDescent="0.15">
      <c r="A137" s="249">
        <f>管理者入力シート!B5</f>
        <v>2020</v>
      </c>
      <c r="B137" s="249"/>
      <c r="C137" s="20" t="s">
        <v>385</v>
      </c>
      <c r="D137" s="36"/>
      <c r="G137" s="206">
        <f>SUM(管理者用グラフシート!H145:I146)-SUM(管理者用グラフシート!B93:C94)</f>
        <v>-96</v>
      </c>
      <c r="H137" s="208" t="s">
        <v>60</v>
      </c>
    </row>
    <row r="138" spans="1:8" ht="22.5" customHeight="1" x14ac:dyDescent="0.15">
      <c r="A138" s="35" t="s">
        <v>387</v>
      </c>
      <c r="C138" s="206">
        <f>SUM(管理者用グラフシート!H147:I148)-SUM(管理者用グラフシート!B95:C96)</f>
        <v>-77</v>
      </c>
      <c r="D138" s="20" t="s">
        <v>423</v>
      </c>
      <c r="E138" s="34"/>
      <c r="G138" s="206">
        <f>SUM(管理者用グラフシート!H149:I150)-SUM(管理者用グラフシート!B97:C98)</f>
        <v>-93</v>
      </c>
      <c r="H138" s="20" t="s">
        <v>60</v>
      </c>
    </row>
    <row r="139" spans="1:8" ht="22.5" customHeight="1" x14ac:dyDescent="0.15">
      <c r="A139" s="20" t="s">
        <v>389</v>
      </c>
      <c r="C139" s="206">
        <f>SUM(管理者用グラフシート!H151:I152)-SUM(管理者用グラフシート!B99:C100)</f>
        <v>-106</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 ref="A2:C3"/>
    <mergeCell ref="D38:E38"/>
    <mergeCell ref="A6:B6"/>
    <mergeCell ref="A10:B10"/>
    <mergeCell ref="A7:B7"/>
    <mergeCell ref="D6:E6"/>
    <mergeCell ref="D10:E10"/>
    <mergeCell ref="D7:E7"/>
    <mergeCell ref="A12:B12"/>
    <mergeCell ref="A8:B8"/>
    <mergeCell ref="A11:B11"/>
    <mergeCell ref="D11:E11"/>
    <mergeCell ref="G70:H70"/>
    <mergeCell ref="F36:G36"/>
    <mergeCell ref="F37:G37"/>
    <mergeCell ref="F40:G40"/>
    <mergeCell ref="D2:I3"/>
    <mergeCell ref="F12:G12"/>
    <mergeCell ref="H35:I35"/>
    <mergeCell ref="F8:G8"/>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62" t="str">
        <f>管理者入力シート!B4</f>
        <v>細島小学校</v>
      </c>
      <c r="B2" s="262"/>
      <c r="C2" s="262"/>
      <c r="D2" s="250" t="s">
        <v>249</v>
      </c>
      <c r="E2" s="250"/>
      <c r="F2" s="250"/>
      <c r="G2" s="250"/>
      <c r="H2" s="250"/>
      <c r="I2" s="250"/>
    </row>
    <row r="3" spans="1:9" ht="31.5" customHeight="1" x14ac:dyDescent="0.15">
      <c r="A3" s="262"/>
      <c r="B3" s="262"/>
      <c r="C3" s="262"/>
      <c r="D3" s="250"/>
      <c r="E3" s="250"/>
      <c r="F3" s="250"/>
      <c r="G3" s="250"/>
      <c r="H3" s="250"/>
      <c r="I3" s="250"/>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66" t="s">
        <v>254</v>
      </c>
      <c r="B15" s="266"/>
      <c r="C15" s="266"/>
      <c r="D15" s="267" t="s">
        <v>258</v>
      </c>
      <c r="E15" s="268"/>
      <c r="F15" s="263" t="s">
        <v>257</v>
      </c>
      <c r="G15" s="264"/>
      <c r="H15" s="265"/>
    </row>
    <row r="16" spans="1:9" ht="17.25" customHeight="1" x14ac:dyDescent="0.15">
      <c r="A16" s="124" t="s">
        <v>254</v>
      </c>
      <c r="B16" s="124" t="s">
        <v>21</v>
      </c>
      <c r="C16" s="124" t="s">
        <v>22</v>
      </c>
      <c r="D16" s="267"/>
      <c r="E16" s="268"/>
      <c r="F16" s="126"/>
      <c r="G16" s="127" t="s">
        <v>21</v>
      </c>
      <c r="H16" s="128" t="s">
        <v>22</v>
      </c>
    </row>
    <row r="17" spans="1:9" ht="18.75" customHeight="1" x14ac:dyDescent="0.15">
      <c r="A17" s="125" t="s">
        <v>0</v>
      </c>
      <c r="B17" s="116">
        <v>1</v>
      </c>
      <c r="C17" s="116">
        <v>1</v>
      </c>
      <c r="D17" s="267"/>
      <c r="E17" s="268"/>
      <c r="F17" s="119" t="s">
        <v>0</v>
      </c>
      <c r="G17" s="116">
        <v>1</v>
      </c>
      <c r="H17" s="118">
        <v>1</v>
      </c>
    </row>
    <row r="18" spans="1:9" ht="18.75" customHeight="1" x14ac:dyDescent="0.15">
      <c r="A18" s="125" t="s">
        <v>1</v>
      </c>
      <c r="B18" s="116"/>
      <c r="C18" s="116"/>
      <c r="D18" s="267"/>
      <c r="E18" s="268"/>
      <c r="F18" s="119" t="s">
        <v>1</v>
      </c>
      <c r="G18" s="116"/>
      <c r="H18" s="118"/>
    </row>
    <row r="19" spans="1:9" ht="18.75" customHeight="1" x14ac:dyDescent="0.15">
      <c r="A19" s="125" t="s">
        <v>2</v>
      </c>
      <c r="B19" s="73">
        <v>1</v>
      </c>
      <c r="C19" s="73">
        <v>1</v>
      </c>
      <c r="D19" s="267"/>
      <c r="E19" s="268"/>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3"/>
      <c r="B30" s="234"/>
      <c r="C30" s="234"/>
      <c r="F30" s="233"/>
      <c r="G30" s="221"/>
      <c r="H30" s="221"/>
      <c r="I30" s="114"/>
    </row>
    <row r="31" spans="1:9" s="113" customFormat="1" ht="24" customHeight="1" x14ac:dyDescent="0.15">
      <c r="A31" s="168" t="s">
        <v>328</v>
      </c>
      <c r="B31" s="277">
        <f>管理者入力シート!B5</f>
        <v>2020</v>
      </c>
      <c r="C31" s="277"/>
      <c r="D31" s="83" t="s">
        <v>412</v>
      </c>
      <c r="E31" s="131"/>
      <c r="F31" s="131"/>
      <c r="G31" s="131"/>
      <c r="H31" s="131"/>
      <c r="I31" s="237"/>
    </row>
    <row r="32" spans="1:9" s="131" customFormat="1" ht="17.25" customHeight="1" x14ac:dyDescent="0.15">
      <c r="A32" s="159" t="s">
        <v>409</v>
      </c>
      <c r="B32" s="276">
        <f>管理者入力シート!B5</f>
        <v>2020</v>
      </c>
      <c r="C32" s="276"/>
      <c r="D32" s="213" t="s">
        <v>425</v>
      </c>
      <c r="E32" s="213"/>
      <c r="F32" s="213"/>
      <c r="G32" s="213"/>
      <c r="H32" s="213"/>
      <c r="I32" s="214"/>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9"/>
      <c r="H34" s="219"/>
      <c r="I34" s="220"/>
    </row>
    <row r="35" spans="1:9" s="130" customFormat="1" ht="17.25" customHeight="1" thickTop="1" x14ac:dyDescent="0.15">
      <c r="A35" s="165"/>
      <c r="B35" s="273" t="s">
        <v>257</v>
      </c>
      <c r="C35" s="274"/>
      <c r="D35" s="275"/>
      <c r="F35" s="162"/>
      <c r="G35" s="240"/>
      <c r="H35" s="278" t="s">
        <v>410</v>
      </c>
      <c r="I35" s="279"/>
    </row>
    <row r="36" spans="1:9" s="132" customFormat="1" ht="17.25" customHeight="1" x14ac:dyDescent="0.15">
      <c r="A36" s="160"/>
      <c r="B36" s="215"/>
      <c r="C36" s="127" t="s">
        <v>21</v>
      </c>
      <c r="D36" s="216" t="s">
        <v>22</v>
      </c>
      <c r="F36" s="162"/>
      <c r="G36" s="238">
        <f>管理者入力シート!B8</f>
        <v>2025</v>
      </c>
      <c r="H36" s="269">
        <f>管理者用人口入力シート!EU22</f>
        <v>1915</v>
      </c>
      <c r="I36" s="270"/>
    </row>
    <row r="37" spans="1:9" s="130" customFormat="1" ht="17.25" customHeight="1" x14ac:dyDescent="0.15">
      <c r="A37" s="165"/>
      <c r="B37" s="226" t="s">
        <v>5</v>
      </c>
      <c r="C37" s="227">
        <f>管理者用人口入力シート!DX1</f>
        <v>23</v>
      </c>
      <c r="D37" s="228">
        <f>C37</f>
        <v>23</v>
      </c>
      <c r="F37" s="162"/>
      <c r="G37" s="238">
        <f>管理者入力シート!B9</f>
        <v>2030</v>
      </c>
      <c r="H37" s="269">
        <f>管理者用人口入力シート!EU25</f>
        <v>1915</v>
      </c>
      <c r="I37" s="270"/>
    </row>
    <row r="38" spans="1:9" s="132" customFormat="1" ht="17.25" customHeight="1" x14ac:dyDescent="0.15">
      <c r="A38" s="160"/>
      <c r="B38" s="226" t="s">
        <v>6</v>
      </c>
      <c r="C38" s="227">
        <f>C37</f>
        <v>23</v>
      </c>
      <c r="D38" s="228">
        <f>C37</f>
        <v>23</v>
      </c>
      <c r="F38" s="162"/>
      <c r="G38" s="238">
        <f>管理者入力シート!B10</f>
        <v>2035</v>
      </c>
      <c r="H38" s="269">
        <f>管理者用人口入力シート!EU28</f>
        <v>1918</v>
      </c>
      <c r="I38" s="270"/>
    </row>
    <row r="39" spans="1:9" ht="17.25" customHeight="1" thickBot="1" x14ac:dyDescent="0.2">
      <c r="A39" s="166"/>
      <c r="B39" s="229" t="s">
        <v>7</v>
      </c>
      <c r="C39" s="230">
        <f>C37</f>
        <v>23</v>
      </c>
      <c r="D39" s="231">
        <f>C37</f>
        <v>23</v>
      </c>
      <c r="F39" s="162"/>
      <c r="G39" s="239">
        <f>管理者入力シート!B11</f>
        <v>2040</v>
      </c>
      <c r="H39" s="271">
        <f>管理者用人口入力シート!EU31</f>
        <v>1919</v>
      </c>
      <c r="I39" s="272"/>
    </row>
    <row r="40" spans="1:9" s="132" customFormat="1" ht="17.25" customHeight="1" thickTop="1" x14ac:dyDescent="0.15">
      <c r="A40" s="160"/>
      <c r="F40" s="83"/>
      <c r="G40" s="232"/>
      <c r="H40" s="217"/>
      <c r="I40" s="218"/>
    </row>
    <row r="41" spans="1:9" ht="17.25" customHeight="1" x14ac:dyDescent="0.15">
      <c r="A41" s="222"/>
      <c r="B41" s="235" t="s">
        <v>411</v>
      </c>
      <c r="C41" s="167"/>
      <c r="D41" s="223"/>
      <c r="E41" s="223"/>
      <c r="F41" s="224"/>
      <c r="G41" s="224"/>
      <c r="H41" s="224"/>
      <c r="I41" s="225"/>
    </row>
    <row r="42" spans="1:9" s="113" customFormat="1" ht="40.5" customHeight="1" x14ac:dyDescent="0.15">
      <c r="A42" s="108" t="s">
        <v>64</v>
      </c>
      <c r="I42" s="114"/>
    </row>
    <row r="43" spans="1:9" ht="22.5" customHeight="1" x14ac:dyDescent="0.15">
      <c r="A43" s="249">
        <f>管理者入力シート!B9</f>
        <v>2030</v>
      </c>
      <c r="B43" s="249"/>
      <c r="C43" s="20" t="s">
        <v>417</v>
      </c>
      <c r="D43" s="253">
        <f>管理者用グラフシート!U8</f>
        <v>1620</v>
      </c>
      <c r="E43" s="253"/>
      <c r="F43" s="20" t="s">
        <v>231</v>
      </c>
      <c r="H43" s="34"/>
      <c r="I43" s="34"/>
    </row>
    <row r="44" spans="1:9" ht="22.5" customHeight="1" x14ac:dyDescent="0.15">
      <c r="A44" s="249">
        <f>管理者入力シート!B11</f>
        <v>2040</v>
      </c>
      <c r="B44" s="249"/>
      <c r="C44" s="20" t="s">
        <v>417</v>
      </c>
      <c r="D44" s="253">
        <f>管理者用グラフシート!U10</f>
        <v>1309</v>
      </c>
      <c r="E44" s="253"/>
      <c r="F44" s="20" t="s">
        <v>231</v>
      </c>
      <c r="H44" s="34"/>
      <c r="I44" s="34"/>
    </row>
    <row r="45" spans="1:9" ht="22.5" customHeight="1" x14ac:dyDescent="0.15">
      <c r="A45" s="20" t="s">
        <v>121</v>
      </c>
    </row>
    <row r="46" spans="1:9" ht="22.5" customHeight="1" x14ac:dyDescent="0.15">
      <c r="A46" s="249">
        <f>管理者入力シート!B9</f>
        <v>2030</v>
      </c>
      <c r="B46" s="249"/>
      <c r="C46" s="20" t="s">
        <v>418</v>
      </c>
      <c r="D46" s="256">
        <f>D43-将来予測シート①!D6</f>
        <v>19</v>
      </c>
      <c r="E46" s="256"/>
      <c r="F46" s="20" t="s">
        <v>122</v>
      </c>
    </row>
    <row r="47" spans="1:9" ht="22.5" customHeight="1" x14ac:dyDescent="0.15">
      <c r="A47" s="249">
        <f>管理者入力シート!B11</f>
        <v>2040</v>
      </c>
      <c r="B47" s="249"/>
      <c r="C47" s="20" t="s">
        <v>418</v>
      </c>
      <c r="D47" s="256">
        <f>D44-将来予測シート①!D10</f>
        <v>35</v>
      </c>
      <c r="E47" s="256"/>
      <c r="F47" s="20" t="s">
        <v>123</v>
      </c>
    </row>
    <row r="76" spans="1:9" s="39" customFormat="1" ht="40.5" customHeight="1" x14ac:dyDescent="0.15">
      <c r="A76" s="108" t="s">
        <v>68</v>
      </c>
      <c r="I76" s="115"/>
    </row>
    <row r="77" spans="1:9" ht="22.5" customHeight="1" x14ac:dyDescent="0.15">
      <c r="A77" s="249">
        <f>管理者用グラフシート!O20</f>
        <v>2040</v>
      </c>
      <c r="B77" s="249"/>
      <c r="C77" s="20" t="s">
        <v>263</v>
      </c>
      <c r="F77" s="36"/>
      <c r="G77" s="36"/>
      <c r="H77" s="67"/>
      <c r="I77" s="34"/>
    </row>
    <row r="78" spans="1:9" ht="22.5" customHeight="1" x14ac:dyDescent="0.15">
      <c r="A78" s="20" t="s">
        <v>237</v>
      </c>
      <c r="E78" s="34"/>
      <c r="F78" s="253">
        <f>管理者用グラフシート!Q20</f>
        <v>44</v>
      </c>
      <c r="G78" s="253"/>
      <c r="H78" s="82" t="s">
        <v>264</v>
      </c>
      <c r="I78" s="34"/>
    </row>
    <row r="79" spans="1:9" ht="22.5" customHeight="1" x14ac:dyDescent="0.15">
      <c r="A79" s="20" t="s">
        <v>234</v>
      </c>
      <c r="F79" s="253">
        <f>管理者用グラフシート!Q28</f>
        <v>22</v>
      </c>
      <c r="G79" s="253"/>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48">
        <f>F78-将来予測シート①!F36</f>
        <v>5</v>
      </c>
      <c r="D82" s="248"/>
      <c r="E82" s="20" t="s">
        <v>60</v>
      </c>
    </row>
    <row r="83" spans="1:13" ht="22.5" customHeight="1" x14ac:dyDescent="0.15">
      <c r="A83" s="20" t="s">
        <v>69</v>
      </c>
      <c r="C83" s="248">
        <f>F79-将来予測シート①!F37</f>
        <v>3</v>
      </c>
      <c r="D83" s="248"/>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9">
        <f>管理者用グラフシート!O38</f>
        <v>2040</v>
      </c>
      <c r="B111" s="249"/>
      <c r="C111" s="20" t="s">
        <v>371</v>
      </c>
      <c r="F111" s="36"/>
      <c r="G111" s="36"/>
      <c r="H111" s="67"/>
      <c r="I111" s="34"/>
    </row>
    <row r="112" spans="1:9" ht="22.5" customHeight="1" x14ac:dyDescent="0.15">
      <c r="A112" s="20" t="s">
        <v>269</v>
      </c>
      <c r="C112" s="253">
        <f>管理者用グラフシート!Q38</f>
        <v>579</v>
      </c>
      <c r="D112" s="253"/>
      <c r="E112" s="20" t="s">
        <v>270</v>
      </c>
      <c r="F112" s="36"/>
      <c r="G112" s="111">
        <f>管理者用グラフシート!Q56</f>
        <v>0.44</v>
      </c>
      <c r="H112" s="82" t="s">
        <v>271</v>
      </c>
      <c r="I112" s="34"/>
    </row>
    <row r="113" spans="1:9" ht="22.5" customHeight="1" x14ac:dyDescent="0.15">
      <c r="A113" s="20" t="s">
        <v>268</v>
      </c>
      <c r="C113" s="253">
        <f>管理者用グラフシート!Q46</f>
        <v>354</v>
      </c>
      <c r="D113" s="253"/>
      <c r="E113" s="82" t="s">
        <v>270</v>
      </c>
      <c r="F113" s="34"/>
      <c r="G113" s="111">
        <f>管理者用グラフシート!Q64</f>
        <v>0.27</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3"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ほぼ横ばい</v>
      </c>
      <c r="F116" s="253"/>
      <c r="G116" s="253"/>
      <c r="H116" s="20" t="s">
        <v>82</v>
      </c>
    </row>
    <row r="117" spans="1:9" ht="22.5" customHeight="1" x14ac:dyDescent="0.15">
      <c r="B117" s="20" t="s">
        <v>83</v>
      </c>
      <c r="D117" s="37"/>
      <c r="E117" s="254"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4"/>
      <c r="G117" s="254"/>
      <c r="H117" s="20" t="s">
        <v>77</v>
      </c>
    </row>
    <row r="143" spans="1:9" s="113" customFormat="1" ht="46.5" customHeight="1" x14ac:dyDescent="0.15">
      <c r="A143" s="108" t="s">
        <v>112</v>
      </c>
      <c r="I143" s="114"/>
    </row>
    <row r="144" spans="1:9" ht="22.5" customHeight="1" x14ac:dyDescent="0.15">
      <c r="A144" s="249">
        <f>管理者用グラフシート!O91</f>
        <v>2030</v>
      </c>
      <c r="B144" s="249"/>
      <c r="C144" s="20" t="s">
        <v>364</v>
      </c>
    </row>
    <row r="177" spans="1:9" ht="22.5" customHeight="1" x14ac:dyDescent="0.15">
      <c r="A177" s="249">
        <f>管理者用グラフシート!O139</f>
        <v>2040</v>
      </c>
      <c r="B177" s="249"/>
      <c r="C177" s="20" t="s">
        <v>364</v>
      </c>
    </row>
    <row r="178" spans="1:9" ht="22.5" customHeight="1" x14ac:dyDescent="0.15">
      <c r="E178" s="261"/>
      <c r="F178" s="261"/>
      <c r="G178" s="261"/>
      <c r="H178" s="261"/>
      <c r="I178" s="261"/>
    </row>
    <row r="210" spans="1:9" ht="22.5" customHeight="1" x14ac:dyDescent="0.15">
      <c r="A210" s="20" t="s">
        <v>274</v>
      </c>
      <c r="B210" s="249">
        <f>管理者用グラフシート!O212</f>
        <v>2030</v>
      </c>
      <c r="C210" s="249"/>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9">
        <f>管理者用グラフシート!O236</f>
        <v>2040</v>
      </c>
      <c r="C245" s="249"/>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456</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B32:C32"/>
    <mergeCell ref="B31:C31"/>
    <mergeCell ref="H35:I35"/>
    <mergeCell ref="H36:I36"/>
    <mergeCell ref="H37:I37"/>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A43:B43"/>
    <mergeCell ref="A44:B44"/>
    <mergeCell ref="B245:C245"/>
    <mergeCell ref="A177:B177"/>
    <mergeCell ref="D43:E43"/>
    <mergeCell ref="D44:E44"/>
    <mergeCell ref="D46:E46"/>
    <mergeCell ref="A77:B77"/>
    <mergeCell ref="D47:E47"/>
    <mergeCell ref="A46:B46"/>
    <mergeCell ref="A2:C3"/>
    <mergeCell ref="D2:I3"/>
    <mergeCell ref="F15:H15"/>
    <mergeCell ref="A15:C15"/>
    <mergeCell ref="D15:E19"/>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1" t="str">
        <f>管理者入力シート!B4</f>
        <v>細島小学校</v>
      </c>
      <c r="B1" s="251"/>
      <c r="C1" s="251"/>
      <c r="D1" s="250" t="s">
        <v>278</v>
      </c>
      <c r="E1" s="250"/>
      <c r="F1" s="250"/>
      <c r="G1" s="250"/>
      <c r="H1" s="250"/>
    </row>
    <row r="2" spans="1:8" ht="22.5" customHeight="1" x14ac:dyDescent="0.15">
      <c r="A2" s="251"/>
      <c r="B2" s="251"/>
      <c r="C2" s="251"/>
      <c r="D2" s="250"/>
      <c r="E2" s="250"/>
      <c r="F2" s="250"/>
      <c r="G2" s="250"/>
      <c r="H2" s="250"/>
    </row>
    <row r="3" spans="1:8" ht="22.5" customHeight="1" x14ac:dyDescent="0.15">
      <c r="A3" s="20" t="s">
        <v>279</v>
      </c>
    </row>
    <row r="5" spans="1:8" s="113" customFormat="1" ht="40.5" customHeight="1" x14ac:dyDescent="0.15">
      <c r="A5" s="108" t="s">
        <v>280</v>
      </c>
    </row>
    <row r="6" spans="1:8" ht="22.5" customHeight="1" x14ac:dyDescent="0.15">
      <c r="A6" s="249">
        <f>管理者用グラフシート!B6</f>
        <v>2020</v>
      </c>
      <c r="B6" s="249"/>
      <c r="C6" s="20" t="s">
        <v>419</v>
      </c>
    </row>
    <row r="7" spans="1:8" ht="22.5" customHeight="1" x14ac:dyDescent="0.15">
      <c r="A7" s="20" t="s">
        <v>281</v>
      </c>
      <c r="F7" s="280">
        <f>管理者用地域特徴シート!H5</f>
        <v>0.54660966631041441</v>
      </c>
      <c r="G7" s="280"/>
      <c r="H7" s="20" t="s">
        <v>282</v>
      </c>
    </row>
    <row r="8" spans="1:8" ht="22.5" customHeight="1" x14ac:dyDescent="0.15">
      <c r="A8" s="34" t="str">
        <f>管理者入力シート!B3</f>
        <v>日向市</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5" t="str">
        <f>地域特徴シート!A1</f>
        <v>細島小学校</v>
      </c>
      <c r="B11" s="255"/>
      <c r="C11" s="256">
        <f>管理者用地域特徴シート!D5</f>
        <v>842.1</v>
      </c>
      <c r="D11" s="255"/>
      <c r="E11" s="20" t="s">
        <v>413</v>
      </c>
    </row>
    <row r="12" spans="1:8" ht="22.5" customHeight="1" x14ac:dyDescent="0.15">
      <c r="A12" s="255" t="str">
        <f>A8</f>
        <v>日向市</v>
      </c>
      <c r="B12" s="255"/>
      <c r="C12" s="256">
        <f>管理者用地域特徴シート!D4</f>
        <v>25009.000000000004</v>
      </c>
      <c r="D12" s="255"/>
      <c r="E12" s="20" t="s">
        <v>413</v>
      </c>
    </row>
    <row r="13" spans="1:8" ht="22.5" customHeight="1" x14ac:dyDescent="0.15">
      <c r="A13" s="255" t="s">
        <v>414</v>
      </c>
      <c r="B13" s="255"/>
      <c r="C13" s="256">
        <f>管理者用地域特徴シート!D3</f>
        <v>468575.00000000006</v>
      </c>
      <c r="D13" s="255"/>
      <c r="E13" s="20" t="s">
        <v>416</v>
      </c>
    </row>
    <row r="23" spans="1:8" ht="22.5" customHeight="1" x14ac:dyDescent="0.15">
      <c r="A23" s="20" t="s">
        <v>285</v>
      </c>
      <c r="G23" s="241">
        <f>管理者用地域特徴シート!J5</f>
        <v>0.17824486403040019</v>
      </c>
      <c r="H23" s="35" t="s">
        <v>286</v>
      </c>
    </row>
    <row r="24" spans="1:8" ht="22.5" customHeight="1" x14ac:dyDescent="0.15">
      <c r="A24" s="34" t="str">
        <f>管理者入力シート!B3</f>
        <v>日向市</v>
      </c>
      <c r="B24" s="20" t="s">
        <v>293</v>
      </c>
      <c r="D24" s="152" t="str">
        <f>IF(管理者用地域特徴シート!J5-管理者用地域特徴シート!J4&gt;0.01,"高く、",IF(管理者用地域特徴シート!J5-管理者用地域特徴シート!J4&lt;-0.01,"低く、","同程度で、"))</f>
        <v>高く、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49">
        <f>管理者用グラフシート!B36</f>
        <v>2020</v>
      </c>
      <c r="B36" s="249"/>
      <c r="C36" s="20" t="s">
        <v>420</v>
      </c>
    </row>
    <row r="37" spans="1:8" ht="22.5" customHeight="1" x14ac:dyDescent="0.15">
      <c r="A37" s="20" t="s">
        <v>287</v>
      </c>
      <c r="F37" s="280">
        <f>管理者用地域特徴シート!P5</f>
        <v>0.31210061872400857</v>
      </c>
      <c r="G37" s="280"/>
      <c r="H37" s="20" t="s">
        <v>286</v>
      </c>
    </row>
    <row r="38" spans="1:8" ht="22.5" customHeight="1" x14ac:dyDescent="0.15">
      <c r="A38" s="34" t="str">
        <f>管理者入力シート!B3</f>
        <v>日向市</v>
      </c>
      <c r="B38" s="20" t="s">
        <v>293</v>
      </c>
      <c r="D38" s="152"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34" t="str">
        <f>管理者入力シート!B3</f>
        <v>日向市</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1">
        <f>管理者用地域特徴シート!W5</f>
        <v>387</v>
      </c>
      <c r="F70" s="281"/>
      <c r="G70" s="20" t="s">
        <v>290</v>
      </c>
    </row>
    <row r="71" spans="1:8" ht="22.5" customHeight="1" x14ac:dyDescent="0.15">
      <c r="A71" s="20" t="s">
        <v>295</v>
      </c>
      <c r="F71" s="280">
        <f>管理者用地域特徴シート!AK5</f>
        <v>0.11188630490956071</v>
      </c>
      <c r="G71" s="280"/>
      <c r="H71" s="20" t="s">
        <v>271</v>
      </c>
    </row>
    <row r="72" spans="1:8" ht="22.5" customHeight="1" x14ac:dyDescent="0.15">
      <c r="A72" s="20" t="s">
        <v>296</v>
      </c>
      <c r="F72" s="280">
        <f>管理者用地域特徴シート!AL5</f>
        <v>0.14134366925064601</v>
      </c>
      <c r="G72" s="280"/>
      <c r="H72" s="20" t="s">
        <v>297</v>
      </c>
    </row>
    <row r="73" spans="1:8" ht="22.5" customHeight="1" x14ac:dyDescent="0.15">
      <c r="A73" s="20" t="s">
        <v>298</v>
      </c>
      <c r="E73" s="280"/>
      <c r="F73" s="280"/>
    </row>
    <row r="74" spans="1:8" ht="22.5" customHeight="1" x14ac:dyDescent="0.15">
      <c r="A74" s="20" t="s">
        <v>339</v>
      </c>
      <c r="C74" s="177">
        <f>管理者用地域特徴シート!AN5</f>
        <v>0.50258397932816534</v>
      </c>
      <c r="D74" s="156" t="s">
        <v>299</v>
      </c>
      <c r="E74" s="177">
        <f>管理者用地域特徴シート!AO5</f>
        <v>0.4974160206718346</v>
      </c>
      <c r="F74" s="20" t="s">
        <v>291</v>
      </c>
    </row>
    <row r="76" spans="1:8" ht="22.5" customHeight="1" x14ac:dyDescent="0.15">
      <c r="A76" s="34" t="str">
        <f>管理者入力シート!B3</f>
        <v>日向市</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女性の転入者割合が低い地域です。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女性の転入者割合が低い地域です。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9">
        <f>管理者入力シート!B5</f>
        <v>2020</v>
      </c>
      <c r="B104" s="249"/>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9">
        <f>管理者入力シート!B5</f>
        <v>2020</v>
      </c>
      <c r="B138" s="249"/>
      <c r="C138" s="20" t="s">
        <v>422</v>
      </c>
    </row>
    <row r="139" spans="1:8" ht="22.5" customHeight="1" x14ac:dyDescent="0.15">
      <c r="A139" s="20" t="s">
        <v>315</v>
      </c>
      <c r="C139" s="280">
        <f>管理者用地域特徴シート!CK5</f>
        <v>0.82659552636979261</v>
      </c>
      <c r="D139" s="280"/>
      <c r="E139" s="20" t="s">
        <v>316</v>
      </c>
      <c r="F139" s="157" t="str">
        <f>管理者入力シート!B3</f>
        <v>日向市</v>
      </c>
      <c r="G139" s="158" t="s">
        <v>317</v>
      </c>
    </row>
    <row r="140" spans="1:8" ht="22.5" customHeight="1" x14ac:dyDescent="0.15">
      <c r="A140" s="20" t="s">
        <v>318</v>
      </c>
    </row>
    <row r="141" spans="1:8" ht="22.5" customHeight="1" x14ac:dyDescent="0.15">
      <c r="C141" s="280">
        <f>管理者用地域特徴シート!CN5</f>
        <v>0.63035714285714284</v>
      </c>
      <c r="D141" s="280"/>
      <c r="E141" s="20" t="s">
        <v>316</v>
      </c>
      <c r="F141" s="157" t="str">
        <f>管理者入力シート!B3</f>
        <v>日向市</v>
      </c>
      <c r="G141" s="158" t="s">
        <v>317</v>
      </c>
    </row>
    <row r="142" spans="1:8" ht="22.5" customHeight="1" x14ac:dyDescent="0.15">
      <c r="A142" s="282" t="s">
        <v>319</v>
      </c>
      <c r="B142" s="282"/>
      <c r="C142" s="282"/>
      <c r="D142" s="282"/>
      <c r="E142" s="282"/>
      <c r="F142" s="282"/>
      <c r="G142" s="282"/>
      <c r="H142" s="282"/>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A138:B138"/>
    <mergeCell ref="C139:D139"/>
    <mergeCell ref="C141:D141"/>
    <mergeCell ref="A142:H142"/>
    <mergeCell ref="A104:B104"/>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455</v>
      </c>
    </row>
    <row r="3" spans="1:3" x14ac:dyDescent="0.15">
      <c r="A3" s="203" t="s">
        <v>292</v>
      </c>
      <c r="B3" s="32" t="str">
        <f>管理者用地域特徴シート!B5</f>
        <v>日向市</v>
      </c>
    </row>
    <row r="4" spans="1:3" x14ac:dyDescent="0.15">
      <c r="A4" s="153" t="s">
        <v>24</v>
      </c>
      <c r="B4" s="154" t="str">
        <f>管理者用地域特徴シート!C5</f>
        <v>細島小学校</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45206_4</v>
      </c>
      <c r="B1" s="24" t="s">
        <v>44</v>
      </c>
      <c r="C1" s="25"/>
      <c r="D1" s="303" t="s">
        <v>0</v>
      </c>
      <c r="E1" s="303" t="s">
        <v>1</v>
      </c>
      <c r="F1" s="303" t="s">
        <v>2</v>
      </c>
      <c r="G1" s="303" t="s">
        <v>3</v>
      </c>
      <c r="H1" s="303" t="s">
        <v>4</v>
      </c>
      <c r="I1" s="303" t="s">
        <v>5</v>
      </c>
      <c r="J1" s="303" t="s">
        <v>6</v>
      </c>
      <c r="K1" s="303" t="s">
        <v>7</v>
      </c>
      <c r="L1" s="303" t="s">
        <v>8</v>
      </c>
      <c r="M1" s="303" t="s">
        <v>9</v>
      </c>
      <c r="N1" s="303" t="s">
        <v>10</v>
      </c>
      <c r="O1" s="303" t="s">
        <v>11</v>
      </c>
      <c r="P1" s="303" t="s">
        <v>12</v>
      </c>
      <c r="Q1" s="303" t="s">
        <v>13</v>
      </c>
      <c r="R1" s="303" t="s">
        <v>14</v>
      </c>
      <c r="S1" s="303" t="s">
        <v>15</v>
      </c>
      <c r="T1" s="303" t="s">
        <v>16</v>
      </c>
      <c r="U1" s="303" t="s">
        <v>17</v>
      </c>
      <c r="V1" s="303" t="s">
        <v>18</v>
      </c>
      <c r="W1" s="303" t="s">
        <v>19</v>
      </c>
      <c r="X1" s="303" t="s">
        <v>20</v>
      </c>
      <c r="Y1" s="303" t="s">
        <v>23</v>
      </c>
      <c r="Z1" s="300" t="s">
        <v>50</v>
      </c>
      <c r="AA1" s="300" t="s">
        <v>51</v>
      </c>
      <c r="AB1" s="301" t="s">
        <v>79</v>
      </c>
      <c r="AC1" s="301" t="s">
        <v>80</v>
      </c>
      <c r="AD1" s="300" t="s">
        <v>48</v>
      </c>
      <c r="AE1" s="300" t="s">
        <v>49</v>
      </c>
      <c r="AF1" s="300" t="s">
        <v>97</v>
      </c>
      <c r="AH1" s="7"/>
      <c r="AI1" s="42" t="s">
        <v>25</v>
      </c>
      <c r="AJ1" s="40" t="s">
        <v>90</v>
      </c>
      <c r="AK1" s="41"/>
      <c r="AL1" s="305" t="s">
        <v>89</v>
      </c>
      <c r="AM1" s="299" t="s">
        <v>27</v>
      </c>
      <c r="AN1" s="299" t="s">
        <v>28</v>
      </c>
      <c r="AO1" s="299" t="s">
        <v>26</v>
      </c>
      <c r="AP1" s="299" t="s">
        <v>29</v>
      </c>
      <c r="AQ1" s="299" t="s">
        <v>30</v>
      </c>
      <c r="AR1" s="299" t="s">
        <v>31</v>
      </c>
      <c r="AS1" s="299" t="s">
        <v>32</v>
      </c>
      <c r="AT1" s="299" t="s">
        <v>33</v>
      </c>
      <c r="AU1" s="299" t="s">
        <v>34</v>
      </c>
      <c r="AV1" s="299" t="s">
        <v>35</v>
      </c>
      <c r="AW1" s="299" t="s">
        <v>36</v>
      </c>
      <c r="AX1" s="299" t="s">
        <v>37</v>
      </c>
      <c r="AY1" s="299" t="s">
        <v>38</v>
      </c>
      <c r="AZ1" s="299" t="s">
        <v>39</v>
      </c>
      <c r="BA1" s="299" t="s">
        <v>40</v>
      </c>
      <c r="BB1" s="299" t="s">
        <v>45</v>
      </c>
      <c r="BC1" s="299" t="s">
        <v>41</v>
      </c>
      <c r="BD1" s="299" t="s">
        <v>42</v>
      </c>
      <c r="BE1" s="299" t="s">
        <v>46</v>
      </c>
      <c r="BF1" s="299" t="s">
        <v>43</v>
      </c>
      <c r="BI1" s="56" t="s">
        <v>44</v>
      </c>
      <c r="BJ1" s="57"/>
      <c r="BK1" s="298" t="s">
        <v>0</v>
      </c>
      <c r="BL1" s="298" t="s">
        <v>1</v>
      </c>
      <c r="BM1" s="298" t="s">
        <v>2</v>
      </c>
      <c r="BN1" s="298" t="s">
        <v>3</v>
      </c>
      <c r="BO1" s="298" t="s">
        <v>4</v>
      </c>
      <c r="BP1" s="298" t="s">
        <v>5</v>
      </c>
      <c r="BQ1" s="298" t="s">
        <v>6</v>
      </c>
      <c r="BR1" s="298" t="s">
        <v>7</v>
      </c>
      <c r="BS1" s="298" t="s">
        <v>8</v>
      </c>
      <c r="BT1" s="298" t="s">
        <v>9</v>
      </c>
      <c r="BU1" s="298" t="s">
        <v>10</v>
      </c>
      <c r="BV1" s="298" t="s">
        <v>11</v>
      </c>
      <c r="BW1" s="298" t="s">
        <v>12</v>
      </c>
      <c r="BX1" s="298" t="s">
        <v>13</v>
      </c>
      <c r="BY1" s="298" t="s">
        <v>14</v>
      </c>
      <c r="BZ1" s="298" t="s">
        <v>15</v>
      </c>
      <c r="CA1" s="298" t="s">
        <v>16</v>
      </c>
      <c r="CB1" s="298" t="s">
        <v>17</v>
      </c>
      <c r="CC1" s="298" t="s">
        <v>18</v>
      </c>
      <c r="CD1" s="298" t="s">
        <v>19</v>
      </c>
      <c r="CE1" s="298" t="s">
        <v>20</v>
      </c>
      <c r="CF1" s="298" t="s">
        <v>23</v>
      </c>
      <c r="CG1" s="295" t="s">
        <v>50</v>
      </c>
      <c r="CH1" s="295" t="s">
        <v>51</v>
      </c>
      <c r="CI1" s="296" t="s">
        <v>79</v>
      </c>
      <c r="CJ1" s="296" t="s">
        <v>80</v>
      </c>
      <c r="CK1" s="295" t="s">
        <v>48</v>
      </c>
      <c r="CL1" s="295" t="s">
        <v>49</v>
      </c>
      <c r="CM1" s="295" t="s">
        <v>97</v>
      </c>
      <c r="CP1" s="74" t="s">
        <v>44</v>
      </c>
      <c r="CQ1" s="75"/>
      <c r="CR1" s="294" t="s">
        <v>0</v>
      </c>
      <c r="CS1" s="294" t="s">
        <v>1</v>
      </c>
      <c r="CT1" s="294" t="s">
        <v>2</v>
      </c>
      <c r="CU1" s="294" t="s">
        <v>3</v>
      </c>
      <c r="CV1" s="294" t="s">
        <v>4</v>
      </c>
      <c r="CW1" s="294" t="s">
        <v>5</v>
      </c>
      <c r="CX1" s="294" t="s">
        <v>6</v>
      </c>
      <c r="CY1" s="294" t="s">
        <v>7</v>
      </c>
      <c r="CZ1" s="294" t="s">
        <v>8</v>
      </c>
      <c r="DA1" s="294" t="s">
        <v>9</v>
      </c>
      <c r="DB1" s="294" t="s">
        <v>10</v>
      </c>
      <c r="DC1" s="294" t="s">
        <v>11</v>
      </c>
      <c r="DD1" s="294" t="s">
        <v>12</v>
      </c>
      <c r="DE1" s="294" t="s">
        <v>13</v>
      </c>
      <c r="DF1" s="294" t="s">
        <v>14</v>
      </c>
      <c r="DG1" s="294" t="s">
        <v>15</v>
      </c>
      <c r="DH1" s="294" t="s">
        <v>16</v>
      </c>
      <c r="DI1" s="294" t="s">
        <v>17</v>
      </c>
      <c r="DJ1" s="294" t="s">
        <v>18</v>
      </c>
      <c r="DK1" s="294" t="s">
        <v>19</v>
      </c>
      <c r="DL1" s="294" t="s">
        <v>20</v>
      </c>
      <c r="DM1" s="294" t="s">
        <v>23</v>
      </c>
      <c r="DN1" s="291" t="s">
        <v>50</v>
      </c>
      <c r="DO1" s="291" t="s">
        <v>51</v>
      </c>
      <c r="DP1" s="292" t="s">
        <v>79</v>
      </c>
      <c r="DQ1" s="292" t="s">
        <v>80</v>
      </c>
      <c r="DR1" s="291" t="s">
        <v>48</v>
      </c>
      <c r="DS1" s="291" t="s">
        <v>49</v>
      </c>
      <c r="DT1" s="291" t="s">
        <v>97</v>
      </c>
      <c r="DV1" s="311" t="s">
        <v>457</v>
      </c>
      <c r="DW1" s="312"/>
      <c r="DX1" s="307">
        <f>DW17</f>
        <v>23</v>
      </c>
      <c r="DY1" s="308"/>
      <c r="DZ1" s="304" t="s">
        <v>0</v>
      </c>
      <c r="EA1" s="304" t="s">
        <v>1</v>
      </c>
      <c r="EB1" s="304" t="s">
        <v>2</v>
      </c>
      <c r="EC1" s="304" t="s">
        <v>3</v>
      </c>
      <c r="ED1" s="304" t="s">
        <v>4</v>
      </c>
      <c r="EE1" s="304" t="s">
        <v>5</v>
      </c>
      <c r="EF1" s="304" t="s">
        <v>6</v>
      </c>
      <c r="EG1" s="304" t="s">
        <v>7</v>
      </c>
      <c r="EH1" s="304" t="s">
        <v>8</v>
      </c>
      <c r="EI1" s="304" t="s">
        <v>9</v>
      </c>
      <c r="EJ1" s="304" t="s">
        <v>10</v>
      </c>
      <c r="EK1" s="304" t="s">
        <v>11</v>
      </c>
      <c r="EL1" s="304" t="s">
        <v>12</v>
      </c>
      <c r="EM1" s="304" t="s">
        <v>13</v>
      </c>
      <c r="EN1" s="304" t="s">
        <v>14</v>
      </c>
      <c r="EO1" s="304" t="s">
        <v>15</v>
      </c>
      <c r="EP1" s="304" t="s">
        <v>16</v>
      </c>
      <c r="EQ1" s="304" t="s">
        <v>17</v>
      </c>
      <c r="ER1" s="304" t="s">
        <v>18</v>
      </c>
      <c r="ES1" s="304" t="s">
        <v>19</v>
      </c>
      <c r="ET1" s="304" t="s">
        <v>20</v>
      </c>
      <c r="EU1" s="304" t="s">
        <v>23</v>
      </c>
      <c r="EV1" s="306" t="s">
        <v>50</v>
      </c>
      <c r="EW1" s="306" t="s">
        <v>51</v>
      </c>
      <c r="EX1" s="313" t="s">
        <v>79</v>
      </c>
      <c r="EY1" s="313" t="s">
        <v>80</v>
      </c>
      <c r="EZ1" s="306" t="s">
        <v>48</v>
      </c>
      <c r="FA1" s="306" t="s">
        <v>49</v>
      </c>
      <c r="FB1" s="306" t="s">
        <v>97</v>
      </c>
    </row>
    <row r="2" spans="1:158" x14ac:dyDescent="0.15">
      <c r="A2" s="7" t="s">
        <v>56</v>
      </c>
      <c r="B2" s="26"/>
      <c r="C2" s="27"/>
      <c r="D2" s="303"/>
      <c r="E2" s="303"/>
      <c r="F2" s="303"/>
      <c r="G2" s="303"/>
      <c r="H2" s="303"/>
      <c r="I2" s="303"/>
      <c r="J2" s="303"/>
      <c r="K2" s="303"/>
      <c r="L2" s="303"/>
      <c r="M2" s="303"/>
      <c r="N2" s="303"/>
      <c r="O2" s="303"/>
      <c r="P2" s="303"/>
      <c r="Q2" s="303"/>
      <c r="R2" s="303"/>
      <c r="S2" s="303"/>
      <c r="T2" s="303"/>
      <c r="U2" s="303"/>
      <c r="V2" s="303"/>
      <c r="W2" s="303"/>
      <c r="X2" s="303"/>
      <c r="Y2" s="303"/>
      <c r="Z2" s="300"/>
      <c r="AA2" s="300"/>
      <c r="AB2" s="302"/>
      <c r="AC2" s="302"/>
      <c r="AD2" s="300"/>
      <c r="AE2" s="300"/>
      <c r="AF2" s="300"/>
      <c r="AI2" s="43"/>
      <c r="AJ2" s="44"/>
      <c r="AK2" s="45"/>
      <c r="AL2" s="305"/>
      <c r="AM2" s="299"/>
      <c r="AN2" s="299"/>
      <c r="AO2" s="299"/>
      <c r="AP2" s="299"/>
      <c r="AQ2" s="299"/>
      <c r="AR2" s="299"/>
      <c r="AS2" s="299"/>
      <c r="AT2" s="299"/>
      <c r="AU2" s="299"/>
      <c r="AV2" s="299"/>
      <c r="AW2" s="299"/>
      <c r="AX2" s="299"/>
      <c r="AY2" s="299"/>
      <c r="AZ2" s="299"/>
      <c r="BA2" s="299"/>
      <c r="BB2" s="299"/>
      <c r="BC2" s="299"/>
      <c r="BD2" s="299"/>
      <c r="BE2" s="299"/>
      <c r="BF2" s="299"/>
      <c r="BH2" s="7" t="s">
        <v>56</v>
      </c>
      <c r="BI2" s="58" t="s">
        <v>116</v>
      </c>
      <c r="BJ2" s="59"/>
      <c r="BK2" s="298"/>
      <c r="BL2" s="298"/>
      <c r="BM2" s="298"/>
      <c r="BN2" s="298"/>
      <c r="BO2" s="298"/>
      <c r="BP2" s="298"/>
      <c r="BQ2" s="298"/>
      <c r="BR2" s="298"/>
      <c r="BS2" s="298"/>
      <c r="BT2" s="298"/>
      <c r="BU2" s="298"/>
      <c r="BV2" s="298"/>
      <c r="BW2" s="298"/>
      <c r="BX2" s="298"/>
      <c r="BY2" s="298"/>
      <c r="BZ2" s="298"/>
      <c r="CA2" s="298"/>
      <c r="CB2" s="298"/>
      <c r="CC2" s="298"/>
      <c r="CD2" s="298"/>
      <c r="CE2" s="298"/>
      <c r="CF2" s="298"/>
      <c r="CG2" s="295"/>
      <c r="CH2" s="295"/>
      <c r="CI2" s="297"/>
      <c r="CJ2" s="297"/>
      <c r="CK2" s="295"/>
      <c r="CL2" s="295"/>
      <c r="CM2" s="295"/>
      <c r="CO2" s="7" t="s">
        <v>56</v>
      </c>
      <c r="CP2" s="76" t="s">
        <v>117</v>
      </c>
      <c r="CQ2" s="77"/>
      <c r="CR2" s="294"/>
      <c r="CS2" s="294"/>
      <c r="CT2" s="294"/>
      <c r="CU2" s="294"/>
      <c r="CV2" s="294"/>
      <c r="CW2" s="294"/>
      <c r="CX2" s="294"/>
      <c r="CY2" s="294"/>
      <c r="CZ2" s="294"/>
      <c r="DA2" s="294"/>
      <c r="DB2" s="294"/>
      <c r="DC2" s="294"/>
      <c r="DD2" s="294"/>
      <c r="DE2" s="294"/>
      <c r="DF2" s="294"/>
      <c r="DG2" s="294"/>
      <c r="DH2" s="294"/>
      <c r="DI2" s="294"/>
      <c r="DJ2" s="294"/>
      <c r="DK2" s="294"/>
      <c r="DL2" s="294"/>
      <c r="DM2" s="294"/>
      <c r="DN2" s="291"/>
      <c r="DO2" s="291"/>
      <c r="DP2" s="293"/>
      <c r="DQ2" s="293"/>
      <c r="DR2" s="291"/>
      <c r="DS2" s="291"/>
      <c r="DT2" s="291"/>
      <c r="DV2" s="311"/>
      <c r="DW2" s="312"/>
      <c r="DX2" s="309"/>
      <c r="DY2" s="310"/>
      <c r="DZ2" s="304"/>
      <c r="EA2" s="304"/>
      <c r="EB2" s="304"/>
      <c r="EC2" s="304"/>
      <c r="ED2" s="304"/>
      <c r="EE2" s="304"/>
      <c r="EF2" s="304"/>
      <c r="EG2" s="304"/>
      <c r="EH2" s="304"/>
      <c r="EI2" s="304"/>
      <c r="EJ2" s="304"/>
      <c r="EK2" s="304"/>
      <c r="EL2" s="304"/>
      <c r="EM2" s="304"/>
      <c r="EN2" s="304"/>
      <c r="EO2" s="304"/>
      <c r="EP2" s="304"/>
      <c r="EQ2" s="304"/>
      <c r="ER2" s="304"/>
      <c r="ES2" s="304"/>
      <c r="ET2" s="304"/>
      <c r="EU2" s="304"/>
      <c r="EV2" s="306"/>
      <c r="EW2" s="306"/>
      <c r="EX2" s="314"/>
      <c r="EY2" s="314"/>
      <c r="EZ2" s="306"/>
      <c r="FA2" s="306"/>
      <c r="FB2" s="306"/>
    </row>
    <row r="3" spans="1:158" x14ac:dyDescent="0.15">
      <c r="A3" s="7" t="str">
        <f>B3&amp;"_"&amp;IF(C3="男性",1,IF(C3="女性",2,IF(C3="合計",3)))</f>
        <v>2005_1</v>
      </c>
      <c r="B3" s="28">
        <v>2005</v>
      </c>
      <c r="C3" s="3" t="s">
        <v>21</v>
      </c>
      <c r="D3" s="184">
        <v>51.120141342756185</v>
      </c>
      <c r="E3" s="9">
        <v>47.713074204946999</v>
      </c>
      <c r="F3" s="9">
        <v>66.469611307420493</v>
      </c>
      <c r="G3" s="9">
        <v>56.013074204946996</v>
      </c>
      <c r="H3" s="9">
        <v>45.649469964664313</v>
      </c>
      <c r="I3" s="9">
        <v>64.134275618374559</v>
      </c>
      <c r="J3" s="9">
        <v>59.434275618374556</v>
      </c>
      <c r="K3" s="9">
        <v>62.655477031802121</v>
      </c>
      <c r="L3" s="9">
        <v>61.391872791519432</v>
      </c>
      <c r="M3" s="9">
        <v>77.813074204947</v>
      </c>
      <c r="N3" s="9">
        <v>78.569611307420502</v>
      </c>
      <c r="O3" s="9">
        <v>81.691872791519444</v>
      </c>
      <c r="P3" s="9">
        <v>67.791872791519438</v>
      </c>
      <c r="Q3" s="9">
        <v>58.241342756183748</v>
      </c>
      <c r="R3" s="9">
        <v>86.613074204946997</v>
      </c>
      <c r="S3" s="9">
        <v>74.906007067137807</v>
      </c>
      <c r="T3" s="9">
        <v>34.142402826855125</v>
      </c>
      <c r="U3" s="9">
        <v>13.128268551236749</v>
      </c>
      <c r="V3" s="9">
        <v>5.1141342756183743</v>
      </c>
      <c r="W3" s="9">
        <v>1.0070671378091873</v>
      </c>
      <c r="X3" s="9">
        <v>0</v>
      </c>
      <c r="Y3" s="9">
        <f>SUM(D3:X3)</f>
        <v>1093.6000000000001</v>
      </c>
      <c r="Z3" s="9">
        <f>E3*3/5+F3*3/5</f>
        <v>68.509611307420499</v>
      </c>
      <c r="AA3" s="9">
        <f>F3*2/5+G3*1/5</f>
        <v>37.790459363957595</v>
      </c>
      <c r="AB3" s="9">
        <f t="shared" ref="AB3:AB20" si="0">SUM(Q3:X3)</f>
        <v>273.15229681978798</v>
      </c>
      <c r="AC3" s="9">
        <f>SUM(S3:X3)</f>
        <v>128.29787985865721</v>
      </c>
      <c r="AD3" s="13">
        <f>AB3/Y3</f>
        <v>0.24977349745774319</v>
      </c>
      <c r="AE3" s="13">
        <f>AC3/Y3</f>
        <v>0.11731700791757242</v>
      </c>
      <c r="AF3" s="9">
        <f>SUM(H3:K3)</f>
        <v>231.87349823321554</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1.0125660742280349</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0.81221082488828278</v>
      </c>
      <c r="AO3" s="6">
        <f t="shared" si="1"/>
        <v>0.78745548809743571</v>
      </c>
      <c r="AP3" s="6">
        <f t="shared" si="1"/>
        <v>1.2409097097664759</v>
      </c>
      <c r="AQ3" s="6">
        <f t="shared" si="1"/>
        <v>0.77330848776408123</v>
      </c>
      <c r="AR3" s="6">
        <f t="shared" si="1"/>
        <v>0.77975821414645219</v>
      </c>
      <c r="AS3" s="6">
        <f t="shared" si="1"/>
        <v>0.92550730185937702</v>
      </c>
      <c r="AT3" s="6">
        <f t="shared" si="1"/>
        <v>0.9875050867293298</v>
      </c>
      <c r="AU3" s="6">
        <f t="shared" si="1"/>
        <v>1.0338743889915545</v>
      </c>
      <c r="AV3" s="6">
        <f t="shared" si="1"/>
        <v>0.96264280907602273</v>
      </c>
      <c r="AW3" s="6">
        <f t="shared" si="1"/>
        <v>1.0600008802408589</v>
      </c>
      <c r="AX3" s="6">
        <f t="shared" si="1"/>
        <v>1.0325574402827322</v>
      </c>
      <c r="AY3" s="6">
        <f t="shared" si="1"/>
        <v>0.9071557169314981</v>
      </c>
      <c r="AZ3" s="6">
        <f t="shared" si="1"/>
        <v>0.98484134716657601</v>
      </c>
      <c r="BA3" s="6">
        <f t="shared" si="1"/>
        <v>0.83142849944784125</v>
      </c>
      <c r="BB3" s="6">
        <f t="shared" si="1"/>
        <v>0.79763645846593889</v>
      </c>
      <c r="BC3" s="6">
        <f t="shared" si="1"/>
        <v>0.62721853301920882</v>
      </c>
      <c r="BD3" s="6">
        <f t="shared" si="1"/>
        <v>0.34606738818371102</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0.2407639113972872</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0.49513958125623131</v>
      </c>
      <c r="BH3" s="7" t="str">
        <f>BI3&amp;"_"&amp;IF(BJ3="男性",1,IF(BJ3="女性",2,IF(BJ3="合計",3)))</f>
        <v>2025_1</v>
      </c>
      <c r="BI3" s="28">
        <f>管理者入力シート!B8</f>
        <v>2025</v>
      </c>
      <c r="BJ3" s="3" t="s">
        <v>21</v>
      </c>
      <c r="BK3" s="9">
        <f>CM4*AK$13</f>
        <v>25.546982038563485</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31.985979083821213</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35.125551259220828</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32.207758864406628</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41.192089993723194</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41.755145923227921</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46.888733087285672</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30.624864786483212</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45.324136982300956</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59.919525210798483</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53.846374971002078</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63.938226889071032</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68.367198613945902</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68.632118043071159</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67.307575891905174</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65.129745111437288</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34.596374252102265</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29.67415783959812</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10.028656656836365</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2.6618213482906872</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2.2251732095642157E-2</v>
      </c>
      <c r="CF3" s="9">
        <f t="shared" ref="CF3:CF14" si="2">SUM(BK3:CE3)</f>
        <v>854.77526857918735</v>
      </c>
      <c r="CG3" s="9">
        <f>BL3*3/5+BM3*3/5</f>
        <v>40.266918205825228</v>
      </c>
      <c r="CH3" s="9">
        <f>BM3*2/5+BN3*1/5</f>
        <v>20.491772276569655</v>
      </c>
      <c r="CI3" s="9">
        <f t="shared" ref="CI3:CI14" si="3">SUM(BX3:CE3)</f>
        <v>278.05270087533665</v>
      </c>
      <c r="CJ3" s="9">
        <f>SUM(BZ3:CE3)</f>
        <v>142.11300694036038</v>
      </c>
      <c r="CK3" s="13">
        <f>CI3/CF3</f>
        <v>0.32529333860760568</v>
      </c>
      <c r="CL3" s="13">
        <f>CJ3/CF3</f>
        <v>0.16625774301657262</v>
      </c>
      <c r="CM3" s="9">
        <f>SUM(BO3:BR3)</f>
        <v>160.46083379072002</v>
      </c>
      <c r="CO3" s="7" t="str">
        <f>CP3&amp;"_"&amp;IF(CQ3="男性",1,IF(CQ3="女性",2,IF(CQ3="合計",3)))</f>
        <v>2025_1</v>
      </c>
      <c r="CP3" s="28">
        <f>管理者入力シート!B8</f>
        <v>2025</v>
      </c>
      <c r="CQ3" s="3" t="s">
        <v>21</v>
      </c>
      <c r="CR3" s="9">
        <f>BK3+将来予測シート②!$G17</f>
        <v>26.546982038563485</v>
      </c>
      <c r="CS3" s="9">
        <f>BL3+将来予測シート②!$G18</f>
        <v>31.985979083821213</v>
      </c>
      <c r="CT3" s="9">
        <f>BM3+将来予測シート②!$G19</f>
        <v>36.125551259220828</v>
      </c>
      <c r="CU3" s="9">
        <f>BN3+将来予測シート②!$G20</f>
        <v>32.207758864406628</v>
      </c>
      <c r="CV3" s="9">
        <f>BO3+将来予測シート②!$G21</f>
        <v>41.192089993723194</v>
      </c>
      <c r="CW3" s="9">
        <f>BP3+将来予測シート②!$G22</f>
        <v>43.755145923227921</v>
      </c>
      <c r="CX3" s="9">
        <f>BQ3+将来予測シート②!$G23</f>
        <v>46.888733087285672</v>
      </c>
      <c r="CY3" s="9">
        <f>BR3+将来予測シート②!$G24</f>
        <v>30.624864786483212</v>
      </c>
      <c r="CZ3" s="9">
        <f>BS3+将来予測シート②!$G25</f>
        <v>45.324136982300956</v>
      </c>
      <c r="DA3" s="9">
        <f>BT3+将来予測シート②!$G26</f>
        <v>59.919525210798483</v>
      </c>
      <c r="DB3" s="9">
        <f>BU3+将来予測シート②!$G27</f>
        <v>53.846374971002078</v>
      </c>
      <c r="DC3" s="9">
        <f>BV3+将来予測シート②!$G28</f>
        <v>63.938226889071032</v>
      </c>
      <c r="DD3" s="9">
        <f>BW3+将来予測シート②!$G29</f>
        <v>68.367198613945902</v>
      </c>
      <c r="DE3" s="9">
        <f>BX3</f>
        <v>68.632118043071159</v>
      </c>
      <c r="DF3" s="9">
        <f t="shared" ref="DF3:DL3" si="4">BY3</f>
        <v>67.307575891905174</v>
      </c>
      <c r="DG3" s="9">
        <f t="shared" si="4"/>
        <v>65.129745111437288</v>
      </c>
      <c r="DH3" s="9">
        <f t="shared" si="4"/>
        <v>34.596374252102265</v>
      </c>
      <c r="DI3" s="9">
        <f t="shared" si="4"/>
        <v>29.67415783959812</v>
      </c>
      <c r="DJ3" s="9">
        <f t="shared" si="4"/>
        <v>10.028656656836365</v>
      </c>
      <c r="DK3" s="9">
        <f t="shared" si="4"/>
        <v>2.6618213482906872</v>
      </c>
      <c r="DL3" s="9">
        <f t="shared" si="4"/>
        <v>2.2251732095642157E-2</v>
      </c>
      <c r="DM3" s="9">
        <f t="shared" ref="DM3:DM4" si="5">SUM(CR3:DL3)</f>
        <v>858.77526857918735</v>
      </c>
      <c r="DN3" s="9">
        <f>CS3*3/5+CT3*3/5</f>
        <v>40.866918205825229</v>
      </c>
      <c r="DO3" s="9">
        <f>CT3*2/5+CU3*1/5</f>
        <v>20.891772276569657</v>
      </c>
      <c r="DP3" s="9">
        <f t="shared" ref="DP3:DP14" si="6">SUM(DE3:DL3)</f>
        <v>278.05270087533665</v>
      </c>
      <c r="DQ3" s="9">
        <f>SUM(DG3:DL3)</f>
        <v>142.11300694036038</v>
      </c>
      <c r="DR3" s="13">
        <f>DP3/DM3</f>
        <v>0.32377818860033636</v>
      </c>
      <c r="DS3" s="13">
        <f>DQ3/DM3</f>
        <v>0.16548334836828874</v>
      </c>
      <c r="DT3" s="9">
        <f>SUM(CV3:CY3)</f>
        <v>162.46083379072002</v>
      </c>
      <c r="DV3" s="311"/>
      <c r="DW3" s="312"/>
      <c r="DX3" s="28">
        <f>管理者入力シート!B8</f>
        <v>2025</v>
      </c>
      <c r="DY3" s="3" t="s">
        <v>21</v>
      </c>
      <c r="DZ3" s="9">
        <f>BK$3</f>
        <v>25.546982038563485</v>
      </c>
      <c r="EA3" s="9">
        <f>BL$3</f>
        <v>31.985979083821213</v>
      </c>
      <c r="EB3" s="9">
        <f t="shared" ref="EB3:ED3" si="7">BM$3</f>
        <v>35.125551259220828</v>
      </c>
      <c r="EC3" s="9">
        <f t="shared" si="7"/>
        <v>32.207758864406628</v>
      </c>
      <c r="ED3" s="9">
        <f t="shared" si="7"/>
        <v>41.192089993723194</v>
      </c>
      <c r="EE3" s="9">
        <f>BP$3+DX1</f>
        <v>64.755145923227929</v>
      </c>
      <c r="EF3" s="9">
        <f>BQ$3+DX1</f>
        <v>69.888733087285672</v>
      </c>
      <c r="EG3" s="9">
        <f>BR$3+DX1</f>
        <v>53.624864786483215</v>
      </c>
      <c r="EH3" s="9">
        <f t="shared" ref="EH3:ET3" si="8">BS$3</f>
        <v>45.324136982300956</v>
      </c>
      <c r="EI3" s="9">
        <f t="shared" si="8"/>
        <v>59.919525210798483</v>
      </c>
      <c r="EJ3" s="9">
        <f t="shared" si="8"/>
        <v>53.846374971002078</v>
      </c>
      <c r="EK3" s="9">
        <f t="shared" si="8"/>
        <v>63.938226889071032</v>
      </c>
      <c r="EL3" s="9">
        <f t="shared" si="8"/>
        <v>68.367198613945902</v>
      </c>
      <c r="EM3" s="9">
        <f t="shared" si="8"/>
        <v>68.632118043071159</v>
      </c>
      <c r="EN3" s="9">
        <f t="shared" si="8"/>
        <v>67.307575891905174</v>
      </c>
      <c r="EO3" s="9">
        <f t="shared" si="8"/>
        <v>65.129745111437288</v>
      </c>
      <c r="EP3" s="9">
        <f t="shared" si="8"/>
        <v>34.596374252102265</v>
      </c>
      <c r="EQ3" s="9">
        <f t="shared" si="8"/>
        <v>29.67415783959812</v>
      </c>
      <c r="ER3" s="9">
        <f t="shared" si="8"/>
        <v>10.028656656836365</v>
      </c>
      <c r="ES3" s="9">
        <f t="shared" si="8"/>
        <v>2.6618213482906872</v>
      </c>
      <c r="ET3" s="9">
        <f t="shared" si="8"/>
        <v>2.2251732095642157E-2</v>
      </c>
      <c r="EU3" s="9">
        <f t="shared" ref="EU3:EU4" si="9">SUM(DZ3:ET3)</f>
        <v>923.77526857918735</v>
      </c>
      <c r="EV3" s="9">
        <f>EA3*3/5+EB3*3/5</f>
        <v>40.266918205825228</v>
      </c>
      <c r="EW3" s="9">
        <f>EB3*2/5+EC3*1/5</f>
        <v>20.491772276569655</v>
      </c>
      <c r="EX3" s="9">
        <f t="shared" ref="EX3:EX14" si="10">SUM(EM3:ET3)</f>
        <v>278.05270087533665</v>
      </c>
      <c r="EY3" s="9">
        <f>SUM(EO3:ET3)</f>
        <v>142.11300694036038</v>
      </c>
      <c r="EZ3" s="13">
        <f>EX3/EU3</f>
        <v>0.3009960434457134</v>
      </c>
      <c r="FA3" s="13">
        <f>EY3/EU3</f>
        <v>0.15383937173262638</v>
      </c>
      <c r="FB3" s="9">
        <f>SUM(ED3:EG3)</f>
        <v>229.46083379072002</v>
      </c>
    </row>
    <row r="4" spans="1:158" x14ac:dyDescent="0.15">
      <c r="A4" s="7" t="str">
        <f t="shared" ref="A4:A14" si="11">B4&amp;"_"&amp;IF(C4="男性",1,IF(C4="女性",2,IF(C4="合計",3)))</f>
        <v>2005_2</v>
      </c>
      <c r="B4" s="29">
        <v>2005</v>
      </c>
      <c r="C4" s="4" t="s">
        <v>22</v>
      </c>
      <c r="D4" s="10">
        <v>35.799999999999997</v>
      </c>
      <c r="E4" s="10">
        <v>49.8</v>
      </c>
      <c r="F4" s="10">
        <v>56.9</v>
      </c>
      <c r="G4" s="10">
        <v>57.9</v>
      </c>
      <c r="H4" s="10">
        <v>51</v>
      </c>
      <c r="I4" s="10">
        <v>66.400000000000006</v>
      </c>
      <c r="J4" s="10">
        <v>52.6</v>
      </c>
      <c r="K4" s="10">
        <v>61.2</v>
      </c>
      <c r="L4" s="10">
        <v>70.400000000000006</v>
      </c>
      <c r="M4" s="10">
        <v>67.2</v>
      </c>
      <c r="N4" s="10">
        <v>90.8</v>
      </c>
      <c r="O4" s="10">
        <v>82.3</v>
      </c>
      <c r="P4" s="10">
        <v>84.1</v>
      </c>
      <c r="Q4" s="10">
        <v>87.4</v>
      </c>
      <c r="R4" s="10">
        <v>104.8</v>
      </c>
      <c r="S4" s="10">
        <v>104.1</v>
      </c>
      <c r="T4" s="10">
        <v>59.3</v>
      </c>
      <c r="U4" s="10">
        <v>29</v>
      </c>
      <c r="V4" s="10">
        <v>12.2</v>
      </c>
      <c r="W4" s="10">
        <v>1</v>
      </c>
      <c r="X4" s="10">
        <v>0</v>
      </c>
      <c r="Y4" s="10">
        <f>SUM(D4:X4)</f>
        <v>1224.1999999999998</v>
      </c>
      <c r="Z4" s="10">
        <f t="shared" ref="Z4:Z11" si="12">E4*3/5+F4*3/5</f>
        <v>64.02</v>
      </c>
      <c r="AA4" s="10">
        <f t="shared" ref="AA4:AA11" si="13">F4*2/5+G4*1/5</f>
        <v>34.339999999999996</v>
      </c>
      <c r="AB4" s="10">
        <f t="shared" si="0"/>
        <v>397.79999999999995</v>
      </c>
      <c r="AC4" s="10">
        <f t="shared" ref="AC4:AC11" si="14">SUM(S4:X4)</f>
        <v>205.59999999999997</v>
      </c>
      <c r="AD4" s="14">
        <f t="shared" ref="AD4:AD11" si="15">AB4/Y4</f>
        <v>0.32494690410063715</v>
      </c>
      <c r="AE4" s="14">
        <f t="shared" ref="AE4:AE11" si="16">AC4/Y4</f>
        <v>0.16794641398464302</v>
      </c>
      <c r="AF4" s="10">
        <f t="shared" ref="AF4:AF20" si="17">SUM(H4:K4)</f>
        <v>231.2</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0.77217778449611263</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0.91567120816173131</v>
      </c>
      <c r="AO4" s="193">
        <f t="shared" si="18"/>
        <v>0.67639865222629225</v>
      </c>
      <c r="AP4" s="193">
        <f t="shared" si="18"/>
        <v>0.83907170024754396</v>
      </c>
      <c r="AQ4" s="193">
        <f t="shared" si="18"/>
        <v>0.77286299582335194</v>
      </c>
      <c r="AR4" s="193">
        <f t="shared" si="18"/>
        <v>0.88171367666656186</v>
      </c>
      <c r="AS4" s="193">
        <f t="shared" si="18"/>
        <v>0.93614530993350242</v>
      </c>
      <c r="AT4" s="193">
        <f t="shared" si="18"/>
        <v>0.93908636783585608</v>
      </c>
      <c r="AU4" s="193">
        <f t="shared" si="18"/>
        <v>0.79541189006290014</v>
      </c>
      <c r="AV4" s="193">
        <f t="shared" si="18"/>
        <v>1.098931588775903</v>
      </c>
      <c r="AW4" s="193">
        <f t="shared" si="18"/>
        <v>0.88044313623463877</v>
      </c>
      <c r="AX4" s="193">
        <f t="shared" si="18"/>
        <v>0.98194082691858531</v>
      </c>
      <c r="AY4" s="193">
        <f t="shared" si="18"/>
        <v>1.0610135725173253</v>
      </c>
      <c r="AZ4" s="193">
        <f t="shared" si="18"/>
        <v>0.97555632035206086</v>
      </c>
      <c r="BA4" s="193">
        <f t="shared" si="18"/>
        <v>0.93994050005506258</v>
      </c>
      <c r="BB4" s="193">
        <f t="shared" si="18"/>
        <v>0.87668160059003519</v>
      </c>
      <c r="BC4" s="193">
        <f t="shared" si="18"/>
        <v>0.7296122282149814</v>
      </c>
      <c r="BD4" s="193">
        <f t="shared" si="18"/>
        <v>0.57278488630300883</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0.3975347740417855</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0.43896366023940175</v>
      </c>
      <c r="BH4" s="7" t="str">
        <f t="shared" ref="BH4:BH20" si="19">BI4&amp;"_"&amp;IF(BJ4="男性",1,IF(BJ4="女性",2,IF(BJ4="合計",3)))</f>
        <v>2025_2</v>
      </c>
      <c r="BI4" s="29">
        <f>BI3</f>
        <v>2025</v>
      </c>
      <c r="BJ4" s="4" t="s">
        <v>22</v>
      </c>
      <c r="BK4" s="10">
        <f>CM4*AK$14</f>
        <v>24.222879196229385</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26.288059681643027</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31.416266930661667</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27.729800537577582</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22.314322407221411</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26.747746717372682</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38.178748185905313</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39.379498998384527</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46.854292807989516</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52.376991798489726</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48.96294972115659</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65.440006072442628</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65.157233323333614</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71.763789681479096</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91.58473244073987</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72.915075984150349</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63.41819600570615</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53.329208468284399</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34.903255523272293</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15.629343272793593</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3.9211579009466271</v>
      </c>
      <c r="CF4" s="10">
        <f t="shared" si="2"/>
        <v>922.53355565577988</v>
      </c>
      <c r="CG4" s="10">
        <f t="shared" ref="CG4:CG14" si="20">BL4*3/5+BM4*3/5</f>
        <v>34.622595967382814</v>
      </c>
      <c r="CH4" s="10">
        <f t="shared" ref="CH4:CH14" si="21">BM4*2/5+BN4*1/5</f>
        <v>18.112466879780182</v>
      </c>
      <c r="CI4" s="10">
        <f t="shared" si="3"/>
        <v>407.46475927737242</v>
      </c>
      <c r="CJ4" s="10">
        <f t="shared" ref="CJ4:CJ14" si="22">SUM(BZ4:CE4)</f>
        <v>244.11623715515341</v>
      </c>
      <c r="CK4" s="14">
        <f t="shared" ref="CK4:CK14" si="23">CI4/CF4</f>
        <v>0.44168015003825795</v>
      </c>
      <c r="CL4" s="14">
        <f t="shared" ref="CL4:CL14" si="24">CJ4/CF4</f>
        <v>0.26461502203204329</v>
      </c>
      <c r="CM4" s="10">
        <f t="shared" ref="CM4:CM14" si="25">SUM(BO4:BR4)</f>
        <v>126.62031630888393</v>
      </c>
      <c r="CO4" s="7" t="str">
        <f t="shared" ref="CO4:CO20" si="26">CP4&amp;"_"&amp;IF(CQ4="男性",1,IF(CQ4="女性",2,IF(CQ4="合計",3)))</f>
        <v>2025_2</v>
      </c>
      <c r="CP4" s="29">
        <f>CP3</f>
        <v>2025</v>
      </c>
      <c r="CQ4" s="4" t="s">
        <v>22</v>
      </c>
      <c r="CR4" s="10">
        <f>BK4+将来予測シート②!$H17</f>
        <v>25.222879196229385</v>
      </c>
      <c r="CS4" s="10">
        <f>BL4+将来予測シート②!$H18</f>
        <v>26.288059681643027</v>
      </c>
      <c r="CT4" s="10">
        <f>BM4+将来予測シート②!$H19</f>
        <v>32.416266930661664</v>
      </c>
      <c r="CU4" s="10">
        <f>BN4+将来予測シート②!$H20</f>
        <v>27.729800537577582</v>
      </c>
      <c r="CV4" s="10">
        <f>BO4+将来予測シート②!$H21</f>
        <v>22.314322407221411</v>
      </c>
      <c r="CW4" s="10">
        <f>BP4+将来予測シート②!$H22</f>
        <v>28.747746717372682</v>
      </c>
      <c r="CX4" s="10">
        <f>BQ4+将来予測シート②!$H23</f>
        <v>38.178748185905313</v>
      </c>
      <c r="CY4" s="10">
        <f>BR4+将来予測シート②!$H24</f>
        <v>39.379498998384527</v>
      </c>
      <c r="CZ4" s="10">
        <f>BS4+将来予測シート②!$H25</f>
        <v>47.854292807989516</v>
      </c>
      <c r="DA4" s="10">
        <f>BT4+将来予測シート②!$H26</f>
        <v>52.376991798489726</v>
      </c>
      <c r="DB4" s="10">
        <f>BU4+将来予測シート②!$H27</f>
        <v>48.96294972115659</v>
      </c>
      <c r="DC4" s="10">
        <f>BV4+将来予測シート②!$H28</f>
        <v>65.440006072442628</v>
      </c>
      <c r="DD4" s="10">
        <f>BW4+将来予測シート②!$H29</f>
        <v>65.157233323333614</v>
      </c>
      <c r="DE4" s="10">
        <f>BX4</f>
        <v>71.763789681479096</v>
      </c>
      <c r="DF4" s="10">
        <f t="shared" ref="DF4" si="27">BY4</f>
        <v>91.58473244073987</v>
      </c>
      <c r="DG4" s="10">
        <f t="shared" ref="DG4" si="28">BZ4</f>
        <v>72.915075984150349</v>
      </c>
      <c r="DH4" s="10">
        <f t="shared" ref="DH4" si="29">CA4</f>
        <v>63.41819600570615</v>
      </c>
      <c r="DI4" s="10">
        <f t="shared" ref="DI4" si="30">CB4</f>
        <v>53.329208468284399</v>
      </c>
      <c r="DJ4" s="10">
        <f t="shared" ref="DJ4" si="31">CC4</f>
        <v>34.903255523272293</v>
      </c>
      <c r="DK4" s="10">
        <f t="shared" ref="DK4" si="32">CD4</f>
        <v>15.629343272793593</v>
      </c>
      <c r="DL4" s="10">
        <f t="shared" ref="DL4" si="33">CE4</f>
        <v>3.9211579009466271</v>
      </c>
      <c r="DM4" s="10">
        <f t="shared" si="5"/>
        <v>927.53355565577988</v>
      </c>
      <c r="DN4" s="10">
        <f t="shared" ref="DN4:DN14" si="34">CS4*3/5+CT4*3/5</f>
        <v>35.222595967382816</v>
      </c>
      <c r="DO4" s="10">
        <f t="shared" ref="DO4:DO14" si="35">CT4*2/5+CU4*1/5</f>
        <v>18.512466879780181</v>
      </c>
      <c r="DP4" s="10">
        <f t="shared" si="6"/>
        <v>407.46475927737242</v>
      </c>
      <c r="DQ4" s="10">
        <f t="shared" ref="DQ4:DQ14" si="36">SUM(DG4:DL4)</f>
        <v>244.11623715515341</v>
      </c>
      <c r="DR4" s="14">
        <f t="shared" ref="DR4:DR14" si="37">DP4/DM4</f>
        <v>0.43929921110971432</v>
      </c>
      <c r="DS4" s="14">
        <f t="shared" ref="DS4:DS14" si="38">DQ4/DM4</f>
        <v>0.26318857756316927</v>
      </c>
      <c r="DT4" s="10">
        <f>SUM(CV4:CY4)</f>
        <v>128.62031630888393</v>
      </c>
      <c r="DV4" s="311"/>
      <c r="DW4" s="312"/>
      <c r="DX4" s="29">
        <f>DX3</f>
        <v>2025</v>
      </c>
      <c r="DY4" s="4" t="s">
        <v>22</v>
      </c>
      <c r="DZ4" s="10">
        <f>BK$4</f>
        <v>24.222879196229385</v>
      </c>
      <c r="EA4" s="10">
        <f>BL$4</f>
        <v>26.288059681643027</v>
      </c>
      <c r="EB4" s="10">
        <f t="shared" ref="EB4:ED4" si="39">BM$4</f>
        <v>31.416266930661667</v>
      </c>
      <c r="EC4" s="10">
        <f t="shared" si="39"/>
        <v>27.729800537577582</v>
      </c>
      <c r="ED4" s="10">
        <f t="shared" si="39"/>
        <v>22.314322407221411</v>
      </c>
      <c r="EE4" s="10">
        <f>BP$4+DX1</f>
        <v>49.747746717372678</v>
      </c>
      <c r="EF4" s="10">
        <f>BQ$4+DX1</f>
        <v>61.178748185905313</v>
      </c>
      <c r="EG4" s="10">
        <f>BR$4+DX1</f>
        <v>62.379498998384527</v>
      </c>
      <c r="EH4" s="10">
        <f t="shared" ref="EH4:ET4" si="40">BS$4</f>
        <v>46.854292807989516</v>
      </c>
      <c r="EI4" s="10">
        <f t="shared" si="40"/>
        <v>52.376991798489726</v>
      </c>
      <c r="EJ4" s="10">
        <f t="shared" si="40"/>
        <v>48.96294972115659</v>
      </c>
      <c r="EK4" s="10">
        <f t="shared" si="40"/>
        <v>65.440006072442628</v>
      </c>
      <c r="EL4" s="10">
        <f t="shared" si="40"/>
        <v>65.157233323333614</v>
      </c>
      <c r="EM4" s="10">
        <f t="shared" si="40"/>
        <v>71.763789681479096</v>
      </c>
      <c r="EN4" s="10">
        <f t="shared" si="40"/>
        <v>91.58473244073987</v>
      </c>
      <c r="EO4" s="10">
        <f t="shared" si="40"/>
        <v>72.915075984150349</v>
      </c>
      <c r="EP4" s="10">
        <f t="shared" si="40"/>
        <v>63.41819600570615</v>
      </c>
      <c r="EQ4" s="10">
        <f t="shared" si="40"/>
        <v>53.329208468284399</v>
      </c>
      <c r="ER4" s="10">
        <f t="shared" si="40"/>
        <v>34.903255523272293</v>
      </c>
      <c r="ES4" s="10">
        <f t="shared" si="40"/>
        <v>15.629343272793593</v>
      </c>
      <c r="ET4" s="10">
        <f t="shared" si="40"/>
        <v>3.9211579009466271</v>
      </c>
      <c r="EU4" s="10">
        <f t="shared" si="9"/>
        <v>991.53355565577988</v>
      </c>
      <c r="EV4" s="10">
        <f t="shared" ref="EV4:EV14" si="41">EA4*3/5+EB4*3/5</f>
        <v>34.622595967382814</v>
      </c>
      <c r="EW4" s="10">
        <f t="shared" ref="EW4:EW14" si="42">EB4*2/5+EC4*1/5</f>
        <v>18.112466879780182</v>
      </c>
      <c r="EX4" s="10">
        <f t="shared" si="10"/>
        <v>407.46475927737242</v>
      </c>
      <c r="EY4" s="10">
        <f t="shared" ref="EY4:EY14" si="43">SUM(EO4:ET4)</f>
        <v>244.11623715515341</v>
      </c>
      <c r="EZ4" s="14">
        <f t="shared" ref="EZ4:EZ14" si="44">EX4/EU4</f>
        <v>0.41094399372886942</v>
      </c>
      <c r="FA4" s="14">
        <f t="shared" ref="FA4:FA14" si="45">EY4/EU4</f>
        <v>0.24620068152277505</v>
      </c>
      <c r="FB4" s="10">
        <f>SUM(ED4:EG4)</f>
        <v>195.62031630888393</v>
      </c>
    </row>
    <row r="5" spans="1:158" x14ac:dyDescent="0.15">
      <c r="A5" s="7" t="str">
        <f t="shared" si="11"/>
        <v>2005_3</v>
      </c>
      <c r="B5" s="30">
        <v>2005</v>
      </c>
      <c r="C5" s="5" t="s">
        <v>23</v>
      </c>
      <c r="D5" s="11">
        <v>86.920141342756182</v>
      </c>
      <c r="E5" s="11">
        <v>97.513074204947003</v>
      </c>
      <c r="F5" s="11">
        <v>123.36961130742048</v>
      </c>
      <c r="G5" s="11">
        <v>113.91307420494699</v>
      </c>
      <c r="H5" s="11">
        <v>96.64946996466432</v>
      </c>
      <c r="I5" s="11">
        <v>130.53427561837458</v>
      </c>
      <c r="J5" s="11">
        <v>112.03427561837455</v>
      </c>
      <c r="K5" s="11">
        <v>123.85547703180212</v>
      </c>
      <c r="L5" s="11">
        <v>131.79187279151944</v>
      </c>
      <c r="M5" s="11">
        <v>145.013074204947</v>
      </c>
      <c r="N5" s="11">
        <v>169.36961130742048</v>
      </c>
      <c r="O5" s="11">
        <v>163.99187279151943</v>
      </c>
      <c r="P5" s="11">
        <v>151.89187279151943</v>
      </c>
      <c r="Q5" s="11">
        <v>145.64134275618375</v>
      </c>
      <c r="R5" s="11">
        <v>191.41307420494701</v>
      </c>
      <c r="S5" s="11">
        <v>179.0060070671378</v>
      </c>
      <c r="T5" s="11">
        <v>93.44240282685513</v>
      </c>
      <c r="U5" s="11">
        <v>42.128268551236751</v>
      </c>
      <c r="V5" s="11">
        <v>17.314134275618372</v>
      </c>
      <c r="W5" s="11">
        <v>2.0070671378091873</v>
      </c>
      <c r="X5" s="11">
        <v>0</v>
      </c>
      <c r="Y5" s="11">
        <f>SUM(D5:X5)</f>
        <v>2317.8000000000002</v>
      </c>
      <c r="Z5" s="11">
        <f t="shared" si="12"/>
        <v>132.52961130742051</v>
      </c>
      <c r="AA5" s="11">
        <f t="shared" si="13"/>
        <v>72.130459363957598</v>
      </c>
      <c r="AB5" s="11">
        <f t="shared" si="0"/>
        <v>670.95229681978788</v>
      </c>
      <c r="AC5" s="11">
        <f t="shared" si="14"/>
        <v>333.89787985865723</v>
      </c>
      <c r="AD5" s="15">
        <f t="shared" si="15"/>
        <v>0.28947808129251351</v>
      </c>
      <c r="AE5" s="15">
        <f t="shared" si="16"/>
        <v>0.14405810676445646</v>
      </c>
      <c r="AF5" s="11">
        <f t="shared" si="17"/>
        <v>463.07349823321556</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0.98044432116521751</v>
      </c>
      <c r="AN5" s="6">
        <f t="shared" si="1"/>
        <v>0.84620147292041747</v>
      </c>
      <c r="AO5" s="6">
        <f t="shared" si="1"/>
        <v>0.7773710573917153</v>
      </c>
      <c r="AP5" s="6">
        <f t="shared" si="1"/>
        <v>0.99120168221822036</v>
      </c>
      <c r="AQ5" s="6">
        <f t="shared" si="1"/>
        <v>0.78600470202414607</v>
      </c>
      <c r="AR5" s="6">
        <f t="shared" si="1"/>
        <v>1.1620829007994224</v>
      </c>
      <c r="AS5" s="6">
        <f t="shared" si="1"/>
        <v>0.8602352440731893</v>
      </c>
      <c r="AT5" s="6">
        <f t="shared" si="1"/>
        <v>0.91169105495191716</v>
      </c>
      <c r="AU5" s="6">
        <f t="shared" si="1"/>
        <v>0.92297909983799276</v>
      </c>
      <c r="AV5" s="6">
        <f t="shared" si="1"/>
        <v>1.028807877249561</v>
      </c>
      <c r="AW5" s="6">
        <f t="shared" si="1"/>
        <v>0.9831738116554487</v>
      </c>
      <c r="AX5" s="6">
        <f t="shared" si="1"/>
        <v>1.0712826265221771</v>
      </c>
      <c r="AY5" s="6">
        <f t="shared" si="1"/>
        <v>0.93185816590093595</v>
      </c>
      <c r="AZ5" s="6">
        <f t="shared" si="1"/>
        <v>0.98048032602753488</v>
      </c>
      <c r="BA5" s="6">
        <f t="shared" si="1"/>
        <v>0.98964282398302195</v>
      </c>
      <c r="BB5" s="6">
        <f t="shared" si="1"/>
        <v>0.66021591425626258</v>
      </c>
      <c r="BC5" s="6">
        <f t="shared" si="1"/>
        <v>0.61783044371867712</v>
      </c>
      <c r="BD5" s="6">
        <f t="shared" si="1"/>
        <v>0.25917102913195117</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0.16751183682320156</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49.76986123479287</v>
      </c>
      <c r="BL5" s="16">
        <f t="shared" ref="BL5:CE5" si="46">BL3+BL4</f>
        <v>58.27403876546424</v>
      </c>
      <c r="BM5" s="16">
        <f t="shared" si="46"/>
        <v>66.541818189882491</v>
      </c>
      <c r="BN5" s="16">
        <f t="shared" si="46"/>
        <v>59.93755940198421</v>
      </c>
      <c r="BO5" s="16">
        <f t="shared" si="46"/>
        <v>63.506412400944605</v>
      </c>
      <c r="BP5" s="16">
        <f t="shared" si="46"/>
        <v>68.502892640600606</v>
      </c>
      <c r="BQ5" s="16">
        <f t="shared" si="46"/>
        <v>85.067481273190992</v>
      </c>
      <c r="BR5" s="16">
        <f t="shared" si="46"/>
        <v>70.004363784867735</v>
      </c>
      <c r="BS5" s="16">
        <f t="shared" si="46"/>
        <v>92.178429790290465</v>
      </c>
      <c r="BT5" s="16">
        <f t="shared" si="46"/>
        <v>112.29651700928821</v>
      </c>
      <c r="BU5" s="16">
        <f t="shared" si="46"/>
        <v>102.80932469215867</v>
      </c>
      <c r="BV5" s="16">
        <f t="shared" si="46"/>
        <v>129.37823296151367</v>
      </c>
      <c r="BW5" s="16">
        <f t="shared" si="46"/>
        <v>133.52443193727953</v>
      </c>
      <c r="BX5" s="16">
        <f t="shared" si="46"/>
        <v>140.39590772455026</v>
      </c>
      <c r="BY5" s="16">
        <f t="shared" si="46"/>
        <v>158.89230833264503</v>
      </c>
      <c r="BZ5" s="16">
        <f t="shared" si="46"/>
        <v>138.04482109558762</v>
      </c>
      <c r="CA5" s="16">
        <f t="shared" si="46"/>
        <v>98.014570257808415</v>
      </c>
      <c r="CB5" s="16">
        <f t="shared" si="46"/>
        <v>83.003366307882516</v>
      </c>
      <c r="CC5" s="16">
        <f t="shared" si="46"/>
        <v>44.931912180108654</v>
      </c>
      <c r="CD5" s="16">
        <f t="shared" si="46"/>
        <v>18.291164621084281</v>
      </c>
      <c r="CE5" s="16">
        <f t="shared" si="46"/>
        <v>3.9434096330422692</v>
      </c>
      <c r="CF5" s="11">
        <f>SUM(BK5:CE5)</f>
        <v>1777.3088242349675</v>
      </c>
      <c r="CG5" s="11">
        <f t="shared" si="20"/>
        <v>74.889514173208042</v>
      </c>
      <c r="CH5" s="11">
        <f t="shared" si="21"/>
        <v>38.604239156349834</v>
      </c>
      <c r="CI5" s="11">
        <f t="shared" si="3"/>
        <v>685.51746015270896</v>
      </c>
      <c r="CJ5" s="11">
        <f t="shared" si="22"/>
        <v>386.22924409551382</v>
      </c>
      <c r="CK5" s="15">
        <f t="shared" si="23"/>
        <v>0.38570531514003259</v>
      </c>
      <c r="CL5" s="15">
        <f t="shared" si="24"/>
        <v>0.21731127355526636</v>
      </c>
      <c r="CM5" s="11">
        <f t="shared" si="25"/>
        <v>287.08115009960397</v>
      </c>
      <c r="CO5" s="7" t="str">
        <f t="shared" si="26"/>
        <v>2025_3</v>
      </c>
      <c r="CP5" s="30">
        <f>CP4</f>
        <v>2025</v>
      </c>
      <c r="CQ5" s="5" t="s">
        <v>23</v>
      </c>
      <c r="CR5" s="16">
        <f>CR3+CR4</f>
        <v>51.76986123479287</v>
      </c>
      <c r="CS5" s="16">
        <f t="shared" ref="CS5" si="47">CS3+CS4</f>
        <v>58.27403876546424</v>
      </c>
      <c r="CT5" s="16">
        <f t="shared" ref="CT5" si="48">CT3+CT4</f>
        <v>68.541818189882491</v>
      </c>
      <c r="CU5" s="16">
        <f t="shared" ref="CU5" si="49">CU3+CU4</f>
        <v>59.93755940198421</v>
      </c>
      <c r="CV5" s="16">
        <f t="shared" ref="CV5" si="50">CV3+CV4</f>
        <v>63.506412400944605</v>
      </c>
      <c r="CW5" s="16">
        <f t="shared" ref="CW5" si="51">CW3+CW4</f>
        <v>72.502892640600606</v>
      </c>
      <c r="CX5" s="16">
        <f t="shared" ref="CX5" si="52">CX3+CX4</f>
        <v>85.067481273190992</v>
      </c>
      <c r="CY5" s="16">
        <f t="shared" ref="CY5" si="53">CY3+CY4</f>
        <v>70.004363784867735</v>
      </c>
      <c r="CZ5" s="16">
        <f t="shared" ref="CZ5" si="54">CZ3+CZ4</f>
        <v>93.178429790290465</v>
      </c>
      <c r="DA5" s="16">
        <f t="shared" ref="DA5" si="55">DA3+DA4</f>
        <v>112.29651700928821</v>
      </c>
      <c r="DB5" s="16">
        <f t="shared" ref="DB5" si="56">DB3+DB4</f>
        <v>102.80932469215867</v>
      </c>
      <c r="DC5" s="16">
        <f t="shared" ref="DC5" si="57">DC3+DC4</f>
        <v>129.37823296151367</v>
      </c>
      <c r="DD5" s="16">
        <f t="shared" ref="DD5" si="58">DD3+DD4</f>
        <v>133.52443193727953</v>
      </c>
      <c r="DE5" s="16">
        <f t="shared" ref="DE5" si="59">DE3+DE4</f>
        <v>140.39590772455026</v>
      </c>
      <c r="DF5" s="16">
        <f t="shared" ref="DF5" si="60">DF3+DF4</f>
        <v>158.89230833264503</v>
      </c>
      <c r="DG5" s="16">
        <f t="shared" ref="DG5" si="61">DG3+DG4</f>
        <v>138.04482109558762</v>
      </c>
      <c r="DH5" s="16">
        <f t="shared" ref="DH5" si="62">DH3+DH4</f>
        <v>98.014570257808415</v>
      </c>
      <c r="DI5" s="16">
        <f t="shared" ref="DI5" si="63">DI3+DI4</f>
        <v>83.003366307882516</v>
      </c>
      <c r="DJ5" s="16">
        <f t="shared" ref="DJ5" si="64">DJ3+DJ4</f>
        <v>44.931912180108654</v>
      </c>
      <c r="DK5" s="16">
        <f t="shared" ref="DK5" si="65">DK3+DK4</f>
        <v>18.291164621084281</v>
      </c>
      <c r="DL5" s="16">
        <f t="shared" ref="DL5" si="66">DL3+DL4</f>
        <v>3.9434096330422692</v>
      </c>
      <c r="DM5" s="11">
        <f>SUM(CR5:DL5)</f>
        <v>1786.3088242349675</v>
      </c>
      <c r="DN5" s="11">
        <f t="shared" si="34"/>
        <v>76.089514173208045</v>
      </c>
      <c r="DO5" s="11">
        <f t="shared" si="35"/>
        <v>39.404239156349838</v>
      </c>
      <c r="DP5" s="11">
        <f t="shared" si="6"/>
        <v>685.51746015270896</v>
      </c>
      <c r="DQ5" s="11">
        <f t="shared" si="36"/>
        <v>386.22924409551382</v>
      </c>
      <c r="DR5" s="15">
        <f t="shared" si="37"/>
        <v>0.38376200735967331</v>
      </c>
      <c r="DS5" s="15">
        <f t="shared" si="38"/>
        <v>0.21621638926904277</v>
      </c>
      <c r="DT5" s="11">
        <f>SUM(CV5:CY5)</f>
        <v>291.08115009960397</v>
      </c>
      <c r="DV5" s="311"/>
      <c r="DW5" s="312"/>
      <c r="DX5" s="30">
        <f>DX4</f>
        <v>2025</v>
      </c>
      <c r="DY5" s="5" t="s">
        <v>23</v>
      </c>
      <c r="DZ5" s="16">
        <f>DZ3+DZ4</f>
        <v>49.76986123479287</v>
      </c>
      <c r="EA5" s="16">
        <f t="shared" ref="EA5:ET5" si="67">EA3+EA4</f>
        <v>58.27403876546424</v>
      </c>
      <c r="EB5" s="16">
        <f t="shared" si="67"/>
        <v>66.541818189882491</v>
      </c>
      <c r="EC5" s="16">
        <f t="shared" si="67"/>
        <v>59.93755940198421</v>
      </c>
      <c r="ED5" s="16">
        <f t="shared" si="67"/>
        <v>63.506412400944605</v>
      </c>
      <c r="EE5" s="16">
        <f t="shared" si="67"/>
        <v>114.50289264060061</v>
      </c>
      <c r="EF5" s="16">
        <f t="shared" si="67"/>
        <v>131.06748127319099</v>
      </c>
      <c r="EG5" s="16">
        <f t="shared" si="67"/>
        <v>116.00436378486773</v>
      </c>
      <c r="EH5" s="16">
        <f t="shared" si="67"/>
        <v>92.178429790290465</v>
      </c>
      <c r="EI5" s="16">
        <f t="shared" si="67"/>
        <v>112.29651700928821</v>
      </c>
      <c r="EJ5" s="16">
        <f t="shared" si="67"/>
        <v>102.80932469215867</v>
      </c>
      <c r="EK5" s="16">
        <f t="shared" si="67"/>
        <v>129.37823296151367</v>
      </c>
      <c r="EL5" s="16">
        <f t="shared" si="67"/>
        <v>133.52443193727953</v>
      </c>
      <c r="EM5" s="16">
        <f t="shared" si="67"/>
        <v>140.39590772455026</v>
      </c>
      <c r="EN5" s="16">
        <f t="shared" si="67"/>
        <v>158.89230833264503</v>
      </c>
      <c r="EO5" s="16">
        <f t="shared" si="67"/>
        <v>138.04482109558762</v>
      </c>
      <c r="EP5" s="16">
        <f t="shared" si="67"/>
        <v>98.014570257808415</v>
      </c>
      <c r="EQ5" s="16">
        <f t="shared" si="67"/>
        <v>83.003366307882516</v>
      </c>
      <c r="ER5" s="16">
        <f t="shared" si="67"/>
        <v>44.931912180108654</v>
      </c>
      <c r="ES5" s="16">
        <f t="shared" si="67"/>
        <v>18.291164621084281</v>
      </c>
      <c r="ET5" s="16">
        <f t="shared" si="67"/>
        <v>3.9434096330422692</v>
      </c>
      <c r="EU5" s="11">
        <f>SUM(DZ5:ET5)</f>
        <v>1915.3088242349675</v>
      </c>
      <c r="EV5" s="11">
        <f t="shared" si="41"/>
        <v>74.889514173208042</v>
      </c>
      <c r="EW5" s="11">
        <f t="shared" si="42"/>
        <v>38.604239156349834</v>
      </c>
      <c r="EX5" s="11">
        <f t="shared" si="10"/>
        <v>685.51746015270896</v>
      </c>
      <c r="EY5" s="11">
        <f t="shared" si="43"/>
        <v>386.22924409551382</v>
      </c>
      <c r="EZ5" s="15">
        <f t="shared" si="44"/>
        <v>0.3579148445820613</v>
      </c>
      <c r="FA5" s="15">
        <f t="shared" si="45"/>
        <v>0.20165376946445465</v>
      </c>
      <c r="FB5" s="11">
        <f>SUM(ED5:EG5)</f>
        <v>425.08115009960392</v>
      </c>
    </row>
    <row r="6" spans="1:158" x14ac:dyDescent="0.15">
      <c r="A6" s="7" t="str">
        <f t="shared" si="11"/>
        <v>2010_1</v>
      </c>
      <c r="B6" s="28">
        <v>2010</v>
      </c>
      <c r="C6" s="3" t="s">
        <v>21</v>
      </c>
      <c r="D6" s="9">
        <v>51.694174757281559</v>
      </c>
      <c r="E6" s="9">
        <v>55.739482200647252</v>
      </c>
      <c r="F6" s="9">
        <v>55.520388349514569</v>
      </c>
      <c r="G6" s="9">
        <v>64.262135922330089</v>
      </c>
      <c r="H6" s="9">
        <v>56.000323624595467</v>
      </c>
      <c r="I6" s="9">
        <v>44.413915857605176</v>
      </c>
      <c r="J6" s="9">
        <v>72.207443365695795</v>
      </c>
      <c r="K6" s="9">
        <v>57.403883495145635</v>
      </c>
      <c r="L6" s="9">
        <v>70.491262135922327</v>
      </c>
      <c r="M6" s="9">
        <v>59.60711974110032</v>
      </c>
      <c r="N6" s="9">
        <v>73.530420711974102</v>
      </c>
      <c r="O6" s="9">
        <v>70.481553398058253</v>
      </c>
      <c r="P6" s="9">
        <v>78.236893203883497</v>
      </c>
      <c r="Q6" s="9">
        <v>58.48187702265372</v>
      </c>
      <c r="R6" s="9">
        <v>60.388025889967636</v>
      </c>
      <c r="S6" s="9">
        <v>80.86569579288026</v>
      </c>
      <c r="T6" s="9">
        <v>61.991262135922334</v>
      </c>
      <c r="U6" s="9">
        <v>16.025889967637539</v>
      </c>
      <c r="V6" s="9">
        <v>12.145307443365695</v>
      </c>
      <c r="W6" s="9">
        <v>2.0129449838187701</v>
      </c>
      <c r="X6" s="9">
        <v>0</v>
      </c>
      <c r="Y6" s="9">
        <f t="shared" ref="Y6:Y11" si="68">SUM(D6:X6)</f>
        <v>1101.5</v>
      </c>
      <c r="Z6" s="9">
        <f t="shared" si="12"/>
        <v>66.755922330097093</v>
      </c>
      <c r="AA6" s="9">
        <f t="shared" si="13"/>
        <v>35.060582524271844</v>
      </c>
      <c r="AB6" s="9">
        <f t="shared" si="0"/>
        <v>291.91100323624596</v>
      </c>
      <c r="AC6" s="9">
        <f t="shared" si="14"/>
        <v>173.04110032362462</v>
      </c>
      <c r="AD6" s="13">
        <f t="shared" si="15"/>
        <v>0.26501225895256103</v>
      </c>
      <c r="AE6" s="13">
        <f t="shared" si="16"/>
        <v>0.15709586956298194</v>
      </c>
      <c r="AF6" s="9">
        <f t="shared" si="17"/>
        <v>230.02556634304207</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0.9659495621470221</v>
      </c>
      <c r="AN6" s="193">
        <f t="shared" si="18"/>
        <v>0.90813337635371527</v>
      </c>
      <c r="AO6" s="193">
        <f t="shared" si="18"/>
        <v>0.65107411709353458</v>
      </c>
      <c r="AP6" s="193">
        <f t="shared" si="18"/>
        <v>0.88555520423190026</v>
      </c>
      <c r="AQ6" s="193">
        <f t="shared" si="18"/>
        <v>1.046480316132252</v>
      </c>
      <c r="AR6" s="193">
        <f t="shared" si="18"/>
        <v>1.0587950201852303</v>
      </c>
      <c r="AS6" s="193">
        <f t="shared" si="18"/>
        <v>1.0126327213842896</v>
      </c>
      <c r="AT6" s="193">
        <f t="shared" si="18"/>
        <v>0.95758534992839539</v>
      </c>
      <c r="AU6" s="193">
        <f t="shared" si="18"/>
        <v>0.93816110164853428</v>
      </c>
      <c r="AV6" s="193">
        <f t="shared" si="18"/>
        <v>1.1310350663606157</v>
      </c>
      <c r="AW6" s="193">
        <f t="shared" si="18"/>
        <v>1.1292625000159795</v>
      </c>
      <c r="AX6" s="193">
        <f t="shared" si="18"/>
        <v>0.98778697318756381</v>
      </c>
      <c r="AY6" s="193">
        <f t="shared" si="18"/>
        <v>0.95614804622470717</v>
      </c>
      <c r="AZ6" s="193">
        <f t="shared" si="18"/>
        <v>0.96691552213569254</v>
      </c>
      <c r="BA6" s="193">
        <f t="shared" si="18"/>
        <v>0.92448358086241145</v>
      </c>
      <c r="BB6" s="193">
        <f t="shared" si="18"/>
        <v>0.85798337724108042</v>
      </c>
      <c r="BC6" s="193">
        <f t="shared" si="18"/>
        <v>0.8579605900135584</v>
      </c>
      <c r="BD6" s="193">
        <f t="shared" si="18"/>
        <v>0.54318262887132873</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0.3287371983337401</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0.28826433549560587</v>
      </c>
      <c r="BH6" s="7" t="str">
        <f t="shared" si="19"/>
        <v>2030_1</v>
      </c>
      <c r="BI6" s="28">
        <f>管理者入力シート!B9</f>
        <v>2030</v>
      </c>
      <c r="BJ6" s="3" t="s">
        <v>21</v>
      </c>
      <c r="BK6" s="9">
        <f>CM7*$AK$13</f>
        <v>21.585763538670285</v>
      </c>
      <c r="BL6" s="9">
        <f>IF(管理者入力シート!$B$14=1,BK3*管理者用人口入力シート!AM$3,IF(管理者入力シート!$B$14=2,BK3*管理者用人口入力シート!AM$7))</f>
        <v>25.454393672146232</v>
      </c>
      <c r="BM6" s="9">
        <f>IF(管理者入力シート!$B$14=1,BL3*管理者用人口入力シート!AN$3,IF(管理者入力シート!$B$14=2,BL3*管理者用人口入力シート!AN$7))</f>
        <v>26.517399041199411</v>
      </c>
      <c r="BN6" s="9">
        <f>IF(管理者入力シート!$B$14=1,BM3*管理者用人口入力シート!AO$3,IF(管理者入力シート!$B$14=2,BM3*管理者用人口入力シート!AO$7))</f>
        <v>27.482126822465581</v>
      </c>
      <c r="BO6" s="9">
        <f>IF(管理者入力シート!$B$14=1,BN3*管理者用人口入力シート!AP$3,IF(管理者入力シート!$B$14=2,BN3*管理者用人口入力シート!AP$7))</f>
        <v>35.720013361179994</v>
      </c>
      <c r="BP6" s="9">
        <f>IF(管理者入力シート!$B$14=1,BO3*管理者用人口入力シート!AQ$3,IF(管理者入力シート!$B$14=2,BO3*管理者用人口入力シート!AQ$7))</f>
        <v>32.114620046312041</v>
      </c>
      <c r="BQ6" s="9">
        <f>IF(管理者入力シート!$B$14=1,BP3*管理者用人口入力シート!AR$3,IF(管理者入力シート!$B$14=2,BP3*管理者用人口入力シート!AR$7))</f>
        <v>39.747383072633703</v>
      </c>
      <c r="BR6" s="9">
        <f>IF(管理者入力シート!$B$14=1,BQ3*管理者用人口入力シート!AS$3,IF(管理者入力シート!$B$14=2,BQ3*管理者用人口入力シート!AS$7))</f>
        <v>41.837626555816506</v>
      </c>
      <c r="BS6" s="9">
        <f>IF(管理者入力シート!$B$14=1,BR3*管理者用人口入力シート!AT$3,IF(管理者入力シート!$B$14=2,BR3*管理者用人口入力シート!AT$7))</f>
        <v>29.058132347956679</v>
      </c>
      <c r="BT6" s="9">
        <f>IF(管理者入力シート!$B$14=1,BS3*管理者用人口入力シート!AU$3,IF(管理者入力シート!$B$14=2,BS3*管理者用人口入力シート!AU$7))</f>
        <v>44.275081108492493</v>
      </c>
      <c r="BU6" s="9">
        <f>IF(管理者入力シート!$B$14=1,BT3*管理者用人口入力シート!AV$3,IF(管理者入力シート!$B$14=2,BT3*管理者用人口入力シート!AV$7))</f>
        <v>59.630450360125025</v>
      </c>
      <c r="BV6" s="9">
        <f>IF(管理者入力シート!$B$14=1,BU3*管理者用人口入力シート!AW$3,IF(管理者入力シート!$B$14=2,BU3*管理者用人口入力シート!AW$7))</f>
        <v>54.969873190909532</v>
      </c>
      <c r="BW6" s="9">
        <f>IF(管理者入力シート!$B$14=1,BV3*管理者用人口入力シート!AX$3,IF(管理者入力シート!$B$14=2,BV3*管理者用人口入力シート!AX$7))</f>
        <v>67.246506833933708</v>
      </c>
      <c r="BX6" s="9">
        <f>IF(管理者入力シート!$B$14=1,BW3*管理者用人口入力シート!AY$3,IF(管理者入力シート!$B$14=2,BW3*管理者用人口入力シート!AY$7))</f>
        <v>62.858442132431811</v>
      </c>
      <c r="BY6" s="9">
        <f>IF(管理者入力シート!$B$14=1,BX3*管理者用人口入力シート!AZ$3,IF(管理者入力シート!$B$14=2,BX3*管理者用人口入力シート!AZ$7))</f>
        <v>67.441928494411911</v>
      </c>
      <c r="BZ6" s="9">
        <f>IF(管理者入力シート!$B$14=1,BY3*管理者用人口入力シート!BA$3,IF(管理者入力シート!$B$14=2,BY3*管理者用人口入力シート!BA$7))</f>
        <v>61.054213778864387</v>
      </c>
      <c r="CA6" s="9">
        <f>IF(管理者入力シート!$B$14=1,BZ3*管理者用人口入力シート!BB$3,IF(管理者入力シート!$B$14=2,BZ3*管理者用人口入力シート!BB$7))</f>
        <v>47.263390286934701</v>
      </c>
      <c r="CB6" s="9">
        <f>IF(管理者入力シート!$B$14=1,CA3*管理者用人口入力シート!BC$3,IF(管理者入力シート!$B$14=2,CA3*管理者用人口入力シート!BC$7))</f>
        <v>21.536477908206106</v>
      </c>
      <c r="CC6" s="9">
        <f>IF(管理者入力シート!$B$14=1,CB3*管理者用人口入力シート!BD$3,IF(管理者入力シート!$B$14=2,CB3*管理者用人口入力シート!BD$7))</f>
        <v>8.8869342423605158</v>
      </c>
      <c r="CD6" s="9">
        <f>IF(管理者入力シート!$B$14=1,CC3*管理者用人口入力シート!BE$3,IF(管理者入力シート!$B$14=2,CC3*管理者用人口入力シート!BE$7))</f>
        <v>2.0140080795533444</v>
      </c>
      <c r="CE6" s="9">
        <f>IF(管理者入力シート!$B$14=1,CD3*管理者用人口入力シート!BF$3,IF(管理者入力シート!$B$14=2,CD3*管理者用人口入力シート!BF$7))</f>
        <v>5.9230135528625362E-2</v>
      </c>
      <c r="CF6" s="9">
        <f t="shared" si="2"/>
        <v>776.75399501013271</v>
      </c>
      <c r="CG6" s="9">
        <f t="shared" si="20"/>
        <v>31.183075628007384</v>
      </c>
      <c r="CH6" s="9">
        <f t="shared" si="21"/>
        <v>16.10338498097288</v>
      </c>
      <c r="CI6" s="9">
        <f t="shared" si="3"/>
        <v>271.11462505829138</v>
      </c>
      <c r="CJ6" s="9">
        <f t="shared" si="22"/>
        <v>140.81425443144769</v>
      </c>
      <c r="CK6" s="13">
        <f t="shared" si="23"/>
        <v>0.34903537902596138</v>
      </c>
      <c r="CL6" s="13">
        <f t="shared" si="24"/>
        <v>0.18128552326224054</v>
      </c>
      <c r="CM6" s="9">
        <f t="shared" si="25"/>
        <v>149.41964303594224</v>
      </c>
      <c r="CO6" s="7" t="str">
        <f t="shared" si="26"/>
        <v>2030_1</v>
      </c>
      <c r="CP6" s="28">
        <f>管理者入力シート!B9</f>
        <v>2030</v>
      </c>
      <c r="CQ6" s="3" t="s">
        <v>21</v>
      </c>
      <c r="CR6" s="9">
        <f>DT7*$AK$13+将来予測シート②!$G17</f>
        <v>23.379169068481914</v>
      </c>
      <c r="CS6" s="9">
        <f>IF(管理者入力シート!$B$14=1,CR3*管理者用人口入力シート!AM$3,IF(管理者入力シート!$B$14=2,CR3*管理者用人口入力シート!AM$7))+将来予測シート②!$G18</f>
        <v>26.450769433233102</v>
      </c>
      <c r="CT6" s="9">
        <f>IF(管理者入力シート!$B$14=1,CS3*管理者用人口入力シート!AN$3,IF(管理者入力シート!$B$14=2,CS3*管理者用人口入力シート!AN$7))+将来予測シート②!$G19</f>
        <v>27.517399041199411</v>
      </c>
      <c r="CU6" s="9">
        <f>IF(管理者入力シート!$B$14=1,CT3*管理者用人口入力シート!AO$3,IF(管理者入力シート!$B$14=2,CT3*管理者用人口入力シート!AO$7))+将来予測シート②!$G20</f>
        <v>28.264523847914436</v>
      </c>
      <c r="CV6" s="9">
        <f>IF(管理者入力シート!$B$14=1,CU3*管理者用人口入力シート!AP$3,IF(管理者入力シート!$B$14=2,CU3*管理者用人口入力シート!AP$7))+将来予測シート②!$G21</f>
        <v>35.720013361179994</v>
      </c>
      <c r="CW6" s="9">
        <f>IF(管理者入力シート!$B$14=1,CV3*管理者用人口入力シート!AQ$3,IF(管理者入力シート!$B$14=2,CV3*管理者用人口入力シート!AQ$7))+将来予測シート②!$G22</f>
        <v>34.114620046312041</v>
      </c>
      <c r="CX6" s="9">
        <f>IF(管理者入力シート!$B$14=1,CW3*管理者用人口入力シート!AR$3,IF(管理者入力シート!$B$14=2,CW3*管理者用人口入力シート!AR$7))+将来予測シート②!$G23</f>
        <v>41.651214669616465</v>
      </c>
      <c r="CY6" s="9">
        <f>IF(管理者入力シート!$B$14=1,CX3*管理者用人口入力シート!AS$3,IF(管理者入力シート!$B$14=2,CX3*管理者用人口入力シート!AS$7))+将来予測シート②!$G24</f>
        <v>41.837626555816506</v>
      </c>
      <c r="CZ6" s="9">
        <f>IF(管理者入力シート!$B$14=1,CY3*管理者用人口入力シート!AT$3,IF(管理者入力シート!$B$14=2,CY3*管理者用人口入力シート!AT$7))+将来予測シート②!$G25</f>
        <v>29.058132347956679</v>
      </c>
      <c r="DA6" s="9">
        <f>IF(管理者入力シート!$B$14=1,CZ3*管理者用人口入力シート!AU$3,IF(管理者入力シート!$B$14=2,CZ3*管理者用人口入力シート!AU$7))+将来予測シート②!$G26</f>
        <v>44.275081108492493</v>
      </c>
      <c r="DB6" s="9">
        <f>IF(管理者入力シート!$B$14=1,DA3*管理者用人口入力シート!AV$3,IF(管理者入力シート!$B$14=2,DA3*管理者用人口入力シート!AV$7))+将来予測シート②!$G27</f>
        <v>59.630450360125025</v>
      </c>
      <c r="DC6" s="9">
        <f>IF(管理者入力シート!$B$14=1,DB3*管理者用人口入力シート!AW$3,IF(管理者入力シート!$B$14=2,DB3*管理者用人口入力シート!AW$7))+将来予測シート②!$G28</f>
        <v>54.969873190909532</v>
      </c>
      <c r="DD6" s="9">
        <f>IF(管理者入力シート!$B$14=1,DC3*管理者用人口入力シート!AX$3,IF(管理者入力シート!$B$14=2,DC3*管理者用人口入力シート!AX$7))+将来予測シート②!$G29</f>
        <v>67.246506833933708</v>
      </c>
      <c r="DE6" s="9">
        <f>IF(管理者入力シート!$B$14=1,DD3*管理者用人口入力シート!AY$3,IF(管理者入力シート!$B$14=2,DD3*管理者用人口入力シート!AY$7))</f>
        <v>62.858442132431811</v>
      </c>
      <c r="DF6" s="9">
        <f>IF(管理者入力シート!$B$14=1,DE3*管理者用人口入力シート!AZ$3,IF(管理者入力シート!$B$14=2,DE3*管理者用人口入力シート!AZ$7))</f>
        <v>67.441928494411911</v>
      </c>
      <c r="DG6" s="9">
        <f>IF(管理者入力シート!$B$14=1,DF3*管理者用人口入力シート!BA$3,IF(管理者入力シート!$B$14=2,DF3*管理者用人口入力シート!BA$7))</f>
        <v>61.054213778864387</v>
      </c>
      <c r="DH6" s="9">
        <f>IF(管理者入力シート!$B$14=1,DG3*管理者用人口入力シート!BB$3,IF(管理者入力シート!$B$14=2,DG3*管理者用人口入力シート!BB$7))</f>
        <v>47.263390286934701</v>
      </c>
      <c r="DI6" s="9">
        <f>IF(管理者入力シート!$B$14=1,DH3*管理者用人口入力シート!BC$3,IF(管理者入力シート!$B$14=2,DH3*管理者用人口入力シート!BC$7))</f>
        <v>21.536477908206106</v>
      </c>
      <c r="DJ6" s="9">
        <f>IF(管理者入力シート!$B$14=1,DI3*管理者用人口入力シート!BD$3,IF(管理者入力シート!$B$14=2,DI3*管理者用人口入力シート!BD$7))</f>
        <v>8.8869342423605158</v>
      </c>
      <c r="DK6" s="9">
        <f>IF(管理者入力シート!$B$14=1,DJ3*管理者用人口入力シート!BE$3,IF(管理者入力シート!$B$14=2,DJ3*管理者用人口入力シート!BE$7))</f>
        <v>2.0140080795533444</v>
      </c>
      <c r="DL6" s="9">
        <f>IF(管理者入力シート!$B$14=1,DK3*管理者用人口入力シート!BF$3,IF(管理者入力シート!$B$14=2,DK3*管理者用人口入力シート!BF$7))</f>
        <v>5.9230135528625362E-2</v>
      </c>
      <c r="DM6" s="9">
        <f t="shared" ref="DM6:DM14" si="69">SUM(CR6:DL6)</f>
        <v>785.23000492346296</v>
      </c>
      <c r="DN6" s="9">
        <f t="shared" si="34"/>
        <v>32.380901084659506</v>
      </c>
      <c r="DO6" s="9">
        <f t="shared" si="35"/>
        <v>16.659864386062651</v>
      </c>
      <c r="DP6" s="9">
        <f t="shared" si="6"/>
        <v>271.11462505829138</v>
      </c>
      <c r="DQ6" s="9">
        <f t="shared" si="36"/>
        <v>140.81425443144769</v>
      </c>
      <c r="DR6" s="13">
        <f t="shared" si="37"/>
        <v>0.3452677856912984</v>
      </c>
      <c r="DS6" s="13">
        <f t="shared" si="38"/>
        <v>0.1793286725526656</v>
      </c>
      <c r="DT6" s="9">
        <f t="shared" ref="DT6:DT14" si="70">SUM(CV6:CY6)</f>
        <v>153.32347463292501</v>
      </c>
      <c r="DV6" s="7" t="s">
        <v>400</v>
      </c>
      <c r="DX6" s="28">
        <f>管理者入力シート!B9</f>
        <v>2030</v>
      </c>
      <c r="DY6" s="3" t="s">
        <v>21</v>
      </c>
      <c r="DZ6" s="9">
        <f>FB7*$AK$13</f>
        <v>44.509071994051261</v>
      </c>
      <c r="EA6" s="129">
        <f>IF(管理者入力シート!$B$14=1,DZ3*管理者用人口入力シート!AM$3,IF(管理者入力シート!$B$14=2,DZ3*管理者用人口入力シート!AM$7))</f>
        <v>25.454393672146232</v>
      </c>
      <c r="EB6" s="9">
        <f>IF(管理者入力シート!$B$14=1,EA3*管理者用人口入力シート!AN$3,IF(管理者入力シート!$B$14=2,EA3*管理者用人口入力シート!AN$7))</f>
        <v>26.517399041199411</v>
      </c>
      <c r="EC6" s="9">
        <f>IF(管理者入力シート!$B$14=1,EB3*管理者用人口入力シート!AO$3,IF(管理者入力シート!$B$14=2,EB3*管理者用人口入力シート!AO$7))</f>
        <v>27.482126822465581</v>
      </c>
      <c r="ED6" s="9">
        <f>IF(管理者入力シート!$B$14=1,EC3*管理者用人口入力シート!AP$3,IF(管理者入力シート!$B$14=2,EC3*管理者用人口入力シート!AP$7))</f>
        <v>35.720013361179994</v>
      </c>
      <c r="EE6" s="9">
        <f>IF(管理者入力シート!$B$14=1,ED3*管理者用人口入力シート!AQ$3,IF(管理者入力シート!$B$14=2,ED3*管理者用人口入力シート!AQ$7))+DX1</f>
        <v>55.114620046312041</v>
      </c>
      <c r="EF6" s="9">
        <f>IF(管理者入力シート!$B$14=1,EE3*管理者用人口入力シート!AR$3,IF(管理者入力シート!$B$14=2,EE3*管理者用人口入力シート!AR$7))+DX1</f>
        <v>84.641446437935514</v>
      </c>
      <c r="EG6" s="9">
        <f>IF(管理者入力シート!$B$14=1,EF3*管理者用人口入力シート!AS$3,IF(管理者入力シート!$B$14=2,EF3*管理者用人口入力シート!AS$7))+DX1</f>
        <v>85.359942844304726</v>
      </c>
      <c r="EH6" s="9">
        <f>IF(管理者入力シート!$B$14=1,EG3*管理者用人口入力シート!AT$3,IF(管理者入力シート!$B$14=2,EG3*管理者用人口入力シート!AT$7))</f>
        <v>50.881479117408709</v>
      </c>
      <c r="EI6" s="9">
        <f>IF(管理者入力シート!$B$14=1,EH3*管理者用人口入力シート!AU$3,IF(管理者入力シート!$B$14=2,EH3*管理者用人口入力シート!AU$7))</f>
        <v>44.275081108492493</v>
      </c>
      <c r="EJ6" s="9">
        <f>IF(管理者入力シート!$B$14=1,EI3*管理者用人口入力シート!AV$3,IF(管理者入力シート!$B$14=2,EI3*管理者用人口入力シート!AV$7))</f>
        <v>59.630450360125025</v>
      </c>
      <c r="EK6" s="9">
        <f>IF(管理者入力シート!$B$14=1,EJ3*管理者用人口入力シート!AW$3,IF(管理者入力シート!$B$14=2,EJ3*管理者用人口入力シート!AW$7))</f>
        <v>54.969873190909532</v>
      </c>
      <c r="EL6" s="9">
        <f>IF(管理者入力シート!$B$14=1,EK3*管理者用人口入力シート!AX$3,IF(管理者入力シート!$B$14=2,EK3*管理者用人口入力シート!AX$7))</f>
        <v>67.246506833933708</v>
      </c>
      <c r="EM6" s="9">
        <f>IF(管理者入力シート!$B$14=1,EL3*管理者用人口入力シート!AY$3,IF(管理者入力シート!$B$14=2,EL3*管理者用人口入力シート!AY$7))</f>
        <v>62.858442132431811</v>
      </c>
      <c r="EN6" s="9">
        <f>IF(管理者入力シート!$B$14=1,EM3*管理者用人口入力シート!AZ$3,IF(管理者入力シート!$B$14=2,EM3*管理者用人口入力シート!AZ$7))</f>
        <v>67.441928494411911</v>
      </c>
      <c r="EO6" s="9">
        <f>IF(管理者入力シート!$B$14=1,EN3*管理者用人口入力シート!BA$3,IF(管理者入力シート!$B$14=2,EN3*管理者用人口入力シート!BA$7))</f>
        <v>61.054213778864387</v>
      </c>
      <c r="EP6" s="9">
        <f>IF(管理者入力シート!$B$14=1,EO3*管理者用人口入力シート!BB$3,IF(管理者入力シート!$B$14=2,EO3*管理者用人口入力シート!BB$7))</f>
        <v>47.263390286934701</v>
      </c>
      <c r="EQ6" s="9">
        <f>IF(管理者入力シート!$B$14=1,EP3*管理者用人口入力シート!BC$3,IF(管理者入力シート!$B$14=2,EP3*管理者用人口入力シート!BC$7))</f>
        <v>21.536477908206106</v>
      </c>
      <c r="ER6" s="9">
        <f>IF(管理者入力シート!$B$14=1,EQ3*管理者用人口入力シート!BD$3,IF(管理者入力シート!$B$14=2,EQ3*管理者用人口入力シート!BD$7))</f>
        <v>8.8869342423605158</v>
      </c>
      <c r="ES6" s="9">
        <f>IF(管理者入力シート!$B$14=1,ER3*管理者用人口入力シート!BE$3,IF(管理者入力シート!$B$14=2,ER3*管理者用人口入力シート!BE$7))</f>
        <v>2.0140080795533444</v>
      </c>
      <c r="ET6" s="9">
        <f>IF(管理者入力シート!$B$14=1,ES3*管理者用人口入力シート!BF$3,IF(管理者入力シート!$B$14=2,ES3*管理者用人口入力シート!BF$7))</f>
        <v>5.9230135528625362E-2</v>
      </c>
      <c r="EU6" s="9">
        <f t="shared" ref="EU6:EU14" si="71">SUM(DZ6:ET6)</f>
        <v>932.91702988875591</v>
      </c>
      <c r="EV6" s="9">
        <f t="shared" si="41"/>
        <v>31.183075628007384</v>
      </c>
      <c r="EW6" s="9">
        <f t="shared" si="42"/>
        <v>16.10338498097288</v>
      </c>
      <c r="EX6" s="9">
        <f t="shared" si="10"/>
        <v>271.11462505829138</v>
      </c>
      <c r="EY6" s="9">
        <f t="shared" si="43"/>
        <v>140.81425443144769</v>
      </c>
      <c r="EZ6" s="13">
        <f t="shared" si="44"/>
        <v>0.29060957874316001</v>
      </c>
      <c r="FA6" s="13">
        <f t="shared" si="45"/>
        <v>0.15093974053430972</v>
      </c>
      <c r="FB6" s="9">
        <f t="shared" ref="FB6:FB14" si="72">SUM(ED6:EG6)</f>
        <v>260.83602268973226</v>
      </c>
    </row>
    <row r="7" spans="1:158" x14ac:dyDescent="0.15">
      <c r="A7" s="7" t="str">
        <f t="shared" si="11"/>
        <v>2010_2</v>
      </c>
      <c r="B7" s="29">
        <v>2010</v>
      </c>
      <c r="C7" s="4" t="s">
        <v>22</v>
      </c>
      <c r="D7" s="10">
        <v>47.24285714285714</v>
      </c>
      <c r="E7" s="10">
        <v>42.142857142857146</v>
      </c>
      <c r="F7" s="10">
        <v>54.442857142857143</v>
      </c>
      <c r="G7" s="10">
        <v>57.734285714285718</v>
      </c>
      <c r="H7" s="10">
        <v>43.834285714285713</v>
      </c>
      <c r="I7" s="10">
        <v>49.848571428571432</v>
      </c>
      <c r="J7" s="10">
        <v>63.760000000000005</v>
      </c>
      <c r="K7" s="10">
        <v>57.66</v>
      </c>
      <c r="L7" s="10">
        <v>63.657142857142858</v>
      </c>
      <c r="M7" s="10">
        <v>66.437142857142859</v>
      </c>
      <c r="N7" s="10">
        <v>64.254285714285714</v>
      </c>
      <c r="O7" s="10">
        <v>89.974285714285713</v>
      </c>
      <c r="P7" s="10">
        <v>83.857142857142861</v>
      </c>
      <c r="Q7" s="10">
        <v>80.457142857142856</v>
      </c>
      <c r="R7" s="10">
        <v>83.165714285714287</v>
      </c>
      <c r="S7" s="10">
        <v>99.96</v>
      </c>
      <c r="T7" s="10">
        <v>87.977142857142852</v>
      </c>
      <c r="U7" s="10">
        <v>51.048571428571428</v>
      </c>
      <c r="V7" s="10">
        <v>19.828571428571429</v>
      </c>
      <c r="W7" s="10">
        <v>7.0171428571428569</v>
      </c>
      <c r="X7" s="10">
        <v>0</v>
      </c>
      <c r="Y7" s="10">
        <f t="shared" si="68"/>
        <v>1214.2999999999997</v>
      </c>
      <c r="Z7" s="10">
        <f t="shared" si="12"/>
        <v>57.951428571428579</v>
      </c>
      <c r="AA7" s="10">
        <f t="shared" si="13"/>
        <v>33.323999999999998</v>
      </c>
      <c r="AB7" s="10">
        <f t="shared" si="0"/>
        <v>429.45428571428567</v>
      </c>
      <c r="AC7" s="10">
        <f t="shared" si="14"/>
        <v>265.83142857142855</v>
      </c>
      <c r="AD7" s="14">
        <f t="shared" si="15"/>
        <v>0.35366407454029958</v>
      </c>
      <c r="AE7" s="14">
        <f t="shared" si="16"/>
        <v>0.21891742450088825</v>
      </c>
      <c r="AF7" s="10">
        <f t="shared" si="17"/>
        <v>215.10285714285715</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0.99637576108686776</v>
      </c>
      <c r="AN7" s="48">
        <f t="shared" si="73"/>
        <v>0.82903196340211893</v>
      </c>
      <c r="AO7" s="48">
        <f t="shared" si="73"/>
        <v>0.78239702544885281</v>
      </c>
      <c r="AP7" s="48">
        <f t="shared" si="73"/>
        <v>1.1090499500930759</v>
      </c>
      <c r="AQ7" s="48">
        <f t="shared" si="73"/>
        <v>0.7796307507389314</v>
      </c>
      <c r="AR7" s="48">
        <f t="shared" si="73"/>
        <v>0.95191579849138253</v>
      </c>
      <c r="AS7" s="48">
        <f t="shared" si="73"/>
        <v>0.89227462123861856</v>
      </c>
      <c r="AT7" s="48">
        <f t="shared" si="73"/>
        <v>0.94884116388921869</v>
      </c>
      <c r="AU7" s="48">
        <f t="shared" si="73"/>
        <v>0.97685436626806332</v>
      </c>
      <c r="AV7" s="48">
        <f t="shared" si="73"/>
        <v>0.99517561513285557</v>
      </c>
      <c r="AW7" s="48">
        <f t="shared" si="73"/>
        <v>1.0208648812573269</v>
      </c>
      <c r="AX7" s="48">
        <f t="shared" si="73"/>
        <v>1.0517418155902625</v>
      </c>
      <c r="AY7" s="48">
        <f t="shared" si="73"/>
        <v>0.9194239841152364</v>
      </c>
      <c r="AZ7" s="48">
        <f t="shared" si="73"/>
        <v>0.98265841733294135</v>
      </c>
      <c r="BA7" s="48">
        <f t="shared" si="73"/>
        <v>0.90709274505616455</v>
      </c>
      <c r="BB7" s="48">
        <f t="shared" si="73"/>
        <v>0.72568056586229268</v>
      </c>
      <c r="BC7" s="48">
        <f t="shared" si="73"/>
        <v>0.62250679077728588</v>
      </c>
      <c r="BD7" s="48">
        <f t="shared" si="73"/>
        <v>0.29948395807551831</v>
      </c>
      <c r="BE7" s="48">
        <f t="shared" si="73"/>
        <v>0.20082530975675883</v>
      </c>
      <c r="BF7" s="48">
        <f t="shared" si="73"/>
        <v>2.2251732095642157E-2</v>
      </c>
      <c r="BH7" s="7" t="str">
        <f t="shared" si="19"/>
        <v>2030_2</v>
      </c>
      <c r="BI7" s="29">
        <f>BI6</f>
        <v>2030</v>
      </c>
      <c r="BJ7" s="4" t="s">
        <v>22</v>
      </c>
      <c r="BK7" s="10">
        <f>CM7*$AK$14</f>
        <v>20.466971079648687</v>
      </c>
      <c r="BL7" s="10">
        <f>IF(管理者入力シート!$B$14=1,BK4*管理者用人口入力シート!AM$4,IF(管理者入力シート!$B$14=2,BK4*管理者用人口入力シート!AM$8))</f>
        <v>20.919998048516106</v>
      </c>
      <c r="BM7" s="10">
        <f>IF(管理者入力シート!$B$14=1,BL4*管理者用人口入力シート!AN$4,IF(管理者入力シート!$B$14=2,BL4*管理者用人口入力シート!AN$8))</f>
        <v>23.971937136909343</v>
      </c>
      <c r="BN7" s="10">
        <f>IF(管理者入力シート!$B$14=1,BM4*管理者用人口入力シート!AO$4,IF(管理者入力シート!$B$14=2,BM4*管理者用人口入力シート!AO$8))</f>
        <v>20.848324609717821</v>
      </c>
      <c r="BO7" s="10">
        <f>IF(管理者入力シート!$B$14=1,BN4*管理者用人口入力シート!AP$4,IF(管理者入力シート!$B$14=2,BN4*管理者用人口入力シート!AP$8))</f>
        <v>23.903093063729376</v>
      </c>
      <c r="BP7" s="10">
        <f>IF(管理者入力シート!$B$14=1,BO4*管理者用人口入力シート!AQ$4,IF(管理者入力シート!$B$14=2,BO4*管理者用人口入力シート!AQ$8))</f>
        <v>20.067833663163832</v>
      </c>
      <c r="BQ7" s="10">
        <f>IF(管理者入力シート!$B$14=1,BP4*管理者用人口入力シート!AR$4,IF(管理者入力シート!$B$14=2,BP4*管理者用人口入力シート!AR$8))</f>
        <v>25.843833581396495</v>
      </c>
      <c r="BR7" s="10">
        <f>IF(管理者入力シート!$B$14=1,BQ4*管理者用人口入力シート!AS$4,IF(管理者入力シート!$B$14=2,BQ4*管理者用人口入力シート!AS$8))</f>
        <v>37.172288217027756</v>
      </c>
      <c r="BS7" s="10">
        <f>IF(管理者入力シート!$B$14=1,BR4*管理者用人口入力シート!AT$4,IF(管理者入力シート!$B$14=2,BR4*管理者用人口入力シート!AT$8))</f>
        <v>37.343214673470634</v>
      </c>
      <c r="BT7" s="10">
        <f>IF(管理者入力シート!$B$14=1,BS4*管理者用人口入力シート!AU$4,IF(管理者入力シート!$B$14=2,BS4*管理者用人口入力シート!AU$8))</f>
        <v>40.474746526886108</v>
      </c>
      <c r="BU7" s="10">
        <f>IF(管理者入力シート!$B$14=1,BT4*管理者用人口入力シート!AV$4,IF(管理者入力シート!$B$14=2,BT4*管理者用人口入力シート!AV$8))</f>
        <v>58.393420465041736</v>
      </c>
      <c r="BV7" s="10">
        <f>IF(管理者入力シート!$B$14=1,BU4*管理者用人口入力シート!AW$4,IF(管理者入力シート!$B$14=2,BU4*管理者用人口入力シート!AW$8))</f>
        <v>48.82201309614328</v>
      </c>
      <c r="BW7" s="10">
        <f>IF(管理者入力シート!$B$14=1,BV4*管理者用人口入力シート!AX$4,IF(管理者入力シート!$B$14=2,BV4*管理者用人口入力シート!AX$8))</f>
        <v>64.449215731350506</v>
      </c>
      <c r="BX7" s="10">
        <f>IF(管理者入力シート!$B$14=1,BW4*管理者用人口入力シート!AY$4,IF(管理者入力シート!$B$14=2,BW4*管理者用人口入力シート!AY$8))</f>
        <v>65.627472082950831</v>
      </c>
      <c r="BY7" s="10">
        <f>IF(管理者入力シート!$B$14=1,BX4*管理者用人口入力シート!AZ$4,IF(管理者入力シート!$B$14=2,BX4*管理者用人口入力シート!AZ$8))</f>
        <v>69.698880778060712</v>
      </c>
      <c r="BZ7" s="10">
        <f>IF(管理者入力シート!$B$14=1,BY4*管理者用人口入力シート!BA$4,IF(管理者入力シート!$B$14=2,BY4*管理者用人口入力シート!BA$8))</f>
        <v>85.373456224999728</v>
      </c>
      <c r="CA7" s="10">
        <f>IF(管理者入力シート!$B$14=1,BZ4*管理者用人口入力シート!BB$4,IF(管理者入力シート!$B$14=2,BZ4*管理者用人口入力シート!BB$8))</f>
        <v>63.237940198449373</v>
      </c>
      <c r="CB7" s="10">
        <f>IF(管理者入力シート!$B$14=1,CA4*管理者用人口入力シート!BC$4,IF(管理者入力シート!$B$14=2,CA4*管理者用人口入力シート!BC$8))</f>
        <v>50.175719126348703</v>
      </c>
      <c r="CC7" s="10">
        <f>IF(管理者入力シート!$B$14=1,CB4*管理者用人口入力シート!BD$4,IF(管理者入力シート!$B$14=2,CB4*管理者用人口入力シート!BD$8))</f>
        <v>29.746361334920579</v>
      </c>
      <c r="CD7" s="10">
        <f>IF(管理者入力シート!$B$14=1,CC4*管理者用人口入力シート!BE$4,IF(管理者入力シート!$B$14=2,CC4*管理者用人口入力シート!BE$8))</f>
        <v>12.617633939659664</v>
      </c>
      <c r="CE7" s="10">
        <f>IF(管理者入力シート!$B$14=1,CD4*管理者用人口入力シート!BF$4,IF(管理者入力シート!$B$14=2,CD4*管理者用人口入力シート!BF$8))</f>
        <v>5.5596886496616884</v>
      </c>
      <c r="CF7" s="10">
        <f t="shared" si="2"/>
        <v>824.71404222805279</v>
      </c>
      <c r="CG7" s="10">
        <f t="shared" si="20"/>
        <v>26.935161111255269</v>
      </c>
      <c r="CH7" s="10">
        <f t="shared" si="21"/>
        <v>13.758439776707302</v>
      </c>
      <c r="CI7" s="10">
        <f t="shared" si="3"/>
        <v>382.03715233505125</v>
      </c>
      <c r="CJ7" s="10">
        <f t="shared" si="22"/>
        <v>246.71079947403973</v>
      </c>
      <c r="CK7" s="14">
        <f t="shared" si="23"/>
        <v>0.46323590089837346</v>
      </c>
      <c r="CL7" s="14">
        <f t="shared" si="24"/>
        <v>0.29914708231173587</v>
      </c>
      <c r="CM7" s="10">
        <f t="shared" si="25"/>
        <v>106.98704852531746</v>
      </c>
      <c r="CO7" s="7" t="str">
        <f t="shared" si="26"/>
        <v>2030_2</v>
      </c>
      <c r="CP7" s="29">
        <f>CP6</f>
        <v>2030</v>
      </c>
      <c r="CQ7" s="4" t="s">
        <v>22</v>
      </c>
      <c r="CR7" s="10">
        <f>DT7*$AK$14+将来予測シート②!$H17</f>
        <v>22.219254315031904</v>
      </c>
      <c r="CS7" s="10">
        <f>IF(管理者入力シート!$B$14=1,CR4*管理者用人口入力シート!AM$4,IF(管理者入力シート!$B$14=2,CR4*管理者用人口入力シート!AM$8))+将来予測シート②!$H18</f>
        <v>21.783644268234386</v>
      </c>
      <c r="CT7" s="10">
        <f>IF(管理者入力シート!$B$14=1,CS4*管理者用人口入力シート!AN$4,IF(管理者入力シート!$B$14=2,CS4*管理者用人口入力シート!AN$8))+将来予測シート②!$H19</f>
        <v>24.971937136909343</v>
      </c>
      <c r="CU7" s="10">
        <f>IF(管理者入力シート!$B$14=1,CT4*管理者用人口入力シート!AO$4,IF(管理者入力シート!$B$14=2,CT4*管理者用人口入力シート!AO$8))+将来予測シート②!$H20</f>
        <v>21.511940202739478</v>
      </c>
      <c r="CV7" s="10">
        <f>IF(管理者入力シート!$B$14=1,CU4*管理者用人口入力シート!AP$4,IF(管理者入力シート!$B$14=2,CU4*管理者用人口入力シート!AP$8))+将来予測シート②!$H21</f>
        <v>23.903093063729376</v>
      </c>
      <c r="CW7" s="10">
        <f>IF(管理者入力シート!$B$14=1,CV4*管理者用人口入力シート!AQ$4,IF(管理者入力シート!$B$14=2,CV4*管理者用人口入力シート!AQ$8))+将来予測シート②!$H22</f>
        <v>22.067833663163832</v>
      </c>
      <c r="CX7" s="10">
        <f>IF(管理者入力シート!$B$14=1,CW4*管理者用人口入力シート!AR$4,IF(管理者入力シート!$B$14=2,CW4*管理者用人口入力シート!AR$8))+将来予測シート②!$H23</f>
        <v>27.776245597591558</v>
      </c>
      <c r="CY7" s="10">
        <f>IF(管理者入力シート!$B$14=1,CX4*管理者用人口入力シート!AS$4,IF(管理者入力シート!$B$14=2,CX4*管理者用人口入力シート!AS$8))+将来予測シート②!$H24</f>
        <v>37.172288217027756</v>
      </c>
      <c r="CZ7" s="10">
        <f>IF(管理者入力シート!$B$14=1,CY4*管理者用人口入力シート!AT$4,IF(管理者入力シート!$B$14=2,CY4*管理者用人口入力シート!AT$8))+将来予測シート②!$H25</f>
        <v>38.343214673470634</v>
      </c>
      <c r="DA7" s="10">
        <f>IF(管理者入力シート!$B$14=1,CZ4*管理者用人口入力シート!AU$4,IF(管理者入力シート!$B$14=2,CZ4*管理者用人口入力シート!AU$8))+将来予測シート②!$H26</f>
        <v>41.338589391674468</v>
      </c>
      <c r="DB7" s="10">
        <f>IF(管理者入力シート!$B$14=1,DA4*管理者用人口入力シート!AV$4,IF(管理者入力シート!$B$14=2,DA4*管理者用人口入力シート!AV$8))+将来予測シート②!$H27</f>
        <v>58.393420465041736</v>
      </c>
      <c r="DC7" s="10">
        <f>IF(管理者入力シート!$B$14=1,DB4*管理者用人口入力シート!AW$4,IF(管理者入力シート!$B$14=2,DB4*管理者用人口入力シート!AW$8))+将来予測シート②!$H28</f>
        <v>48.82201309614328</v>
      </c>
      <c r="DD7" s="10">
        <f>IF(管理者入力シート!$B$14=1,DC4*管理者用人口入力シート!AX$4,IF(管理者入力シート!$B$14=2,DC4*管理者用人口入力シート!AX$8))+将来予測シート②!$H29</f>
        <v>64.449215731350506</v>
      </c>
      <c r="DE7" s="10">
        <f>IF(管理者入力シート!$B$14=1,DD4*管理者用人口入力シート!AY$4,IF(管理者入力シート!$B$14=2,DD4*管理者用人口入力シート!AY$8))</f>
        <v>65.627472082950831</v>
      </c>
      <c r="DF7" s="10">
        <f>IF(管理者入力シート!$B$14=1,DE4*管理者用人口入力シート!AZ$4,IF(管理者入力シート!$B$14=2,DE4*管理者用人口入力シート!AZ$8))</f>
        <v>69.698880778060712</v>
      </c>
      <c r="DG7" s="10">
        <f>IF(管理者入力シート!$B$14=1,DF4*管理者用人口入力シート!BA$4,IF(管理者入力シート!$B$14=2,DF4*管理者用人口入力シート!BA$8))</f>
        <v>85.373456224999728</v>
      </c>
      <c r="DH7" s="10">
        <f>IF(管理者入力シート!$B$14=1,DG4*管理者用人口入力シート!BB$4,IF(管理者入力シート!$B$14=2,DG4*管理者用人口入力シート!BB$8))</f>
        <v>63.237940198449373</v>
      </c>
      <c r="DI7" s="10">
        <f>IF(管理者入力シート!$B$14=1,DH4*管理者用人口入力シート!BC$4,IF(管理者入力シート!$B$14=2,DH4*管理者用人口入力シート!BC$8))</f>
        <v>50.175719126348703</v>
      </c>
      <c r="DJ7" s="10">
        <f>IF(管理者入力シート!$B$14=1,DI4*管理者用人口入力シート!BD$4,IF(管理者入力シート!$B$14=2,DI4*管理者用人口入力シート!BD$8))</f>
        <v>29.746361334920579</v>
      </c>
      <c r="DK7" s="10">
        <f>IF(管理者入力シート!$B$14=1,DJ4*管理者用人口入力シート!BE$4,IF(管理者入力シート!$B$14=2,DJ4*管理者用人口入力シート!BE$8))</f>
        <v>12.617633939659664</v>
      </c>
      <c r="DL7" s="10">
        <f>IF(管理者入力シート!$B$14=1,DK4*管理者用人口入力シート!BF$4,IF(管理者入力シート!$B$14=2,DK4*管理者用人口入力シート!BF$8))</f>
        <v>5.5596886496616884</v>
      </c>
      <c r="DM7" s="10">
        <f t="shared" si="69"/>
        <v>834.78984215715934</v>
      </c>
      <c r="DN7" s="10">
        <f t="shared" si="34"/>
        <v>28.053348843086237</v>
      </c>
      <c r="DO7" s="10">
        <f t="shared" si="35"/>
        <v>14.291162895311633</v>
      </c>
      <c r="DP7" s="10">
        <f t="shared" si="6"/>
        <v>382.03715233505125</v>
      </c>
      <c r="DQ7" s="10">
        <f t="shared" si="36"/>
        <v>246.71079947403973</v>
      </c>
      <c r="DR7" s="14">
        <f t="shared" si="37"/>
        <v>0.45764470653816136</v>
      </c>
      <c r="DS7" s="14">
        <f t="shared" si="38"/>
        <v>0.29553641768869704</v>
      </c>
      <c r="DT7" s="10">
        <f t="shared" si="70"/>
        <v>110.91946054151252</v>
      </c>
      <c r="DV7" s="7" t="s">
        <v>401</v>
      </c>
      <c r="DW7" s="210">
        <f>(SUM(BK12:BW12)-SUM(D12:P12))/4</f>
        <v>-69.97800430318182</v>
      </c>
      <c r="DX7" s="29">
        <f>DX6</f>
        <v>2030</v>
      </c>
      <c r="DY7" s="4" t="s">
        <v>22</v>
      </c>
      <c r="DZ7" s="10">
        <f>FB7*$AK$14</f>
        <v>42.202161978300133</v>
      </c>
      <c r="EA7" s="10">
        <f>IF(管理者入力シート!$B$14=1,DZ4*管理者用人口入力シート!AM$4,IF(管理者入力シート!$B$14=2,DZ4*管理者用人口入力シート!AM$8))</f>
        <v>20.919998048516106</v>
      </c>
      <c r="EB7" s="10">
        <f>IF(管理者入力シート!$B$14=1,EA4*管理者用人口入力シート!AN$4,IF(管理者入力シート!$B$14=2,EA4*管理者用人口入力シート!AN$8))</f>
        <v>23.971937136909343</v>
      </c>
      <c r="EC7" s="10">
        <f>IF(管理者入力シート!$B$14=1,EB4*管理者用人口入力シート!AO$4,IF(管理者入力シート!$B$14=2,EB4*管理者用人口入力シート!AO$8))</f>
        <v>20.848324609717821</v>
      </c>
      <c r="ED7" s="10">
        <f>IF(管理者入力シート!$B$14=1,EC4*管理者用人口入力シート!AP$4,IF(管理者入力シート!$B$14=2,EC4*管理者用人口入力シート!AP$8))</f>
        <v>23.903093063729376</v>
      </c>
      <c r="EE7" s="10">
        <f>IF(管理者入力シート!$B$14=1,ED4*管理者用人口入力シート!AQ$4,IF(管理者入力シート!$B$14=2,ED4*管理者用人口入力シート!AQ$8))+DX1</f>
        <v>43.067833663163832</v>
      </c>
      <c r="EF7" s="10">
        <f>IF(管理者入力シート!$B$14=1,EE4*管理者用人口入力シート!AR$4,IF(管理者入力シート!$B$14=2,EE4*管理者用人口入力シート!AR$8))+DX1</f>
        <v>71.066571767639715</v>
      </c>
      <c r="EG7" s="10">
        <f>IF(管理者入力シート!$B$14=1,EF4*管理者用人口入力シート!AS$4,IF(管理者入力シート!$B$14=2,EF4*管理者用人口入力シート!AS$8))+DX1</f>
        <v>82.565967151405971</v>
      </c>
      <c r="EH7" s="10">
        <f>IF(管理者入力シート!$B$14=1,EG4*管理者用人口入力シート!AT$4,IF(管理者入力シート!$B$14=2,EG4*管理者用人口入力シート!AT$8))</f>
        <v>59.153901943134954</v>
      </c>
      <c r="EI7" s="10">
        <f>IF(管理者入力シート!$B$14=1,EH4*管理者用人口入力シート!AU$4,IF(管理者入力シート!$B$14=2,EH4*管理者用人口入力シート!AU$8))</f>
        <v>40.474746526886108</v>
      </c>
      <c r="EJ7" s="10">
        <f>IF(管理者入力シート!$B$14=1,EI4*管理者用人口入力シート!AV$4,IF(管理者入力シート!$B$14=2,EI4*管理者用人口入力シート!AV$8))</f>
        <v>58.393420465041736</v>
      </c>
      <c r="EK7" s="10">
        <f>IF(管理者入力シート!$B$14=1,EJ4*管理者用人口入力シート!AW$4,IF(管理者入力シート!$B$14=2,EJ4*管理者用人口入力シート!AW$8))</f>
        <v>48.82201309614328</v>
      </c>
      <c r="EL7" s="10">
        <f>IF(管理者入力シート!$B$14=1,EK4*管理者用人口入力シート!AX$4,IF(管理者入力シート!$B$14=2,EK4*管理者用人口入力シート!AX$8))</f>
        <v>64.449215731350506</v>
      </c>
      <c r="EM7" s="10">
        <f>IF(管理者入力シート!$B$14=1,EL4*管理者用人口入力シート!AY$4,IF(管理者入力シート!$B$14=2,EL4*管理者用人口入力シート!AY$8))</f>
        <v>65.627472082950831</v>
      </c>
      <c r="EN7" s="10">
        <f>IF(管理者入力シート!$B$14=1,EM4*管理者用人口入力シート!AZ$4,IF(管理者入力シート!$B$14=2,EM4*管理者用人口入力シート!AZ$8))</f>
        <v>69.698880778060712</v>
      </c>
      <c r="EO7" s="10">
        <f>IF(管理者入力シート!$B$14=1,EN4*管理者用人口入力シート!BA$4,IF(管理者入力シート!$B$14=2,EN4*管理者用人口入力シート!BA$8))</f>
        <v>85.373456224999728</v>
      </c>
      <c r="EP7" s="10">
        <f>IF(管理者入力シート!$B$14=1,EO4*管理者用人口入力シート!BB$4,IF(管理者入力シート!$B$14=2,EO4*管理者用人口入力シート!BB$8))</f>
        <v>63.237940198449373</v>
      </c>
      <c r="EQ7" s="10">
        <f>IF(管理者入力シート!$B$14=1,EP4*管理者用人口入力シート!BC$4,IF(管理者入力シート!$B$14=2,EP4*管理者用人口入力シート!BC$8))</f>
        <v>50.175719126348703</v>
      </c>
      <c r="ER7" s="10">
        <f>IF(管理者入力シート!$B$14=1,EQ4*管理者用人口入力シート!BD$4,IF(管理者入力シート!$B$14=2,EQ4*管理者用人口入力シート!BD$8))</f>
        <v>29.746361334920579</v>
      </c>
      <c r="ES7" s="10">
        <f>IF(管理者入力シート!$B$14=1,ER4*管理者用人口入力シート!BE$4,IF(管理者入力シート!$B$14=2,ER4*管理者用人口入力シート!BE$8))</f>
        <v>12.617633939659664</v>
      </c>
      <c r="ET7" s="10">
        <f>IF(管理者入力シート!$B$14=1,ES4*管理者用人口入力シート!BF$4,IF(管理者入力シート!$B$14=2,ES4*管理者用人口入力シート!BF$8))</f>
        <v>5.5596886496616884</v>
      </c>
      <c r="EU7" s="10">
        <f t="shared" si="71"/>
        <v>981.87633751699002</v>
      </c>
      <c r="EV7" s="10">
        <f t="shared" si="41"/>
        <v>26.935161111255269</v>
      </c>
      <c r="EW7" s="10">
        <f t="shared" si="42"/>
        <v>13.758439776707302</v>
      </c>
      <c r="EX7" s="10">
        <f t="shared" si="10"/>
        <v>382.03715233505125</v>
      </c>
      <c r="EY7" s="10">
        <f t="shared" si="43"/>
        <v>246.71079947403973</v>
      </c>
      <c r="EZ7" s="14">
        <f t="shared" si="44"/>
        <v>0.38908886764820383</v>
      </c>
      <c r="FA7" s="14">
        <f t="shared" si="45"/>
        <v>0.25126463491108497</v>
      </c>
      <c r="FB7" s="10">
        <f t="shared" si="72"/>
        <v>220.60346564593891</v>
      </c>
    </row>
    <row r="8" spans="1:158" x14ac:dyDescent="0.15">
      <c r="A8" s="7" t="str">
        <f t="shared" si="11"/>
        <v>2010_3</v>
      </c>
      <c r="B8" s="30">
        <v>2010</v>
      </c>
      <c r="C8" s="5" t="s">
        <v>23</v>
      </c>
      <c r="D8" s="11">
        <v>98.937031900138692</v>
      </c>
      <c r="E8" s="11">
        <v>97.882339343504398</v>
      </c>
      <c r="F8" s="11">
        <v>109.96324549237171</v>
      </c>
      <c r="G8" s="11">
        <v>121.99642163661581</v>
      </c>
      <c r="H8" s="11">
        <v>99.834609338881179</v>
      </c>
      <c r="I8" s="11">
        <v>94.262487286176608</v>
      </c>
      <c r="J8" s="11">
        <v>135.9674433656958</v>
      </c>
      <c r="K8" s="11">
        <v>115.06388349514563</v>
      </c>
      <c r="L8" s="11">
        <v>134.14840499306518</v>
      </c>
      <c r="M8" s="11">
        <v>126.04426259824318</v>
      </c>
      <c r="N8" s="11">
        <v>137.78470642625982</v>
      </c>
      <c r="O8" s="11">
        <v>160.45583911234397</v>
      </c>
      <c r="P8" s="11">
        <v>162.09403606102637</v>
      </c>
      <c r="Q8" s="11">
        <v>138.93901987979658</v>
      </c>
      <c r="R8" s="11">
        <v>143.55374017568192</v>
      </c>
      <c r="S8" s="11">
        <v>180.82569579288025</v>
      </c>
      <c r="T8" s="11">
        <v>149.96840499306518</v>
      </c>
      <c r="U8" s="11">
        <v>67.07446139620896</v>
      </c>
      <c r="V8" s="11">
        <v>31.973878871937124</v>
      </c>
      <c r="W8" s="11">
        <v>9.0300878409616274</v>
      </c>
      <c r="X8" s="11">
        <v>0</v>
      </c>
      <c r="Y8" s="11">
        <f t="shared" si="68"/>
        <v>2315.7999999999997</v>
      </c>
      <c r="Z8" s="11">
        <f t="shared" si="12"/>
        <v>124.70735090152567</v>
      </c>
      <c r="AA8" s="11">
        <f t="shared" si="13"/>
        <v>68.384582524271849</v>
      </c>
      <c r="AB8" s="11">
        <f t="shared" si="0"/>
        <v>721.36528895053175</v>
      </c>
      <c r="AC8" s="11">
        <f t="shared" si="14"/>
        <v>438.87252889505316</v>
      </c>
      <c r="AD8" s="15">
        <f t="shared" si="15"/>
        <v>0.3114972316048587</v>
      </c>
      <c r="AE8" s="15">
        <f t="shared" si="16"/>
        <v>0.18951227605797272</v>
      </c>
      <c r="AF8" s="11">
        <f t="shared" si="17"/>
        <v>445.12842348589925</v>
      </c>
      <c r="AH8" s="7"/>
      <c r="AI8" s="30" t="s">
        <v>88</v>
      </c>
      <c r="AJ8" s="5">
        <f>AJ7</f>
        <v>2010</v>
      </c>
      <c r="AK8" s="5">
        <f>AK7</f>
        <v>2020</v>
      </c>
      <c r="AL8" s="33" t="s">
        <v>22</v>
      </c>
      <c r="AM8" s="47">
        <f t="shared" si="73"/>
        <v>0.86364621971828115</v>
      </c>
      <c r="AN8" s="47">
        <f t="shared" si="73"/>
        <v>0.91189450371070813</v>
      </c>
      <c r="AO8" s="47">
        <f t="shared" si="73"/>
        <v>0.6636155930216604</v>
      </c>
      <c r="AP8" s="47">
        <f t="shared" si="73"/>
        <v>0.86200018032360148</v>
      </c>
      <c r="AQ8" s="47">
        <f t="shared" si="73"/>
        <v>0.89932525384097861</v>
      </c>
      <c r="AR8" s="47">
        <f t="shared" si="73"/>
        <v>0.96620600809753099</v>
      </c>
      <c r="AS8" s="47">
        <f t="shared" si="73"/>
        <v>0.97363821453818344</v>
      </c>
      <c r="AT8" s="47">
        <f t="shared" si="73"/>
        <v>0.94829075085497072</v>
      </c>
      <c r="AU8" s="47">
        <f t="shared" si="73"/>
        <v>0.86384286478835559</v>
      </c>
      <c r="AV8" s="47">
        <f t="shared" si="73"/>
        <v>1.1148677780064011</v>
      </c>
      <c r="AW8" s="47">
        <f t="shared" si="73"/>
        <v>0.99712156588163203</v>
      </c>
      <c r="AX8" s="47">
        <f t="shared" si="73"/>
        <v>0.98485956220732451</v>
      </c>
      <c r="AY8" s="47">
        <f t="shared" si="73"/>
        <v>1.0072169847556867</v>
      </c>
      <c r="AZ8" s="47">
        <f t="shared" si="73"/>
        <v>0.97122631186865394</v>
      </c>
      <c r="BA8" s="47">
        <f t="shared" si="73"/>
        <v>0.93218000369483889</v>
      </c>
      <c r="BB8" s="47">
        <f t="shared" si="73"/>
        <v>0.86728209968807402</v>
      </c>
      <c r="BC8" s="47">
        <f t="shared" si="73"/>
        <v>0.79118805463709607</v>
      </c>
      <c r="BD8" s="47">
        <f t="shared" si="73"/>
        <v>0.55778741498875128</v>
      </c>
      <c r="BE8" s="47">
        <f t="shared" si="73"/>
        <v>0.36150306756476219</v>
      </c>
      <c r="BF8" s="47">
        <f t="shared" si="73"/>
        <v>0.35572119395058549</v>
      </c>
      <c r="BH8" s="7" t="str">
        <f t="shared" si="19"/>
        <v>2030_3</v>
      </c>
      <c r="BI8" s="30">
        <f>BI7</f>
        <v>2030</v>
      </c>
      <c r="BJ8" s="5" t="s">
        <v>23</v>
      </c>
      <c r="BK8" s="16">
        <f>BK6+BK7</f>
        <v>42.052734618318972</v>
      </c>
      <c r="BL8" s="16">
        <f t="shared" ref="BL8" si="74">BL6+BL7</f>
        <v>46.374391720662338</v>
      </c>
      <c r="BM8" s="16">
        <f t="shared" ref="BM8" si="75">BM6+BM7</f>
        <v>50.489336178108758</v>
      </c>
      <c r="BN8" s="16">
        <f t="shared" ref="BN8" si="76">BN6+BN7</f>
        <v>48.330451432183402</v>
      </c>
      <c r="BO8" s="16">
        <f t="shared" ref="BO8" si="77">BO6+BO7</f>
        <v>59.623106424909366</v>
      </c>
      <c r="BP8" s="16">
        <f t="shared" ref="BP8" si="78">BP6+BP7</f>
        <v>52.182453709475872</v>
      </c>
      <c r="BQ8" s="16">
        <f t="shared" ref="BQ8" si="79">BQ6+BQ7</f>
        <v>65.591216654030205</v>
      </c>
      <c r="BR8" s="16">
        <f t="shared" ref="BR8" si="80">BR6+BR7</f>
        <v>79.009914772844269</v>
      </c>
      <c r="BS8" s="16">
        <f t="shared" ref="BS8" si="81">BS6+BS7</f>
        <v>66.401347021427313</v>
      </c>
      <c r="BT8" s="16">
        <f t="shared" ref="BT8" si="82">BT6+BT7</f>
        <v>84.749827635378608</v>
      </c>
      <c r="BU8" s="16">
        <f t="shared" ref="BU8" si="83">BU6+BU7</f>
        <v>118.02387082516677</v>
      </c>
      <c r="BV8" s="16">
        <f t="shared" ref="BV8" si="84">BV6+BV7</f>
        <v>103.79188628705282</v>
      </c>
      <c r="BW8" s="16">
        <f t="shared" ref="BW8" si="85">BW6+BW7</f>
        <v>131.6957225652842</v>
      </c>
      <c r="BX8" s="16">
        <f t="shared" ref="BX8" si="86">BX6+BX7</f>
        <v>128.48591421538265</v>
      </c>
      <c r="BY8" s="16">
        <f t="shared" ref="BY8" si="87">BY6+BY7</f>
        <v>137.14080927247261</v>
      </c>
      <c r="BZ8" s="16">
        <f t="shared" ref="BZ8" si="88">BZ6+BZ7</f>
        <v>146.42767000386411</v>
      </c>
      <c r="CA8" s="16">
        <f t="shared" ref="CA8" si="89">CA6+CA7</f>
        <v>110.50133048538407</v>
      </c>
      <c r="CB8" s="16">
        <f t="shared" ref="CB8" si="90">CB6+CB7</f>
        <v>71.712197034554805</v>
      </c>
      <c r="CC8" s="16">
        <f t="shared" ref="CC8" si="91">CC6+CC7</f>
        <v>38.633295577281096</v>
      </c>
      <c r="CD8" s="16">
        <f t="shared" ref="CD8" si="92">CD6+CD7</f>
        <v>14.631642019213007</v>
      </c>
      <c r="CE8" s="16">
        <f t="shared" ref="CE8" si="93">CE6+CE7</f>
        <v>5.6189187851903135</v>
      </c>
      <c r="CF8" s="11">
        <f t="shared" si="2"/>
        <v>1601.4680372381854</v>
      </c>
      <c r="CG8" s="11">
        <f t="shared" si="20"/>
        <v>58.118236739262656</v>
      </c>
      <c r="CH8" s="11">
        <f t="shared" si="21"/>
        <v>29.861824757680186</v>
      </c>
      <c r="CI8" s="11">
        <f t="shared" si="3"/>
        <v>653.15177739334263</v>
      </c>
      <c r="CJ8" s="11">
        <f t="shared" si="22"/>
        <v>387.52505390548748</v>
      </c>
      <c r="CK8" s="15">
        <f t="shared" si="23"/>
        <v>0.40784565299207387</v>
      </c>
      <c r="CL8" s="15">
        <f t="shared" si="24"/>
        <v>0.2419811353673936</v>
      </c>
      <c r="CM8" s="11">
        <f t="shared" si="25"/>
        <v>256.40669156125972</v>
      </c>
      <c r="CO8" s="7" t="str">
        <f t="shared" si="26"/>
        <v>2030_3</v>
      </c>
      <c r="CP8" s="30">
        <f>CP7</f>
        <v>2030</v>
      </c>
      <c r="CQ8" s="5" t="s">
        <v>23</v>
      </c>
      <c r="CR8" s="16">
        <f>CR6+CR7</f>
        <v>45.598423383513818</v>
      </c>
      <c r="CS8" s="16">
        <f t="shared" ref="CS8" si="94">CS6+CS7</f>
        <v>48.234413701467489</v>
      </c>
      <c r="CT8" s="16">
        <f t="shared" ref="CT8" si="95">CT6+CT7</f>
        <v>52.489336178108758</v>
      </c>
      <c r="CU8" s="16">
        <f t="shared" ref="CU8" si="96">CU6+CU7</f>
        <v>49.776464050653914</v>
      </c>
      <c r="CV8" s="16">
        <f t="shared" ref="CV8" si="97">CV6+CV7</f>
        <v>59.623106424909366</v>
      </c>
      <c r="CW8" s="16">
        <f t="shared" ref="CW8" si="98">CW6+CW7</f>
        <v>56.182453709475872</v>
      </c>
      <c r="CX8" s="16">
        <f t="shared" ref="CX8" si="99">CX6+CX7</f>
        <v>69.427460267208019</v>
      </c>
      <c r="CY8" s="16">
        <f t="shared" ref="CY8" si="100">CY6+CY7</f>
        <v>79.009914772844269</v>
      </c>
      <c r="CZ8" s="16">
        <f t="shared" ref="CZ8" si="101">CZ6+CZ7</f>
        <v>67.401347021427313</v>
      </c>
      <c r="DA8" s="16">
        <f t="shared" ref="DA8" si="102">DA6+DA7</f>
        <v>85.613670500166961</v>
      </c>
      <c r="DB8" s="16">
        <f t="shared" ref="DB8" si="103">DB6+DB7</f>
        <v>118.02387082516677</v>
      </c>
      <c r="DC8" s="16">
        <f t="shared" ref="DC8" si="104">DC6+DC7</f>
        <v>103.79188628705282</v>
      </c>
      <c r="DD8" s="16">
        <f t="shared" ref="DD8" si="105">DD6+DD7</f>
        <v>131.6957225652842</v>
      </c>
      <c r="DE8" s="16">
        <f t="shared" ref="DE8" si="106">DE6+DE7</f>
        <v>128.48591421538265</v>
      </c>
      <c r="DF8" s="16">
        <f t="shared" ref="DF8" si="107">DF6+DF7</f>
        <v>137.14080927247261</v>
      </c>
      <c r="DG8" s="16">
        <f t="shared" ref="DG8" si="108">DG6+DG7</f>
        <v>146.42767000386411</v>
      </c>
      <c r="DH8" s="16">
        <f t="shared" ref="DH8" si="109">DH6+DH7</f>
        <v>110.50133048538407</v>
      </c>
      <c r="DI8" s="16">
        <f t="shared" ref="DI8" si="110">DI6+DI7</f>
        <v>71.712197034554805</v>
      </c>
      <c r="DJ8" s="16">
        <f t="shared" ref="DJ8" si="111">DJ6+DJ7</f>
        <v>38.633295577281096</v>
      </c>
      <c r="DK8" s="16">
        <f t="shared" ref="DK8" si="112">DK6+DK7</f>
        <v>14.631642019213007</v>
      </c>
      <c r="DL8" s="16">
        <f t="shared" ref="DL8" si="113">DL6+DL7</f>
        <v>5.6189187851903135</v>
      </c>
      <c r="DM8" s="11">
        <f t="shared" si="69"/>
        <v>1620.0198470806222</v>
      </c>
      <c r="DN8" s="11">
        <f t="shared" si="34"/>
        <v>60.434249927745753</v>
      </c>
      <c r="DO8" s="11">
        <f t="shared" si="35"/>
        <v>30.951027281374284</v>
      </c>
      <c r="DP8" s="11">
        <f t="shared" si="6"/>
        <v>653.15177739334263</v>
      </c>
      <c r="DQ8" s="11">
        <f t="shared" si="36"/>
        <v>387.52505390548748</v>
      </c>
      <c r="DR8" s="15">
        <f t="shared" si="37"/>
        <v>0.40317517008841791</v>
      </c>
      <c r="DS8" s="15">
        <f t="shared" si="38"/>
        <v>0.23921006560742575</v>
      </c>
      <c r="DT8" s="11">
        <f t="shared" si="70"/>
        <v>264.24293517443755</v>
      </c>
      <c r="DV8" s="7" t="s">
        <v>402</v>
      </c>
      <c r="DW8" s="210">
        <f>(SUM(BK13:BW13)-SUM(D13:P13))/4</f>
        <v>-70.291004589158533</v>
      </c>
      <c r="DX8" s="30">
        <f>DX7</f>
        <v>2030</v>
      </c>
      <c r="DY8" s="5" t="s">
        <v>23</v>
      </c>
      <c r="DZ8" s="16">
        <f>DZ6+DZ7</f>
        <v>86.711233972351394</v>
      </c>
      <c r="EA8" s="16">
        <f t="shared" ref="EA8:ET8" si="114">EA6+EA7</f>
        <v>46.374391720662338</v>
      </c>
      <c r="EB8" s="16">
        <f t="shared" si="114"/>
        <v>50.489336178108758</v>
      </c>
      <c r="EC8" s="16">
        <f t="shared" si="114"/>
        <v>48.330451432183402</v>
      </c>
      <c r="ED8" s="16">
        <f t="shared" si="114"/>
        <v>59.623106424909366</v>
      </c>
      <c r="EE8" s="16">
        <f t="shared" si="114"/>
        <v>98.18245370947588</v>
      </c>
      <c r="EF8" s="16">
        <f t="shared" si="114"/>
        <v>155.70801820557523</v>
      </c>
      <c r="EG8" s="16">
        <f t="shared" si="114"/>
        <v>167.9259099957107</v>
      </c>
      <c r="EH8" s="16">
        <f t="shared" si="114"/>
        <v>110.03538106054367</v>
      </c>
      <c r="EI8" s="16">
        <f t="shared" si="114"/>
        <v>84.749827635378608</v>
      </c>
      <c r="EJ8" s="16">
        <f t="shared" si="114"/>
        <v>118.02387082516677</v>
      </c>
      <c r="EK8" s="16">
        <f t="shared" si="114"/>
        <v>103.79188628705282</v>
      </c>
      <c r="EL8" s="16">
        <f t="shared" si="114"/>
        <v>131.6957225652842</v>
      </c>
      <c r="EM8" s="16">
        <f t="shared" si="114"/>
        <v>128.48591421538265</v>
      </c>
      <c r="EN8" s="16">
        <f t="shared" si="114"/>
        <v>137.14080927247261</v>
      </c>
      <c r="EO8" s="16">
        <f t="shared" si="114"/>
        <v>146.42767000386411</v>
      </c>
      <c r="EP8" s="16">
        <f t="shared" si="114"/>
        <v>110.50133048538407</v>
      </c>
      <c r="EQ8" s="16">
        <f t="shared" si="114"/>
        <v>71.712197034554805</v>
      </c>
      <c r="ER8" s="16">
        <f t="shared" si="114"/>
        <v>38.633295577281096</v>
      </c>
      <c r="ES8" s="16">
        <f t="shared" si="114"/>
        <v>14.631642019213007</v>
      </c>
      <c r="ET8" s="16">
        <f t="shared" si="114"/>
        <v>5.6189187851903135</v>
      </c>
      <c r="EU8" s="11">
        <f t="shared" si="71"/>
        <v>1914.7933674057454</v>
      </c>
      <c r="EV8" s="11">
        <f t="shared" si="41"/>
        <v>58.118236739262656</v>
      </c>
      <c r="EW8" s="11">
        <f t="shared" si="42"/>
        <v>29.861824757680186</v>
      </c>
      <c r="EX8" s="11">
        <f t="shared" si="10"/>
        <v>653.15177739334263</v>
      </c>
      <c r="EY8" s="11">
        <f t="shared" si="43"/>
        <v>387.52505390548748</v>
      </c>
      <c r="EZ8" s="15">
        <f t="shared" si="44"/>
        <v>0.3411082305336498</v>
      </c>
      <c r="FA8" s="15">
        <f t="shared" si="45"/>
        <v>0.20238479018262173</v>
      </c>
      <c r="FB8" s="11">
        <f t="shared" si="72"/>
        <v>481.43948833567117</v>
      </c>
    </row>
    <row r="9" spans="1:158" x14ac:dyDescent="0.15">
      <c r="A9" s="7" t="str">
        <f t="shared" si="11"/>
        <v>2015_1</v>
      </c>
      <c r="B9" s="28">
        <v>2015</v>
      </c>
      <c r="C9" s="3" t="s">
        <v>21</v>
      </c>
      <c r="D9" s="9">
        <v>41.843547916066015</v>
      </c>
      <c r="E9" s="9">
        <v>50.683260078099039</v>
      </c>
      <c r="F9" s="9">
        <v>47.166831938009096</v>
      </c>
      <c r="G9" s="9">
        <v>43.159942998060814</v>
      </c>
      <c r="H9" s="9">
        <v>63.696737229149512</v>
      </c>
      <c r="I9" s="9">
        <v>44.016517683805908</v>
      </c>
      <c r="J9" s="9">
        <v>51.612652175667293</v>
      </c>
      <c r="K9" s="9">
        <v>62.115387667590312</v>
      </c>
      <c r="L9" s="9">
        <v>52.334607102026268</v>
      </c>
      <c r="M9" s="9">
        <v>65.061961672657574</v>
      </c>
      <c r="N9" s="9">
        <v>61.324274329801824</v>
      </c>
      <c r="O9" s="9">
        <v>72.293184004020333</v>
      </c>
      <c r="P9" s="9">
        <v>75.505663645634925</v>
      </c>
      <c r="Q9" s="9">
        <v>72.90568780675828</v>
      </c>
      <c r="R9" s="9">
        <v>57.340329849873719</v>
      </c>
      <c r="S9" s="9">
        <v>59.762576476507412</v>
      </c>
      <c r="T9" s="9">
        <v>53.388819279865245</v>
      </c>
      <c r="U9" s="9">
        <v>38.300088992117722</v>
      </c>
      <c r="V9" s="9">
        <v>4.1534463956680323</v>
      </c>
      <c r="W9" s="9">
        <v>2.0344827586206895</v>
      </c>
      <c r="X9" s="9">
        <v>0</v>
      </c>
      <c r="Y9" s="9">
        <f t="shared" si="68"/>
        <v>1018.7</v>
      </c>
      <c r="Z9" s="9">
        <f t="shared" si="12"/>
        <v>58.710055209664887</v>
      </c>
      <c r="AA9" s="9">
        <f t="shared" si="13"/>
        <v>27.498721374815801</v>
      </c>
      <c r="AB9" s="9">
        <f t="shared" si="0"/>
        <v>287.88543155941107</v>
      </c>
      <c r="AC9" s="9">
        <f t="shared" si="14"/>
        <v>157.6394139027791</v>
      </c>
      <c r="AD9" s="13">
        <f t="shared" si="15"/>
        <v>0.28260079666183474</v>
      </c>
      <c r="AE9" s="13">
        <f t="shared" si="16"/>
        <v>0.15474566987609609</v>
      </c>
      <c r="AF9" s="9">
        <f t="shared" si="17"/>
        <v>221.44129475621304</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16.951943933457908</v>
      </c>
      <c r="BL9" s="9">
        <f>IF(管理者入力シート!$B$14=1,BK6*管理者用人口入力シート!AM$3,IF(管理者入力シート!$B$14=2,BK6*管理者用人口入力シート!AM$7))</f>
        <v>21.507531574483764</v>
      </c>
      <c r="BM9" s="9">
        <f>IF(管理者入力シート!$B$14=1,BL6*管理者用人口入力シート!AN$3,IF(管理者入力シート!$B$14=2,BL6*管理者用人口入力シート!AN$7))</f>
        <v>21.102505963229863</v>
      </c>
      <c r="BN9" s="9">
        <f>IF(管理者入力シート!$B$14=1,BM6*管理者用人口入力シート!AO$3,IF(管理者入力シート!$B$14=2,BM6*管理者用人口入力シート!AO$7))</f>
        <v>20.747134132474681</v>
      </c>
      <c r="BO9" s="9">
        <f>IF(管理者入力シート!$B$14=1,BN6*管理者用人口入力シート!AP$3,IF(管理者入力シート!$B$14=2,BN6*管理者用人口入力シート!AP$7))</f>
        <v>30.479051380907038</v>
      </c>
      <c r="BP9" s="9">
        <f>IF(管理者入力シート!$B$14=1,BO6*管理者用人口入力シート!AQ$3,IF(管理者入力シート!$B$14=2,BO6*管理者用人口入力シート!AQ$7))</f>
        <v>27.848420833181418</v>
      </c>
      <c r="BQ9" s="9">
        <f>IF(管理者入力シート!$B$14=1,BP6*管理者用人口入力シート!AR$3,IF(管理者入力シート!$B$14=2,BP6*管理者用人口入力シート!AR$7))</f>
        <v>30.570414184632487</v>
      </c>
      <c r="BR9" s="9">
        <f>IF(管理者入力シート!$B$14=1,BQ6*管理者用人口入力シート!AS$3,IF(管理者入力シート!$B$14=2,BQ6*管理者用人口入力シート!AS$7))</f>
        <v>35.465581176360516</v>
      </c>
      <c r="BS9" s="9">
        <f>IF(管理者入力シート!$B$14=1,BR6*管理者用人口入力シート!AT$3,IF(管理者入力シート!$B$14=2,BR6*管理者用人口入力シート!AT$7))</f>
        <v>39.697262275583419</v>
      </c>
      <c r="BT9" s="9">
        <f>IF(管理者入力シート!$B$14=1,BS6*管理者用人口入力シート!AU$3,IF(管理者入力シート!$B$14=2,BS6*管理者用人口入力シート!AU$7))</f>
        <v>28.385563459696733</v>
      </c>
      <c r="BU9" s="9">
        <f>IF(管理者入力シート!$B$14=1,BT6*管理者用人口入力シート!AV$3,IF(管理者入力シート!$B$14=2,BT6*管理者用人口入力シート!AV$7))</f>
        <v>44.061481077201087</v>
      </c>
      <c r="BV9" s="9">
        <f>IF(管理者入力シート!$B$14=1,BU6*管理者用人口入力シート!AW$3,IF(管理者入力シート!$B$14=2,BU6*管理者用人口入力シート!AW$7))</f>
        <v>60.874632626209959</v>
      </c>
      <c r="BW9" s="9">
        <f>IF(管理者入力シート!$B$14=1,BV6*管理者用人口入力シート!AX$3,IF(管理者入力シート!$B$14=2,BV6*管理者用人口入力シート!AX$7))</f>
        <v>57.814114232573687</v>
      </c>
      <c r="BX9" s="9">
        <f>IF(管理者入力シート!$B$14=1,BW6*管理者用人口入力シート!AY$3,IF(管理者入力シート!$B$14=2,BW6*管理者用人口入力シート!AY$7))</f>
        <v>61.828051231087805</v>
      </c>
      <c r="BY9" s="9">
        <f>IF(管理者入力シート!$B$14=1,BX6*管理者用人口入力シート!AZ$3,IF(管理者入力シート!$B$14=2,BX6*管理者用人口入力シート!AZ$7))</f>
        <v>61.768377261869723</v>
      </c>
      <c r="BZ9" s="9">
        <f>IF(管理者入力シート!$B$14=1,BY6*管理者用人口入力シート!BA$3,IF(管理者入力シート!$B$14=2,BY6*管理者用人口入力シート!BA$7))</f>
        <v>61.176084049877666</v>
      </c>
      <c r="CA9" s="9">
        <f>IF(管理者入力シート!$B$14=1,BZ6*管理者用人口入力シート!BB$3,IF(管理者入力シート!$B$14=2,BZ6*管理者用人口入力シート!BB$7))</f>
        <v>44.305856403323695</v>
      </c>
      <c r="CB9" s="9">
        <f>IF(管理者入力シート!$B$14=1,CA6*管理者用人口入力シート!BC$3,IF(管理者入力シート!$B$14=2,CA6*管理者用人口入力シート!BC$7))</f>
        <v>29.421781408774066</v>
      </c>
      <c r="CC9" s="9">
        <f>IF(管理者入力シート!$B$14=1,CB6*管理者用人口入力シート!BD$3,IF(管理者入力シート!$B$14=2,CB6*管理者用人口入力シート!BD$7))</f>
        <v>6.4498296469555232</v>
      </c>
      <c r="CD9" s="9">
        <f>IF(管理者入力シート!$B$14=1,CC6*管理者用人口入力シート!BE$3,IF(管理者入力シート!$B$14=2,CC6*管理者用人口入力シート!BE$7))</f>
        <v>1.7847213220099973</v>
      </c>
      <c r="CE9" s="9">
        <f>IF(管理者入力シート!$B$14=1,CD6*管理者用人口入力シート!BF$3,IF(管理者入力シート!$B$14=2,CD6*管理者用人口入力シート!BF$7))</f>
        <v>4.4815168224679777E-2</v>
      </c>
      <c r="CF9" s="9">
        <f t="shared" si="2"/>
        <v>702.28515334211579</v>
      </c>
      <c r="CG9" s="9">
        <f t="shared" si="20"/>
        <v>25.566022522628174</v>
      </c>
      <c r="CH9" s="9">
        <f t="shared" si="21"/>
        <v>12.590429211786882</v>
      </c>
      <c r="CI9" s="9">
        <f t="shared" si="3"/>
        <v>266.77951649212315</v>
      </c>
      <c r="CJ9" s="9">
        <f t="shared" si="22"/>
        <v>143.18308799916565</v>
      </c>
      <c r="CK9" s="13">
        <f t="shared" si="23"/>
        <v>0.37987349614688842</v>
      </c>
      <c r="CL9" s="13">
        <f t="shared" si="24"/>
        <v>0.20388169580087151</v>
      </c>
      <c r="CM9" s="9">
        <f t="shared" si="25"/>
        <v>124.36346757508146</v>
      </c>
      <c r="CO9" s="7" t="str">
        <f t="shared" si="26"/>
        <v>2035_1</v>
      </c>
      <c r="CP9" s="28">
        <f>管理者入力シート!B10</f>
        <v>2035</v>
      </c>
      <c r="CQ9" s="3" t="s">
        <v>21</v>
      </c>
      <c r="CR9" s="9">
        <f>DT10*$AK$13+将来予測シート②!$G17</f>
        <v>19.240370323344944</v>
      </c>
      <c r="CS9" s="9">
        <f>IF(管理者入力シート!$B$14=1,CR6*管理者用人口入力シート!AM$3,IF(管理者入力シート!$B$14=2,CR6*管理者用人口入力シート!AM$7))+将来予測シート②!$G18</f>
        <v>23.294437374187225</v>
      </c>
      <c r="CT9" s="9">
        <f>IF(管理者入力シート!$B$14=1,CS6*管理者用人口入力シート!AN$3,IF(管理者入力シート!$B$14=2,CS6*管理者用人口入力シート!AN$7))+将来予測シート②!$G19</f>
        <v>22.92853331672999</v>
      </c>
      <c r="CU9" s="9">
        <f>IF(管理者入力シート!$B$14=1,CT6*管理者用人口入力シート!AO$3,IF(管理者入力シート!$B$14=2,CT6*管理者用人口入力シート!AO$7))+将来予測シート②!$G20</f>
        <v>21.529531157923532</v>
      </c>
      <c r="CV9" s="9">
        <f>IF(管理者入力シート!$B$14=1,CU6*管理者用人口入力シート!AP$3,IF(管理者入力シート!$B$14=2,CU6*管理者用人口入力シート!AP$7))+将来予測シート②!$G21</f>
        <v>31.346768762934062</v>
      </c>
      <c r="CW9" s="9">
        <f>IF(管理者入力シート!$B$14=1,CV6*管理者用人口入力シート!AQ$3,IF(管理者入力シート!$B$14=2,CV6*管理者用人口入力シート!AQ$7))+将来予測シート②!$G22</f>
        <v>29.848420833181418</v>
      </c>
      <c r="CX9" s="9">
        <f>IF(管理者入力シート!$B$14=1,CW6*管理者用人口入力シート!AR$3,IF(管理者入力シート!$B$14=2,CW6*管理者用人口入力シート!AR$7))+将来予測シート②!$G23</f>
        <v>32.474245781615252</v>
      </c>
      <c r="CY9" s="9">
        <f>IF(管理者入力シート!$B$14=1,CX6*管理者用人口入力シート!AS$3,IF(管理者入力シート!$B$14=2,CX6*管理者用人口入力シート!AS$7))+将来予測シート②!$G24</f>
        <v>37.164321793460424</v>
      </c>
      <c r="CZ9" s="9">
        <f>IF(管理者入力シート!$B$14=1,CY6*管理者用人口入力シート!AT$3,IF(管理者入力シート!$B$14=2,CY6*管理者用人口入力シート!AT$7))+将来予測シート②!$G25</f>
        <v>39.697262275583419</v>
      </c>
      <c r="DA9" s="9">
        <f>IF(管理者入力シート!$B$14=1,CZ6*管理者用人口入力シート!AU$3,IF(管理者入力シート!$B$14=2,CZ6*管理者用人口入力シート!AU$7))+将来予測シート②!$G26</f>
        <v>28.385563459696733</v>
      </c>
      <c r="DB9" s="9">
        <f>IF(管理者入力シート!$B$14=1,DA6*管理者用人口入力シート!AV$3,IF(管理者入力シート!$B$14=2,DA6*管理者用人口入力シート!AV$7))+将来予測シート②!$G27</f>
        <v>44.061481077201087</v>
      </c>
      <c r="DC9" s="9">
        <f>IF(管理者入力シート!$B$14=1,DB6*管理者用人口入力シート!AW$3,IF(管理者入力シート!$B$14=2,DB6*管理者用人口入力シート!AW$7))+将来予測シート②!$G28</f>
        <v>60.874632626209959</v>
      </c>
      <c r="DD9" s="9">
        <f>IF(管理者入力シート!$B$14=1,DC6*管理者用人口入力シート!AX$3,IF(管理者入力シート!$B$14=2,DC6*管理者用人口入力シート!AX$7))+将来予測シート②!$G29</f>
        <v>57.814114232573687</v>
      </c>
      <c r="DE9" s="9">
        <f>IF(管理者入力シート!$B$14=1,DD6*管理者用人口入力シート!AY$3,IF(管理者入力シート!$B$14=2,DD6*管理者用人口入力シート!AY$7))</f>
        <v>61.828051231087805</v>
      </c>
      <c r="DF9" s="9">
        <f>IF(管理者入力シート!$B$14=1,DE6*管理者用人口入力シート!AZ$3,IF(管理者入力シート!$B$14=2,DE6*管理者用人口入力シート!AZ$7))</f>
        <v>61.768377261869723</v>
      </c>
      <c r="DG9" s="9">
        <f>IF(管理者入力シート!$B$14=1,DF6*管理者用人口入力シート!BA$3,IF(管理者入力シート!$B$14=2,DF6*管理者用人口入力シート!BA$7))</f>
        <v>61.176084049877666</v>
      </c>
      <c r="DH9" s="9">
        <f>IF(管理者入力シート!$B$14=1,DG6*管理者用人口入力シート!BB$3,IF(管理者入力シート!$B$14=2,DG6*管理者用人口入力シート!BB$7))</f>
        <v>44.305856403323695</v>
      </c>
      <c r="DI9" s="9">
        <f>IF(管理者入力シート!$B$14=1,DH6*管理者用人口入力シート!BC$3,IF(管理者入力シート!$B$14=2,DH6*管理者用人口入力シート!BC$7))</f>
        <v>29.421781408774066</v>
      </c>
      <c r="DJ9" s="9">
        <f>IF(管理者入力シート!$B$14=1,DI6*管理者用人口入力シート!BD$3,IF(管理者入力シート!$B$14=2,DI6*管理者用人口入力シート!BD$7))</f>
        <v>6.4498296469555232</v>
      </c>
      <c r="DK9" s="9">
        <f>IF(管理者入力シート!$B$14=1,DJ6*管理者用人口入力シート!BE$3,IF(管理者入力シート!$B$14=2,DJ6*管理者用人口入力シート!BE$7))</f>
        <v>1.7847213220099973</v>
      </c>
      <c r="DL9" s="9">
        <f>IF(管理者入力シート!$B$14=1,DK6*管理者用人口入力シート!BF$3,IF(管理者入力シート!$B$14=2,DK6*管理者用人口入力シート!BF$7))</f>
        <v>4.4815168224679777E-2</v>
      </c>
      <c r="DM9" s="9">
        <f t="shared" si="69"/>
        <v>715.43919950676491</v>
      </c>
      <c r="DN9" s="9">
        <f t="shared" si="34"/>
        <v>27.733782414550333</v>
      </c>
      <c r="DO9" s="9">
        <f t="shared" si="35"/>
        <v>13.477319558276701</v>
      </c>
      <c r="DP9" s="9">
        <f t="shared" si="6"/>
        <v>266.77951649212315</v>
      </c>
      <c r="DQ9" s="9">
        <f t="shared" si="36"/>
        <v>143.18308799916565</v>
      </c>
      <c r="DR9" s="13">
        <f t="shared" si="37"/>
        <v>0.37288915211249979</v>
      </c>
      <c r="DS9" s="13">
        <f t="shared" si="38"/>
        <v>0.20013313234426955</v>
      </c>
      <c r="DT9" s="9">
        <f t="shared" si="70"/>
        <v>130.83375717119117</v>
      </c>
      <c r="DV9" s="7" t="s">
        <v>403</v>
      </c>
      <c r="DW9" s="210">
        <f>DW7+DW8</f>
        <v>-140.26900889234037</v>
      </c>
      <c r="DX9" s="28">
        <f>管理者入力シート!B10</f>
        <v>2035</v>
      </c>
      <c r="DY9" s="3" t="s">
        <v>21</v>
      </c>
      <c r="DZ9" s="9">
        <f>FB10*$AK$13</f>
        <v>44.240726223754343</v>
      </c>
      <c r="EA9" s="129">
        <f>IF(管理者入力シート!$B$14=1,DZ6*管理者用人口入力シート!AM$3,IF(管理者入力シート!$B$14=2,DZ6*管理者用人口入力シート!AM$7))</f>
        <v>44.347760483343016</v>
      </c>
      <c r="EB9" s="9">
        <f>IF(管理者入力シート!$B$14=1,EA6*管理者用人口入力シート!AN$3,IF(管理者入力シート!$B$14=2,EA6*管理者用人口入力シート!AN$7))</f>
        <v>21.102505963229863</v>
      </c>
      <c r="EC9" s="9">
        <f>IF(管理者入力シート!$B$14=1,EB6*管理者用人口入力シート!AO$3,IF(管理者入力シート!$B$14=2,EB6*管理者用人口入力シート!AO$7))</f>
        <v>20.747134132474681</v>
      </c>
      <c r="ED9" s="9">
        <f>IF(管理者入力シート!$B$14=1,EC6*管理者用人口入力シート!AP$3,IF(管理者入力シート!$B$14=2,EC6*管理者用人口入力シート!AP$7))</f>
        <v>30.479051380907038</v>
      </c>
      <c r="EE9" s="9">
        <f>IF(管理者入力シート!$B$14=1,ED6*管理者用人口入力シート!AQ$3,IF(管理者入力シート!$B$14=2,ED6*管理者用人口入力シート!AQ$7))+DX1</f>
        <v>50.848420833181422</v>
      </c>
      <c r="EF9" s="9">
        <f>IF(管理者入力シート!$B$14=1,EE6*管理者用人口入力シート!AR$3,IF(管理者入力シート!$B$14=2,EE6*管理者用人口入力シート!AR$7))+DX1</f>
        <v>75.464477549934287</v>
      </c>
      <c r="EG9" s="9">
        <f>IF(管理者入力シート!$B$14=1,EF6*管理者用人口入力シート!AS$3,IF(管理者入力シート!$B$14=2,EF6*管理者用人口入力シート!AS$7))+DX1</f>
        <v>98.523414561497731</v>
      </c>
      <c r="EH9" s="9">
        <f>IF(管理者入力シート!$B$14=1,EG6*管理者用人口入力シート!AT$3,IF(管理者入力シート!$B$14=2,EG6*管理者用人口入力シート!AT$7))</f>
        <v>80.993027517907279</v>
      </c>
      <c r="EI9" s="9">
        <f>IF(管理者入力シート!$B$14=1,EH6*管理者用人口入力シート!AU$3,IF(管理者入力シート!$B$14=2,EH6*管理者用人口入力シート!AU$7))</f>
        <v>49.703795038017979</v>
      </c>
      <c r="EJ9" s="9">
        <f>IF(管理者入力シート!$B$14=1,EI6*管理者用人口入力シート!AV$3,IF(管理者入力シート!$B$14=2,EI6*管理者用人口入力シート!AV$7))</f>
        <v>44.061481077201087</v>
      </c>
      <c r="EK9" s="9">
        <f>IF(管理者入力シート!$B$14=1,EJ6*管理者用人口入力シート!AW$3,IF(管理者入力シート!$B$14=2,EJ6*管理者用人口入力シート!AW$7))</f>
        <v>60.874632626209959</v>
      </c>
      <c r="EL9" s="9">
        <f>IF(管理者入力シート!$B$14=1,EK6*管理者用人口入力シート!AX$3,IF(管理者入力シート!$B$14=2,EK6*管理者用人口入力シート!AX$7))</f>
        <v>57.814114232573687</v>
      </c>
      <c r="EM9" s="9">
        <f>IF(管理者入力シート!$B$14=1,EL6*管理者用人口入力シート!AY$3,IF(管理者入力シート!$B$14=2,EL6*管理者用人口入力シート!AY$7))</f>
        <v>61.828051231087805</v>
      </c>
      <c r="EN9" s="9">
        <f>IF(管理者入力シート!$B$14=1,EM6*管理者用人口入力シート!AZ$3,IF(管理者入力シート!$B$14=2,EM6*管理者用人口入力シート!AZ$7))</f>
        <v>61.768377261869723</v>
      </c>
      <c r="EO9" s="9">
        <f>IF(管理者入力シート!$B$14=1,EN6*管理者用人口入力シート!BA$3,IF(管理者入力シート!$B$14=2,EN6*管理者用人口入力シート!BA$7))</f>
        <v>61.176084049877666</v>
      </c>
      <c r="EP9" s="9">
        <f>IF(管理者入力シート!$B$14=1,EO6*管理者用人口入力シート!BB$3,IF(管理者入力シート!$B$14=2,EO6*管理者用人口入力シート!BB$7))</f>
        <v>44.305856403323695</v>
      </c>
      <c r="EQ9" s="9">
        <f>IF(管理者入力シート!$B$14=1,EP6*管理者用人口入力シート!BC$3,IF(管理者入力シート!$B$14=2,EP6*管理者用人口入力シート!BC$7))</f>
        <v>29.421781408774066</v>
      </c>
      <c r="ER9" s="9">
        <f>IF(管理者入力シート!$B$14=1,EQ6*管理者用人口入力シート!BD$3,IF(管理者入力シート!$B$14=2,EQ6*管理者用人口入力シート!BD$7))</f>
        <v>6.4498296469555232</v>
      </c>
      <c r="ES9" s="9">
        <f>IF(管理者入力シート!$B$14=1,ER6*管理者用人口入力シート!BE$3,IF(管理者入力シート!$B$14=2,ER6*管理者用人口入力シート!BE$7))</f>
        <v>1.7847213220099973</v>
      </c>
      <c r="ET9" s="9">
        <f>IF(管理者入力シート!$B$14=1,ES6*管理者用人口入力シート!BF$3,IF(管理者入力シート!$B$14=2,ES6*管理者用人口入力シート!BF$7))</f>
        <v>4.4815168224679777E-2</v>
      </c>
      <c r="EU9" s="9">
        <f t="shared" si="71"/>
        <v>945.98005811235566</v>
      </c>
      <c r="EV9" s="9">
        <f t="shared" si="41"/>
        <v>39.270159867943725</v>
      </c>
      <c r="EW9" s="9">
        <f t="shared" si="42"/>
        <v>12.590429211786882</v>
      </c>
      <c r="EX9" s="9">
        <f t="shared" si="10"/>
        <v>266.77951649212315</v>
      </c>
      <c r="EY9" s="9">
        <f t="shared" si="43"/>
        <v>143.18308799916565</v>
      </c>
      <c r="EZ9" s="13">
        <f t="shared" si="44"/>
        <v>0.28201389046663949</v>
      </c>
      <c r="FA9" s="13">
        <f t="shared" si="45"/>
        <v>0.15135952050075832</v>
      </c>
      <c r="FB9" s="9">
        <f t="shared" si="72"/>
        <v>255.31536432552048</v>
      </c>
    </row>
    <row r="10" spans="1:158" x14ac:dyDescent="0.15">
      <c r="A10" s="7" t="str">
        <f t="shared" si="11"/>
        <v>2015_2</v>
      </c>
      <c r="B10" s="29">
        <v>2015</v>
      </c>
      <c r="C10" s="4" t="s">
        <v>22</v>
      </c>
      <c r="D10" s="10">
        <v>44.616210178710176</v>
      </c>
      <c r="E10" s="10">
        <v>45.634217171717168</v>
      </c>
      <c r="F10" s="10">
        <v>38.271335146335147</v>
      </c>
      <c r="G10" s="10">
        <v>35.446335146335144</v>
      </c>
      <c r="H10" s="10">
        <v>51.126897176897174</v>
      </c>
      <c r="I10" s="10">
        <v>45.871717171717172</v>
      </c>
      <c r="J10" s="10">
        <v>52.779419191919189</v>
      </c>
      <c r="K10" s="10">
        <v>64.565462315462312</v>
      </c>
      <c r="L10" s="10">
        <v>55.214371276871276</v>
      </c>
      <c r="M10" s="10">
        <v>59.720655270655271</v>
      </c>
      <c r="N10" s="10">
        <v>75.142738280238277</v>
      </c>
      <c r="O10" s="10">
        <v>72.559955322455323</v>
      </c>
      <c r="P10" s="10">
        <v>88.875427350427344</v>
      </c>
      <c r="Q10" s="10">
        <v>80.179843304843303</v>
      </c>
      <c r="R10" s="10">
        <v>77.795260295260292</v>
      </c>
      <c r="S10" s="10">
        <v>76.88533734783735</v>
      </c>
      <c r="T10" s="10">
        <v>85.764018389018389</v>
      </c>
      <c r="U10" s="10">
        <v>75.480921393421397</v>
      </c>
      <c r="V10" s="10">
        <v>27.728697228697229</v>
      </c>
      <c r="W10" s="10">
        <v>6.5183890183890183</v>
      </c>
      <c r="X10" s="10">
        <v>2.0227920227920229</v>
      </c>
      <c r="Y10" s="10">
        <f t="shared" si="68"/>
        <v>1162.1999999999996</v>
      </c>
      <c r="Z10" s="10">
        <f t="shared" si="12"/>
        <v>50.343331390831388</v>
      </c>
      <c r="AA10" s="10">
        <f t="shared" si="13"/>
        <v>22.397801087801088</v>
      </c>
      <c r="AB10" s="10">
        <f t="shared" si="0"/>
        <v>432.37525900025901</v>
      </c>
      <c r="AC10" s="10">
        <f t="shared" si="14"/>
        <v>274.40015540015543</v>
      </c>
      <c r="AD10" s="14">
        <f t="shared" si="15"/>
        <v>0.37203171485136738</v>
      </c>
      <c r="AE10" s="14">
        <f t="shared" si="16"/>
        <v>0.23610407451398685</v>
      </c>
      <c r="AF10" s="10">
        <f t="shared" si="17"/>
        <v>214.34349585599585</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16.073322845789033</v>
      </c>
      <c r="BL10" s="10">
        <f>IF(管理者入力シート!$B$14=1,BK7*管理者用人口入力シート!AM$4,IF(管理者入力シート!$B$14=2,BK7*管理者用人口入力シート!AM$8))</f>
        <v>17.676222202021975</v>
      </c>
      <c r="BM10" s="10">
        <f>IF(管理者入力シート!$B$14=1,BL7*管理者用人口入力シート!AN$4,IF(管理者入力シート!$B$14=2,BL7*管理者用人口入力シート!AN$8))</f>
        <v>19.076831238080576</v>
      </c>
      <c r="BN10" s="10">
        <f>IF(管理者入力シート!$B$14=1,BM7*管理者用人口入力シート!AO$4,IF(管理者入力シート!$B$14=2,BM7*管理者用人口入力シート!AO$8))</f>
        <v>15.908151278988058</v>
      </c>
      <c r="BO10" s="10">
        <f>IF(管理者入力シート!$B$14=1,BN7*管理者用人口入力シート!AP$4,IF(管理者入力シート!$B$14=2,BN7*管理者用人口入力シート!AP$8))</f>
        <v>17.97125957302174</v>
      </c>
      <c r="BP10" s="10">
        <f>IF(管理者入力シート!$B$14=1,BO7*管理者用人口入力シート!AQ$4,IF(管理者入力シート!$B$14=2,BO7*管理者用人口入力シート!AQ$8))</f>
        <v>21.496655237122955</v>
      </c>
      <c r="BQ10" s="10">
        <f>IF(管理者入力シート!$B$14=1,BP7*管理者用人口入力シート!AR$4,IF(管理者入力シート!$B$14=2,BP7*管理者用人口入力シート!AR$8))</f>
        <v>19.389661454850778</v>
      </c>
      <c r="BR10" s="10">
        <f>IF(管理者入力シート!$B$14=1,BQ7*管理者用人口入力シート!AS$4,IF(管理者入力シート!$B$14=2,BQ7*管理者用人口入力シート!AS$8))</f>
        <v>25.162543985012832</v>
      </c>
      <c r="BS10" s="10">
        <f>IF(管理者入力シート!$B$14=1,BR7*管理者用人口入力シート!AT$4,IF(管理者入力シート!$B$14=2,BR7*管理者用人口入力シート!AT$8))</f>
        <v>35.250137104322633</v>
      </c>
      <c r="BT10" s="10">
        <f>IF(管理者入力シート!$B$14=1,BS7*管理者用人口入力シート!AU$4,IF(管理者入力シート!$B$14=2,BS7*管理者用人口入力シート!AU$8))</f>
        <v>32.25866954393743</v>
      </c>
      <c r="BU10" s="10">
        <f>IF(管理者入力シート!$B$14=1,BT7*管理者用人口入力シート!AV$4,IF(管理者入力シート!$B$14=2,BT7*管理者用人口入力シート!AV$8))</f>
        <v>45.123990725801818</v>
      </c>
      <c r="BV10" s="10">
        <f>IF(管理者入力シート!$B$14=1,BU7*管理者用人口入力シート!AW$4,IF(管理者入力シート!$B$14=2,BU7*管理者用人口入力シート!AW$8))</f>
        <v>58.225338851286956</v>
      </c>
      <c r="BW10" s="10">
        <f>IF(管理者入力シート!$B$14=1,BV7*管理者用人口入力シート!AX$4,IF(管理者入力シート!$B$14=2,BV7*管理者用人口入力シート!AX$8))</f>
        <v>48.082826443947937</v>
      </c>
      <c r="BX10" s="10">
        <f>IF(管理者入力シート!$B$14=1,BW7*管理者用人口入力シート!AY$4,IF(管理者入力シート!$B$14=2,BW7*管理者用人口入力シート!AY$8))</f>
        <v>64.914344738799628</v>
      </c>
      <c r="BY10" s="10">
        <f>IF(管理者入力シート!$B$14=1,BX7*管理者用人口入力シート!AZ$4,IF(管理者入力シート!$B$14=2,BX7*管理者用人口入力シート!AZ$8))</f>
        <v>63.739127668387383</v>
      </c>
      <c r="BZ10" s="10">
        <f>IF(管理者入力シート!$B$14=1,BY7*管理者用人口入力シート!BA$4,IF(管理者入力シート!$B$14=2,BY7*管理者用人口入力シート!BA$8))</f>
        <v>64.971902941218772</v>
      </c>
      <c r="CA10" s="10">
        <f>IF(管理者入力シート!$B$14=1,BZ7*管理者用人口入力シート!BB$4,IF(管理者入力シート!$B$14=2,BZ7*管理者用人口入力シート!BB$8))</f>
        <v>74.042870372445634</v>
      </c>
      <c r="CB10" s="10">
        <f>IF(管理者入力シート!$B$14=1,CA7*管理者用人口入力シート!BC$4,IF(管理者入力シート!$B$14=2,CA7*管理者用人口入力シート!BC$8))</f>
        <v>50.033102884868178</v>
      </c>
      <c r="CC10" s="10">
        <f>IF(管理者入力シート!$B$14=1,CB7*管理者用人口入力シート!BD$4,IF(管理者入力シート!$B$14=2,CB7*管理者用人口入力シート!BD$8))</f>
        <v>27.987384666687689</v>
      </c>
      <c r="CD10" s="10">
        <f>IF(管理者入力シート!$B$14=1,CC7*管理者用人口入力シート!BE$4,IF(管理者入力シート!$B$14=2,CC7*管理者用人口入力シート!BE$8))</f>
        <v>10.753400871463624</v>
      </c>
      <c r="CE10" s="10">
        <f>IF(管理者入力シート!$B$14=1,CD7*管理者用人口入力シート!BF$4,IF(管理者入力シート!$B$14=2,CD7*管理者用人口入力シート!BF$8))</f>
        <v>4.4883598098471653</v>
      </c>
      <c r="CF10" s="10">
        <f t="shared" si="2"/>
        <v>732.62610443790288</v>
      </c>
      <c r="CG10" s="10">
        <f t="shared" si="20"/>
        <v>22.051832064061529</v>
      </c>
      <c r="CH10" s="10">
        <f t="shared" si="21"/>
        <v>10.812362751029841</v>
      </c>
      <c r="CI10" s="10">
        <f t="shared" si="3"/>
        <v>360.93049395371804</v>
      </c>
      <c r="CJ10" s="10">
        <f t="shared" si="22"/>
        <v>232.27702154653107</v>
      </c>
      <c r="CK10" s="14">
        <f t="shared" si="23"/>
        <v>0.49265306241119666</v>
      </c>
      <c r="CL10" s="14">
        <f t="shared" si="24"/>
        <v>0.31704715425713964</v>
      </c>
      <c r="CM10" s="10">
        <f t="shared" si="25"/>
        <v>84.020120250008304</v>
      </c>
      <c r="CO10" s="7" t="str">
        <f t="shared" si="26"/>
        <v>2035_2</v>
      </c>
      <c r="CP10" s="29">
        <f>CP9</f>
        <v>2035</v>
      </c>
      <c r="CQ10" s="4" t="s">
        <v>22</v>
      </c>
      <c r="CR10" s="10">
        <f>DT10*$AK$14+将来予測シート②!$H17</f>
        <v>18.294969956526284</v>
      </c>
      <c r="CS10" s="10">
        <f>IF(管理者入力シート!$B$14=1,CR7*管理者用人口入力シート!AM$4,IF(管理者入力シート!$B$14=2,CR7*管理者用人口入力シート!AM$8))+将来予測シート②!$H18</f>
        <v>19.189574994136411</v>
      </c>
      <c r="CT10" s="10">
        <f>IF(管理者入力シート!$B$14=1,CS7*管理者用人口入力シート!AN$4,IF(管理者入力シート!$B$14=2,CS7*管理者用人口入力シート!AN$8))+将来予測シート②!$H19</f>
        <v>20.864385478992208</v>
      </c>
      <c r="CU10" s="10">
        <f>IF(管理者入力シート!$B$14=1,CT7*管理者用人口入力シート!AO$4,IF(管理者入力シート!$B$14=2,CT7*管理者用人口入力シート!AO$8))+将来予測シート②!$H20</f>
        <v>16.571766872009718</v>
      </c>
      <c r="CV10" s="10">
        <f>IF(管理者入力シート!$B$14=1,CU7*管理者用人口入力シート!AP$4,IF(管理者入力シート!$B$14=2,CU7*管理者用人口入力シート!AP$8))+将来予測シート②!$H21</f>
        <v>18.543296333871961</v>
      </c>
      <c r="CW10" s="10">
        <f>IF(管理者入力シート!$B$14=1,CV7*管理者用人口入力シート!AQ$4,IF(管理者入力シート!$B$14=2,CV7*管理者用人口入力シート!AQ$8))+将来予測シート②!$H22</f>
        <v>23.496655237122955</v>
      </c>
      <c r="CX10" s="10">
        <f>IF(管理者入力シート!$B$14=1,CW7*管理者用人口入力シート!AR$4,IF(管理者入力シート!$B$14=2,CW7*管理者用人口入力シート!AR$8))+将来予測シート②!$H23</f>
        <v>21.32207347104584</v>
      </c>
      <c r="CY10" s="10">
        <f>IF(管理者入力シート!$B$14=1,CX7*管理者用人口入力シート!AS$4,IF(管理者入力シート!$B$14=2,CX7*管理者用人口入力シート!AS$8))+将来予測シート②!$H24</f>
        <v>27.044014170213124</v>
      </c>
      <c r="CZ10" s="10">
        <f>IF(管理者入力シート!$B$14=1,CY7*管理者用人口入力シート!AT$4,IF(管理者入力シート!$B$14=2,CY7*管理者用人口入力シート!AT$8))+将来予測シート②!$H25</f>
        <v>36.250137104322633</v>
      </c>
      <c r="DA10" s="10">
        <f>IF(管理者入力シート!$B$14=1,CZ7*管理者用人口入力シート!AU$4,IF(管理者入力シート!$B$14=2,CZ7*管理者用人口入力シート!AU$8))+将来予測シート②!$H26</f>
        <v>33.122512408725783</v>
      </c>
      <c r="DB10" s="10">
        <f>IF(管理者入力シート!$B$14=1,DA7*管理者用人口入力シート!AV$4,IF(管理者入力シート!$B$14=2,DA7*管理者用人口入力シート!AV$8))+将来予測シート②!$H27</f>
        <v>46.087061301015098</v>
      </c>
      <c r="DC10" s="10">
        <f>IF(管理者入力シート!$B$14=1,DB7*管理者用人口入力シート!AW$4,IF(管理者入力シート!$B$14=2,DB7*管理者用人口入力シート!AW$8))+将来予測シート②!$H28</f>
        <v>58.225338851286956</v>
      </c>
      <c r="DD10" s="10">
        <f>IF(管理者入力シート!$B$14=1,DC7*管理者用人口入力シート!AX$4,IF(管理者入力シート!$B$14=2,DC7*管理者用人口入力シート!AX$8))+将来予測シート②!$H29</f>
        <v>48.082826443947937</v>
      </c>
      <c r="DE10" s="10">
        <f>IF(管理者入力シート!$B$14=1,DD7*管理者用人口入力シート!AY$4,IF(管理者入力シート!$B$14=2,DD7*管理者用人口入力シート!AY$8))</f>
        <v>64.914344738799628</v>
      </c>
      <c r="DF10" s="10">
        <f>IF(管理者入力シート!$B$14=1,DE7*管理者用人口入力シート!AZ$4,IF(管理者入力シート!$B$14=2,DE7*管理者用人口入力シート!AZ$8))</f>
        <v>63.739127668387383</v>
      </c>
      <c r="DG10" s="10">
        <f>IF(管理者入力シート!$B$14=1,DF7*管理者用人口入力シート!BA$4,IF(管理者入力シート!$B$14=2,DF7*管理者用人口入力シート!BA$8))</f>
        <v>64.971902941218772</v>
      </c>
      <c r="DH10" s="10">
        <f>IF(管理者入力シート!$B$14=1,DG7*管理者用人口入力シート!BB$4,IF(管理者入力シート!$B$14=2,DG7*管理者用人口入力シート!BB$8))</f>
        <v>74.042870372445634</v>
      </c>
      <c r="DI10" s="10">
        <f>IF(管理者入力シート!$B$14=1,DH7*管理者用人口入力シート!BC$4,IF(管理者入力シート!$B$14=2,DH7*管理者用人口入力シート!BC$8))</f>
        <v>50.033102884868178</v>
      </c>
      <c r="DJ10" s="10">
        <f>IF(管理者入力シート!$B$14=1,DI7*管理者用人口入力シート!BD$4,IF(管理者入力シート!$B$14=2,DI7*管理者用人口入力シート!BD$8))</f>
        <v>27.987384666687689</v>
      </c>
      <c r="DK10" s="10">
        <f>IF(管理者入力シート!$B$14=1,DJ7*管理者用人口入力シート!BE$4,IF(管理者入力シート!$B$14=2,DJ7*管理者用人口入力シート!BE$8))</f>
        <v>10.753400871463624</v>
      </c>
      <c r="DL10" s="10">
        <f>IF(管理者入力シート!$B$14=1,DK7*管理者用人口入力シート!BF$4,IF(管理者入力シート!$B$14=2,DK7*管理者用人口入力シート!BF$8))</f>
        <v>4.4883598098471653</v>
      </c>
      <c r="DM10" s="10">
        <f t="shared" si="69"/>
        <v>748.02510657693495</v>
      </c>
      <c r="DN10" s="10">
        <f t="shared" si="34"/>
        <v>24.032376283877174</v>
      </c>
      <c r="DO10" s="10">
        <f t="shared" si="35"/>
        <v>11.660107565998828</v>
      </c>
      <c r="DP10" s="10">
        <f t="shared" si="6"/>
        <v>360.93049395371804</v>
      </c>
      <c r="DQ10" s="10">
        <f t="shared" si="36"/>
        <v>232.27702154653107</v>
      </c>
      <c r="DR10" s="14">
        <f t="shared" si="37"/>
        <v>0.48251120287310312</v>
      </c>
      <c r="DS10" s="14">
        <f t="shared" si="38"/>
        <v>0.31052035487079099</v>
      </c>
      <c r="DT10" s="10">
        <f t="shared" si="70"/>
        <v>90.406039212253887</v>
      </c>
      <c r="DV10" s="62" t="s">
        <v>405</v>
      </c>
      <c r="DW10" s="210">
        <f>((SUM(BL12:BL13)*3/5+SUM(BM12:BM13)+SUM(BN12:BN13)*1/5)-(SUM(E12:E13)*3/5+SUM(F12:F13)+SUM(G12:G13)*1/5))/4</f>
        <v>-20.850774464924228</v>
      </c>
      <c r="DX10" s="29">
        <f>DX9</f>
        <v>2035</v>
      </c>
      <c r="DY10" s="4" t="s">
        <v>22</v>
      </c>
      <c r="DZ10" s="10">
        <f>FB10*$AK$14</f>
        <v>41.947724598303175</v>
      </c>
      <c r="EA10" s="10">
        <f>IF(管理者入力シート!$B$14=1,DZ7*管理者用人口入力シート!AM$4,IF(管理者入力シート!$B$14=2,DZ7*管理者用人口入力シート!AM$8))</f>
        <v>36.447737656497488</v>
      </c>
      <c r="EB10" s="10">
        <f>IF(管理者入力シート!$B$14=1,EA7*管理者用人口入力シート!AN$4,IF(管理者入力シート!$B$14=2,EA7*管理者用人口入力シート!AN$8))</f>
        <v>19.076831238080576</v>
      </c>
      <c r="EC10" s="10">
        <f>IF(管理者入力シート!$B$14=1,EB7*管理者用人口入力シート!AO$4,IF(管理者入力シート!$B$14=2,EB7*管理者用人口入力シート!AO$8))</f>
        <v>15.908151278988058</v>
      </c>
      <c r="ED10" s="10">
        <f>IF(管理者入力シート!$B$14=1,EC7*管理者用人口入力シート!AP$4,IF(管理者入力シート!$B$14=2,EC7*管理者用人口入力シート!AP$8))</f>
        <v>17.97125957302174</v>
      </c>
      <c r="EE10" s="10">
        <f>IF(管理者入力シート!$B$14=1,ED7*管理者用人口入力シート!AQ$4,IF(管理者入力シート!$B$14=2,ED7*管理者用人口入力シート!AQ$8))+DX1</f>
        <v>44.496655237122951</v>
      </c>
      <c r="EF10" s="10">
        <f>IF(管理者入力シート!$B$14=1,EE7*管理者用人口入力シート!AR$4,IF(管理者入力シート!$B$14=2,EE7*管理者用人口入力シート!AR$8))+DX1</f>
        <v>64.612399641093987</v>
      </c>
      <c r="EG10" s="10">
        <f>IF(管理者入力シート!$B$14=1,EF7*管理者用人口入力シート!AS$4,IF(管理者入力シート!$B$14=2,EF7*管理者用人口入力シート!AS$8))+DX1</f>
        <v>92.193130049194409</v>
      </c>
      <c r="EH10" s="10">
        <f>IF(管理者入力シート!$B$14=1,EG7*管理者用人口入力シート!AT$4,IF(管理者入力シート!$B$14=2,EG7*管理者用人口入力シート!AT$8))</f>
        <v>78.296542985073614</v>
      </c>
      <c r="EI10" s="10">
        <f>IF(管理者入力シート!$B$14=1,EH7*管理者用人口入力シート!AU$4,IF(管理者入力シート!$B$14=2,EH7*管理者用人口入力シート!AU$8))</f>
        <v>51.099676117967171</v>
      </c>
      <c r="EJ10" s="10">
        <f>IF(管理者入力シート!$B$14=1,EI7*管理者用人口入力シート!AV$4,IF(管理者入力シート!$B$14=2,EI7*管理者用人口入力シート!AV$8))</f>
        <v>45.123990725801818</v>
      </c>
      <c r="EK10" s="10">
        <f>IF(管理者入力シート!$B$14=1,EJ7*管理者用人口入力シート!AW$4,IF(管理者入力シート!$B$14=2,EJ7*管理者用人口入力シート!AW$8))</f>
        <v>58.225338851286956</v>
      </c>
      <c r="EL10" s="10">
        <f>IF(管理者入力シート!$B$14=1,EK7*管理者用人口入力シート!AX$4,IF(管理者入力シート!$B$14=2,EK7*管理者用人口入力シート!AX$8))</f>
        <v>48.082826443947937</v>
      </c>
      <c r="EM10" s="10">
        <f>IF(管理者入力シート!$B$14=1,EL7*管理者用人口入力シート!AY$4,IF(管理者入力シート!$B$14=2,EL7*管理者用人口入力シート!AY$8))</f>
        <v>64.914344738799628</v>
      </c>
      <c r="EN10" s="10">
        <f>IF(管理者入力シート!$B$14=1,EM7*管理者用人口入力シート!AZ$4,IF(管理者入力シート!$B$14=2,EM7*管理者用人口入力シート!AZ$8))</f>
        <v>63.739127668387383</v>
      </c>
      <c r="EO10" s="10">
        <f>IF(管理者入力シート!$B$14=1,EN7*管理者用人口入力シート!BA$4,IF(管理者入力シート!$B$14=2,EN7*管理者用人口入力シート!BA$8))</f>
        <v>64.971902941218772</v>
      </c>
      <c r="EP10" s="10">
        <f>IF(管理者入力シート!$B$14=1,EO7*管理者用人口入力シート!BB$4,IF(管理者入力シート!$B$14=2,EO7*管理者用人口入力シート!BB$8))</f>
        <v>74.042870372445634</v>
      </c>
      <c r="EQ10" s="10">
        <f>IF(管理者入力シート!$B$14=1,EP7*管理者用人口入力シート!BC$4,IF(管理者入力シート!$B$14=2,EP7*管理者用人口入力シート!BC$8))</f>
        <v>50.033102884868178</v>
      </c>
      <c r="ER10" s="10">
        <f>IF(管理者入力シート!$B$14=1,EQ7*管理者用人口入力シート!BD$4,IF(管理者入力シート!$B$14=2,EQ7*管理者用人口入力シート!BD$8))</f>
        <v>27.987384666687689</v>
      </c>
      <c r="ES10" s="10">
        <f>IF(管理者入力シート!$B$14=1,ER7*管理者用人口入力シート!BE$4,IF(管理者入力シート!$B$14=2,ER7*管理者用人口入力シート!BE$8))</f>
        <v>10.753400871463624</v>
      </c>
      <c r="ET10" s="10">
        <f>IF(管理者入力シート!$B$14=1,ES7*管理者用人口入力シート!BF$4,IF(管理者入力シート!$B$14=2,ES7*管理者用人口入力シート!BF$8))</f>
        <v>4.4883598098471653</v>
      </c>
      <c r="EU10" s="10">
        <f t="shared" si="71"/>
        <v>974.41275835009799</v>
      </c>
      <c r="EV10" s="10">
        <f t="shared" si="41"/>
        <v>33.314741336746835</v>
      </c>
      <c r="EW10" s="10">
        <f t="shared" si="42"/>
        <v>10.812362751029841</v>
      </c>
      <c r="EX10" s="10">
        <f t="shared" si="10"/>
        <v>360.93049395371804</v>
      </c>
      <c r="EY10" s="10">
        <f t="shared" si="43"/>
        <v>232.27702154653107</v>
      </c>
      <c r="EZ10" s="14">
        <f t="shared" si="44"/>
        <v>0.37040821855088935</v>
      </c>
      <c r="FA10" s="14">
        <f t="shared" si="45"/>
        <v>0.23837641651965724</v>
      </c>
      <c r="FB10" s="10">
        <f t="shared" si="72"/>
        <v>219.27344450043307</v>
      </c>
    </row>
    <row r="11" spans="1:158" x14ac:dyDescent="0.15">
      <c r="A11" s="7" t="str">
        <f t="shared" si="11"/>
        <v>2015_3</v>
      </c>
      <c r="B11" s="30">
        <v>2015</v>
      </c>
      <c r="C11" s="5" t="s">
        <v>23</v>
      </c>
      <c r="D11" s="11">
        <v>86.459758094776191</v>
      </c>
      <c r="E11" s="11">
        <v>96.317477249816207</v>
      </c>
      <c r="F11" s="11">
        <v>85.438167084344244</v>
      </c>
      <c r="G11" s="11">
        <v>78.606278144395958</v>
      </c>
      <c r="H11" s="11">
        <v>114.82363440604669</v>
      </c>
      <c r="I11" s="11">
        <v>89.888234855523081</v>
      </c>
      <c r="J11" s="11">
        <v>104.39207136758648</v>
      </c>
      <c r="K11" s="11">
        <v>126.68084998305262</v>
      </c>
      <c r="L11" s="11">
        <v>107.54897837889754</v>
      </c>
      <c r="M11" s="11">
        <v>124.78261694331285</v>
      </c>
      <c r="N11" s="11">
        <v>136.46701261004011</v>
      </c>
      <c r="O11" s="11">
        <v>144.85313932647566</v>
      </c>
      <c r="P11" s="11">
        <v>164.38109099606226</v>
      </c>
      <c r="Q11" s="11">
        <v>153.0855311116016</v>
      </c>
      <c r="R11" s="11">
        <v>135.13559014513402</v>
      </c>
      <c r="S11" s="11">
        <v>136.64791382434476</v>
      </c>
      <c r="T11" s="11">
        <v>139.15283766888365</v>
      </c>
      <c r="U11" s="11">
        <v>113.78101038553912</v>
      </c>
      <c r="V11" s="11">
        <v>31.882143624365263</v>
      </c>
      <c r="W11" s="11">
        <v>8.5528717770097078</v>
      </c>
      <c r="X11" s="11">
        <v>2.0227920227920229</v>
      </c>
      <c r="Y11" s="11">
        <f t="shared" si="68"/>
        <v>2180.9000000000005</v>
      </c>
      <c r="Z11" s="11">
        <f t="shared" si="12"/>
        <v>109.05338660049628</v>
      </c>
      <c r="AA11" s="11">
        <f t="shared" si="13"/>
        <v>49.896522462616886</v>
      </c>
      <c r="AB11" s="11">
        <f t="shared" si="0"/>
        <v>720.26069055967025</v>
      </c>
      <c r="AC11" s="11">
        <f t="shared" si="14"/>
        <v>432.03956930293452</v>
      </c>
      <c r="AD11" s="15">
        <f t="shared" si="15"/>
        <v>0.33025846694468802</v>
      </c>
      <c r="AE11" s="15">
        <f t="shared" si="16"/>
        <v>0.19810150364662957</v>
      </c>
      <c r="AF11" s="11">
        <f t="shared" si="17"/>
        <v>435.78479061220884</v>
      </c>
      <c r="BH11" s="7" t="str">
        <f t="shared" si="19"/>
        <v>2035_3</v>
      </c>
      <c r="BI11" s="30">
        <f>BI10</f>
        <v>2035</v>
      </c>
      <c r="BJ11" s="5" t="s">
        <v>23</v>
      </c>
      <c r="BK11" s="16">
        <f>BK9+BK10</f>
        <v>33.025266779246941</v>
      </c>
      <c r="BL11" s="16">
        <f t="shared" ref="BL11" si="117">BL9+BL10</f>
        <v>39.183753776505739</v>
      </c>
      <c r="BM11" s="16">
        <f t="shared" ref="BM11" si="118">BM9+BM10</f>
        <v>40.179337201310439</v>
      </c>
      <c r="BN11" s="16">
        <f t="shared" ref="BN11" si="119">BN9+BN10</f>
        <v>36.655285411462742</v>
      </c>
      <c r="BO11" s="16">
        <f t="shared" ref="BO11" si="120">BO9+BO10</f>
        <v>48.450310953928778</v>
      </c>
      <c r="BP11" s="16">
        <f t="shared" ref="BP11" si="121">BP9+BP10</f>
        <v>49.345076070304373</v>
      </c>
      <c r="BQ11" s="16">
        <f t="shared" ref="BQ11" si="122">BQ9+BQ10</f>
        <v>49.960075639483264</v>
      </c>
      <c r="BR11" s="16">
        <f t="shared" ref="BR11" si="123">BR9+BR10</f>
        <v>60.628125161373347</v>
      </c>
      <c r="BS11" s="16">
        <f t="shared" ref="BS11" si="124">BS9+BS10</f>
        <v>74.947399379906045</v>
      </c>
      <c r="BT11" s="16">
        <f t="shared" ref="BT11" si="125">BT9+BT10</f>
        <v>60.644233003634163</v>
      </c>
      <c r="BU11" s="16">
        <f t="shared" ref="BU11" si="126">BU9+BU10</f>
        <v>89.185471803002912</v>
      </c>
      <c r="BV11" s="16">
        <f t="shared" ref="BV11" si="127">BV9+BV10</f>
        <v>119.09997147749692</v>
      </c>
      <c r="BW11" s="16">
        <f t="shared" ref="BW11" si="128">BW9+BW10</f>
        <v>105.89694067652162</v>
      </c>
      <c r="BX11" s="16">
        <f t="shared" ref="BX11" si="129">BX9+BX10</f>
        <v>126.74239596988744</v>
      </c>
      <c r="BY11" s="16">
        <f t="shared" ref="BY11" si="130">BY9+BY10</f>
        <v>125.50750493025711</v>
      </c>
      <c r="BZ11" s="16">
        <f t="shared" ref="BZ11" si="131">BZ9+BZ10</f>
        <v>126.14798699109645</v>
      </c>
      <c r="CA11" s="16">
        <f t="shared" ref="CA11" si="132">CA9+CA10</f>
        <v>118.34872677576934</v>
      </c>
      <c r="CB11" s="16">
        <f t="shared" ref="CB11" si="133">CB9+CB10</f>
        <v>79.454884293642237</v>
      </c>
      <c r="CC11" s="16">
        <f t="shared" ref="CC11" si="134">CC9+CC10</f>
        <v>34.43721431364321</v>
      </c>
      <c r="CD11" s="16">
        <f t="shared" ref="CD11" si="135">CD9+CD10</f>
        <v>12.538122193473621</v>
      </c>
      <c r="CE11" s="16">
        <f t="shared" ref="CE11" si="136">CE9+CE10</f>
        <v>4.5331749780718447</v>
      </c>
      <c r="CF11" s="11">
        <f t="shared" si="2"/>
        <v>1434.9112577800183</v>
      </c>
      <c r="CG11" s="11">
        <f t="shared" si="20"/>
        <v>47.617854586689703</v>
      </c>
      <c r="CH11" s="11">
        <f t="shared" si="21"/>
        <v>23.402791962816725</v>
      </c>
      <c r="CI11" s="11">
        <f t="shared" si="3"/>
        <v>627.71001044584125</v>
      </c>
      <c r="CJ11" s="11">
        <f t="shared" si="22"/>
        <v>375.46010954569664</v>
      </c>
      <c r="CK11" s="15">
        <f t="shared" si="23"/>
        <v>0.43745563151897265</v>
      </c>
      <c r="CL11" s="15">
        <f t="shared" si="24"/>
        <v>0.26166085708086151</v>
      </c>
      <c r="CM11" s="11">
        <f t="shared" si="25"/>
        <v>208.38358782508976</v>
      </c>
      <c r="CO11" s="7" t="str">
        <f t="shared" si="26"/>
        <v>2035_3</v>
      </c>
      <c r="CP11" s="30">
        <f>CP10</f>
        <v>2035</v>
      </c>
      <c r="CQ11" s="5" t="s">
        <v>23</v>
      </c>
      <c r="CR11" s="16">
        <f>CR9+CR10</f>
        <v>37.535340279871228</v>
      </c>
      <c r="CS11" s="16">
        <f t="shared" ref="CS11" si="137">CS9+CS10</f>
        <v>42.484012368323633</v>
      </c>
      <c r="CT11" s="16">
        <f t="shared" ref="CT11" si="138">CT9+CT10</f>
        <v>43.792918795722201</v>
      </c>
      <c r="CU11" s="16">
        <f t="shared" ref="CU11" si="139">CU9+CU10</f>
        <v>38.101298029933247</v>
      </c>
      <c r="CV11" s="16">
        <f t="shared" ref="CV11" si="140">CV9+CV10</f>
        <v>49.890065096806026</v>
      </c>
      <c r="CW11" s="16">
        <f t="shared" ref="CW11" si="141">CW9+CW10</f>
        <v>53.345076070304373</v>
      </c>
      <c r="CX11" s="16">
        <f t="shared" ref="CX11" si="142">CX9+CX10</f>
        <v>53.796319252661092</v>
      </c>
      <c r="CY11" s="16">
        <f t="shared" ref="CY11" si="143">CY9+CY10</f>
        <v>64.208335963673548</v>
      </c>
      <c r="CZ11" s="16">
        <f t="shared" ref="CZ11" si="144">CZ9+CZ10</f>
        <v>75.947399379906045</v>
      </c>
      <c r="DA11" s="16">
        <f t="shared" ref="DA11" si="145">DA9+DA10</f>
        <v>61.508075868422516</v>
      </c>
      <c r="DB11" s="16">
        <f t="shared" ref="DB11" si="146">DB9+DB10</f>
        <v>90.148542378216177</v>
      </c>
      <c r="DC11" s="16">
        <f t="shared" ref="DC11" si="147">DC9+DC10</f>
        <v>119.09997147749692</v>
      </c>
      <c r="DD11" s="16">
        <f t="shared" ref="DD11" si="148">DD9+DD10</f>
        <v>105.89694067652162</v>
      </c>
      <c r="DE11" s="16">
        <f t="shared" ref="DE11" si="149">DE9+DE10</f>
        <v>126.74239596988744</v>
      </c>
      <c r="DF11" s="16">
        <f t="shared" ref="DF11" si="150">DF9+DF10</f>
        <v>125.50750493025711</v>
      </c>
      <c r="DG11" s="16">
        <f t="shared" ref="DG11" si="151">DG9+DG10</f>
        <v>126.14798699109645</v>
      </c>
      <c r="DH11" s="16">
        <f t="shared" ref="DH11" si="152">DH9+DH10</f>
        <v>118.34872677576934</v>
      </c>
      <c r="DI11" s="16">
        <f t="shared" ref="DI11" si="153">DI9+DI10</f>
        <v>79.454884293642237</v>
      </c>
      <c r="DJ11" s="16">
        <f t="shared" ref="DJ11" si="154">DJ9+DJ10</f>
        <v>34.43721431364321</v>
      </c>
      <c r="DK11" s="16">
        <f t="shared" ref="DK11" si="155">DK9+DK10</f>
        <v>12.538122193473621</v>
      </c>
      <c r="DL11" s="16">
        <f t="shared" ref="DL11" si="156">DL9+DL10</f>
        <v>4.5331749780718447</v>
      </c>
      <c r="DM11" s="11">
        <f t="shared" si="69"/>
        <v>1463.4643060836997</v>
      </c>
      <c r="DN11" s="11">
        <f t="shared" si="34"/>
        <v>51.766158698427503</v>
      </c>
      <c r="DO11" s="11">
        <f t="shared" si="35"/>
        <v>25.137427124275529</v>
      </c>
      <c r="DP11" s="11">
        <f t="shared" si="6"/>
        <v>627.71001044584125</v>
      </c>
      <c r="DQ11" s="11">
        <f t="shared" si="36"/>
        <v>375.46010954569664</v>
      </c>
      <c r="DR11" s="15">
        <f t="shared" si="37"/>
        <v>0.42892061517074043</v>
      </c>
      <c r="DS11" s="15">
        <f t="shared" si="38"/>
        <v>0.2565557000501405</v>
      </c>
      <c r="DT11" s="11">
        <f t="shared" si="70"/>
        <v>221.23979638344503</v>
      </c>
      <c r="DW11" s="211"/>
      <c r="DX11" s="30">
        <f>DX10</f>
        <v>2035</v>
      </c>
      <c r="DY11" s="5" t="s">
        <v>23</v>
      </c>
      <c r="DZ11" s="16">
        <f>DZ9+DZ10</f>
        <v>86.188450822057519</v>
      </c>
      <c r="EA11" s="16">
        <f t="shared" ref="EA11" si="157">EA9+EA10</f>
        <v>80.795498139840504</v>
      </c>
      <c r="EB11" s="16">
        <f t="shared" ref="EB11" si="158">EB9+EB10</f>
        <v>40.179337201310439</v>
      </c>
      <c r="EC11" s="16">
        <f t="shared" ref="EC11" si="159">EC9+EC10</f>
        <v>36.655285411462742</v>
      </c>
      <c r="ED11" s="16">
        <f t="shared" ref="ED11" si="160">ED9+ED10</f>
        <v>48.450310953928778</v>
      </c>
      <c r="EE11" s="16">
        <f t="shared" ref="EE11" si="161">EE9+EE10</f>
        <v>95.345076070304373</v>
      </c>
      <c r="EF11" s="16">
        <f t="shared" ref="EF11" si="162">EF9+EF10</f>
        <v>140.07687719102827</v>
      </c>
      <c r="EG11" s="16">
        <f t="shared" ref="EG11" si="163">EG9+EG10</f>
        <v>190.71654461069215</v>
      </c>
      <c r="EH11" s="16">
        <f t="shared" ref="EH11" si="164">EH9+EH10</f>
        <v>159.28957050298089</v>
      </c>
      <c r="EI11" s="16">
        <f t="shared" ref="EI11" si="165">EI9+EI10</f>
        <v>100.80347115598515</v>
      </c>
      <c r="EJ11" s="16">
        <f t="shared" ref="EJ11" si="166">EJ9+EJ10</f>
        <v>89.185471803002912</v>
      </c>
      <c r="EK11" s="16">
        <f t="shared" ref="EK11" si="167">EK9+EK10</f>
        <v>119.09997147749692</v>
      </c>
      <c r="EL11" s="16">
        <f t="shared" ref="EL11" si="168">EL9+EL10</f>
        <v>105.89694067652162</v>
      </c>
      <c r="EM11" s="16">
        <f t="shared" ref="EM11" si="169">EM9+EM10</f>
        <v>126.74239596988744</v>
      </c>
      <c r="EN11" s="16">
        <f t="shared" ref="EN11" si="170">EN9+EN10</f>
        <v>125.50750493025711</v>
      </c>
      <c r="EO11" s="16">
        <f t="shared" ref="EO11" si="171">EO9+EO10</f>
        <v>126.14798699109645</v>
      </c>
      <c r="EP11" s="16">
        <f t="shared" ref="EP11" si="172">EP9+EP10</f>
        <v>118.34872677576934</v>
      </c>
      <c r="EQ11" s="16">
        <f t="shared" ref="EQ11" si="173">EQ9+EQ10</f>
        <v>79.454884293642237</v>
      </c>
      <c r="ER11" s="16">
        <f t="shared" ref="ER11" si="174">ER9+ER10</f>
        <v>34.43721431364321</v>
      </c>
      <c r="ES11" s="16">
        <f t="shared" ref="ES11" si="175">ES9+ES10</f>
        <v>12.538122193473621</v>
      </c>
      <c r="ET11" s="16">
        <f t="shared" ref="ET11" si="176">ET9+ET10</f>
        <v>4.5331749780718447</v>
      </c>
      <c r="EU11" s="11">
        <f t="shared" si="71"/>
        <v>1920.3928164624531</v>
      </c>
      <c r="EV11" s="11">
        <f t="shared" si="41"/>
        <v>72.584901204690567</v>
      </c>
      <c r="EW11" s="11">
        <f t="shared" si="42"/>
        <v>23.402791962816725</v>
      </c>
      <c r="EX11" s="11">
        <f t="shared" si="10"/>
        <v>627.71001044584125</v>
      </c>
      <c r="EY11" s="11">
        <f t="shared" si="43"/>
        <v>375.46010954569664</v>
      </c>
      <c r="EZ11" s="15">
        <f t="shared" si="44"/>
        <v>0.32686542308679484</v>
      </c>
      <c r="FA11" s="15">
        <f t="shared" si="45"/>
        <v>0.19551214018667806</v>
      </c>
      <c r="FB11" s="11">
        <f t="shared" si="72"/>
        <v>474.58880882595361</v>
      </c>
    </row>
    <row r="12" spans="1:158" x14ac:dyDescent="0.15">
      <c r="A12" s="7" t="str">
        <f t="shared" si="11"/>
        <v>2020_1</v>
      </c>
      <c r="B12" s="28">
        <v>2020</v>
      </c>
      <c r="C12" s="3" t="s">
        <v>21</v>
      </c>
      <c r="D12" s="9">
        <v>32.102325581395348</v>
      </c>
      <c r="E12" s="9">
        <v>42.369357045143637</v>
      </c>
      <c r="F12" s="9">
        <v>41.165492476060194</v>
      </c>
      <c r="G12" s="9">
        <v>37.141780665754673</v>
      </c>
      <c r="H12" s="9">
        <v>53.557592339261291</v>
      </c>
      <c r="I12" s="9">
        <v>49.257227542179663</v>
      </c>
      <c r="J12" s="9">
        <v>34.322241222070225</v>
      </c>
      <c r="K12" s="9">
        <v>47.767886456908343</v>
      </c>
      <c r="L12" s="9">
        <v>61.339261285909714</v>
      </c>
      <c r="M12" s="9">
        <v>54.107409940720473</v>
      </c>
      <c r="N12" s="9">
        <v>62.631429548563617</v>
      </c>
      <c r="O12" s="9">
        <v>65.003784769721847</v>
      </c>
      <c r="P12" s="9">
        <v>74.646865025079791</v>
      </c>
      <c r="Q12" s="9">
        <v>68.495394436844506</v>
      </c>
      <c r="R12" s="9">
        <v>71.800535795713643</v>
      </c>
      <c r="S12" s="9">
        <v>47.674384404924766</v>
      </c>
      <c r="T12" s="9">
        <v>47.668809849521203</v>
      </c>
      <c r="U12" s="9">
        <v>33.486456908344735</v>
      </c>
      <c r="V12" s="9">
        <v>13.254411764705882</v>
      </c>
      <c r="W12" s="9">
        <v>1</v>
      </c>
      <c r="X12" s="9">
        <v>1.0073529411764706</v>
      </c>
      <c r="Y12" s="9">
        <f t="shared" ref="Y12:Y14" si="177">SUM(D12:X12)</f>
        <v>939.8</v>
      </c>
      <c r="Z12" s="9">
        <f>E12*3/5+F12*3/5</f>
        <v>50.120909712722302</v>
      </c>
      <c r="AA12" s="9">
        <f>F12*2/5+G12*1/5</f>
        <v>23.894553123575012</v>
      </c>
      <c r="AB12" s="9">
        <f t="shared" ref="AB12:AB14" si="178">SUM(Q12:X12)</f>
        <v>284.38734610123117</v>
      </c>
      <c r="AC12" s="9">
        <f>SUM(S12:X12)</f>
        <v>144.09141586867304</v>
      </c>
      <c r="AD12" s="13">
        <f>AB12/Y12</f>
        <v>0.30260411374891594</v>
      </c>
      <c r="AE12" s="13">
        <f>AC12/Y12</f>
        <v>0.1533213618521739</v>
      </c>
      <c r="AF12" s="9">
        <f>SUM(H12:K12)</f>
        <v>184.90494756041952</v>
      </c>
      <c r="AK12" s="61">
        <f>管理者入力シート!B5</f>
        <v>2020</v>
      </c>
      <c r="AL12" s="62"/>
      <c r="BH12" s="7" t="str">
        <f t="shared" si="19"/>
        <v>2040_1</v>
      </c>
      <c r="BI12" s="28">
        <f>管理者入力シート!B11</f>
        <v>2040</v>
      </c>
      <c r="BJ12" s="3" t="s">
        <v>21</v>
      </c>
      <c r="BK12" s="9">
        <f>CM13*$AK$13</f>
        <v>14.027108176567223</v>
      </c>
      <c r="BL12" s="9">
        <f>IF(管理者入力シート!$B$14=1,BK9*管理者用人口入力シート!AM$3,IF(管理者入力シート!$B$14=2,BK9*管理者用人口入力シート!AM$7))</f>
        <v>16.890506038601035</v>
      </c>
      <c r="BM12" s="9">
        <f>IF(管理者入力シート!$B$14=1,BL9*管理者用人口入力シート!AN$3,IF(管理者入力シート!$B$14=2,BL9*管理者用人口入力シート!AN$7))</f>
        <v>17.830431129127341</v>
      </c>
      <c r="BN12" s="9">
        <f>IF(管理者入力シート!$B$14=1,BM9*管理者用人口入力シート!AO$3,IF(管理者入力シート!$B$14=2,BM9*管理者用人口入力シート!AO$7))</f>
        <v>16.510537895147724</v>
      </c>
      <c r="BO12" s="9">
        <f>IF(管理者入力シート!$B$14=1,BN9*管理者用人口入力シート!AP$3,IF(管理者入力シート!$B$14=2,BN9*管理者用人口入力シート!AP$7))</f>
        <v>23.009608074195398</v>
      </c>
      <c r="BP12" s="9">
        <f>IF(管理者入力シート!$B$14=1,BO9*管理者用人口入力シート!AQ$3,IF(管理者入力シート!$B$14=2,BO9*管理者用人口入力シート!AQ$7))</f>
        <v>23.762405709907018</v>
      </c>
      <c r="BQ12" s="9">
        <f>IF(管理者入力シート!$B$14=1,BP9*管理者用人口入力シート!AR$3,IF(管理者入力シート!$B$14=2,BP9*管理者用人口入力シート!AR$7))</f>
        <v>26.509351754141942</v>
      </c>
      <c r="BR12" s="9">
        <f>IF(管理者入力シート!$B$14=1,BQ9*管理者用人口入力シート!AS$3,IF(管理者入力シート!$B$14=2,BQ9*管理者用人口入力シート!AS$7))</f>
        <v>27.277204737700643</v>
      </c>
      <c r="BS12" s="9">
        <f>IF(管理者入力シート!$B$14=1,BR9*管理者用人口入力シート!AT$3,IF(管理者入力シート!$B$14=2,BR9*管理者用人口入力シート!AT$7))</f>
        <v>33.651203321385481</v>
      </c>
      <c r="BT12" s="9">
        <f>IF(管理者入力シート!$B$14=1,BS9*管理者用人口入力シート!AU$3,IF(管理者入力シート!$B$14=2,BS9*管理者用人口入力シート!AU$7))</f>
        <v>38.77844398279214</v>
      </c>
      <c r="BU12" s="9">
        <f>IF(管理者入力シート!$B$14=1,BT9*管理者用人口入力シート!AV$3,IF(管理者入力シート!$B$14=2,BT9*管理者用人口入力シート!AV$7))</f>
        <v>28.248620576896403</v>
      </c>
      <c r="BV12" s="9">
        <f>IF(管理者入力シート!$B$14=1,BU9*管理者用人口入力シート!AW$3,IF(管理者入力シート!$B$14=2,BU9*管理者用人口入力シート!AW$7))</f>
        <v>44.980818647898843</v>
      </c>
      <c r="BW12" s="9">
        <f>IF(管理者入力シート!$B$14=1,BV9*管理者用人口入力シート!AX$3,IF(管理者入力シート!$B$14=2,BV9*管理者用人口入力シート!AX$7))</f>
        <v>64.024396641680283</v>
      </c>
      <c r="BX12" s="9">
        <f>IF(管理者入力シート!$B$14=1,BW9*管理者用人口入力シート!AY$3,IF(管理者入力シート!$B$14=2,BW9*管理者用人口入力シート!AY$7))</f>
        <v>53.155683245806294</v>
      </c>
      <c r="BY12" s="9">
        <f>IF(管理者入力シート!$B$14=1,BX9*管理者用人口入力シート!AZ$3,IF(管理者入力シート!$B$14=2,BX9*管理者用人口入力シート!AZ$7))</f>
        <v>60.755854969520762</v>
      </c>
      <c r="BZ12" s="9">
        <f>IF(管理者入力シート!$B$14=1,BY9*管理者用人口入力シート!BA$3,IF(管理者入力シート!$B$14=2,BY9*管理者用人口入力シート!BA$7))</f>
        <v>56.029646888134181</v>
      </c>
      <c r="CA12" s="9">
        <f>IF(管理者入力シート!$B$14=1,BZ9*管理者用人口入力シート!BB$3,IF(管理者入力シート!$B$14=2,BZ9*管理者用人口入力シート!BB$7))</f>
        <v>44.394295290554403</v>
      </c>
      <c r="CB12" s="9">
        <f>IF(管理者入力シート!$B$14=1,CA9*管理者用人口入力シート!BC$3,IF(管理者入力シート!$B$14=2,CA9*管理者用人口入力シート!BC$7))</f>
        <v>27.580696482272295</v>
      </c>
      <c r="CC12" s="9">
        <f>IF(管理者入力シート!$B$14=1,CB9*管理者用人口入力シート!BD$3,IF(管理者入力シート!$B$14=2,CB9*管理者用人口入力シート!BD$7))</f>
        <v>8.8113515499323558</v>
      </c>
      <c r="CD12" s="9">
        <f>IF(管理者入力シート!$B$14=1,CC9*管理者用人口入力シート!BE$3,IF(管理者入力シート!$B$14=2,CC9*管理者用人口入力シート!BE$7))</f>
        <v>1.2952890367281693</v>
      </c>
      <c r="CE12" s="9">
        <f>IF(管理者入力シート!$B$14=1,CD9*管理者用人口入力シート!BF$3,IF(管理者入力シート!$B$14=2,CD9*管理者用人口入力シート!BF$7))</f>
        <v>3.9713140722746759E-2</v>
      </c>
      <c r="CF12" s="9">
        <f t="shared" si="2"/>
        <v>627.56316728971274</v>
      </c>
      <c r="CG12" s="9">
        <f t="shared" si="20"/>
        <v>20.832562300637029</v>
      </c>
      <c r="CH12" s="9">
        <f t="shared" si="21"/>
        <v>10.43428003068048</v>
      </c>
      <c r="CI12" s="9">
        <f t="shared" si="3"/>
        <v>252.06253060367121</v>
      </c>
      <c r="CJ12" s="9">
        <f t="shared" si="22"/>
        <v>138.15099238834415</v>
      </c>
      <c r="CK12" s="13">
        <f t="shared" si="23"/>
        <v>0.40165284347751923</v>
      </c>
      <c r="CL12" s="13">
        <f t="shared" si="24"/>
        <v>0.22013878377372512</v>
      </c>
      <c r="CM12" s="9">
        <f t="shared" si="25"/>
        <v>100.558570275945</v>
      </c>
      <c r="CO12" s="7" t="str">
        <f t="shared" si="26"/>
        <v>2040_1</v>
      </c>
      <c r="CP12" s="28">
        <f>管理者入力シート!B11</f>
        <v>2040</v>
      </c>
      <c r="CQ12" s="3" t="s">
        <v>21</v>
      </c>
      <c r="CR12" s="9">
        <f>DT13*$AK$13+将来予測シート②!$G17</f>
        <v>16.419329686687583</v>
      </c>
      <c r="CS12" s="9">
        <f>IF(管理者入力シート!$B$14=1,CR9*管理者用人口入力シート!AM$3,IF(管理者入力シート!$B$14=2,CR9*管理者用人口入力シート!AM$7))+将来予測シート②!$G18</f>
        <v>19.170638624516002</v>
      </c>
      <c r="CT12" s="9">
        <f>IF(管理者入力シート!$B$14=1,CS9*管理者用人口入力シート!AN$3,IF(管理者入力シート!$B$14=2,CS9*管理者用人口入力シート!AN$7))+将来予測シート②!$G19</f>
        <v>20.311833152670136</v>
      </c>
      <c r="CU12" s="9">
        <f>IF(管理者入力シート!$B$14=1,CT9*管理者用人口入力シート!AO$3,IF(管理者入力シート!$B$14=2,CT9*管理者用人口入力シート!AO$7))+将来予測シート②!$G20</f>
        <v>17.939216264914464</v>
      </c>
      <c r="CV12" s="9">
        <f>IF(管理者入力シート!$B$14=1,CU9*管理者用人口入力シート!AP$3,IF(管理者入力シート!$B$14=2,CU9*管理者用人口入力シート!AP$7))+将来予測シート②!$G21</f>
        <v>23.877325456222419</v>
      </c>
      <c r="CW12" s="9">
        <f>IF(管理者入力シート!$B$14=1,CV9*管理者用人口入力シート!AQ$3,IF(管理者入力シート!$B$14=2,CV9*管理者用人口入力シート!AQ$7))+将来予測シート②!$G22</f>
        <v>26.438904863885966</v>
      </c>
      <c r="CX12" s="9">
        <f>IF(管理者入力シート!$B$14=1,CW9*管理者用人口入力シート!AR$3,IF(管理者入力シート!$B$14=2,CW9*管理者用人口入力シート!AR$7))+将来予測シート②!$G23</f>
        <v>28.413183351124708</v>
      </c>
      <c r="CY12" s="9">
        <f>IF(管理者入力シート!$B$14=1,CX9*管理者用人口入力シート!AS$3,IF(管理者入力シート!$B$14=2,CX9*管理者用人口入力シート!AS$7))+将来予測シート②!$G24</f>
        <v>28.975945354800555</v>
      </c>
      <c r="CZ12" s="9">
        <f>IF(管理者入力シート!$B$14=1,CY9*管理者用人口入力シート!AT$3,IF(管理者入力シート!$B$14=2,CY9*管理者用人口入力シート!AT$7))+将来予測シート②!$G25</f>
        <v>35.263038345660441</v>
      </c>
      <c r="DA12" s="9">
        <f>IF(管理者入力シート!$B$14=1,CZ9*管理者用人口入力シート!AU$3,IF(管理者入力シート!$B$14=2,CZ9*管理者用人口入力シート!AU$7))+将来予測シート②!$G26</f>
        <v>38.77844398279214</v>
      </c>
      <c r="DB12" s="9">
        <f>IF(管理者入力シート!$B$14=1,DA9*管理者用人口入力シート!AV$3,IF(管理者入力シート!$B$14=2,DA9*管理者用人口入力シート!AV$7))+将来予測シート②!$G27</f>
        <v>28.248620576896403</v>
      </c>
      <c r="DC12" s="9">
        <f>IF(管理者入力シート!$B$14=1,DB9*管理者用人口入力シート!AW$3,IF(管理者入力シート!$B$14=2,DB9*管理者用人口入力シート!AW$7))+将来予測シート②!$G28</f>
        <v>44.980818647898843</v>
      </c>
      <c r="DD12" s="9">
        <f>IF(管理者入力シート!$B$14=1,DC9*管理者用人口入力シート!AX$3,IF(管理者入力シート!$B$14=2,DC9*管理者用人口入力シート!AX$7))+将来予測シート②!$G29</f>
        <v>64.024396641680283</v>
      </c>
      <c r="DE12" s="9">
        <f>IF(管理者入力シート!$B$14=1,DD9*管理者用人口入力シート!AY$3,IF(管理者入力シート!$B$14=2,DD9*管理者用人口入力シート!AY$7))</f>
        <v>53.155683245806294</v>
      </c>
      <c r="DF12" s="9">
        <f>IF(管理者入力シート!$B$14=1,DE9*管理者用人口入力シート!AZ$3,IF(管理者入力シート!$B$14=2,DE9*管理者用人口入力シート!AZ$7))</f>
        <v>60.755854969520762</v>
      </c>
      <c r="DG12" s="9">
        <f>IF(管理者入力シート!$B$14=1,DF9*管理者用人口入力シート!BA$3,IF(管理者入力シート!$B$14=2,DF9*管理者用人口入力シート!BA$7))</f>
        <v>56.029646888134181</v>
      </c>
      <c r="DH12" s="9">
        <f>IF(管理者入力シート!$B$14=1,DG9*管理者用人口入力シート!BB$3,IF(管理者入力シート!$B$14=2,DG9*管理者用人口入力シート!BB$7))</f>
        <v>44.394295290554403</v>
      </c>
      <c r="DI12" s="9">
        <f>IF(管理者入力シート!$B$14=1,DH9*管理者用人口入力シート!BC$3,IF(管理者入力シート!$B$14=2,DH9*管理者用人口入力シート!BC$7))</f>
        <v>27.580696482272295</v>
      </c>
      <c r="DJ12" s="9">
        <f>IF(管理者入力シート!$B$14=1,DI9*管理者用人口入力シート!BD$3,IF(管理者入力シート!$B$14=2,DI9*管理者用人口入力シート!BD$7))</f>
        <v>8.8113515499323558</v>
      </c>
      <c r="DK12" s="9">
        <f>IF(管理者入力シート!$B$14=1,DJ9*管理者用人口入力シート!BE$3,IF(管理者入力シート!$B$14=2,DJ9*管理者用人口入力シート!BE$7))</f>
        <v>1.2952890367281693</v>
      </c>
      <c r="DL12" s="9">
        <f>IF(管理者入力シート!$B$14=1,DK9*管理者用人口入力シート!BF$3,IF(管理者入力シート!$B$14=2,DK9*管理者用人口入力シート!BF$7))</f>
        <v>3.9713140722746759E-2</v>
      </c>
      <c r="DM12" s="9">
        <f t="shared" si="69"/>
        <v>644.90422555342116</v>
      </c>
      <c r="DN12" s="9">
        <f t="shared" si="34"/>
        <v>23.689483066311684</v>
      </c>
      <c r="DO12" s="9">
        <f t="shared" si="35"/>
        <v>11.712576514050948</v>
      </c>
      <c r="DP12" s="9">
        <f t="shared" si="6"/>
        <v>252.06253060367121</v>
      </c>
      <c r="DQ12" s="9">
        <f t="shared" si="36"/>
        <v>138.15099238834415</v>
      </c>
      <c r="DR12" s="13">
        <f t="shared" si="37"/>
        <v>0.39085265783049428</v>
      </c>
      <c r="DS12" s="13">
        <f t="shared" si="38"/>
        <v>0.21421939400349038</v>
      </c>
      <c r="DT12" s="9">
        <f t="shared" si="70"/>
        <v>107.70535902603365</v>
      </c>
      <c r="DV12" s="212"/>
      <c r="DX12" s="28">
        <f>管理者入力シート!B11</f>
        <v>2040</v>
      </c>
      <c r="DY12" s="3" t="s">
        <v>21</v>
      </c>
      <c r="DZ12" s="9">
        <f>FB13*$AK$13</f>
        <v>41.315890466863657</v>
      </c>
      <c r="EA12" s="129">
        <f>IF(管理者入力シート!$B$14=1,DZ9*管理者用人口入力シート!AM$3,IF(管理者入力シート!$B$14=2,DZ9*管理者用人口入力シート!AM$7))</f>
        <v>44.080387262228982</v>
      </c>
      <c r="EB12" s="9">
        <f>IF(管理者入力シート!$B$14=1,EA9*管理者用人口入力シート!AN$3,IF(管理者入力シート!$B$14=2,EA9*管理者用人口入力シート!AN$7))</f>
        <v>36.765710945992765</v>
      </c>
      <c r="EC12" s="9">
        <f>IF(管理者入力シート!$B$14=1,EB9*管理者用人口入力シート!AO$3,IF(管理者入力シート!$B$14=2,EB9*管理者用人口入力シート!AO$7))</f>
        <v>16.510537895147724</v>
      </c>
      <c r="ED12" s="9">
        <f>IF(管理者入力シート!$B$14=1,EC9*管理者用人口入力シート!AP$3,IF(管理者入力シート!$B$14=2,EC9*管理者用人口入力シート!AP$7))</f>
        <v>23.009608074195398</v>
      </c>
      <c r="EE12" s="9">
        <f>IF(管理者入力シート!$B$14=1,ED9*管理者用人口入力シート!AQ$3,IF(管理者入力シート!$B$14=2,ED9*管理者用人口入力シート!AQ$7))+DX1</f>
        <v>46.762405709907014</v>
      </c>
      <c r="EF12" s="9">
        <f>IF(管理者入力シート!$B$14=1,EE9*管理者用人口入力シート!AR$3,IF(管理者入力シート!$B$14=2,EE9*管理者用人口入力シート!AR$7))+DX1</f>
        <v>71.403415119443736</v>
      </c>
      <c r="EG12" s="9">
        <f>IF(管理者入力シート!$B$14=1,EF9*管理者用人口入力シート!AS$3,IF(管理者入力シート!$B$14=2,EF9*管理者用人口入力シート!AS$7))+DX1</f>
        <v>90.335038122837844</v>
      </c>
      <c r="EH12" s="9">
        <f>IF(管理者入力シート!$B$14=1,EG9*管理者用人口入力シート!AT$3,IF(管理者入力シート!$B$14=2,EG9*管理者用人口入力シート!AT$7))</f>
        <v>93.483071342871497</v>
      </c>
      <c r="EI12" s="9">
        <f>IF(管理者入力シート!$B$14=1,EH9*管理者用人口入力シート!AU$3,IF(管理者入力シート!$B$14=2,EH9*管理者用人口入力シート!AU$7))</f>
        <v>79.118392568137125</v>
      </c>
      <c r="EJ12" s="9">
        <f>IF(管理者入力シート!$B$14=1,EI9*管理者用人口入力シート!AV$3,IF(管理者入力シート!$B$14=2,EI9*管理者用人口入力シート!AV$7))</f>
        <v>49.464004801396918</v>
      </c>
      <c r="EK12" s="9">
        <f>IF(管理者入力シート!$B$14=1,EJ9*管理者用人口入力シート!AW$3,IF(管理者入力シート!$B$14=2,EJ9*管理者用人口入力シート!AW$7))</f>
        <v>44.980818647898843</v>
      </c>
      <c r="EL12" s="9">
        <f>IF(管理者入力シート!$B$14=1,EK9*管理者用人口入力シート!AX$3,IF(管理者入力シート!$B$14=2,EK9*管理者用人口入力シート!AX$7))</f>
        <v>64.024396641680283</v>
      </c>
      <c r="EM12" s="9">
        <f>IF(管理者入力シート!$B$14=1,EL9*管理者用人口入力シート!AY$3,IF(管理者入力シート!$B$14=2,EL9*管理者用人口入力シート!AY$7))</f>
        <v>53.155683245806294</v>
      </c>
      <c r="EN12" s="9">
        <f>IF(管理者入力シート!$B$14=1,EM9*管理者用人口入力シート!AZ$3,IF(管理者入力シート!$B$14=2,EM9*管理者用人口入力シート!AZ$7))</f>
        <v>60.755854969520762</v>
      </c>
      <c r="EO12" s="9">
        <f>IF(管理者入力シート!$B$14=1,EN9*管理者用人口入力シート!BA$3,IF(管理者入力シート!$B$14=2,EN9*管理者用人口入力シート!BA$7))</f>
        <v>56.029646888134181</v>
      </c>
      <c r="EP12" s="9">
        <f>IF(管理者入力シート!$B$14=1,EO9*管理者用人口入力シート!BB$3,IF(管理者入力シート!$B$14=2,EO9*管理者用人口入力シート!BB$7))</f>
        <v>44.394295290554403</v>
      </c>
      <c r="EQ12" s="9">
        <f>IF(管理者入力シート!$B$14=1,EP9*管理者用人口入力シート!BC$3,IF(管理者入力シート!$B$14=2,EP9*管理者用人口入力シート!BC$7))</f>
        <v>27.580696482272295</v>
      </c>
      <c r="ER12" s="9">
        <f>IF(管理者入力シート!$B$14=1,EQ9*管理者用人口入力シート!BD$3,IF(管理者入力シート!$B$14=2,EQ9*管理者用人口入力シート!BD$7))</f>
        <v>8.8113515499323558</v>
      </c>
      <c r="ES12" s="9">
        <f>IF(管理者入力シート!$B$14=1,ER9*管理者用人口入力シート!BE$3,IF(管理者入力シート!$B$14=2,ER9*管理者用人口入力シート!BE$7))</f>
        <v>1.2952890367281693</v>
      </c>
      <c r="ET12" s="9">
        <f>IF(管理者入力シート!$B$14=1,ES9*管理者用人口入力シート!BF$3,IF(管理者入力シート!$B$14=2,ES9*管理者用人口入力シート!BF$7))</f>
        <v>3.9713140722746759E-2</v>
      </c>
      <c r="EU12" s="9">
        <f t="shared" si="71"/>
        <v>953.31620820227283</v>
      </c>
      <c r="EV12" s="9">
        <f t="shared" si="41"/>
        <v>48.507658924933047</v>
      </c>
      <c r="EW12" s="9">
        <f t="shared" si="42"/>
        <v>18.00839195742665</v>
      </c>
      <c r="EX12" s="9">
        <f t="shared" si="10"/>
        <v>252.06253060367121</v>
      </c>
      <c r="EY12" s="9">
        <f t="shared" si="43"/>
        <v>138.15099238834415</v>
      </c>
      <c r="EZ12" s="13">
        <f t="shared" si="44"/>
        <v>0.26440600551521209</v>
      </c>
      <c r="FA12" s="13">
        <f t="shared" si="45"/>
        <v>0.1449162315711216</v>
      </c>
      <c r="FB12" s="9">
        <f t="shared" si="72"/>
        <v>231.51046702638399</v>
      </c>
    </row>
    <row r="13" spans="1:158" x14ac:dyDescent="0.15">
      <c r="A13" s="7" t="str">
        <f t="shared" si="11"/>
        <v>2020_2</v>
      </c>
      <c r="B13" s="29">
        <v>2020</v>
      </c>
      <c r="C13" s="4" t="s">
        <v>22</v>
      </c>
      <c r="D13" s="10">
        <v>30.438458574181119</v>
      </c>
      <c r="E13" s="10">
        <v>34.451646328409332</v>
      </c>
      <c r="F13" s="10">
        <v>41.785938771141083</v>
      </c>
      <c r="G13" s="10">
        <v>25.886679511881823</v>
      </c>
      <c r="H13" s="10">
        <v>29.742016698779704</v>
      </c>
      <c r="I13" s="10">
        <v>39.514086919289227</v>
      </c>
      <c r="J13" s="10">
        <v>40.44572040248341</v>
      </c>
      <c r="K13" s="10">
        <v>49.409205737529433</v>
      </c>
      <c r="L13" s="10">
        <v>60.632545493470346</v>
      </c>
      <c r="M13" s="10">
        <v>43.918167415970885</v>
      </c>
      <c r="N13" s="10">
        <v>65.628914579319201</v>
      </c>
      <c r="O13" s="10">
        <v>66.158908156711632</v>
      </c>
      <c r="P13" s="10">
        <v>71.249582530507382</v>
      </c>
      <c r="Q13" s="10">
        <v>94.298034682080925</v>
      </c>
      <c r="R13" s="10">
        <v>78.219952900877757</v>
      </c>
      <c r="S13" s="10">
        <v>73.122915863840717</v>
      </c>
      <c r="T13" s="10">
        <v>67.403960608006855</v>
      </c>
      <c r="U13" s="10">
        <v>62.574476557482342</v>
      </c>
      <c r="V13" s="10">
        <v>43.234330978377223</v>
      </c>
      <c r="W13" s="10">
        <v>11.023121387283236</v>
      </c>
      <c r="X13" s="10">
        <v>2.8613359023763647</v>
      </c>
      <c r="Y13" s="10">
        <f t="shared" si="177"/>
        <v>1031.9999999999998</v>
      </c>
      <c r="Z13" s="10">
        <f t="shared" ref="Z13:Z14" si="179">E13*3/5+F13*3/5</f>
        <v>45.742551059730246</v>
      </c>
      <c r="AA13" s="10">
        <f t="shared" ref="AA13:AA14" si="180">F13*2/5+G13*1/5</f>
        <v>21.891711410832798</v>
      </c>
      <c r="AB13" s="10">
        <f t="shared" si="178"/>
        <v>432.73812888032541</v>
      </c>
      <c r="AC13" s="10">
        <f t="shared" ref="AC13:AC14" si="181">SUM(S13:X13)</f>
        <v>260.22014129736675</v>
      </c>
      <c r="AD13" s="14">
        <f t="shared" ref="AD13:AD14" si="182">AB13/Y13</f>
        <v>0.41931989232589678</v>
      </c>
      <c r="AE13" s="14">
        <f t="shared" ref="AE13:AE14" si="183">AC13/Y13</f>
        <v>0.25215129970675076</v>
      </c>
      <c r="AF13" s="10">
        <f t="shared" ref="AF13:AF14" si="184">SUM(H13:K13)</f>
        <v>159.11102975808177</v>
      </c>
      <c r="AI13" s="60" t="s">
        <v>47</v>
      </c>
      <c r="AJ13" s="1" t="s">
        <v>21</v>
      </c>
      <c r="AK13" s="8">
        <f>VLOOKUP(AK12&amp;"_1",A:D,4,FALSE)/VLOOKUP(AK12&amp;"_2",A:AF,32,FALSE)</f>
        <v>0.20176052929960228</v>
      </c>
      <c r="AL13" s="63"/>
      <c r="BH13" s="7" t="str">
        <f t="shared" si="19"/>
        <v>2040_2</v>
      </c>
      <c r="BI13" s="29">
        <f>BI12</f>
        <v>2040</v>
      </c>
      <c r="BJ13" s="4" t="s">
        <v>22</v>
      </c>
      <c r="BK13" s="10">
        <f>CM13*$AK$14</f>
        <v>13.300081642541251</v>
      </c>
      <c r="BL13" s="10">
        <f>IF(管理者入力シート!$B$14=1,BK10*管理者用人口入力シート!AM$4,IF(管理者入力シート!$B$14=2,BK10*管理者用人口入力シート!AM$8))</f>
        <v>13.881664514077183</v>
      </c>
      <c r="BM13" s="10">
        <f>IF(管理者入力シート!$B$14=1,BL10*管理者用人口入力シート!AN$4,IF(管理者入力シート!$B$14=2,BL10*管理者用人口入力シート!AN$8))</f>
        <v>16.118849872393028</v>
      </c>
      <c r="BN13" s="10">
        <f>IF(管理者入力シート!$B$14=1,BM10*管理者用人口入力シート!AO$4,IF(管理者入力シート!$B$14=2,BM10*管理者用人口入力シート!AO$8))</f>
        <v>12.659682675032977</v>
      </c>
      <c r="BO13" s="10">
        <f>IF(管理者入力シート!$B$14=1,BN10*管理者用人口入力シート!AP$4,IF(管理者入力シート!$B$14=2,BN10*管理者用人口入力シート!AP$8))</f>
        <v>13.712829271102837</v>
      </c>
      <c r="BP13" s="10">
        <f>IF(管理者入力シート!$B$14=1,BO10*管理者用人口入力シート!AQ$4,IF(管理者入力シート!$B$14=2,BO10*管理者用人口入力シート!AQ$8))</f>
        <v>16.162007577349893</v>
      </c>
      <c r="BQ13" s="10">
        <f>IF(管理者入力シート!$B$14=1,BP10*管理者用人口入力シート!AR$4,IF(管理者入力シート!$B$14=2,BP10*管理者用人口入力シート!AR$8))</f>
        <v>20.770197444109453</v>
      </c>
      <c r="BR13" s="10">
        <f>IF(管理者入力シート!$B$14=1,BQ10*管理者用人口入力シート!AS$4,IF(管理者入力シート!$B$14=2,BQ10*管理者用人口入力シート!AS$8))</f>
        <v>18.878515359400748</v>
      </c>
      <c r="BS13" s="10">
        <f>IF(管理者入力シート!$B$14=1,BR10*管理者用人口入力シート!AT$4,IF(管理者入力シート!$B$14=2,BR10*管理者用人口入力シート!AT$8))</f>
        <v>23.861407728969045</v>
      </c>
      <c r="BT13" s="10">
        <f>IF(管理者入力シート!$B$14=1,BS10*管理者用人口入力シート!AU$4,IF(管理者入力シート!$B$14=2,BS10*管理者用人口入力シート!AU$8))</f>
        <v>30.450579420380372</v>
      </c>
      <c r="BU13" s="10">
        <f>IF(管理者入力シート!$B$14=1,BT10*管理者用人口入力シート!AV$4,IF(管理者入力シート!$B$14=2,BT10*管理者用人口入力シート!AV$8))</f>
        <v>35.964151235892288</v>
      </c>
      <c r="BV13" s="10">
        <f>IF(管理者入力シート!$B$14=1,BU10*管理者用人口入力シート!AW$4,IF(管理者入力シート!$B$14=2,BU10*管理者用人口入力シート!AW$8))</f>
        <v>44.994104291339752</v>
      </c>
      <c r="BW13" s="10">
        <f>IF(管理者入力シート!$B$14=1,BV10*管理者用人口入力シート!AX$4,IF(管理者入力シート!$B$14=2,BV10*管理者用人口入力シート!AX$8))</f>
        <v>57.343781730451596</v>
      </c>
      <c r="BX13" s="10">
        <f>IF(管理者入力シート!$B$14=1,BW10*管理者用人口入力シート!AY$4,IF(管理者入力シート!$B$14=2,BW10*管理者用人口入力シート!AY$8))</f>
        <v>48.429839469404236</v>
      </c>
      <c r="BY13" s="10">
        <f>IF(管理者入力シート!$B$14=1,BX10*管理者用人口入力シート!AZ$4,IF(管理者入力シート!$B$14=2,BX10*管理者用人口入力シート!AZ$8))</f>
        <v>63.046519628034723</v>
      </c>
      <c r="BZ13" s="10">
        <f>IF(管理者入力シート!$B$14=1,BY10*管理者用人口入力シート!BA$4,IF(管理者入力シート!$B$14=2,BY10*管理者用人口入力シート!BA$8))</f>
        <v>59.416340265423159</v>
      </c>
      <c r="CA13" s="10">
        <f>IF(管理者入力シート!$B$14=1,BZ10*管理者用人口入力シート!BB$4,IF(管理者入力シート!$B$14=2,BZ10*管理者用人口入力シート!BB$8))</f>
        <v>56.348968403589971</v>
      </c>
      <c r="CB13" s="10">
        <f>IF(管理者入力シート!$B$14=1,CA10*管理者用人口入力シート!BC$4,IF(管理者入力シート!$B$14=2,CA10*管理者用人口入力シート!BC$8))</f>
        <v>58.581834569721941</v>
      </c>
      <c r="CC13" s="10">
        <f>IF(管理者入力シート!$B$14=1,CB10*管理者用人口入力シート!BD$4,IF(管理者入力シート!$B$14=2,CB10*管理者用人口入力シート!BD$8))</f>
        <v>27.907835122016856</v>
      </c>
      <c r="CD13" s="10">
        <f>IF(管理者入力シート!$B$14=1,CC10*管理者用人口入力シート!BE$4,IF(管理者入力シート!$B$14=2,CC10*管理者用人口入力シート!BE$8))</f>
        <v>10.117525410122589</v>
      </c>
      <c r="CE13" s="10">
        <f>IF(管理者入力シート!$B$14=1,CD10*管理者用人口入力シート!BF$4,IF(管理者入力シート!$B$14=2,CD10*管理者用人口入力シート!BF$8))</f>
        <v>3.8252125970263067</v>
      </c>
      <c r="CF13" s="10">
        <f t="shared" si="2"/>
        <v>645.77192822838015</v>
      </c>
      <c r="CG13" s="10">
        <f t="shared" si="20"/>
        <v>18.000308631882127</v>
      </c>
      <c r="CH13" s="10">
        <f t="shared" si="21"/>
        <v>8.9794764839638077</v>
      </c>
      <c r="CI13" s="10">
        <f t="shared" si="3"/>
        <v>327.6740754653398</v>
      </c>
      <c r="CJ13" s="10">
        <f t="shared" si="22"/>
        <v>216.19771636790082</v>
      </c>
      <c r="CK13" s="14">
        <f t="shared" si="23"/>
        <v>0.50741455480154662</v>
      </c>
      <c r="CL13" s="14">
        <f t="shared" si="24"/>
        <v>0.33478958579234114</v>
      </c>
      <c r="CM13" s="10">
        <f t="shared" si="25"/>
        <v>69.523549651962938</v>
      </c>
      <c r="CO13" s="7" t="str">
        <f t="shared" si="26"/>
        <v>2040_2</v>
      </c>
      <c r="CP13" s="29">
        <f>CP12</f>
        <v>2040</v>
      </c>
      <c r="CQ13" s="4" t="s">
        <v>22</v>
      </c>
      <c r="CR13" s="10">
        <f>DT13*$AK$14+将来予測シート②!$H17</f>
        <v>15.620144161203193</v>
      </c>
      <c r="CS13" s="10">
        <f>IF(管理者入力シート!$B$14=1,CR10*管理者用人口入力シート!AM$4,IF(管理者入力シート!$B$14=2,CR10*管理者用人口入力シート!AM$8))+将来予測シート②!$H18</f>
        <v>15.800381642813452</v>
      </c>
      <c r="CT13" s="10">
        <f>IF(管理者入力シート!$B$14=1,CS10*管理者用人口入力シート!AN$4,IF(管理者入力シート!$B$14=2,CS10*管理者用人口入力シート!AN$8))+将来予測シート②!$H19</f>
        <v>18.498867965697436</v>
      </c>
      <c r="CU13" s="10">
        <f>IF(管理者入力シート!$B$14=1,CT10*管理者用人口入力シート!AO$4,IF(管理者入力シート!$B$14=2,CT10*管理者用人口入力シート!AO$8))+将来予測シート②!$H20</f>
        <v>13.845931542673934</v>
      </c>
      <c r="CV13" s="10">
        <f>IF(管理者入力シート!$B$14=1,CU10*管理者用人口入力シート!AP$4,IF(管理者入力シート!$B$14=2,CU10*管理者用人口入力シート!AP$8))+将来予測シート②!$H21</f>
        <v>14.284866031953062</v>
      </c>
      <c r="CW13" s="10">
        <f>IF(管理者入力シート!$B$14=1,CV10*管理者用人口入力シート!AQ$4,IF(管理者入力シート!$B$14=2,CV10*管理者用人口入力シート!AQ$8))+将来予測シート②!$H22</f>
        <v>18.676454682507888</v>
      </c>
      <c r="CX13" s="10">
        <f>IF(管理者入力シート!$B$14=1,CW10*管理者用人口入力シート!AR$4,IF(管理者入力シート!$B$14=2,CW10*管理者用人口入力シート!AR$8))+将来予測シート②!$H23</f>
        <v>22.702609460304515</v>
      </c>
      <c r="CY13" s="10">
        <f>IF(管理者入力シート!$B$14=1,CX10*管理者用人口入力シート!AS$4,IF(管理者入力シート!$B$14=2,CX10*管理者用人口入力シート!AS$8))+将来予測シート②!$H24</f>
        <v>20.75998554460104</v>
      </c>
      <c r="CZ13" s="10">
        <f>IF(管理者入力シート!$B$14=1,CY10*管理者用人口入力シート!AT$4,IF(管理者入力シート!$B$14=2,CY10*管理者用人口入力シート!AT$8))+将来予測シート②!$H25</f>
        <v>26.645588503603872</v>
      </c>
      <c r="DA13" s="10">
        <f>IF(管理者入力シート!$B$14=1,CZ10*管理者用人口入力シート!AU$4,IF(管理者入力シート!$B$14=2,CZ10*管理者用人口入力シート!AU$8))+将来予測シート②!$H26</f>
        <v>31.314422285168728</v>
      </c>
      <c r="DB13" s="10">
        <f>IF(管理者入力シート!$B$14=1,DA10*管理者用人口入力シート!AV$4,IF(管理者入力シート!$B$14=2,DA10*管理者用人口入力シート!AV$8))+将来予測シート②!$H27</f>
        <v>36.927221811105561</v>
      </c>
      <c r="DC13" s="10">
        <f>IF(管理者入力シート!$B$14=1,DB10*管理者用人口入力シート!AW$4,IF(管理者入力シート!$B$14=2,DB10*管理者用人口入力シート!AW$8))+将来予測シート②!$H28</f>
        <v>45.954402731350939</v>
      </c>
      <c r="DD13" s="10">
        <f>IF(管理者入力シート!$B$14=1,DC10*管理者用人口入力シート!AX$4,IF(管理者入力シート!$B$14=2,DC10*管理者用人口入力シート!AX$8))+将来予測シート②!$H29</f>
        <v>57.343781730451596</v>
      </c>
      <c r="DE13" s="10">
        <f>IF(管理者入力シート!$B$14=1,DD10*管理者用人口入力シート!AY$4,IF(管理者入力シート!$B$14=2,DD10*管理者用人口入力シート!AY$8))</f>
        <v>48.429839469404236</v>
      </c>
      <c r="DF13" s="10">
        <f>IF(管理者入力シート!$B$14=1,DE10*管理者用人口入力シート!AZ$4,IF(管理者入力シート!$B$14=2,DE10*管理者用人口入力シート!AZ$8))</f>
        <v>63.046519628034723</v>
      </c>
      <c r="DG13" s="10">
        <f>IF(管理者入力シート!$B$14=1,DF10*管理者用人口入力シート!BA$4,IF(管理者入力シート!$B$14=2,DF10*管理者用人口入力シート!BA$8))</f>
        <v>59.416340265423159</v>
      </c>
      <c r="DH13" s="10">
        <f>IF(管理者入力シート!$B$14=1,DG10*管理者用人口入力シート!BB$4,IF(管理者入力シート!$B$14=2,DG10*管理者用人口入力シート!BB$8))</f>
        <v>56.348968403589971</v>
      </c>
      <c r="DI13" s="10">
        <f>IF(管理者入力シート!$B$14=1,DH10*管理者用人口入力シート!BC$4,IF(管理者入力シート!$B$14=2,DH10*管理者用人口入力シート!BC$8))</f>
        <v>58.581834569721941</v>
      </c>
      <c r="DJ13" s="10">
        <f>IF(管理者入力シート!$B$14=1,DI10*管理者用人口入力シート!BD$4,IF(管理者入力シート!$B$14=2,DI10*管理者用人口入力シート!BD$8))</f>
        <v>27.907835122016856</v>
      </c>
      <c r="DK13" s="10">
        <f>IF(管理者入力シート!$B$14=1,DJ10*管理者用人口入力シート!BE$4,IF(管理者入力シート!$B$14=2,DJ10*管理者用人口入力シート!BE$8))</f>
        <v>10.117525410122589</v>
      </c>
      <c r="DL13" s="10">
        <f>IF(管理者入力シート!$B$14=1,DK10*管理者用人口入力シート!BF$4,IF(管理者入力シート!$B$14=2,DK10*管理者用人口入力シート!BF$8))</f>
        <v>3.8252125970263067</v>
      </c>
      <c r="DM13" s="10">
        <f t="shared" si="69"/>
        <v>666.04873355877498</v>
      </c>
      <c r="DN13" s="10">
        <f t="shared" si="34"/>
        <v>20.579549765106535</v>
      </c>
      <c r="DO13" s="10">
        <f t="shared" si="35"/>
        <v>10.168733494813761</v>
      </c>
      <c r="DP13" s="10">
        <f t="shared" si="6"/>
        <v>327.6740754653398</v>
      </c>
      <c r="DQ13" s="10">
        <f t="shared" si="36"/>
        <v>216.19771636790082</v>
      </c>
      <c r="DR13" s="14">
        <f t="shared" si="37"/>
        <v>0.49196711735271909</v>
      </c>
      <c r="DS13" s="14">
        <f t="shared" si="38"/>
        <v>0.32459744381275463</v>
      </c>
      <c r="DT13" s="10">
        <f t="shared" si="70"/>
        <v>76.423915719366505</v>
      </c>
      <c r="DV13" s="62"/>
      <c r="DX13" s="29">
        <f>DX12</f>
        <v>2040</v>
      </c>
      <c r="DY13" s="4" t="s">
        <v>22</v>
      </c>
      <c r="DZ13" s="10">
        <f>FB13*$AK$14</f>
        <v>39.174483395055397</v>
      </c>
      <c r="EA13" s="10">
        <f>IF(管理者入力シート!$B$14=1,DZ10*管理者用人口入力シート!AM$4,IF(管理者入力シート!$B$14=2,DZ10*管理者用人口入力シート!AM$8))</f>
        <v>36.227993775108089</v>
      </c>
      <c r="EB13" s="10">
        <f>IF(管理者入力シート!$B$14=1,EA10*管理者用人口入力シート!AN$4,IF(管理者入力シート!$B$14=2,EA10*管理者用人口入力シート!AN$8))</f>
        <v>33.236491641649863</v>
      </c>
      <c r="EC13" s="10">
        <f>IF(管理者入力シート!$B$14=1,EB10*管理者用人口入力シート!AO$4,IF(管理者入力シート!$B$14=2,EB10*管理者用人口入力シート!AO$8))</f>
        <v>12.659682675032977</v>
      </c>
      <c r="ED13" s="10">
        <f>IF(管理者入力シート!$B$14=1,EC10*管理者用人口入力シート!AP$4,IF(管理者入力シート!$B$14=2,EC10*管理者用人口入力シート!AP$8))</f>
        <v>13.712829271102837</v>
      </c>
      <c r="EE13" s="10">
        <f>IF(管理者入力シート!$B$14=1,ED10*管理者用人口入力シート!AQ$4,IF(管理者入力シート!$B$14=2,ED10*管理者用人口入力シート!AQ$8))+DX1</f>
        <v>39.162007577349897</v>
      </c>
      <c r="EF13" s="10">
        <f>IF(管理者入力シート!$B$14=1,EE10*管理者用人口入力シート!AR$4,IF(管理者入力シート!$B$14=2,EE10*管理者用人口入力シート!AR$8))+DX1</f>
        <v>65.992935630352662</v>
      </c>
      <c r="EG13" s="10">
        <f>IF(管理者入力シート!$B$14=1,EF10*管理者用人口入力シート!AS$4,IF(管理者入力シート!$B$14=2,EF10*管理者用人口入力シート!AS$8))+DX1</f>
        <v>85.909101423582314</v>
      </c>
      <c r="EH13" s="10">
        <f>IF(管理者入力シート!$B$14=1,EG10*管理者用人口入力シート!AT$4,IF(管理者入力シート!$B$14=2,EG10*管理者用人口入力シート!AT$8))</f>
        <v>87.425892518020532</v>
      </c>
      <c r="EI13" s="10">
        <f>IF(管理者入力シート!$B$14=1,EH10*管理者用人口入力シート!AU$4,IF(管理者入力シート!$B$14=2,EH10*管理者用人口入力シート!AU$8))</f>
        <v>67.635909995250614</v>
      </c>
      <c r="EJ13" s="10">
        <f>IF(管理者入力シート!$B$14=1,EI10*管理者用人口入力シート!AV$4,IF(管理者入力シート!$B$14=2,EI10*管理者用人口入力シート!AV$8))</f>
        <v>56.969382370484823</v>
      </c>
      <c r="EK13" s="10">
        <f>IF(管理者入力シート!$B$14=1,EJ10*管理者用人口入力シート!AW$4,IF(管理者入力シート!$B$14=2,EJ10*管理者用人口入力シート!AW$8))</f>
        <v>44.994104291339752</v>
      </c>
      <c r="EL13" s="10">
        <f>IF(管理者入力シート!$B$14=1,EK10*管理者用人口入力シート!AX$4,IF(管理者入力シート!$B$14=2,EK10*管理者用人口入力シート!AX$8))</f>
        <v>57.343781730451596</v>
      </c>
      <c r="EM13" s="10">
        <f>IF(管理者入力シート!$B$14=1,EL10*管理者用人口入力シート!AY$4,IF(管理者入力シート!$B$14=2,EL10*管理者用人口入力シート!AY$8))</f>
        <v>48.429839469404236</v>
      </c>
      <c r="EN13" s="10">
        <f>IF(管理者入力シート!$B$14=1,EM10*管理者用人口入力シート!AZ$4,IF(管理者入力シート!$B$14=2,EM10*管理者用人口入力シート!AZ$8))</f>
        <v>63.046519628034723</v>
      </c>
      <c r="EO13" s="10">
        <f>IF(管理者入力シート!$B$14=1,EN10*管理者用人口入力シート!BA$4,IF(管理者入力シート!$B$14=2,EN10*管理者用人口入力シート!BA$8))</f>
        <v>59.416340265423159</v>
      </c>
      <c r="EP13" s="10">
        <f>IF(管理者入力シート!$B$14=1,EO10*管理者用人口入力シート!BB$4,IF(管理者入力シート!$B$14=2,EO10*管理者用人口入力シート!BB$8))</f>
        <v>56.348968403589971</v>
      </c>
      <c r="EQ13" s="10">
        <f>IF(管理者入力シート!$B$14=1,EP10*管理者用人口入力シート!BC$4,IF(管理者入力シート!$B$14=2,EP10*管理者用人口入力シート!BC$8))</f>
        <v>58.581834569721941</v>
      </c>
      <c r="ER13" s="10">
        <f>IF(管理者入力シート!$B$14=1,EQ10*管理者用人口入力シート!BD$4,IF(管理者入力シート!$B$14=2,EQ10*管理者用人口入力シート!BD$8))</f>
        <v>27.907835122016856</v>
      </c>
      <c r="ES13" s="10">
        <f>IF(管理者入力シート!$B$14=1,ER10*管理者用人口入力シート!BE$4,IF(管理者入力シート!$B$14=2,ER10*管理者用人口入力シート!BE$8))</f>
        <v>10.117525410122589</v>
      </c>
      <c r="ET13" s="10">
        <f>IF(管理者入力シート!$B$14=1,ES10*管理者用人口入力シート!BF$4,IF(管理者入力シート!$B$14=2,ES10*管理者用人口入力シート!BF$8))</f>
        <v>3.8252125970263067</v>
      </c>
      <c r="EU13" s="10">
        <f t="shared" si="71"/>
        <v>968.11867176012117</v>
      </c>
      <c r="EV13" s="10">
        <f t="shared" si="41"/>
        <v>41.678691250054769</v>
      </c>
      <c r="EW13" s="10">
        <f t="shared" si="42"/>
        <v>15.82653319166654</v>
      </c>
      <c r="EX13" s="10">
        <f t="shared" si="10"/>
        <v>327.6740754653398</v>
      </c>
      <c r="EY13" s="10">
        <f t="shared" si="43"/>
        <v>216.19771636790082</v>
      </c>
      <c r="EZ13" s="14">
        <f t="shared" si="44"/>
        <v>0.33846478228707311</v>
      </c>
      <c r="FA13" s="14">
        <f t="shared" si="45"/>
        <v>0.22331737076698996</v>
      </c>
      <c r="FB13" s="10">
        <f t="shared" si="72"/>
        <v>204.77687390238771</v>
      </c>
    </row>
    <row r="14" spans="1:158" x14ac:dyDescent="0.15">
      <c r="A14" s="7" t="str">
        <f t="shared" si="11"/>
        <v>2020_3</v>
      </c>
      <c r="B14" s="30">
        <v>2020</v>
      </c>
      <c r="C14" s="5" t="s">
        <v>23</v>
      </c>
      <c r="D14" s="11">
        <v>62.540784155576468</v>
      </c>
      <c r="E14" s="11">
        <v>76.821003373552969</v>
      </c>
      <c r="F14" s="11">
        <v>82.95143124720127</v>
      </c>
      <c r="G14" s="11">
        <v>63.028460177636497</v>
      </c>
      <c r="H14" s="11">
        <v>83.299609038040998</v>
      </c>
      <c r="I14" s="11">
        <v>88.77131446146889</v>
      </c>
      <c r="J14" s="11">
        <v>74.767961624553635</v>
      </c>
      <c r="K14" s="11">
        <v>97.177092194437776</v>
      </c>
      <c r="L14" s="11">
        <v>121.97180677938006</v>
      </c>
      <c r="M14" s="11">
        <v>98.025577356691358</v>
      </c>
      <c r="N14" s="11">
        <v>128.26034412788283</v>
      </c>
      <c r="O14" s="11">
        <v>131.16269292643346</v>
      </c>
      <c r="P14" s="11">
        <v>145.89644755558717</v>
      </c>
      <c r="Q14" s="11">
        <v>162.79342911892542</v>
      </c>
      <c r="R14" s="11">
        <v>150.0204886965914</v>
      </c>
      <c r="S14" s="11">
        <v>120.79730026876548</v>
      </c>
      <c r="T14" s="11">
        <v>115.07277045752807</v>
      </c>
      <c r="U14" s="11">
        <v>96.060933465827077</v>
      </c>
      <c r="V14" s="11">
        <v>56.488742743083108</v>
      </c>
      <c r="W14" s="11">
        <v>12.023121387283236</v>
      </c>
      <c r="X14" s="11">
        <v>3.8686888435528353</v>
      </c>
      <c r="Y14" s="11">
        <f t="shared" si="177"/>
        <v>1971.8</v>
      </c>
      <c r="Z14" s="11">
        <f t="shared" si="179"/>
        <v>95.863460772452541</v>
      </c>
      <c r="AA14" s="11">
        <f t="shared" si="180"/>
        <v>45.786264534407806</v>
      </c>
      <c r="AB14" s="11">
        <f t="shared" si="178"/>
        <v>717.12547498155652</v>
      </c>
      <c r="AC14" s="11">
        <f t="shared" si="181"/>
        <v>404.31155716603979</v>
      </c>
      <c r="AD14" s="15">
        <f t="shared" si="182"/>
        <v>0.36369077745286366</v>
      </c>
      <c r="AE14" s="15">
        <f t="shared" si="183"/>
        <v>0.20504694044327001</v>
      </c>
      <c r="AF14" s="11">
        <f t="shared" si="184"/>
        <v>344.01597731850131</v>
      </c>
      <c r="AI14" s="43"/>
      <c r="AJ14" s="1" t="s">
        <v>22</v>
      </c>
      <c r="AK14" s="8">
        <f>VLOOKUP(AK12&amp;"_2",A:D,4,FALSE)/VLOOKUP(AK12&amp;"_2",A:AF,32,FALSE)</f>
        <v>0.19130325924268649</v>
      </c>
      <c r="AL14" s="63"/>
      <c r="BH14" s="7" t="str">
        <f t="shared" si="19"/>
        <v>2040_3</v>
      </c>
      <c r="BI14" s="30">
        <f>BI13</f>
        <v>2040</v>
      </c>
      <c r="BJ14" s="5" t="s">
        <v>23</v>
      </c>
      <c r="BK14" s="16">
        <f>BK12+BK13</f>
        <v>27.327189819108476</v>
      </c>
      <c r="BL14" s="16">
        <f t="shared" ref="BL14" si="185">BL12+BL13</f>
        <v>30.772170552678219</v>
      </c>
      <c r="BM14" s="16">
        <f t="shared" ref="BM14" si="186">BM12+BM13</f>
        <v>33.949281001520369</v>
      </c>
      <c r="BN14" s="16">
        <f t="shared" ref="BN14" si="187">BN12+BN13</f>
        <v>29.170220570180703</v>
      </c>
      <c r="BO14" s="16">
        <f t="shared" ref="BO14" si="188">BO12+BO13</f>
        <v>36.722437345298232</v>
      </c>
      <c r="BP14" s="16">
        <f t="shared" ref="BP14" si="189">BP12+BP13</f>
        <v>39.924413287256911</v>
      </c>
      <c r="BQ14" s="16">
        <f t="shared" ref="BQ14" si="190">BQ12+BQ13</f>
        <v>47.279549198251395</v>
      </c>
      <c r="BR14" s="16">
        <f t="shared" ref="BR14" si="191">BR12+BR13</f>
        <v>46.155720097101394</v>
      </c>
      <c r="BS14" s="16">
        <f t="shared" ref="BS14" si="192">BS12+BS13</f>
        <v>57.512611050354522</v>
      </c>
      <c r="BT14" s="16">
        <f t="shared" ref="BT14" si="193">BT12+BT13</f>
        <v>69.229023403172505</v>
      </c>
      <c r="BU14" s="16">
        <f t="shared" ref="BU14" si="194">BU12+BU13</f>
        <v>64.212771812788688</v>
      </c>
      <c r="BV14" s="16">
        <f t="shared" ref="BV14" si="195">BV12+BV13</f>
        <v>89.974922939238596</v>
      </c>
      <c r="BW14" s="16">
        <f t="shared" ref="BW14" si="196">BW12+BW13</f>
        <v>121.36817837213188</v>
      </c>
      <c r="BX14" s="16">
        <f t="shared" ref="BX14" si="197">BX12+BX13</f>
        <v>101.58552271521053</v>
      </c>
      <c r="BY14" s="16">
        <f t="shared" ref="BY14" si="198">BY12+BY13</f>
        <v>123.80237459755548</v>
      </c>
      <c r="BZ14" s="16">
        <f t="shared" ref="BZ14" si="199">BZ12+BZ13</f>
        <v>115.44598715355734</v>
      </c>
      <c r="CA14" s="16">
        <f t="shared" ref="CA14" si="200">CA12+CA13</f>
        <v>100.74326369414437</v>
      </c>
      <c r="CB14" s="16">
        <f t="shared" ref="CB14" si="201">CB12+CB13</f>
        <v>86.162531051994236</v>
      </c>
      <c r="CC14" s="16">
        <f t="shared" ref="CC14" si="202">CC12+CC13</f>
        <v>36.71918667194921</v>
      </c>
      <c r="CD14" s="16">
        <f t="shared" ref="CD14" si="203">CD12+CD13</f>
        <v>11.412814446850758</v>
      </c>
      <c r="CE14" s="16">
        <f t="shared" ref="CE14" si="204">CE12+CE13</f>
        <v>3.8649257377490533</v>
      </c>
      <c r="CF14" s="11">
        <f t="shared" si="2"/>
        <v>1273.3350955180929</v>
      </c>
      <c r="CG14" s="11">
        <f t="shared" si="20"/>
        <v>38.832870932519157</v>
      </c>
      <c r="CH14" s="11">
        <f t="shared" si="21"/>
        <v>19.413756514644291</v>
      </c>
      <c r="CI14" s="11">
        <f t="shared" si="3"/>
        <v>579.73660606901103</v>
      </c>
      <c r="CJ14" s="11">
        <f t="shared" si="22"/>
        <v>354.34870875624495</v>
      </c>
      <c r="CK14" s="15">
        <f t="shared" si="23"/>
        <v>0.45528989824405064</v>
      </c>
      <c r="CL14" s="15">
        <f t="shared" si="24"/>
        <v>0.27828394112711391</v>
      </c>
      <c r="CM14" s="11">
        <f t="shared" si="25"/>
        <v>170.08211992790791</v>
      </c>
      <c r="CO14" s="7" t="str">
        <f t="shared" si="26"/>
        <v>2040_3</v>
      </c>
      <c r="CP14" s="30">
        <f>CP13</f>
        <v>2040</v>
      </c>
      <c r="CQ14" s="5" t="s">
        <v>23</v>
      </c>
      <c r="CR14" s="16">
        <f>CR12+CR13</f>
        <v>32.039473847890775</v>
      </c>
      <c r="CS14" s="16">
        <f t="shared" ref="CS14" si="205">CS12+CS13</f>
        <v>34.97102026732945</v>
      </c>
      <c r="CT14" s="16">
        <f t="shared" ref="CT14" si="206">CT12+CT13</f>
        <v>38.810701118367575</v>
      </c>
      <c r="CU14" s="16">
        <f t="shared" ref="CU14" si="207">CU12+CU13</f>
        <v>31.785147807588398</v>
      </c>
      <c r="CV14" s="16">
        <f t="shared" ref="CV14" si="208">CV12+CV13</f>
        <v>38.16219148817548</v>
      </c>
      <c r="CW14" s="16">
        <f t="shared" ref="CW14" si="209">CW12+CW13</f>
        <v>45.115359546393854</v>
      </c>
      <c r="CX14" s="16">
        <f t="shared" ref="CX14" si="210">CX12+CX13</f>
        <v>51.115792811429223</v>
      </c>
      <c r="CY14" s="16">
        <f t="shared" ref="CY14" si="211">CY12+CY13</f>
        <v>49.735930899401595</v>
      </c>
      <c r="CZ14" s="16">
        <f t="shared" ref="CZ14" si="212">CZ12+CZ13</f>
        <v>61.908626849264309</v>
      </c>
      <c r="DA14" s="16">
        <f t="shared" ref="DA14" si="213">DA12+DA13</f>
        <v>70.092866267960872</v>
      </c>
      <c r="DB14" s="16">
        <f t="shared" ref="DB14" si="214">DB12+DB13</f>
        <v>65.175842388001968</v>
      </c>
      <c r="DC14" s="16">
        <f t="shared" ref="DC14" si="215">DC12+DC13</f>
        <v>90.935221379249782</v>
      </c>
      <c r="DD14" s="16">
        <f t="shared" ref="DD14" si="216">DD12+DD13</f>
        <v>121.36817837213188</v>
      </c>
      <c r="DE14" s="16">
        <f t="shared" ref="DE14" si="217">DE12+DE13</f>
        <v>101.58552271521053</v>
      </c>
      <c r="DF14" s="16">
        <f t="shared" ref="DF14" si="218">DF12+DF13</f>
        <v>123.80237459755548</v>
      </c>
      <c r="DG14" s="16">
        <f t="shared" ref="DG14" si="219">DG12+DG13</f>
        <v>115.44598715355734</v>
      </c>
      <c r="DH14" s="16">
        <f t="shared" ref="DH14" si="220">DH12+DH13</f>
        <v>100.74326369414437</v>
      </c>
      <c r="DI14" s="16">
        <f t="shared" ref="DI14" si="221">DI12+DI13</f>
        <v>86.162531051994236</v>
      </c>
      <c r="DJ14" s="16">
        <f t="shared" ref="DJ14" si="222">DJ12+DJ13</f>
        <v>36.71918667194921</v>
      </c>
      <c r="DK14" s="16">
        <f t="shared" ref="DK14" si="223">DK12+DK13</f>
        <v>11.412814446850758</v>
      </c>
      <c r="DL14" s="16">
        <f t="shared" ref="DL14" si="224">DL12+DL13</f>
        <v>3.8649257377490533</v>
      </c>
      <c r="DM14" s="11">
        <f t="shared" si="69"/>
        <v>1310.9529591121961</v>
      </c>
      <c r="DN14" s="11">
        <f t="shared" si="34"/>
        <v>44.269032831418215</v>
      </c>
      <c r="DO14" s="11">
        <f t="shared" si="35"/>
        <v>21.881310008864709</v>
      </c>
      <c r="DP14" s="11">
        <f t="shared" si="6"/>
        <v>579.73660606901103</v>
      </c>
      <c r="DQ14" s="11">
        <f t="shared" si="36"/>
        <v>354.34870875624495</v>
      </c>
      <c r="DR14" s="15">
        <f t="shared" si="37"/>
        <v>0.44222533084758464</v>
      </c>
      <c r="DS14" s="15">
        <f t="shared" si="38"/>
        <v>0.27029856890991499</v>
      </c>
      <c r="DT14" s="11">
        <f t="shared" si="70"/>
        <v>184.12927474540015</v>
      </c>
      <c r="DX14" s="30">
        <f>DX13</f>
        <v>2040</v>
      </c>
      <c r="DY14" s="5" t="s">
        <v>23</v>
      </c>
      <c r="DZ14" s="16">
        <f>DZ12+DZ13</f>
        <v>80.490373861919053</v>
      </c>
      <c r="EA14" s="16">
        <f t="shared" ref="EA14" si="225">EA12+EA13</f>
        <v>80.308381037337071</v>
      </c>
      <c r="EB14" s="16">
        <f t="shared" ref="EB14" si="226">EB12+EB13</f>
        <v>70.002202587642628</v>
      </c>
      <c r="EC14" s="16">
        <f t="shared" ref="EC14" si="227">EC12+EC13</f>
        <v>29.170220570180703</v>
      </c>
      <c r="ED14" s="16">
        <f t="shared" ref="ED14" si="228">ED12+ED13</f>
        <v>36.722437345298232</v>
      </c>
      <c r="EE14" s="16">
        <f t="shared" ref="EE14" si="229">EE12+EE13</f>
        <v>85.924413287256911</v>
      </c>
      <c r="EF14" s="16">
        <f t="shared" ref="EF14" si="230">EF12+EF13</f>
        <v>137.3963507497964</v>
      </c>
      <c r="EG14" s="16">
        <f t="shared" ref="EG14" si="231">EG12+EG13</f>
        <v>176.24413954642017</v>
      </c>
      <c r="EH14" s="16">
        <f t="shared" ref="EH14" si="232">EH12+EH13</f>
        <v>180.90896386089202</v>
      </c>
      <c r="EI14" s="16">
        <f t="shared" ref="EI14" si="233">EI12+EI13</f>
        <v>146.75430256338774</v>
      </c>
      <c r="EJ14" s="16">
        <f t="shared" ref="EJ14" si="234">EJ12+EJ13</f>
        <v>106.43338717188175</v>
      </c>
      <c r="EK14" s="16">
        <f t="shared" ref="EK14" si="235">EK12+EK13</f>
        <v>89.974922939238596</v>
      </c>
      <c r="EL14" s="16">
        <f t="shared" ref="EL14" si="236">EL12+EL13</f>
        <v>121.36817837213188</v>
      </c>
      <c r="EM14" s="16">
        <f t="shared" ref="EM14" si="237">EM12+EM13</f>
        <v>101.58552271521053</v>
      </c>
      <c r="EN14" s="16">
        <f t="shared" ref="EN14" si="238">EN12+EN13</f>
        <v>123.80237459755548</v>
      </c>
      <c r="EO14" s="16">
        <f t="shared" ref="EO14" si="239">EO12+EO13</f>
        <v>115.44598715355734</v>
      </c>
      <c r="EP14" s="16">
        <f t="shared" ref="EP14" si="240">EP12+EP13</f>
        <v>100.74326369414437</v>
      </c>
      <c r="EQ14" s="16">
        <f t="shared" ref="EQ14" si="241">EQ12+EQ13</f>
        <v>86.162531051994236</v>
      </c>
      <c r="ER14" s="16">
        <f t="shared" ref="ER14" si="242">ER12+ER13</f>
        <v>36.71918667194921</v>
      </c>
      <c r="ES14" s="16">
        <f t="shared" ref="ES14" si="243">ES12+ES13</f>
        <v>11.412814446850758</v>
      </c>
      <c r="ET14" s="16">
        <f t="shared" ref="ET14" si="244">ET12+ET13</f>
        <v>3.8649257377490533</v>
      </c>
      <c r="EU14" s="11">
        <f t="shared" si="71"/>
        <v>1921.4348799623942</v>
      </c>
      <c r="EV14" s="11">
        <f t="shared" si="41"/>
        <v>90.186350174987822</v>
      </c>
      <c r="EW14" s="11">
        <f t="shared" si="42"/>
        <v>33.834925149093195</v>
      </c>
      <c r="EX14" s="11">
        <f t="shared" si="10"/>
        <v>579.73660606901103</v>
      </c>
      <c r="EY14" s="11">
        <f t="shared" si="43"/>
        <v>354.34870875624495</v>
      </c>
      <c r="EZ14" s="15">
        <f t="shared" si="44"/>
        <v>0.30172066309130263</v>
      </c>
      <c r="FA14" s="15">
        <f t="shared" si="45"/>
        <v>0.18441879683332291</v>
      </c>
      <c r="FB14" s="11">
        <f t="shared" si="72"/>
        <v>436.2873409287717</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11.920703946829805</v>
      </c>
      <c r="BL15" s="9">
        <f>IF(管理者入力シート!$B$14=1,BK12*管理者用人口入力シート!AM$3,IF(管理者入力シート!$B$14=2,BK12*管理者用人口入力シート!AM$7))</f>
        <v>13.976270585274992</v>
      </c>
      <c r="BM15" s="9">
        <f>IF(管理者入力シート!$B$14=1,BL12*管理者用人口入力シート!AN$3,IF(管理者入力シート!$B$14=2,BL12*管理者用人口入力シート!AN$7))</f>
        <v>14.002769384036762</v>
      </c>
      <c r="BN15" s="9">
        <f>IF(管理者入力シート!$B$14=1,BM12*管理者用人口入力シート!AO$3,IF(管理者入力シート!$B$14=2,BM12*管理者用人口入力シート!AO$7))</f>
        <v>13.950476277899861</v>
      </c>
      <c r="BO15" s="9">
        <f>IF(管理者入力シート!$B$14=1,BN12*管理者用人口入力シート!AP$3,IF(管理者入力シート!$B$14=2,BN12*管理者用人口入力シート!AP$7))</f>
        <v>18.311011228623421</v>
      </c>
      <c r="BP15" s="9">
        <f>IF(管理者入力シート!$B$14=1,BO12*管理者用人口入力シート!AQ$3,IF(管理者入力シート!$B$14=2,BO12*管理者用人口入力シート!AQ$7))</f>
        <v>17.938998017093535</v>
      </c>
      <c r="BQ15" s="9">
        <f>IF(管理者入力シート!$B$14=1,BP12*管理者用人口入力シート!AR$3,IF(管理者入力シート!$B$14=2,BP12*管理者用人口入力シート!AR$7))</f>
        <v>22.619809405422327</v>
      </c>
      <c r="BR15" s="9">
        <f>IF(管理者入力シート!$B$14=1,BQ12*管理者用人口入力シート!AS$3,IF(管理者入力シート!$B$14=2,BQ12*管理者用人口入力シート!AS$7))</f>
        <v>23.653621795708311</v>
      </c>
      <c r="BS15" s="9">
        <f>IF(管理者入力シート!$B$14=1,BR12*管理者用人口入力シート!AT$3,IF(管理者入力シート!$B$14=2,BR12*管理者用人口入力シート!AT$7))</f>
        <v>25.88173469096439</v>
      </c>
      <c r="BT15" s="9">
        <f>IF(管理者入力シート!$B$14=1,BS12*管理者用人口入力シート!AU$3,IF(管理者入力シート!$B$14=2,BS12*管理者用人口入力シート!AU$7))</f>
        <v>32.872324894669759</v>
      </c>
      <c r="BU15" s="9">
        <f>IF(管理者入力シート!$B$14=1,BT12*管理者用人口入力シート!AV$3,IF(管理者入力シート!$B$14=2,BT12*管理者用人口入力シート!AV$7))</f>
        <v>38.59136184447015</v>
      </c>
      <c r="BV15" s="9">
        <f>IF(管理者入力シート!$B$14=1,BU12*管理者用人口入力シート!AW$3,IF(管理者入力シート!$B$14=2,BU12*管理者用人口入力シート!AW$7))</f>
        <v>28.838024690916626</v>
      </c>
      <c r="BW15" s="9">
        <f>IF(管理者入力シート!$B$14=1,BV12*管理者用人口入力シート!AX$3,IF(管理者入力シート!$B$14=2,BV12*管理者用人口入力シート!AX$7))</f>
        <v>47.308207871477464</v>
      </c>
      <c r="BX15" s="9">
        <f>IF(管理者入力シート!$B$14=1,BW12*管理者用人口入力シート!AY$3,IF(管理者入力シート!$B$14=2,BW12*管理者用人口入力シート!AY$7))</f>
        <v>58.865565840867845</v>
      </c>
      <c r="BY15" s="9">
        <f>IF(管理者入力シート!$B$14=1,BX12*管理者用人口入力シート!AZ$3,IF(管理者入力シート!$B$14=2,BX12*管理者用人口入力シート!AZ$7))</f>
        <v>52.233879570575162</v>
      </c>
      <c r="BZ15" s="9">
        <f>IF(管理者入力シート!$B$14=1,BY12*管理者用人口入力シート!BA$3,IF(管理者入力シート!$B$14=2,BY12*管理者用人口入力シート!BA$7))</f>
        <v>55.111195262536803</v>
      </c>
      <c r="CA15" s="9">
        <f>IF(管理者入力シート!$B$14=1,BZ12*管理者用人口入力シート!BB$3,IF(管理者入力シート!$B$14=2,BZ12*管理者用人口入力シート!BB$7))</f>
        <v>40.659625858845658</v>
      </c>
      <c r="CB15" s="9">
        <f>IF(管理者入力シート!$B$14=1,CA12*管理者用人口入力シート!BC$3,IF(管理者入力シート!$B$14=2,CA12*管理者用人口入力シート!BC$7))</f>
        <v>27.635750290142198</v>
      </c>
      <c r="CC15" s="9">
        <f>IF(管理者入力シート!$B$14=1,CB12*管理者用人口入力シート!BD$3,IF(管理者入力シート!$B$14=2,CB12*管理者用人口入力シート!BD$7))</f>
        <v>8.2599761489904306</v>
      </c>
      <c r="CD15" s="9">
        <f>IF(管理者入力シート!$B$14=1,CC12*管理者用人口入力シート!BE$3,IF(管理者入力シート!$B$14=2,CC12*管理者用人口入力シート!BE$7))</f>
        <v>1.7695424043908623</v>
      </c>
      <c r="CE15" s="9">
        <f>IF(管理者入力シート!$B$14=1,CD12*管理者用人口入力シート!BF$3,IF(管理者入力シート!$B$14=2,CD12*管理者用人口入力シート!BF$7))</f>
        <v>2.8822424631697617E-2</v>
      </c>
      <c r="CF15" s="9">
        <f t="shared" ref="CF15:CF20" si="252">SUM(BK15:CE15)</f>
        <v>554.42967243436817</v>
      </c>
      <c r="CG15" s="9">
        <f t="shared" ref="CG15:CG20" si="253">BL15*3/5+BM15*3/5</f>
        <v>16.787423981587054</v>
      </c>
      <c r="CH15" s="9">
        <f t="shared" ref="CH15:CH20" si="254">BM15*2/5+BN15*1/5</f>
        <v>8.3912030091946761</v>
      </c>
      <c r="CI15" s="9">
        <f t="shared" ref="CI15:CI20" si="255">SUM(BX15:CE15)</f>
        <v>244.56435780098067</v>
      </c>
      <c r="CJ15" s="9">
        <f t="shared" ref="CJ15:CJ20" si="256">SUM(BZ15:CE15)</f>
        <v>133.46491238953766</v>
      </c>
      <c r="CK15" s="13">
        <f t="shared" ref="CK15:CK20" si="257">CI15/CF15</f>
        <v>0.44110979256784189</v>
      </c>
      <c r="CL15" s="13">
        <f t="shared" ref="CL15:CL20" si="258">CJ15/CF15</f>
        <v>0.24072469246374409</v>
      </c>
      <c r="CM15" s="9">
        <f t="shared" ref="CM15:CM20" si="259">SUM(BO15:BR15)</f>
        <v>82.523440446847587</v>
      </c>
      <c r="CO15" s="7" t="str">
        <f t="shared" si="26"/>
        <v>2045_1</v>
      </c>
      <c r="CP15" s="28">
        <f>管理者入力シート!B12</f>
        <v>2045</v>
      </c>
      <c r="CQ15" s="3" t="s">
        <v>21</v>
      </c>
      <c r="CR15" s="9">
        <f>DT16*$AK$13+将来予測シート②!$G17</f>
        <v>14.504108057138009</v>
      </c>
      <c r="CS15" s="9">
        <f>IF(管理者入力シート!$B$14=1,CR12*管理者用人口入力シート!AM$3,IF(管理者入力シート!$B$14=2,CR12*管理者用人口入力シート!AM$7))+将来予測シート②!$G18</f>
        <v>16.359822113109541</v>
      </c>
      <c r="CT15" s="9">
        <f>IF(管理者入力シート!$B$14=1,CS12*管理者用人口入力シート!AN$3,IF(管理者入力シート!$B$14=2,CS12*管理者用人口入力シート!AN$7))+将来予測シート②!$G19</f>
        <v>16.893072178554998</v>
      </c>
      <c r="CU15" s="9">
        <f>IF(管理者入力シート!$B$14=1,CT12*管理者用人口入力シート!AO$3,IF(管理者入力シート!$B$14=2,CT12*管理者用人口入力シート!AO$7))+将来予測シート②!$G20</f>
        <v>15.891917840062508</v>
      </c>
      <c r="CV15" s="9">
        <f>IF(管理者入力シート!$B$14=1,CU12*管理者用人口入力シート!AP$3,IF(管理者入力シート!$B$14=2,CU12*管理者用人口入力シート!AP$7))+将来予測シート②!$G21</f>
        <v>19.895486903312282</v>
      </c>
      <c r="CW15" s="9">
        <f>IF(管理者入力シート!$B$14=1,CV12*管理者用人口入力シート!AQ$3,IF(管理者入力シート!$B$14=2,CV12*管理者用人口入力シート!AQ$7))+将来予測シート②!$G22</f>
        <v>20.615497171072484</v>
      </c>
      <c r="CX15" s="9">
        <f>IF(管理者入力シート!$B$14=1,CW12*管理者用人口入力シート!AR$3,IF(管理者入力シート!$B$14=2,CW12*管理者用人口入力シート!AR$7))+将来予測シート②!$G23</f>
        <v>25.167611234743706</v>
      </c>
      <c r="CY15" s="9">
        <f>IF(管理者入力シート!$B$14=1,CX12*管理者用人口入力シート!AS$3,IF(管理者入力シート!$B$14=2,CX12*管理者用人口入力シート!AS$7))+将来予測シート②!$G24</f>
        <v>25.352362412808223</v>
      </c>
      <c r="CZ15" s="9">
        <f>IF(管理者入力シート!$B$14=1,CY12*管理者用人口入力シート!AT$3,IF(管理者入力シート!$B$14=2,CY12*管理者用人口入力シート!AT$7))+将来予測シート②!$G25</f>
        <v>27.493569715239357</v>
      </c>
      <c r="DA15" s="9">
        <f>IF(管理者入力シート!$B$14=1,CZ12*管理者用人口入力シート!AU$3,IF(管理者入力シート!$B$14=2,CZ12*管理者用人口入力シート!AU$7))+将来予測シート②!$G26</f>
        <v>34.446852975836549</v>
      </c>
      <c r="DB15" s="9">
        <f>IF(管理者入力シート!$B$14=1,DA12*管理者用人口入力シート!AV$3,IF(管理者入力シート!$B$14=2,DA12*管理者用人口入力シート!AV$7))+将来予測シート②!$G27</f>
        <v>38.59136184447015</v>
      </c>
      <c r="DC15" s="9">
        <f>IF(管理者入力シート!$B$14=1,DB12*管理者用人口入力シート!AW$3,IF(管理者入力シート!$B$14=2,DB12*管理者用人口入力シート!AW$7))+将来予測シート②!$G28</f>
        <v>28.838024690916626</v>
      </c>
      <c r="DD15" s="9">
        <f>IF(管理者入力シート!$B$14=1,DC12*管理者用人口入力シート!AX$3,IF(管理者入力シート!$B$14=2,DC12*管理者用人口入力シート!AX$7))+将来予測シート②!$G29</f>
        <v>47.308207871477464</v>
      </c>
      <c r="DE15" s="9">
        <f>IF(管理者入力シート!$B$14=1,DD12*管理者用人口入力シート!AY$3,IF(管理者入力シート!$B$14=2,DD12*管理者用人口入力シート!AY$7))</f>
        <v>58.865565840867845</v>
      </c>
      <c r="DF15" s="9">
        <f>IF(管理者入力シート!$B$14=1,DE12*管理者用人口入力シート!AZ$3,IF(管理者入力シート!$B$14=2,DE12*管理者用人口入力シート!AZ$7))</f>
        <v>52.233879570575162</v>
      </c>
      <c r="DG15" s="9">
        <f>IF(管理者入力シート!$B$14=1,DF12*管理者用人口入力シート!BA$3,IF(管理者入力シート!$B$14=2,DF12*管理者用人口入力シート!BA$7))</f>
        <v>55.111195262536803</v>
      </c>
      <c r="DH15" s="9">
        <f>IF(管理者入力シート!$B$14=1,DG12*管理者用人口入力シート!BB$3,IF(管理者入力シート!$B$14=2,DG12*管理者用人口入力シート!BB$7))</f>
        <v>40.659625858845658</v>
      </c>
      <c r="DI15" s="9">
        <f>IF(管理者入力シート!$B$14=1,DH12*管理者用人口入力シート!BC$3,IF(管理者入力シート!$B$14=2,DH12*管理者用人口入力シート!BC$7))</f>
        <v>27.635750290142198</v>
      </c>
      <c r="DJ15" s="9">
        <f>IF(管理者入力シート!$B$14=1,DI12*管理者用人口入力シート!BD$3,IF(管理者入力シート!$B$14=2,DI12*管理者用人口入力シート!BD$7))</f>
        <v>8.2599761489904306</v>
      </c>
      <c r="DK15" s="9">
        <f>IF(管理者入力シート!$B$14=1,DJ12*管理者用人口入力シート!BE$3,IF(管理者入力シート!$B$14=2,DJ12*管理者用人口入力シート!BE$7))</f>
        <v>1.7695424043908623</v>
      </c>
      <c r="DL15" s="9">
        <f>IF(管理者入力シート!$B$14=1,DK12*管理者用人口入力シート!BF$3,IF(管理者入力シート!$B$14=2,DK12*管理者用人口入力シート!BF$7))</f>
        <v>2.8822424631697617E-2</v>
      </c>
      <c r="DM15" s="9">
        <f t="shared" ref="DM15:DM20" si="260">SUM(CR15:DL15)</f>
        <v>575.92225280972264</v>
      </c>
      <c r="DN15" s="9">
        <f t="shared" ref="DN15:DN20" si="261">CS15*3/5+CT15*3/5</f>
        <v>19.951736574998719</v>
      </c>
      <c r="DO15" s="9">
        <f t="shared" ref="DO15:DO20" si="262">CT15*2/5+CU15*1/5</f>
        <v>9.9356124394345002</v>
      </c>
      <c r="DP15" s="9">
        <f t="shared" ref="DP15:DP20" si="263">SUM(DE15:DL15)</f>
        <v>244.56435780098067</v>
      </c>
      <c r="DQ15" s="9">
        <f t="shared" ref="DQ15:DQ20" si="264">SUM(DG15:DL15)</f>
        <v>133.46491238953766</v>
      </c>
      <c r="DR15" s="13">
        <f t="shared" ref="DR15:DR20" si="265">DP15/DM15</f>
        <v>0.4246482170255394</v>
      </c>
      <c r="DS15" s="13">
        <f t="shared" ref="DS15:DS20" si="266">DQ15/DM15</f>
        <v>0.23174119725086012</v>
      </c>
      <c r="DT15" s="9">
        <f t="shared" ref="DT15:DT20" si="267">SUM(CV15:CY15)</f>
        <v>91.030957721936687</v>
      </c>
      <c r="DV15" s="62" t="s">
        <v>404</v>
      </c>
      <c r="DW15" s="211">
        <f>AK13+AK14</f>
        <v>0.39306378854228874</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11.302852571869186</v>
      </c>
      <c r="BL16" s="10">
        <f>IF(管理者入力シート!$B$14=1,BK13*管理者用人口入力シート!AM$4,IF(管理者入力シート!$B$14=2,BK13*管理者用人口入力シート!AM$8))</f>
        <v>11.486565232525258</v>
      </c>
      <c r="BM16" s="10">
        <f>IF(管理者入力シート!$B$14=1,BL13*管理者用人口入力シート!AN$4,IF(管理者入力シート!$B$14=2,BL13*管理者用人口入力シート!AN$8))</f>
        <v>12.658613572742961</v>
      </c>
      <c r="BN16" s="10">
        <f>IF(管理者入力シート!$B$14=1,BM13*管理者用人口入力シート!AO$4,IF(管理者入力シート!$B$14=2,BM13*管理者用人口入力シート!AO$8))</f>
        <v>10.696720116895214</v>
      </c>
      <c r="BO16" s="10">
        <f>IF(管理者入力シート!$B$14=1,BN13*管理者用人口入力シート!AP$4,IF(管理者入力シート!$B$14=2,BN13*管理者用人口入力シート!AP$8))</f>
        <v>10.912648748718</v>
      </c>
      <c r="BP16" s="10">
        <f>IF(管理者入力シート!$B$14=1,BO13*管理者用人口入力シート!AQ$4,IF(管理者入力シート!$B$14=2,BO13*管理者用人口入力シート!AQ$8))</f>
        <v>12.332293665112561</v>
      </c>
      <c r="BQ16" s="10">
        <f>IF(管理者入力シート!$B$14=1,BP13*管理者用人口入力シート!AR$4,IF(管理者入力シート!$B$14=2,BP13*管理者用人口入力シート!AR$8))</f>
        <v>15.615828824153288</v>
      </c>
      <c r="BR16" s="10">
        <f>IF(管理者入力シート!$B$14=1,BQ13*管理者用人口入力シート!AS$4,IF(管理者入力シート!$B$14=2,BQ13*管理者用人口入力シート!AS$8))</f>
        <v>20.22265795508827</v>
      </c>
      <c r="BS16" s="10">
        <f>IF(管理者入力シート!$B$14=1,BR13*管理者用人口入力シート!AT$4,IF(管理者入力シート!$B$14=2,BR13*管理者用人口入力シート!AT$8))</f>
        <v>17.902321505193232</v>
      </c>
      <c r="BT16" s="10">
        <f>IF(管理者入力シート!$B$14=1,BS13*管理者用人口入力シート!AU$4,IF(管理者入力シート!$B$14=2,BS13*管理者用人口入力シート!AU$8))</f>
        <v>20.612506810475629</v>
      </c>
      <c r="BU16" s="10">
        <f>IF(管理者入力シート!$B$14=1,BT13*管理者用人口入力シート!AV$4,IF(管理者入力シート!$B$14=2,BT13*管理者用人口入力シート!AV$8))</f>
        <v>33.948369817406913</v>
      </c>
      <c r="BV16" s="10">
        <f>IF(管理者入力シート!$B$14=1,BU13*管理者用人口入力シート!AW$4,IF(管理者入力シート!$B$14=2,BU13*管理者用人口入力シート!AW$8))</f>
        <v>35.86063079593675</v>
      </c>
      <c r="BW16" s="10">
        <f>IF(管理者入力シート!$B$14=1,BV13*管理者用人口入力シート!AX$4,IF(管理者入力シート!$B$14=2,BV13*管理者用人口入力シート!AX$8))</f>
        <v>44.312873854279573</v>
      </c>
      <c r="BX16" s="10">
        <f>IF(管理者入力シート!$B$14=1,BW13*管理者用人口入力シート!AY$4,IF(管理者入力シート!$B$14=2,BW13*管理者用人口入力シート!AY$8))</f>
        <v>57.757630929033688</v>
      </c>
      <c r="BY16" s="10">
        <f>IF(管理者入力シート!$B$14=1,BX13*管理者用人口入力シート!AZ$4,IF(管理者入力シート!$B$14=2,BX13*管理者用人口入力シート!AZ$8))</f>
        <v>47.036334372260441</v>
      </c>
      <c r="BZ16" s="10">
        <f>IF(管理者入力シート!$B$14=1,BY13*管理者用人口入力シート!BA$4,IF(管理者入力シート!$B$14=2,BY13*管理者用人口入力シート!BA$8))</f>
        <v>58.770704899808138</v>
      </c>
      <c r="CA16" s="10">
        <f>IF(管理者入力シート!$B$14=1,BZ13*管理者用人口入力シート!BB$4,IF(管理者入力シート!$B$14=2,BZ13*管理者用人口入力シート!BB$8))</f>
        <v>51.530728341177252</v>
      </c>
      <c r="CB16" s="10">
        <f>IF(管理者入力シート!$B$14=1,CA13*管理者用人口入力シート!BC$4,IF(管理者入力シート!$B$14=2,CA13*管理者用人口入力シート!BC$8))</f>
        <v>44.582630692043544</v>
      </c>
      <c r="CC16" s="10">
        <f>IF(管理者入力シート!$B$14=1,CB13*管理者用人口入力シート!BD$4,IF(管理者入力シート!$B$14=2,CB13*管理者用人口入力シート!BD$8))</f>
        <v>32.67621006994387</v>
      </c>
      <c r="CD16" s="10">
        <f>IF(管理者入力シート!$B$14=1,CC13*管理者用人口入力シート!BE$4,IF(管理者入力シート!$B$14=2,CC13*管理者用人口入力シート!BE$8))</f>
        <v>10.088768005700702</v>
      </c>
      <c r="CE16" s="10">
        <f>IF(管理者入力シート!$B$14=1,CD13*管理者用人口入力シート!BF$4,IF(管理者入力シート!$B$14=2,CD13*管理者用人口入力シート!BF$8))</f>
        <v>3.5990182187141944</v>
      </c>
      <c r="CF16" s="10">
        <f t="shared" si="252"/>
        <v>563.9069089990785</v>
      </c>
      <c r="CG16" s="10">
        <f t="shared" si="253"/>
        <v>14.487107283160931</v>
      </c>
      <c r="CH16" s="10">
        <f t="shared" si="254"/>
        <v>7.2027894524762273</v>
      </c>
      <c r="CI16" s="10">
        <f t="shared" si="255"/>
        <v>306.04202552868185</v>
      </c>
      <c r="CJ16" s="10">
        <f t="shared" si="256"/>
        <v>201.2480602273877</v>
      </c>
      <c r="CK16" s="14">
        <f t="shared" si="257"/>
        <v>0.54271728302087885</v>
      </c>
      <c r="CL16" s="14">
        <f t="shared" si="258"/>
        <v>0.35688170691967275</v>
      </c>
      <c r="CM16" s="10">
        <f t="shared" si="259"/>
        <v>59.083429193072121</v>
      </c>
      <c r="CO16" s="7" t="str">
        <f t="shared" si="26"/>
        <v>2045_2</v>
      </c>
      <c r="CP16" s="29">
        <f>CP15</f>
        <v>2045</v>
      </c>
      <c r="CQ16" s="4" t="s">
        <v>22</v>
      </c>
      <c r="CR16" s="10">
        <f>DT16*$AK$14+将来予測シート②!$H17</f>
        <v>13.804188675872076</v>
      </c>
      <c r="CS16" s="10">
        <f>IF(管理者入力シート!$B$14=1,CR13*管理者用人口入力シート!AM$4,IF(管理者入力シート!$B$14=2,CR13*管理者用人口入力シート!AM$8))+将来予測シート②!$H18</f>
        <v>13.49027845627772</v>
      </c>
      <c r="CT16" s="10">
        <f>IF(管理者入力シート!$B$14=1,CS13*管理者用人口入力シート!AN$4,IF(管理者入力シート!$B$14=2,CS13*管理者用人口入力シート!AN$8))+将来予測シート②!$H19</f>
        <v>15.408281176613157</v>
      </c>
      <c r="CU16" s="10">
        <f>IF(管理者入力シート!$B$14=1,CT13*管理者用人口入力シート!AO$4,IF(管理者入力シート!$B$14=2,CT13*管理者用人口入力シート!AO$8))+将来予測シート②!$H20</f>
        <v>12.276137235285701</v>
      </c>
      <c r="CV16" s="10">
        <f>IF(管理者入力シート!$B$14=1,CU13*管理者用人口入力シート!AP$4,IF(管理者入力シート!$B$14=2,CU13*管理者用人口入力シート!AP$8))+将来予測シート②!$H21</f>
        <v>11.935195486533173</v>
      </c>
      <c r="CW16" s="10">
        <f>IF(管理者入力シート!$B$14=1,CV13*管理者用人口入力シート!AQ$4,IF(管理者入力シート!$B$14=2,CV13*管理者用人口入力シート!AQ$8))+将来予測シート②!$H22</f>
        <v>14.846740770270561</v>
      </c>
      <c r="CX16" s="10">
        <f>IF(管理者入力シート!$B$14=1,CW13*管理者用人口入力シート!AR$4,IF(管理者入力シート!$B$14=2,CW13*管理者用人口入力シート!AR$8))+将来予測シート②!$H23</f>
        <v>18.045302724200386</v>
      </c>
      <c r="CY16" s="10">
        <f>IF(管理者入力シート!$B$14=1,CX13*管理者用人口入力シート!AS$4,IF(管理者入力シート!$B$14=2,CX13*管理者用人口入力シート!AS$8))+将来予測シート②!$H24</f>
        <v>22.104128140288562</v>
      </c>
      <c r="CZ16" s="10">
        <f>IF(管理者入力シート!$B$14=1,CY13*管理者用人口入力シート!AT$4,IF(管理者入力シート!$B$14=2,CY13*管理者用人口入力シート!AT$8))+将来予測シート②!$H25</f>
        <v>20.686502279828058</v>
      </c>
      <c r="DA16" s="10">
        <f>IF(管理者入力シート!$B$14=1,CZ13*管理者用人口入力シート!AU$4,IF(管理者入力シート!$B$14=2,CZ13*管理者用人口入力シート!AU$8))+将来予測シート②!$H26</f>
        <v>23.017601506924841</v>
      </c>
      <c r="DB16" s="10">
        <f>IF(管理者入力シート!$B$14=1,DA13*管理者用人口入力シート!AV$4,IF(管理者入力シート!$B$14=2,DA13*管理者用人口入力シート!AV$8))+将来予測シート②!$H27</f>
        <v>34.911440392620193</v>
      </c>
      <c r="DC16" s="10">
        <f>IF(管理者入力シート!$B$14=1,DB13*管理者用人口入力シート!AW$4,IF(管理者入力シート!$B$14=2,DB13*管理者用人口入力シート!AW$8))+将来予測シート②!$H28</f>
        <v>36.820929235947936</v>
      </c>
      <c r="DD16" s="10">
        <f>IF(管理者入力シート!$B$14=1,DC13*管理者用人口入力シート!AX$4,IF(管理者入力シート!$B$14=2,DC13*管理者用人口入力シート!AX$8))+将来予測シート②!$H29</f>
        <v>45.258632955497362</v>
      </c>
      <c r="DE16" s="10">
        <f>IF(管理者入力シート!$B$14=1,DD13*管理者用人口入力シート!AY$4,IF(管理者入力シート!$B$14=2,DD13*管理者用人口入力シート!AY$8))</f>
        <v>57.757630929033688</v>
      </c>
      <c r="DF16" s="10">
        <f>IF(管理者入力シート!$B$14=1,DE13*管理者用人口入力シート!AZ$4,IF(管理者入力シート!$B$14=2,DE13*管理者用人口入力シート!AZ$8))</f>
        <v>47.036334372260441</v>
      </c>
      <c r="DG16" s="10">
        <f>IF(管理者入力シート!$B$14=1,DF13*管理者用人口入力シート!BA$4,IF(管理者入力シート!$B$14=2,DF13*管理者用人口入力シート!BA$8))</f>
        <v>58.770704899808138</v>
      </c>
      <c r="DH16" s="10">
        <f>IF(管理者入力シート!$B$14=1,DG13*管理者用人口入力シート!BB$4,IF(管理者入力シート!$B$14=2,DG13*管理者用人口入力シート!BB$8))</f>
        <v>51.530728341177252</v>
      </c>
      <c r="DI16" s="10">
        <f>IF(管理者入力シート!$B$14=1,DH13*管理者用人口入力シート!BC$4,IF(管理者入力シート!$B$14=2,DH13*管理者用人口入力シート!BC$8))</f>
        <v>44.582630692043544</v>
      </c>
      <c r="DJ16" s="10">
        <f>IF(管理者入力シート!$B$14=1,DI13*管理者用人口入力シート!BD$4,IF(管理者入力シート!$B$14=2,DI13*管理者用人口入力シート!BD$8))</f>
        <v>32.67621006994387</v>
      </c>
      <c r="DK16" s="10">
        <f>IF(管理者入力シート!$B$14=1,DJ13*管理者用人口入力シート!BE$4,IF(管理者入力シート!$B$14=2,DJ13*管理者用人口入力シート!BE$8))</f>
        <v>10.088768005700702</v>
      </c>
      <c r="DL16" s="10">
        <f>IF(管理者入力シート!$B$14=1,DK13*管理者用人口入力シート!BF$4,IF(管理者入力シート!$B$14=2,DK13*管理者用人口入力シート!BF$8))</f>
        <v>3.5990182187141944</v>
      </c>
      <c r="DM16" s="10">
        <f t="shared" si="260"/>
        <v>588.64738456484145</v>
      </c>
      <c r="DN16" s="10">
        <f t="shared" si="261"/>
        <v>17.339135779734526</v>
      </c>
      <c r="DO16" s="10">
        <f t="shared" si="262"/>
        <v>8.6185399177024031</v>
      </c>
      <c r="DP16" s="10">
        <f t="shared" si="263"/>
        <v>306.04202552868185</v>
      </c>
      <c r="DQ16" s="10">
        <f t="shared" si="264"/>
        <v>201.2480602273877</v>
      </c>
      <c r="DR16" s="14">
        <f t="shared" si="265"/>
        <v>0.51990722044050852</v>
      </c>
      <c r="DS16" s="14">
        <f t="shared" si="266"/>
        <v>0.34188219552892546</v>
      </c>
      <c r="DT16" s="10">
        <f t="shared" si="267"/>
        <v>66.931367121292681</v>
      </c>
      <c r="DV16" s="212" t="s">
        <v>406</v>
      </c>
      <c r="DW16" s="7">
        <f>IF(DW10&lt;0,ABS(DW10)/DW15,0)</f>
        <v>53.046795641621273</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23.223556518698992</v>
      </c>
      <c r="BL17" s="16">
        <f t="shared" ref="BL17:CE17" si="268">BL15+BL16</f>
        <v>25.462835817800251</v>
      </c>
      <c r="BM17" s="16">
        <f t="shared" si="268"/>
        <v>26.661382956779725</v>
      </c>
      <c r="BN17" s="16">
        <f t="shared" si="268"/>
        <v>24.647196394795074</v>
      </c>
      <c r="BO17" s="16">
        <f t="shared" si="268"/>
        <v>29.22365997734142</v>
      </c>
      <c r="BP17" s="16">
        <f t="shared" si="268"/>
        <v>30.271291682206098</v>
      </c>
      <c r="BQ17" s="16">
        <f t="shared" si="268"/>
        <v>38.235638229575613</v>
      </c>
      <c r="BR17" s="16">
        <f t="shared" si="268"/>
        <v>43.876279750796584</v>
      </c>
      <c r="BS17" s="16">
        <f t="shared" si="268"/>
        <v>43.784056196157621</v>
      </c>
      <c r="BT17" s="16">
        <f t="shared" si="268"/>
        <v>53.484831705145389</v>
      </c>
      <c r="BU17" s="16">
        <f t="shared" si="268"/>
        <v>72.539731661877056</v>
      </c>
      <c r="BV17" s="16">
        <f t="shared" si="268"/>
        <v>64.698655486853369</v>
      </c>
      <c r="BW17" s="16">
        <f t="shared" si="268"/>
        <v>91.621081725757037</v>
      </c>
      <c r="BX17" s="16">
        <f t="shared" si="268"/>
        <v>116.62319676990154</v>
      </c>
      <c r="BY17" s="16">
        <f t="shared" si="268"/>
        <v>99.270213942835596</v>
      </c>
      <c r="BZ17" s="16">
        <f t="shared" si="268"/>
        <v>113.88190016234495</v>
      </c>
      <c r="CA17" s="16">
        <f t="shared" si="268"/>
        <v>92.190354200022909</v>
      </c>
      <c r="CB17" s="16">
        <f t="shared" si="268"/>
        <v>72.218380982185749</v>
      </c>
      <c r="CC17" s="16">
        <f t="shared" si="268"/>
        <v>40.936186218934303</v>
      </c>
      <c r="CD17" s="16">
        <f t="shared" si="268"/>
        <v>11.858310410091564</v>
      </c>
      <c r="CE17" s="16">
        <f t="shared" si="268"/>
        <v>3.6278406433458921</v>
      </c>
      <c r="CF17" s="11">
        <f t="shared" si="252"/>
        <v>1118.336581433447</v>
      </c>
      <c r="CG17" s="11">
        <f t="shared" si="253"/>
        <v>31.274531264747985</v>
      </c>
      <c r="CH17" s="11">
        <f t="shared" si="254"/>
        <v>15.593992461670904</v>
      </c>
      <c r="CI17" s="11">
        <f t="shared" si="255"/>
        <v>550.60638332966244</v>
      </c>
      <c r="CJ17" s="11">
        <f t="shared" si="256"/>
        <v>334.71297261692541</v>
      </c>
      <c r="CK17" s="15">
        <f t="shared" si="257"/>
        <v>0.49234406928181973</v>
      </c>
      <c r="CL17" s="15">
        <f t="shared" si="258"/>
        <v>0.29929538045505166</v>
      </c>
      <c r="CM17" s="11">
        <f t="shared" si="259"/>
        <v>141.60686963991972</v>
      </c>
      <c r="CO17" s="7" t="str">
        <f t="shared" si="26"/>
        <v>2045_3</v>
      </c>
      <c r="CP17" s="30">
        <f>CP16</f>
        <v>2045</v>
      </c>
      <c r="CQ17" s="5" t="s">
        <v>23</v>
      </c>
      <c r="CR17" s="16">
        <f>CR15+CR16</f>
        <v>28.308296733010085</v>
      </c>
      <c r="CS17" s="16">
        <f>CS15+CS16</f>
        <v>29.850100569387259</v>
      </c>
      <c r="CT17" s="16">
        <f t="shared" ref="CT17:DL17" si="269">CT15+CT16</f>
        <v>32.301353355168153</v>
      </c>
      <c r="CU17" s="16">
        <f t="shared" si="269"/>
        <v>28.168055075348207</v>
      </c>
      <c r="CV17" s="16">
        <f t="shared" si="269"/>
        <v>31.830682389845457</v>
      </c>
      <c r="CW17" s="16">
        <f t="shared" si="269"/>
        <v>35.462237941343048</v>
      </c>
      <c r="CX17" s="16">
        <f t="shared" si="269"/>
        <v>43.212913958944092</v>
      </c>
      <c r="CY17" s="16">
        <f t="shared" si="269"/>
        <v>47.456490553096785</v>
      </c>
      <c r="CZ17" s="16">
        <f t="shared" si="269"/>
        <v>48.180071995067415</v>
      </c>
      <c r="DA17" s="16">
        <f t="shared" si="269"/>
        <v>57.46445448276139</v>
      </c>
      <c r="DB17" s="16">
        <f t="shared" si="269"/>
        <v>73.50280223709035</v>
      </c>
      <c r="DC17" s="16">
        <f t="shared" si="269"/>
        <v>65.658953926864569</v>
      </c>
      <c r="DD17" s="16">
        <f t="shared" si="269"/>
        <v>92.566840826974826</v>
      </c>
      <c r="DE17" s="16">
        <f t="shared" si="269"/>
        <v>116.62319676990154</v>
      </c>
      <c r="DF17" s="16">
        <f t="shared" si="269"/>
        <v>99.270213942835596</v>
      </c>
      <c r="DG17" s="16">
        <f t="shared" si="269"/>
        <v>113.88190016234495</v>
      </c>
      <c r="DH17" s="16">
        <f t="shared" si="269"/>
        <v>92.190354200022909</v>
      </c>
      <c r="DI17" s="16">
        <f t="shared" si="269"/>
        <v>72.218380982185749</v>
      </c>
      <c r="DJ17" s="16">
        <f t="shared" si="269"/>
        <v>40.936186218934303</v>
      </c>
      <c r="DK17" s="16">
        <f t="shared" si="269"/>
        <v>11.858310410091564</v>
      </c>
      <c r="DL17" s="16">
        <f t="shared" si="269"/>
        <v>3.6278406433458921</v>
      </c>
      <c r="DM17" s="11">
        <f t="shared" si="260"/>
        <v>1164.5696373745641</v>
      </c>
      <c r="DN17" s="11">
        <f t="shared" si="261"/>
        <v>37.290872354733253</v>
      </c>
      <c r="DO17" s="11">
        <f t="shared" si="262"/>
        <v>18.554152357136903</v>
      </c>
      <c r="DP17" s="11">
        <f t="shared" si="263"/>
        <v>550.60638332966244</v>
      </c>
      <c r="DQ17" s="11">
        <f t="shared" si="264"/>
        <v>334.71297261692541</v>
      </c>
      <c r="DR17" s="15">
        <f t="shared" si="265"/>
        <v>0.47279816136282216</v>
      </c>
      <c r="DS17" s="15">
        <f t="shared" si="266"/>
        <v>0.28741344602759095</v>
      </c>
      <c r="DT17" s="11">
        <f t="shared" si="267"/>
        <v>157.96232484322937</v>
      </c>
      <c r="DV17" s="62" t="s">
        <v>407</v>
      </c>
      <c r="DW17" s="7">
        <f>IF(DW9&gt;=0,0,IF(AND(DW10&lt;=0,DW9&lt;=0,DW16*2&gt;=ABS(DW9)),ROUND(DW16/3,0),ROUND(ABS(DW9)/6,0)))</f>
        <v>23</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9.3121158367282604</v>
      </c>
      <c r="BL18" s="9">
        <f>IF(管理者入力シート!$B$14=1,BK15*管理者用人口入力シート!AM$3,IF(管理者入力シート!$B$14=2,BK15*管理者用人口入力シート!AM$7))</f>
        <v>11.877500467713775</v>
      </c>
      <c r="BM18" s="9">
        <f>IF(管理者入力シート!$B$14=1,BL15*管理者用人口入力シート!AN$3,IF(管理者入力シート!$B$14=2,BL15*管理者用人口入力シート!AN$7))</f>
        <v>11.586775044349809</v>
      </c>
      <c r="BN18" s="9">
        <f>IF(管理者入力シート!$B$14=1,BM15*管理者用人口入力シート!AO$3,IF(管理者入力シート!$B$14=2,BM15*管理者用人口入力シート!AO$7))</f>
        <v>10.955725114116628</v>
      </c>
      <c r="BO18" s="9">
        <f>IF(管理者入力シート!$B$14=1,BN15*管理者用人口入力シート!AP$3,IF(管理者入力シート!$B$14=2,BN15*管理者用人口入力シート!AP$7))</f>
        <v>15.47177501977948</v>
      </c>
      <c r="BP18" s="9">
        <f>IF(管理者入力シート!$B$14=1,BO15*管理者用人口入力シート!AQ$3,IF(管理者入力シート!$B$14=2,BO15*管理者用人口入力シート!AQ$7))</f>
        <v>14.27582743096068</v>
      </c>
      <c r="BQ18" s="9">
        <f>IF(管理者入力シート!$B$14=1,BP15*管理者用人口入力シート!AR$3,IF(管理者入力シート!$B$14=2,BP15*管理者用人口入力シート!AR$7))</f>
        <v>17.076415621576921</v>
      </c>
      <c r="BR18" s="9">
        <f>IF(管理者入力シート!$B$14=1,BQ15*管理者用人口入力シート!AS$3,IF(管理者入力シート!$B$14=2,BQ15*管理者用人口入力シート!AS$7))</f>
        <v>20.18308186971295</v>
      </c>
      <c r="BS18" s="9">
        <f>IF(管理者入力シート!$B$14=1,BR15*管理者用人口入力シート!AT$3,IF(管理者入力シート!$B$14=2,BR15*管理者用人口入力シート!AT$7))</f>
        <v>22.443530034835266</v>
      </c>
      <c r="BT18" s="9">
        <f>IF(管理者入力シート!$B$14=1,BS15*管理者用人口入力シート!AU$3,IF(管理者入力シート!$B$14=2,BS15*管理者用人口入力シート!AU$7))</f>
        <v>25.282685539460168</v>
      </c>
      <c r="BU18" s="9">
        <f>IF(管理者入力シート!$B$14=1,BT15*管理者用人口入力シート!AV$3,IF(管理者入力シート!$B$14=2,BT15*管理者用人口入力シート!AV$7))</f>
        <v>32.713736147900057</v>
      </c>
      <c r="BV18" s="9">
        <f>IF(管理者入力シート!$B$14=1,BU15*管理者用人口入力シート!AW$3,IF(管理者入力シート!$B$14=2,BU15*管理者用人口入力シート!AW$7))</f>
        <v>39.396566026913554</v>
      </c>
      <c r="BW18" s="9">
        <f>IF(管理者入力シート!$B$14=1,BV15*管理者用人口入力シート!AX$3,IF(管理者入力シート!$B$14=2,BV15*管理者用人口入力シート!AX$7))</f>
        <v>30.330156446461469</v>
      </c>
      <c r="BX18" s="9">
        <f>IF(管理者入力シート!$B$14=1,BW15*管理者用人口入力シート!AY$3,IF(管理者入力シート!$B$14=2,BW15*管理者用人口入力シート!AY$7))</f>
        <v>43.496300962545597</v>
      </c>
      <c r="BY18" s="9">
        <f>IF(管理者入力シート!$B$14=1,BX15*管理者用人口入力シート!AZ$3,IF(管理者入力シート!$B$14=2,BX15*管理者用人口入力シート!AZ$7))</f>
        <v>57.84474376459525</v>
      </c>
      <c r="BZ18" s="9">
        <f>IF(管理者入力シート!$B$14=1,BY15*管理者用人口入力シート!BA$3,IF(管理者入力シート!$B$14=2,BY15*管理者用人口入力シート!BA$7))</f>
        <v>47.380973204606136</v>
      </c>
      <c r="CA18" s="9">
        <f>IF(管理者入力シート!$B$14=1,BZ15*管理者用人口入力シート!BB$3,IF(管理者入力シート!$B$14=2,BZ15*管理者用人口入力シート!BB$7))</f>
        <v>39.99312336346501</v>
      </c>
      <c r="CB18" s="9">
        <f>IF(管理者入力シート!$B$14=1,CA15*管理者用人口入力シート!BC$3,IF(管理者入力シート!$B$14=2,CA15*管理者用人口入力シート!BC$7))</f>
        <v>25.310893207595157</v>
      </c>
      <c r="CC18" s="9">
        <f>IF(管理者入力シート!$B$14=1,CB15*管理者用人口入力シート!BD$3,IF(管理者入力シート!$B$14=2,CB15*管理者用人口入力シート!BD$7))</f>
        <v>8.2764638812784384</v>
      </c>
      <c r="CD18" s="9">
        <f>IF(管理者入力シート!$B$14=1,CC15*管理者用人口入力シート!BE$3,IF(管理者入力シート!$B$14=2,CC15*管理者用人口入力シート!BE$7))</f>
        <v>1.6588122687044431</v>
      </c>
      <c r="CE18" s="9">
        <f>IF(管理者入力シート!$B$14=1,CD15*管理者用人口入力シート!BF$3,IF(管理者入力シート!$B$14=2,CD15*管理者用人口入力シート!BF$7))</f>
        <v>3.9375383514383945E-2</v>
      </c>
      <c r="CF18" s="9">
        <f t="shared" si="252"/>
        <v>484.90657663681344</v>
      </c>
      <c r="CG18" s="9">
        <f t="shared" si="253"/>
        <v>14.078565307238151</v>
      </c>
      <c r="CH18" s="9">
        <f t="shared" si="254"/>
        <v>6.8258550405632494</v>
      </c>
      <c r="CI18" s="9">
        <f t="shared" si="255"/>
        <v>224.00068603630442</v>
      </c>
      <c r="CJ18" s="9">
        <f t="shared" si="256"/>
        <v>122.65964130916356</v>
      </c>
      <c r="CK18" s="13">
        <f t="shared" si="257"/>
        <v>0.46194606719899578</v>
      </c>
      <c r="CL18" s="13">
        <f t="shared" si="258"/>
        <v>0.25295520254622877</v>
      </c>
      <c r="CM18" s="9">
        <f t="shared" si="259"/>
        <v>67.007099942030038</v>
      </c>
      <c r="CO18" s="7" t="str">
        <f t="shared" si="26"/>
        <v>2050_1</v>
      </c>
      <c r="CP18" s="28">
        <f>管理者入力シート!B13</f>
        <v>2050</v>
      </c>
      <c r="CQ18" s="3" t="s">
        <v>21</v>
      </c>
      <c r="CR18" s="9">
        <f>DT19*$AK$13+将来予測シート②!$G17</f>
        <v>12.143286829741887</v>
      </c>
      <c r="CS18" s="9">
        <f>IF(管理者入力シート!$B$14=1,CR15*管理者用人口入力シート!AM$3,IF(管理者入力シート!$B$14=2,CR15*管理者用人口入力シート!AM$7))+将来予測シート②!$G18</f>
        <v>14.451541704317053</v>
      </c>
      <c r="CT18" s="9">
        <f>IF(管理者入力シート!$B$14=1,CS15*管理者用人口入力シート!AN$3,IF(管理者入力シート!$B$14=2,CS15*管理者用人口入力シート!AN$7))+将来予測シート②!$G19</f>
        <v>14.562815447340604</v>
      </c>
      <c r="CU18" s="9">
        <f>IF(管理者入力シート!$B$14=1,CT15*管理者用人口入力シート!AO$3,IF(管理者入力シート!$B$14=2,CT15*管理者用人口入力シート!AO$7))+将来予測シート②!$G20</f>
        <v>13.217089423194203</v>
      </c>
      <c r="CV18" s="9">
        <f>IF(管理者入力シート!$B$14=1,CU15*管理者用人口入力シート!AP$3,IF(管理者入力シート!$B$14=2,CU15*管理者用人口入力シート!AP$7))+将来予測シート②!$G21</f>
        <v>17.624930687404589</v>
      </c>
      <c r="CW18" s="9">
        <f>IF(管理者入力シート!$B$14=1,CV15*管理者用人口入力シート!AQ$3,IF(管理者入力シート!$B$14=2,CV15*管理者用人口入力シート!AQ$7))+将来予測シート②!$G22</f>
        <v>17.511133390745933</v>
      </c>
      <c r="CX18" s="9">
        <f>IF(管理者入力シート!$B$14=1,CW15*管理者用人口入力シート!AR$3,IF(管理者入力シート!$B$14=2,CW15*管理者用人口入力シート!AR$7))+将来予測シート②!$G23</f>
        <v>19.6242174508983</v>
      </c>
      <c r="CY18" s="9">
        <f>IF(管理者入力シート!$B$14=1,CX15*管理者用人口入力シート!AS$3,IF(管理者入力シート!$B$14=2,CX15*管理者用人口入力シート!AS$7))+将来予測シート②!$G24</f>
        <v>22.456420781961743</v>
      </c>
      <c r="CZ18" s="9">
        <f>IF(管理者入力シート!$B$14=1,CY15*管理者用人口入力シート!AT$3,IF(管理者入力シート!$B$14=2,CY15*管理者用人口入力シート!AT$7))+将来予測シート②!$G25</f>
        <v>24.055365059110233</v>
      </c>
      <c r="DA18" s="9">
        <f>IF(管理者入力シート!$B$14=1,CZ15*管理者用人口入力シート!AU$3,IF(管理者入力シート!$B$14=2,CZ15*管理者用人口入力シート!AU$7))+将来予測シート②!$G26</f>
        <v>26.857213620626961</v>
      </c>
      <c r="DB18" s="9">
        <f>IF(管理者入力シート!$B$14=1,DA15*管理者用人口入力シート!AV$3,IF(管理者入力シート!$B$14=2,DA15*管理者用人口入力シート!AV$7))+将来予測シート②!$G27</f>
        <v>34.280668099619177</v>
      </c>
      <c r="DC18" s="9">
        <f>IF(管理者入力シート!$B$14=1,DB15*管理者用人口入力シート!AW$3,IF(管理者入力シート!$B$14=2,DB15*管理者用人口入力シート!AW$7))+将来予測シート②!$G28</f>
        <v>39.396566026913554</v>
      </c>
      <c r="DD18" s="9">
        <f>IF(管理者入力シート!$B$14=1,DC15*管理者用人口入力シート!AX$3,IF(管理者入力シート!$B$14=2,DC15*管理者用人口入力シート!AX$7))+将来予測シート②!$G29</f>
        <v>30.330156446461469</v>
      </c>
      <c r="DE18" s="9">
        <f>IF(管理者入力シート!$B$14=1,DD15*管理者用人口入力シート!AY$3,IF(管理者入力シート!$B$14=2,DD15*管理者用人口入力シート!AY$7))</f>
        <v>43.496300962545597</v>
      </c>
      <c r="DF18" s="9">
        <f>IF(管理者入力シート!$B$14=1,DE15*管理者用人口入力シート!AZ$3,IF(管理者入力シート!$B$14=2,DE15*管理者用人口入力シート!AZ$7))</f>
        <v>57.84474376459525</v>
      </c>
      <c r="DG18" s="9">
        <f>IF(管理者入力シート!$B$14=1,DF15*管理者用人口入力シート!BA$3,IF(管理者入力シート!$B$14=2,DF15*管理者用人口入力シート!BA$7))</f>
        <v>47.380973204606136</v>
      </c>
      <c r="DH18" s="9">
        <f>IF(管理者入力シート!$B$14=1,DG15*管理者用人口入力シート!BB$3,IF(管理者入力シート!$B$14=2,DG15*管理者用人口入力シート!BB$7))</f>
        <v>39.99312336346501</v>
      </c>
      <c r="DI18" s="9">
        <f>IF(管理者入力シート!$B$14=1,DH15*管理者用人口入力シート!BC$3,IF(管理者入力シート!$B$14=2,DH15*管理者用人口入力シート!BC$7))</f>
        <v>25.310893207595157</v>
      </c>
      <c r="DJ18" s="9">
        <f>IF(管理者入力シート!$B$14=1,DI15*管理者用人口入力シート!BD$3,IF(管理者入力シート!$B$14=2,DI15*管理者用人口入力シート!BD$7))</f>
        <v>8.2764638812784384</v>
      </c>
      <c r="DK18" s="9">
        <f>IF(管理者入力シート!$B$14=1,DJ15*管理者用人口入力シート!BE$3,IF(管理者入力シート!$B$14=2,DJ15*管理者用人口入力シート!BE$7))</f>
        <v>1.6588122687044431</v>
      </c>
      <c r="DL18" s="9">
        <f>IF(管理者入力シート!$B$14=1,DK15*管理者用人口入力シート!BF$3,IF(管理者入力シート!$B$14=2,DK15*管理者用人口入力シート!BF$7))</f>
        <v>3.9375383514383945E-2</v>
      </c>
      <c r="DM18" s="9">
        <f t="shared" si="260"/>
        <v>510.51209100464013</v>
      </c>
      <c r="DN18" s="9">
        <f t="shared" si="261"/>
        <v>17.408614290994596</v>
      </c>
      <c r="DO18" s="9">
        <f t="shared" si="262"/>
        <v>8.4685440635750826</v>
      </c>
      <c r="DP18" s="9">
        <f t="shared" si="263"/>
        <v>224.00068603630442</v>
      </c>
      <c r="DQ18" s="9">
        <f t="shared" si="264"/>
        <v>122.65964130916356</v>
      </c>
      <c r="DR18" s="13">
        <f t="shared" si="265"/>
        <v>0.43877645600027215</v>
      </c>
      <c r="DS18" s="13">
        <f t="shared" si="266"/>
        <v>0.24026784765818346</v>
      </c>
      <c r="DT18" s="9">
        <f t="shared" si="267"/>
        <v>77.216702311010565</v>
      </c>
      <c r="DX18" s="287">
        <f>DX1</f>
        <v>23</v>
      </c>
      <c r="DY18" s="288"/>
      <c r="DZ18" s="284" t="s">
        <v>0</v>
      </c>
      <c r="EA18" s="284" t="s">
        <v>1</v>
      </c>
      <c r="EB18" s="284" t="s">
        <v>2</v>
      </c>
      <c r="EC18" s="284" t="s">
        <v>3</v>
      </c>
      <c r="ED18" s="284" t="s">
        <v>4</v>
      </c>
      <c r="EE18" s="284" t="s">
        <v>5</v>
      </c>
      <c r="EF18" s="284" t="s">
        <v>6</v>
      </c>
      <c r="EG18" s="284" t="s">
        <v>7</v>
      </c>
      <c r="EH18" s="284" t="s">
        <v>8</v>
      </c>
      <c r="EI18" s="284" t="s">
        <v>9</v>
      </c>
      <c r="EJ18" s="284" t="s">
        <v>10</v>
      </c>
      <c r="EK18" s="284" t="s">
        <v>11</v>
      </c>
      <c r="EL18" s="284" t="s">
        <v>12</v>
      </c>
      <c r="EM18" s="284" t="s">
        <v>13</v>
      </c>
      <c r="EN18" s="284" t="s">
        <v>14</v>
      </c>
      <c r="EO18" s="284" t="s">
        <v>15</v>
      </c>
      <c r="EP18" s="284" t="s">
        <v>16</v>
      </c>
      <c r="EQ18" s="284" t="s">
        <v>17</v>
      </c>
      <c r="ER18" s="284" t="s">
        <v>18</v>
      </c>
      <c r="ES18" s="284" t="s">
        <v>19</v>
      </c>
      <c r="ET18" s="284" t="s">
        <v>20</v>
      </c>
      <c r="EU18" s="284" t="s">
        <v>23</v>
      </c>
      <c r="EV18" s="283" t="s">
        <v>50</v>
      </c>
      <c r="EW18" s="283" t="s">
        <v>51</v>
      </c>
      <c r="EX18" s="285" t="s">
        <v>79</v>
      </c>
      <c r="EY18" s="285" t="s">
        <v>80</v>
      </c>
      <c r="EZ18" s="283" t="s">
        <v>48</v>
      </c>
      <c r="FA18" s="283" t="s">
        <v>49</v>
      </c>
      <c r="FB18" s="283"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8.8294678656707131</v>
      </c>
      <c r="BL19" s="10">
        <f>IF(管理者入力シート!$B$14=1,BK16*管理者用人口入力シート!AM$4,IF(管理者入力シート!$B$14=2,BK16*管理者用人口入力シート!AM$8))</f>
        <v>9.7616658957278748</v>
      </c>
      <c r="BM19" s="10">
        <f>IF(管理者入力シート!$B$14=1,BL16*管理者用人口入力シート!AN$4,IF(管理者入力シート!$B$14=2,BL16*管理者用人口入力シート!AN$8))</f>
        <v>10.474535702054295</v>
      </c>
      <c r="BN19" s="10">
        <f>IF(管理者入力シート!$B$14=1,BM16*管理者用人口入力シート!AO$4,IF(管理者入力シート!$B$14=2,BM16*管理者用人口入力シート!AO$8))</f>
        <v>8.40045335290786</v>
      </c>
      <c r="BO19" s="10">
        <f>IF(管理者入力シート!$B$14=1,BN16*管理者用人口入力シート!AP$4,IF(管理者入力シート!$B$14=2,BN16*管理者用人口入力シート!AP$8))</f>
        <v>9.2205746696347699</v>
      </c>
      <c r="BP19" s="10">
        <f>IF(管理者入力シート!$B$14=1,BO16*管理者用人口入力シート!AQ$4,IF(管理者入力シート!$B$14=2,BO16*管理者用人口入力シート!AQ$8))</f>
        <v>9.8140206060182535</v>
      </c>
      <c r="BQ19" s="10">
        <f>IF(管理者入力シート!$B$14=1,BP16*管理者用人口入力シート!AR$4,IF(管理者入力シート!$B$14=2,BP16*管理者用人口入力シート!AR$8))</f>
        <v>11.915536232854876</v>
      </c>
      <c r="BR19" s="10">
        <f>IF(管理者入力シート!$B$14=1,BQ16*管理者用人口入力シート!AS$4,IF(管理者入力シート!$B$14=2,BQ16*管理者用人口入力シート!AS$8))</f>
        <v>15.204167694882509</v>
      </c>
      <c r="BS19" s="10">
        <f>IF(管理者入力シート!$B$14=1,BR16*管理者用人口入力シート!AT$4,IF(管理者入力シート!$B$14=2,BR16*管理者用人口入力シート!AT$8))</f>
        <v>19.176959496513902</v>
      </c>
      <c r="BT19" s="10">
        <f>IF(管理者入力シート!$B$14=1,BS16*管理者用人口入力シート!AU$4,IF(管理者入力シート!$B$14=2,BS16*管理者用人口入力シート!AU$8))</f>
        <v>15.464792695408308</v>
      </c>
      <c r="BU19" s="10">
        <f>IF(管理者入力シート!$B$14=1,BT16*管理者用人口入力シート!AV$4,IF(管理者入力シート!$B$14=2,BT16*管理者用人口入力シート!AV$8))</f>
        <v>22.980219666936776</v>
      </c>
      <c r="BV19" s="10">
        <f>IF(管理者入力シート!$B$14=1,BU16*管理者用人口入力シート!AW$4,IF(管理者入力シート!$B$14=2,BU16*管理者用人口入力シート!AW$8))</f>
        <v>33.850651671461513</v>
      </c>
      <c r="BW19" s="10">
        <f>IF(管理者入力シート!$B$14=1,BV16*管理者用人口入力シート!AX$4,IF(管理者入力シート!$B$14=2,BV16*管理者用人口入力シート!AX$8))</f>
        <v>35.31768514616477</v>
      </c>
      <c r="BX19" s="10">
        <f>IF(管理者入力シート!$B$14=1,BW16*管理者用人口入力シート!AY$4,IF(管理者入力シート!$B$14=2,BW16*管理者用人口入力シート!AY$8))</f>
        <v>44.632679189366577</v>
      </c>
      <c r="BY19" s="10">
        <f>IF(管理者入力シート!$B$14=1,BX16*管理者用人口入力シート!AZ$4,IF(管理者入力シート!$B$14=2,BX16*管理者用人口入力シート!AZ$8))</f>
        <v>56.095730869476284</v>
      </c>
      <c r="BZ19" s="10">
        <f>IF(管理者入力シート!$B$14=1,BY16*管理者用人口入力シート!BA$4,IF(管理者入力シート!$B$14=2,BY16*管理者用人口入力シート!BA$8))</f>
        <v>43.846330348925413</v>
      </c>
      <c r="CA19" s="10">
        <f>IF(管理者入力シート!$B$14=1,BZ16*管理者用人口入力シート!BB$4,IF(管理者入力シート!$B$14=2,BZ16*管理者用人口入力シート!BB$8))</f>
        <v>50.970780345653779</v>
      </c>
      <c r="CB19" s="10">
        <f>IF(管理者入力シート!$B$14=1,CA16*管理者用人口入力シート!BC$4,IF(管理者入力シート!$B$14=2,CA16*管理者用人口入力シート!BC$8))</f>
        <v>40.770496710288704</v>
      </c>
      <c r="CC19" s="10">
        <f>IF(管理者入力シート!$B$14=1,CB16*管理者用人口入力シート!BD$4,IF(管理者入力シート!$B$14=2,CB16*管理者用人口入力シート!BD$8))</f>
        <v>24.867630327113133</v>
      </c>
      <c r="CD19" s="10">
        <f>IF(管理者入力シート!$B$14=1,CC16*管理者用人口入力シート!BE$4,IF(管理者入力シート!$B$14=2,CC16*管理者用人口入力シート!BE$8))</f>
        <v>11.812550176675282</v>
      </c>
      <c r="CE19" s="10">
        <f>IF(管理者入力シート!$B$14=1,CD16*管理者用人口入力シート!BF$4,IF(管理者入力シート!$B$14=2,CD16*管理者用人口入力シート!BF$8))</f>
        <v>3.5887886004783209</v>
      </c>
      <c r="CF19" s="10">
        <f t="shared" si="252"/>
        <v>486.99571726421391</v>
      </c>
      <c r="CG19" s="10">
        <f t="shared" si="253"/>
        <v>12.141720958669303</v>
      </c>
      <c r="CH19" s="10">
        <f t="shared" si="254"/>
        <v>5.8699049514032904</v>
      </c>
      <c r="CI19" s="10">
        <f t="shared" si="255"/>
        <v>276.58498656797752</v>
      </c>
      <c r="CJ19" s="10">
        <f t="shared" si="256"/>
        <v>175.85657650913461</v>
      </c>
      <c r="CK19" s="14">
        <f t="shared" si="257"/>
        <v>0.56794131193133168</v>
      </c>
      <c r="CL19" s="14">
        <f t="shared" si="258"/>
        <v>0.36110497541341963</v>
      </c>
      <c r="CM19" s="10">
        <f t="shared" si="259"/>
        <v>46.154299203390408</v>
      </c>
      <c r="CO19" s="7" t="str">
        <f t="shared" si="26"/>
        <v>2050_2</v>
      </c>
      <c r="CP19" s="29">
        <f>CP18</f>
        <v>2050</v>
      </c>
      <c r="CQ19" s="4" t="s">
        <v>22</v>
      </c>
      <c r="CR19" s="10">
        <f>DT19*$AK$14+将来予測シート②!$H17</f>
        <v>11.565729068048835</v>
      </c>
      <c r="CS19" s="10">
        <f>IF(管理者入力シート!$B$14=1,CR16*管理者用人口入力シート!AM$4,IF(管理者入力シート!$B$14=2,CR16*管理者用人口入力シート!AM$8))+将来予測シート②!$H18</f>
        <v>11.921935366194823</v>
      </c>
      <c r="CT19" s="10">
        <f>IF(管理者入力シート!$B$14=1,CS16*管理者用人口入力シート!AN$4,IF(管理者入力シート!$B$14=2,CS16*管理者用人口入力シート!AN$8))+将来予測シート②!$H19</f>
        <v>13.30171077780663</v>
      </c>
      <c r="CU19" s="10">
        <f>IF(管理者入力シート!$B$14=1,CT16*管理者用人口入力シート!AO$4,IF(管理者入力シート!$B$14=2,CT16*管理者用人口入力シート!AO$8))+将来予測シート②!$H20</f>
        <v>10.225175650462628</v>
      </c>
      <c r="CV19" s="10">
        <f>IF(管理者入力シート!$B$14=1,CU16*管理者用人口入力シート!AP$4,IF(管理者入力シート!$B$14=2,CU16*管理者用人口入力シート!AP$8))+将来予測シート②!$H21</f>
        <v>10.582032510493553</v>
      </c>
      <c r="CW19" s="10">
        <f>IF(管理者入力シート!$B$14=1,CV16*管理者用人口入力シート!AQ$4,IF(管理者入力シート!$B$14=2,CV16*管理者用人口入力シート!AQ$8))+将来予測シート②!$H22</f>
        <v>12.733622710568149</v>
      </c>
      <c r="CX19" s="10">
        <f>IF(管理者入力シート!$B$14=1,CW16*管理者用人口入力シート!AR$4,IF(管理者入力シート!$B$14=2,CW16*管理者用人口入力シート!AR$8))+将来予測シート②!$H23</f>
        <v>14.345010132901981</v>
      </c>
      <c r="CY19" s="10">
        <f>IF(管理者入力シート!$B$14=1,CX16*管理者用人口入力シート!AS$4,IF(管理者入力シート!$B$14=2,CX16*管理者用人口入力シート!AS$8))+将来予測シート②!$H24</f>
        <v>17.569596325191483</v>
      </c>
      <c r="CZ19" s="10">
        <f>IF(管理者入力シート!$B$14=1,CY16*管理者用人口入力シート!AT$4,IF(管理者入力シート!$B$14=2,CY16*管理者用人口入力シート!AT$8))+将来予測シート②!$H25</f>
        <v>21.961140271148729</v>
      </c>
      <c r="DA19" s="10">
        <f>IF(管理者入力シート!$B$14=1,CZ16*管理者用人口入力シート!AU$4,IF(管理者入力シート!$B$14=2,CZ16*管理者用人口入力シート!AU$8))+将来予測シート②!$H26</f>
        <v>17.869887391857517</v>
      </c>
      <c r="DB19" s="10">
        <f>IF(管理者入力シート!$B$14=1,DA16*管理者用人口入力シート!AV$4,IF(管理者入力シート!$B$14=2,DA16*管理者用人口入力シート!AV$8))+将来予測シート②!$H27</f>
        <v>25.661582247062089</v>
      </c>
      <c r="DC19" s="10">
        <f>IF(管理者入力シート!$B$14=1,DB16*管理者用人口入力シート!AW$4,IF(管理者入力シート!$B$14=2,DB16*管理者用人口入力シート!AW$8))+将来予測シート②!$H28</f>
        <v>34.810950111472707</v>
      </c>
      <c r="DD19" s="10">
        <f>IF(管理者入力シート!$B$14=1,DC16*管理者用人口入力シート!AX$4,IF(管理者入力シート!$B$14=2,DC16*管理者用人口入力シート!AX$8))+将来予測シート②!$H29</f>
        <v>36.263444247382559</v>
      </c>
      <c r="DE19" s="10">
        <f>IF(管理者入力シート!$B$14=1,DD16*管理者用人口入力シート!AY$4,IF(管理者入力シート!$B$14=2,DD16*管理者用人口入力シート!AY$8))</f>
        <v>45.585263819600407</v>
      </c>
      <c r="DF19" s="10">
        <f>IF(管理者入力シート!$B$14=1,DE16*管理者用人口入力シート!AZ$4,IF(管理者入力シート!$B$14=2,DE16*管理者用人口入力シート!AZ$8))</f>
        <v>56.095730869476284</v>
      </c>
      <c r="DG19" s="10">
        <f>IF(管理者入力シート!$B$14=1,DF16*管理者用人口入力シート!BA$4,IF(管理者入力シート!$B$14=2,DF16*管理者用人口入力シート!BA$8))</f>
        <v>43.846330348925413</v>
      </c>
      <c r="DH19" s="10">
        <f>IF(管理者入力シート!$B$14=1,DG16*管理者用人口入力シート!BB$4,IF(管理者入力シート!$B$14=2,DG16*管理者用人口入力シート!BB$8))</f>
        <v>50.970780345653779</v>
      </c>
      <c r="DI19" s="10">
        <f>IF(管理者入力シート!$B$14=1,DH16*管理者用人口入力シート!BC$4,IF(管理者入力シート!$B$14=2,DH16*管理者用人口入力シート!BC$8))</f>
        <v>40.770496710288704</v>
      </c>
      <c r="DJ19" s="10">
        <f>IF(管理者入力シート!$B$14=1,DI16*管理者用人口入力シート!BD$4,IF(管理者入力シート!$B$14=2,DI16*管理者用人口入力シート!BD$8))</f>
        <v>24.867630327113133</v>
      </c>
      <c r="DK19" s="10">
        <f>IF(管理者入力シート!$B$14=1,DJ16*管理者用人口入力シート!BE$4,IF(管理者入力シート!$B$14=2,DJ16*管理者用人口入力シート!BE$8))</f>
        <v>11.812550176675282</v>
      </c>
      <c r="DL19" s="10">
        <f>IF(管理者入力シート!$B$14=1,DK16*管理者用人口入力シート!BF$4,IF(管理者入力シート!$B$14=2,DK16*管理者用人口入力シート!BF$8))</f>
        <v>3.5887886004783209</v>
      </c>
      <c r="DM19" s="10">
        <f t="shared" si="260"/>
        <v>516.34938800880298</v>
      </c>
      <c r="DN19" s="10">
        <f t="shared" si="261"/>
        <v>15.134187686400871</v>
      </c>
      <c r="DO19" s="10">
        <f t="shared" si="262"/>
        <v>7.3657194412151776</v>
      </c>
      <c r="DP19" s="10">
        <f t="shared" si="263"/>
        <v>277.53757119821137</v>
      </c>
      <c r="DQ19" s="10">
        <f t="shared" si="264"/>
        <v>175.85657650913461</v>
      </c>
      <c r="DR19" s="14">
        <f t="shared" si="265"/>
        <v>0.53749956452641279</v>
      </c>
      <c r="DS19" s="14">
        <f t="shared" si="266"/>
        <v>0.34057671141490059</v>
      </c>
      <c r="DT19" s="10">
        <f t="shared" si="267"/>
        <v>55.23026167915517</v>
      </c>
      <c r="DX19" s="289"/>
      <c r="DY19" s="290"/>
      <c r="DZ19" s="284"/>
      <c r="EA19" s="284"/>
      <c r="EB19" s="284"/>
      <c r="EC19" s="284"/>
      <c r="ED19" s="284"/>
      <c r="EE19" s="284"/>
      <c r="EF19" s="284"/>
      <c r="EG19" s="284"/>
      <c r="EH19" s="284"/>
      <c r="EI19" s="284"/>
      <c r="EJ19" s="284"/>
      <c r="EK19" s="284"/>
      <c r="EL19" s="284"/>
      <c r="EM19" s="284"/>
      <c r="EN19" s="284"/>
      <c r="EO19" s="284"/>
      <c r="EP19" s="284"/>
      <c r="EQ19" s="284"/>
      <c r="ER19" s="284"/>
      <c r="ES19" s="284"/>
      <c r="ET19" s="284"/>
      <c r="EU19" s="284"/>
      <c r="EV19" s="283"/>
      <c r="EW19" s="283"/>
      <c r="EX19" s="286"/>
      <c r="EY19" s="286"/>
      <c r="EZ19" s="283"/>
      <c r="FA19" s="283"/>
      <c r="FB19" s="283"/>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18.141583702398975</v>
      </c>
      <c r="BL20" s="16">
        <f t="shared" ref="BL20:CE20" si="276">BL18+BL19</f>
        <v>21.63916636344165</v>
      </c>
      <c r="BM20" s="16">
        <f t="shared" si="276"/>
        <v>22.061310746404104</v>
      </c>
      <c r="BN20" s="16">
        <f t="shared" si="276"/>
        <v>19.356178467024488</v>
      </c>
      <c r="BO20" s="16">
        <f t="shared" si="276"/>
        <v>24.69234968941425</v>
      </c>
      <c r="BP20" s="16">
        <f t="shared" si="276"/>
        <v>24.089848036978935</v>
      </c>
      <c r="BQ20" s="16">
        <f t="shared" si="276"/>
        <v>28.991951854431797</v>
      </c>
      <c r="BR20" s="16">
        <f t="shared" si="276"/>
        <v>35.387249564595457</v>
      </c>
      <c r="BS20" s="16">
        <f t="shared" si="276"/>
        <v>41.620489531349165</v>
      </c>
      <c r="BT20" s="16">
        <f t="shared" si="276"/>
        <v>40.747478234868474</v>
      </c>
      <c r="BU20" s="16">
        <f t="shared" si="276"/>
        <v>55.693955814836833</v>
      </c>
      <c r="BV20" s="16">
        <f t="shared" si="276"/>
        <v>73.247217698375067</v>
      </c>
      <c r="BW20" s="16">
        <f t="shared" si="276"/>
        <v>65.647841592626236</v>
      </c>
      <c r="BX20" s="16">
        <f t="shared" si="276"/>
        <v>88.128980151912174</v>
      </c>
      <c r="BY20" s="16">
        <f t="shared" si="276"/>
        <v>113.94047463407153</v>
      </c>
      <c r="BZ20" s="16">
        <f t="shared" si="276"/>
        <v>91.227303553531556</v>
      </c>
      <c r="CA20" s="16">
        <f t="shared" si="276"/>
        <v>90.963903709118796</v>
      </c>
      <c r="CB20" s="16">
        <f t="shared" si="276"/>
        <v>66.081389917883854</v>
      </c>
      <c r="CC20" s="16">
        <f t="shared" si="276"/>
        <v>33.144094208391571</v>
      </c>
      <c r="CD20" s="16">
        <f t="shared" si="276"/>
        <v>13.471362445379725</v>
      </c>
      <c r="CE20" s="16">
        <f t="shared" si="276"/>
        <v>3.6281639839927049</v>
      </c>
      <c r="CF20" s="11">
        <f t="shared" si="252"/>
        <v>971.90229390102729</v>
      </c>
      <c r="CG20" s="11">
        <f t="shared" si="253"/>
        <v>26.220286265907454</v>
      </c>
      <c r="CH20" s="11">
        <f t="shared" si="254"/>
        <v>12.69575999196654</v>
      </c>
      <c r="CI20" s="11">
        <f t="shared" si="255"/>
        <v>500.5856726042818</v>
      </c>
      <c r="CJ20" s="11">
        <f t="shared" si="256"/>
        <v>298.51621781829817</v>
      </c>
      <c r="CK20" s="15">
        <f t="shared" si="257"/>
        <v>0.51505760995277416</v>
      </c>
      <c r="CL20" s="15">
        <f t="shared" si="258"/>
        <v>0.30714632498716715</v>
      </c>
      <c r="CM20" s="11">
        <f t="shared" si="259"/>
        <v>113.16139914542043</v>
      </c>
      <c r="CO20" s="7" t="str">
        <f t="shared" si="26"/>
        <v>2050_3</v>
      </c>
      <c r="CP20" s="30">
        <f>CP19</f>
        <v>2050</v>
      </c>
      <c r="CQ20" s="5" t="s">
        <v>23</v>
      </c>
      <c r="CR20" s="16">
        <f>CR18+CR19</f>
        <v>23.709015897790721</v>
      </c>
      <c r="CS20" s="16">
        <f t="shared" ref="CS20:DL20" si="277">CS18+CS19</f>
        <v>26.373477070511875</v>
      </c>
      <c r="CT20" s="16">
        <f t="shared" si="277"/>
        <v>27.864526225147234</v>
      </c>
      <c r="CU20" s="16">
        <f t="shared" si="277"/>
        <v>23.442265073656831</v>
      </c>
      <c r="CV20" s="16">
        <f t="shared" si="277"/>
        <v>28.206963197898141</v>
      </c>
      <c r="CW20" s="16">
        <f t="shared" si="277"/>
        <v>30.244756101314081</v>
      </c>
      <c r="CX20" s="16">
        <f t="shared" si="277"/>
        <v>33.969227583800283</v>
      </c>
      <c r="CY20" s="16">
        <f t="shared" si="277"/>
        <v>40.026017107153223</v>
      </c>
      <c r="CZ20" s="16">
        <f t="shared" si="277"/>
        <v>46.016505330258966</v>
      </c>
      <c r="DA20" s="16">
        <f t="shared" si="277"/>
        <v>44.727101012484482</v>
      </c>
      <c r="DB20" s="16">
        <f t="shared" si="277"/>
        <v>59.942250346681263</v>
      </c>
      <c r="DC20" s="16">
        <f t="shared" si="277"/>
        <v>74.207516138386268</v>
      </c>
      <c r="DD20" s="16">
        <f t="shared" si="277"/>
        <v>66.593600693844024</v>
      </c>
      <c r="DE20" s="16">
        <f t="shared" si="277"/>
        <v>89.081564782146003</v>
      </c>
      <c r="DF20" s="16">
        <f t="shared" si="277"/>
        <v>113.94047463407153</v>
      </c>
      <c r="DG20" s="16">
        <f t="shared" si="277"/>
        <v>91.227303553531556</v>
      </c>
      <c r="DH20" s="16">
        <f t="shared" si="277"/>
        <v>90.963903709118796</v>
      </c>
      <c r="DI20" s="16">
        <f t="shared" si="277"/>
        <v>66.081389917883854</v>
      </c>
      <c r="DJ20" s="16">
        <f t="shared" si="277"/>
        <v>33.144094208391571</v>
      </c>
      <c r="DK20" s="16">
        <f t="shared" si="277"/>
        <v>13.471362445379725</v>
      </c>
      <c r="DL20" s="16">
        <f t="shared" si="277"/>
        <v>3.6281639839927049</v>
      </c>
      <c r="DM20" s="11">
        <f t="shared" si="260"/>
        <v>1026.8614790134429</v>
      </c>
      <c r="DN20" s="11">
        <f t="shared" si="261"/>
        <v>32.542801977395463</v>
      </c>
      <c r="DO20" s="11">
        <f t="shared" si="262"/>
        <v>15.834263504790261</v>
      </c>
      <c r="DP20" s="11">
        <f t="shared" si="263"/>
        <v>501.5382572345157</v>
      </c>
      <c r="DQ20" s="11">
        <f t="shared" si="264"/>
        <v>298.51621781829817</v>
      </c>
      <c r="DR20" s="15">
        <f t="shared" si="265"/>
        <v>0.48841861096627026</v>
      </c>
      <c r="DS20" s="15">
        <f t="shared" si="266"/>
        <v>0.29070738743174745</v>
      </c>
      <c r="DT20" s="11">
        <f t="shared" si="267"/>
        <v>132.44696399016573</v>
      </c>
      <c r="DX20" s="28">
        <f>DX3</f>
        <v>2025</v>
      </c>
      <c r="DY20" s="3" t="s">
        <v>21</v>
      </c>
      <c r="DZ20" s="9">
        <f t="shared" ref="DZ20:ET20" si="278">ROUND(DZ3,0)</f>
        <v>26</v>
      </c>
      <c r="EA20" s="9">
        <f t="shared" si="278"/>
        <v>32</v>
      </c>
      <c r="EB20" s="9">
        <f t="shared" si="278"/>
        <v>35</v>
      </c>
      <c r="EC20" s="9">
        <f t="shared" si="278"/>
        <v>32</v>
      </c>
      <c r="ED20" s="9">
        <f t="shared" si="278"/>
        <v>41</v>
      </c>
      <c r="EE20" s="9">
        <f t="shared" si="278"/>
        <v>65</v>
      </c>
      <c r="EF20" s="9">
        <f t="shared" si="278"/>
        <v>70</v>
      </c>
      <c r="EG20" s="9">
        <f t="shared" si="278"/>
        <v>54</v>
      </c>
      <c r="EH20" s="9">
        <f t="shared" si="278"/>
        <v>45</v>
      </c>
      <c r="EI20" s="9">
        <f t="shared" si="278"/>
        <v>60</v>
      </c>
      <c r="EJ20" s="9">
        <f t="shared" si="278"/>
        <v>54</v>
      </c>
      <c r="EK20" s="9">
        <f t="shared" si="278"/>
        <v>64</v>
      </c>
      <c r="EL20" s="9">
        <f t="shared" si="278"/>
        <v>68</v>
      </c>
      <c r="EM20" s="9">
        <f t="shared" si="278"/>
        <v>69</v>
      </c>
      <c r="EN20" s="9">
        <f t="shared" si="278"/>
        <v>67</v>
      </c>
      <c r="EO20" s="9">
        <f t="shared" si="278"/>
        <v>65</v>
      </c>
      <c r="EP20" s="9">
        <f t="shared" si="278"/>
        <v>35</v>
      </c>
      <c r="EQ20" s="9">
        <f t="shared" si="278"/>
        <v>30</v>
      </c>
      <c r="ER20" s="9">
        <f t="shared" si="278"/>
        <v>10</v>
      </c>
      <c r="ES20" s="9">
        <f t="shared" si="278"/>
        <v>3</v>
      </c>
      <c r="ET20" s="9">
        <f t="shared" si="278"/>
        <v>0</v>
      </c>
      <c r="EU20" s="9">
        <f t="shared" ref="EU20:EU21" si="279">SUM(DZ20:ET20)</f>
        <v>925</v>
      </c>
      <c r="EV20" s="9">
        <f>EA20*3/5+EB20*3/5</f>
        <v>40.200000000000003</v>
      </c>
      <c r="EW20" s="9">
        <f>EB20*2/5+EC20*1/5</f>
        <v>20.399999999999999</v>
      </c>
      <c r="EX20" s="9">
        <f t="shared" ref="EX20:EX31" si="280">SUM(EM20:ET20)</f>
        <v>279</v>
      </c>
      <c r="EY20" s="9">
        <f>SUM(EO20:ET20)</f>
        <v>143</v>
      </c>
      <c r="EZ20" s="13">
        <f>EX20/EU20</f>
        <v>0.30162162162162159</v>
      </c>
      <c r="FA20" s="13">
        <f>EY20/EU20</f>
        <v>0.1545945945945946</v>
      </c>
      <c r="FB20" s="9">
        <f>SUM(ED20:EG20)</f>
        <v>230</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24</v>
      </c>
      <c r="EA21" s="10">
        <f t="shared" si="281"/>
        <v>26</v>
      </c>
      <c r="EB21" s="10">
        <f t="shared" si="281"/>
        <v>31</v>
      </c>
      <c r="EC21" s="10">
        <f t="shared" si="281"/>
        <v>28</v>
      </c>
      <c r="ED21" s="10">
        <f t="shared" si="281"/>
        <v>22</v>
      </c>
      <c r="EE21" s="10">
        <f t="shared" si="281"/>
        <v>50</v>
      </c>
      <c r="EF21" s="10">
        <f t="shared" si="281"/>
        <v>61</v>
      </c>
      <c r="EG21" s="10">
        <f t="shared" si="281"/>
        <v>62</v>
      </c>
      <c r="EH21" s="10">
        <f t="shared" si="281"/>
        <v>47</v>
      </c>
      <c r="EI21" s="10">
        <f t="shared" si="281"/>
        <v>52</v>
      </c>
      <c r="EJ21" s="10">
        <f t="shared" si="281"/>
        <v>49</v>
      </c>
      <c r="EK21" s="10">
        <f t="shared" si="281"/>
        <v>65</v>
      </c>
      <c r="EL21" s="10">
        <f t="shared" si="281"/>
        <v>65</v>
      </c>
      <c r="EM21" s="10">
        <f t="shared" si="281"/>
        <v>72</v>
      </c>
      <c r="EN21" s="10">
        <f t="shared" si="281"/>
        <v>92</v>
      </c>
      <c r="EO21" s="10">
        <f t="shared" si="281"/>
        <v>73</v>
      </c>
      <c r="EP21" s="10">
        <f t="shared" si="281"/>
        <v>63</v>
      </c>
      <c r="EQ21" s="10">
        <f t="shared" si="281"/>
        <v>53</v>
      </c>
      <c r="ER21" s="10">
        <f t="shared" si="281"/>
        <v>35</v>
      </c>
      <c r="ES21" s="10">
        <f t="shared" si="281"/>
        <v>16</v>
      </c>
      <c r="ET21" s="10">
        <f t="shared" si="281"/>
        <v>4</v>
      </c>
      <c r="EU21" s="10">
        <f t="shared" si="279"/>
        <v>990</v>
      </c>
      <c r="EV21" s="10">
        <f t="shared" ref="EV21:EV31" si="282">EA21*3/5+EB21*3/5</f>
        <v>34.200000000000003</v>
      </c>
      <c r="EW21" s="10">
        <f t="shared" ref="EW21:EW31" si="283">EB21*2/5+EC21*1/5</f>
        <v>18</v>
      </c>
      <c r="EX21" s="10">
        <f t="shared" si="280"/>
        <v>408</v>
      </c>
      <c r="EY21" s="10">
        <f t="shared" ref="EY21:EY31" si="284">SUM(EO21:ET21)</f>
        <v>244</v>
      </c>
      <c r="EZ21" s="14">
        <f t="shared" ref="EZ21:EZ31" si="285">EX21/EU21</f>
        <v>0.41212121212121211</v>
      </c>
      <c r="FA21" s="14">
        <f t="shared" ref="FA21:FA31" si="286">EY21/EU21</f>
        <v>0.24646464646464647</v>
      </c>
      <c r="FB21" s="10">
        <f>SUM(ED21:EG21)</f>
        <v>195</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50</v>
      </c>
      <c r="EA22" s="16">
        <f t="shared" ref="EA22:ET22" si="287">EA20+EA21</f>
        <v>58</v>
      </c>
      <c r="EB22" s="16">
        <f t="shared" si="287"/>
        <v>66</v>
      </c>
      <c r="EC22" s="16">
        <f t="shared" si="287"/>
        <v>60</v>
      </c>
      <c r="ED22" s="16">
        <f t="shared" si="287"/>
        <v>63</v>
      </c>
      <c r="EE22" s="16">
        <f t="shared" si="287"/>
        <v>115</v>
      </c>
      <c r="EF22" s="16">
        <f t="shared" si="287"/>
        <v>131</v>
      </c>
      <c r="EG22" s="16">
        <f t="shared" si="287"/>
        <v>116</v>
      </c>
      <c r="EH22" s="16">
        <f t="shared" si="287"/>
        <v>92</v>
      </c>
      <c r="EI22" s="16">
        <f t="shared" si="287"/>
        <v>112</v>
      </c>
      <c r="EJ22" s="16">
        <f t="shared" si="287"/>
        <v>103</v>
      </c>
      <c r="EK22" s="16">
        <f t="shared" si="287"/>
        <v>129</v>
      </c>
      <c r="EL22" s="16">
        <f t="shared" si="287"/>
        <v>133</v>
      </c>
      <c r="EM22" s="16">
        <f t="shared" si="287"/>
        <v>141</v>
      </c>
      <c r="EN22" s="16">
        <f t="shared" si="287"/>
        <v>159</v>
      </c>
      <c r="EO22" s="16">
        <f t="shared" si="287"/>
        <v>138</v>
      </c>
      <c r="EP22" s="16">
        <f t="shared" si="287"/>
        <v>98</v>
      </c>
      <c r="EQ22" s="16">
        <f t="shared" si="287"/>
        <v>83</v>
      </c>
      <c r="ER22" s="16">
        <f t="shared" si="287"/>
        <v>45</v>
      </c>
      <c r="ES22" s="16">
        <f t="shared" si="287"/>
        <v>19</v>
      </c>
      <c r="ET22" s="16">
        <f t="shared" si="287"/>
        <v>4</v>
      </c>
      <c r="EU22" s="11">
        <f>SUM(DZ22:ET22)</f>
        <v>1915</v>
      </c>
      <c r="EV22" s="11">
        <f t="shared" si="282"/>
        <v>74.400000000000006</v>
      </c>
      <c r="EW22" s="11">
        <f t="shared" si="283"/>
        <v>38.4</v>
      </c>
      <c r="EX22" s="11">
        <f t="shared" si="280"/>
        <v>687</v>
      </c>
      <c r="EY22" s="11">
        <f t="shared" si="284"/>
        <v>387</v>
      </c>
      <c r="EZ22" s="15">
        <f t="shared" si="285"/>
        <v>0.3587467362924282</v>
      </c>
      <c r="FA22" s="15">
        <f t="shared" si="286"/>
        <v>0.202088772845953</v>
      </c>
      <c r="FB22" s="11">
        <f>SUM(ED22:EG22)</f>
        <v>425</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45</v>
      </c>
      <c r="EA23" s="9">
        <f t="shared" si="288"/>
        <v>25</v>
      </c>
      <c r="EB23" s="9">
        <f t="shared" si="288"/>
        <v>27</v>
      </c>
      <c r="EC23" s="9">
        <f t="shared" si="288"/>
        <v>27</v>
      </c>
      <c r="ED23" s="9">
        <f t="shared" si="288"/>
        <v>36</v>
      </c>
      <c r="EE23" s="9">
        <f t="shared" si="288"/>
        <v>55</v>
      </c>
      <c r="EF23" s="9">
        <f t="shared" si="288"/>
        <v>85</v>
      </c>
      <c r="EG23" s="9">
        <f t="shared" si="288"/>
        <v>85</v>
      </c>
      <c r="EH23" s="9">
        <f t="shared" si="288"/>
        <v>51</v>
      </c>
      <c r="EI23" s="9">
        <f t="shared" si="288"/>
        <v>44</v>
      </c>
      <c r="EJ23" s="9">
        <f t="shared" si="288"/>
        <v>60</v>
      </c>
      <c r="EK23" s="9">
        <f t="shared" si="288"/>
        <v>55</v>
      </c>
      <c r="EL23" s="9">
        <f t="shared" si="288"/>
        <v>67</v>
      </c>
      <c r="EM23" s="9">
        <f t="shared" si="288"/>
        <v>63</v>
      </c>
      <c r="EN23" s="9">
        <f t="shared" si="288"/>
        <v>67</v>
      </c>
      <c r="EO23" s="9">
        <f t="shared" si="288"/>
        <v>61</v>
      </c>
      <c r="EP23" s="9">
        <f t="shared" si="288"/>
        <v>47</v>
      </c>
      <c r="EQ23" s="9">
        <f t="shared" si="288"/>
        <v>22</v>
      </c>
      <c r="ER23" s="9">
        <f t="shared" si="288"/>
        <v>9</v>
      </c>
      <c r="ES23" s="9">
        <f t="shared" si="288"/>
        <v>2</v>
      </c>
      <c r="ET23" s="9">
        <f t="shared" si="288"/>
        <v>0</v>
      </c>
      <c r="EU23" s="9">
        <f t="shared" ref="EU23:EU31" si="289">SUM(DZ23:ET23)</f>
        <v>933</v>
      </c>
      <c r="EV23" s="9">
        <f t="shared" si="282"/>
        <v>31.2</v>
      </c>
      <c r="EW23" s="9">
        <f t="shared" si="283"/>
        <v>16.200000000000003</v>
      </c>
      <c r="EX23" s="9">
        <f t="shared" si="280"/>
        <v>271</v>
      </c>
      <c r="EY23" s="9">
        <f t="shared" si="284"/>
        <v>141</v>
      </c>
      <c r="EZ23" s="13">
        <f t="shared" si="285"/>
        <v>0.29046087888531619</v>
      </c>
      <c r="FA23" s="13">
        <f t="shared" si="286"/>
        <v>0.15112540192926044</v>
      </c>
      <c r="FB23" s="9">
        <f t="shared" ref="FB23:FB31" si="290">SUM(ED23:EG23)</f>
        <v>261</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42</v>
      </c>
      <c r="EA24" s="10">
        <f t="shared" si="291"/>
        <v>21</v>
      </c>
      <c r="EB24" s="10">
        <f t="shared" si="291"/>
        <v>24</v>
      </c>
      <c r="EC24" s="10">
        <f t="shared" si="291"/>
        <v>21</v>
      </c>
      <c r="ED24" s="10">
        <f t="shared" si="291"/>
        <v>24</v>
      </c>
      <c r="EE24" s="10">
        <f t="shared" si="291"/>
        <v>43</v>
      </c>
      <c r="EF24" s="10">
        <f t="shared" si="291"/>
        <v>71</v>
      </c>
      <c r="EG24" s="10">
        <f t="shared" si="291"/>
        <v>83</v>
      </c>
      <c r="EH24" s="10">
        <f t="shared" si="291"/>
        <v>59</v>
      </c>
      <c r="EI24" s="10">
        <f t="shared" si="291"/>
        <v>40</v>
      </c>
      <c r="EJ24" s="10">
        <f t="shared" si="291"/>
        <v>58</v>
      </c>
      <c r="EK24" s="10">
        <f t="shared" si="291"/>
        <v>49</v>
      </c>
      <c r="EL24" s="10">
        <f t="shared" si="291"/>
        <v>64</v>
      </c>
      <c r="EM24" s="10">
        <f t="shared" si="291"/>
        <v>66</v>
      </c>
      <c r="EN24" s="10">
        <f t="shared" si="291"/>
        <v>70</v>
      </c>
      <c r="EO24" s="10">
        <f t="shared" si="291"/>
        <v>85</v>
      </c>
      <c r="EP24" s="10">
        <f t="shared" si="291"/>
        <v>63</v>
      </c>
      <c r="EQ24" s="10">
        <f t="shared" si="291"/>
        <v>50</v>
      </c>
      <c r="ER24" s="10">
        <f t="shared" si="291"/>
        <v>30</v>
      </c>
      <c r="ES24" s="10">
        <f t="shared" si="291"/>
        <v>13</v>
      </c>
      <c r="ET24" s="10">
        <f t="shared" si="291"/>
        <v>6</v>
      </c>
      <c r="EU24" s="10">
        <f t="shared" si="289"/>
        <v>982</v>
      </c>
      <c r="EV24" s="10">
        <f t="shared" si="282"/>
        <v>27</v>
      </c>
      <c r="EW24" s="10">
        <f t="shared" si="283"/>
        <v>13.8</v>
      </c>
      <c r="EX24" s="10">
        <f t="shared" si="280"/>
        <v>383</v>
      </c>
      <c r="EY24" s="10">
        <f t="shared" si="284"/>
        <v>247</v>
      </c>
      <c r="EZ24" s="14">
        <f t="shared" si="285"/>
        <v>0.39002036659877798</v>
      </c>
      <c r="FA24" s="14">
        <f t="shared" si="286"/>
        <v>0.2515274949083503</v>
      </c>
      <c r="FB24" s="10">
        <f t="shared" si="290"/>
        <v>221</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87</v>
      </c>
      <c r="EA25" s="16">
        <f t="shared" ref="EA25:ET25" si="292">EA23+EA24</f>
        <v>46</v>
      </c>
      <c r="EB25" s="16">
        <f t="shared" si="292"/>
        <v>51</v>
      </c>
      <c r="EC25" s="16">
        <f t="shared" si="292"/>
        <v>48</v>
      </c>
      <c r="ED25" s="16">
        <f t="shared" si="292"/>
        <v>60</v>
      </c>
      <c r="EE25" s="16">
        <f t="shared" si="292"/>
        <v>98</v>
      </c>
      <c r="EF25" s="16">
        <f t="shared" si="292"/>
        <v>156</v>
      </c>
      <c r="EG25" s="16">
        <f t="shared" si="292"/>
        <v>168</v>
      </c>
      <c r="EH25" s="16">
        <f t="shared" si="292"/>
        <v>110</v>
      </c>
      <c r="EI25" s="16">
        <f t="shared" si="292"/>
        <v>84</v>
      </c>
      <c r="EJ25" s="16">
        <f t="shared" si="292"/>
        <v>118</v>
      </c>
      <c r="EK25" s="16">
        <f t="shared" si="292"/>
        <v>104</v>
      </c>
      <c r="EL25" s="16">
        <f t="shared" si="292"/>
        <v>131</v>
      </c>
      <c r="EM25" s="16">
        <f t="shared" si="292"/>
        <v>129</v>
      </c>
      <c r="EN25" s="16">
        <f t="shared" si="292"/>
        <v>137</v>
      </c>
      <c r="EO25" s="16">
        <f t="shared" si="292"/>
        <v>146</v>
      </c>
      <c r="EP25" s="16">
        <f t="shared" si="292"/>
        <v>110</v>
      </c>
      <c r="EQ25" s="16">
        <f t="shared" si="292"/>
        <v>72</v>
      </c>
      <c r="ER25" s="16">
        <f t="shared" si="292"/>
        <v>39</v>
      </c>
      <c r="ES25" s="16">
        <f t="shared" si="292"/>
        <v>15</v>
      </c>
      <c r="ET25" s="16">
        <f t="shared" si="292"/>
        <v>6</v>
      </c>
      <c r="EU25" s="11">
        <f t="shared" si="289"/>
        <v>1915</v>
      </c>
      <c r="EV25" s="11">
        <f t="shared" si="282"/>
        <v>58.2</v>
      </c>
      <c r="EW25" s="11">
        <f t="shared" si="283"/>
        <v>30</v>
      </c>
      <c r="EX25" s="11">
        <f t="shared" si="280"/>
        <v>654</v>
      </c>
      <c r="EY25" s="11">
        <f t="shared" si="284"/>
        <v>388</v>
      </c>
      <c r="EZ25" s="15">
        <f t="shared" si="285"/>
        <v>0.34151436031331595</v>
      </c>
      <c r="FA25" s="15">
        <f t="shared" si="286"/>
        <v>0.20261096605744125</v>
      </c>
      <c r="FB25" s="11">
        <f t="shared" si="290"/>
        <v>482</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44</v>
      </c>
      <c r="EA26" s="9">
        <f t="shared" si="293"/>
        <v>44</v>
      </c>
      <c r="EB26" s="9">
        <f t="shared" si="293"/>
        <v>21</v>
      </c>
      <c r="EC26" s="9">
        <f t="shared" si="293"/>
        <v>21</v>
      </c>
      <c r="ED26" s="9">
        <f t="shared" si="293"/>
        <v>30</v>
      </c>
      <c r="EE26" s="9">
        <f t="shared" si="293"/>
        <v>51</v>
      </c>
      <c r="EF26" s="9">
        <f t="shared" si="293"/>
        <v>75</v>
      </c>
      <c r="EG26" s="9">
        <f t="shared" si="293"/>
        <v>99</v>
      </c>
      <c r="EH26" s="9">
        <f t="shared" si="293"/>
        <v>81</v>
      </c>
      <c r="EI26" s="9">
        <f t="shared" si="293"/>
        <v>50</v>
      </c>
      <c r="EJ26" s="9">
        <f t="shared" si="293"/>
        <v>44</v>
      </c>
      <c r="EK26" s="9">
        <f t="shared" si="293"/>
        <v>61</v>
      </c>
      <c r="EL26" s="9">
        <f t="shared" si="293"/>
        <v>58</v>
      </c>
      <c r="EM26" s="9">
        <f t="shared" si="293"/>
        <v>62</v>
      </c>
      <c r="EN26" s="9">
        <f t="shared" si="293"/>
        <v>62</v>
      </c>
      <c r="EO26" s="9">
        <f t="shared" si="293"/>
        <v>61</v>
      </c>
      <c r="EP26" s="9">
        <f t="shared" si="293"/>
        <v>44</v>
      </c>
      <c r="EQ26" s="9">
        <f t="shared" si="293"/>
        <v>29</v>
      </c>
      <c r="ER26" s="9">
        <f t="shared" si="293"/>
        <v>6</v>
      </c>
      <c r="ES26" s="9">
        <f t="shared" si="293"/>
        <v>2</v>
      </c>
      <c r="ET26" s="9">
        <f t="shared" si="293"/>
        <v>0</v>
      </c>
      <c r="EU26" s="9">
        <f t="shared" si="289"/>
        <v>945</v>
      </c>
      <c r="EV26" s="9">
        <f t="shared" si="282"/>
        <v>39</v>
      </c>
      <c r="EW26" s="9">
        <f t="shared" si="283"/>
        <v>12.600000000000001</v>
      </c>
      <c r="EX26" s="9">
        <f t="shared" si="280"/>
        <v>266</v>
      </c>
      <c r="EY26" s="9">
        <f t="shared" si="284"/>
        <v>142</v>
      </c>
      <c r="EZ26" s="13">
        <f t="shared" si="285"/>
        <v>0.2814814814814815</v>
      </c>
      <c r="FA26" s="13">
        <f t="shared" si="286"/>
        <v>0.15026455026455027</v>
      </c>
      <c r="FB26" s="9">
        <f t="shared" si="290"/>
        <v>255</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42</v>
      </c>
      <c r="EA27" s="10">
        <f t="shared" si="294"/>
        <v>36</v>
      </c>
      <c r="EB27" s="10">
        <f t="shared" si="294"/>
        <v>19</v>
      </c>
      <c r="EC27" s="10">
        <f t="shared" si="294"/>
        <v>16</v>
      </c>
      <c r="ED27" s="10">
        <f t="shared" si="294"/>
        <v>18</v>
      </c>
      <c r="EE27" s="10">
        <f t="shared" si="294"/>
        <v>44</v>
      </c>
      <c r="EF27" s="10">
        <f t="shared" si="294"/>
        <v>65</v>
      </c>
      <c r="EG27" s="10">
        <f t="shared" si="294"/>
        <v>92</v>
      </c>
      <c r="EH27" s="10">
        <f t="shared" si="294"/>
        <v>78</v>
      </c>
      <c r="EI27" s="10">
        <f t="shared" si="294"/>
        <v>51</v>
      </c>
      <c r="EJ27" s="10">
        <f t="shared" si="294"/>
        <v>45</v>
      </c>
      <c r="EK27" s="10">
        <f t="shared" si="294"/>
        <v>58</v>
      </c>
      <c r="EL27" s="10">
        <f t="shared" si="294"/>
        <v>48</v>
      </c>
      <c r="EM27" s="10">
        <f t="shared" si="294"/>
        <v>65</v>
      </c>
      <c r="EN27" s="10">
        <f t="shared" si="294"/>
        <v>64</v>
      </c>
      <c r="EO27" s="10">
        <f t="shared" si="294"/>
        <v>65</v>
      </c>
      <c r="EP27" s="10">
        <f t="shared" si="294"/>
        <v>74</v>
      </c>
      <c r="EQ27" s="10">
        <f t="shared" si="294"/>
        <v>50</v>
      </c>
      <c r="ER27" s="10">
        <f t="shared" si="294"/>
        <v>28</v>
      </c>
      <c r="ES27" s="10">
        <f t="shared" si="294"/>
        <v>11</v>
      </c>
      <c r="ET27" s="10">
        <f t="shared" si="294"/>
        <v>4</v>
      </c>
      <c r="EU27" s="10">
        <f t="shared" si="289"/>
        <v>973</v>
      </c>
      <c r="EV27" s="10">
        <f t="shared" si="282"/>
        <v>33</v>
      </c>
      <c r="EW27" s="10">
        <f t="shared" si="283"/>
        <v>10.8</v>
      </c>
      <c r="EX27" s="10">
        <f t="shared" si="280"/>
        <v>361</v>
      </c>
      <c r="EY27" s="10">
        <f t="shared" si="284"/>
        <v>232</v>
      </c>
      <c r="EZ27" s="14">
        <f t="shared" si="285"/>
        <v>0.3710174717368962</v>
      </c>
      <c r="FA27" s="14">
        <f t="shared" si="286"/>
        <v>0.23843782117163412</v>
      </c>
      <c r="FB27" s="10">
        <f t="shared" si="290"/>
        <v>219</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86</v>
      </c>
      <c r="EA28" s="16">
        <f t="shared" ref="EA28:ET28" si="295">EA26+EA27</f>
        <v>80</v>
      </c>
      <c r="EB28" s="16">
        <f t="shared" si="295"/>
        <v>40</v>
      </c>
      <c r="EC28" s="16">
        <f t="shared" si="295"/>
        <v>37</v>
      </c>
      <c r="ED28" s="16">
        <f t="shared" si="295"/>
        <v>48</v>
      </c>
      <c r="EE28" s="16">
        <f t="shared" si="295"/>
        <v>95</v>
      </c>
      <c r="EF28" s="16">
        <f t="shared" si="295"/>
        <v>140</v>
      </c>
      <c r="EG28" s="16">
        <f t="shared" si="295"/>
        <v>191</v>
      </c>
      <c r="EH28" s="16">
        <f t="shared" si="295"/>
        <v>159</v>
      </c>
      <c r="EI28" s="16">
        <f t="shared" si="295"/>
        <v>101</v>
      </c>
      <c r="EJ28" s="16">
        <f t="shared" si="295"/>
        <v>89</v>
      </c>
      <c r="EK28" s="16">
        <f t="shared" si="295"/>
        <v>119</v>
      </c>
      <c r="EL28" s="16">
        <f t="shared" si="295"/>
        <v>106</v>
      </c>
      <c r="EM28" s="16">
        <f t="shared" si="295"/>
        <v>127</v>
      </c>
      <c r="EN28" s="16">
        <f t="shared" si="295"/>
        <v>126</v>
      </c>
      <c r="EO28" s="16">
        <f t="shared" si="295"/>
        <v>126</v>
      </c>
      <c r="EP28" s="16">
        <f t="shared" si="295"/>
        <v>118</v>
      </c>
      <c r="EQ28" s="16">
        <f t="shared" si="295"/>
        <v>79</v>
      </c>
      <c r="ER28" s="16">
        <f t="shared" si="295"/>
        <v>34</v>
      </c>
      <c r="ES28" s="16">
        <f t="shared" si="295"/>
        <v>13</v>
      </c>
      <c r="ET28" s="16">
        <f t="shared" si="295"/>
        <v>4</v>
      </c>
      <c r="EU28" s="11">
        <f t="shared" si="289"/>
        <v>1918</v>
      </c>
      <c r="EV28" s="11">
        <f t="shared" si="282"/>
        <v>72</v>
      </c>
      <c r="EW28" s="11">
        <f t="shared" si="283"/>
        <v>23.4</v>
      </c>
      <c r="EX28" s="11">
        <f t="shared" si="280"/>
        <v>627</v>
      </c>
      <c r="EY28" s="11">
        <f t="shared" si="284"/>
        <v>374</v>
      </c>
      <c r="EZ28" s="15">
        <f t="shared" si="285"/>
        <v>0.32690302398331594</v>
      </c>
      <c r="FA28" s="15">
        <f t="shared" si="286"/>
        <v>0.19499478623566216</v>
      </c>
      <c r="FB28" s="11">
        <f t="shared" si="290"/>
        <v>474</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41</v>
      </c>
      <c r="EA29" s="9">
        <f t="shared" si="296"/>
        <v>44</v>
      </c>
      <c r="EB29" s="9">
        <f t="shared" si="296"/>
        <v>37</v>
      </c>
      <c r="EC29" s="9">
        <f t="shared" si="296"/>
        <v>17</v>
      </c>
      <c r="ED29" s="9">
        <f t="shared" si="296"/>
        <v>23</v>
      </c>
      <c r="EE29" s="9">
        <f t="shared" si="296"/>
        <v>47</v>
      </c>
      <c r="EF29" s="9">
        <f t="shared" si="296"/>
        <v>71</v>
      </c>
      <c r="EG29" s="9">
        <f t="shared" si="296"/>
        <v>90</v>
      </c>
      <c r="EH29" s="9">
        <f t="shared" si="296"/>
        <v>93</v>
      </c>
      <c r="EI29" s="9">
        <f t="shared" si="296"/>
        <v>79</v>
      </c>
      <c r="EJ29" s="9">
        <f t="shared" si="296"/>
        <v>49</v>
      </c>
      <c r="EK29" s="9">
        <f t="shared" si="296"/>
        <v>45</v>
      </c>
      <c r="EL29" s="9">
        <f t="shared" si="296"/>
        <v>64</v>
      </c>
      <c r="EM29" s="9">
        <f t="shared" si="296"/>
        <v>53</v>
      </c>
      <c r="EN29" s="9">
        <f t="shared" si="296"/>
        <v>61</v>
      </c>
      <c r="EO29" s="9">
        <f t="shared" si="296"/>
        <v>56</v>
      </c>
      <c r="EP29" s="9">
        <f t="shared" si="296"/>
        <v>44</v>
      </c>
      <c r="EQ29" s="9">
        <f t="shared" si="296"/>
        <v>28</v>
      </c>
      <c r="ER29" s="9">
        <f t="shared" si="296"/>
        <v>9</v>
      </c>
      <c r="ES29" s="9">
        <f t="shared" si="296"/>
        <v>1</v>
      </c>
      <c r="ET29" s="9">
        <f t="shared" si="296"/>
        <v>0</v>
      </c>
      <c r="EU29" s="9">
        <f t="shared" si="289"/>
        <v>952</v>
      </c>
      <c r="EV29" s="9">
        <f t="shared" si="282"/>
        <v>48.599999999999994</v>
      </c>
      <c r="EW29" s="9">
        <f t="shared" si="283"/>
        <v>18.2</v>
      </c>
      <c r="EX29" s="9">
        <f t="shared" si="280"/>
        <v>252</v>
      </c>
      <c r="EY29" s="9">
        <f t="shared" si="284"/>
        <v>138</v>
      </c>
      <c r="EZ29" s="13">
        <f t="shared" si="285"/>
        <v>0.26470588235294118</v>
      </c>
      <c r="FA29" s="13">
        <f t="shared" si="286"/>
        <v>0.14495798319327732</v>
      </c>
      <c r="FB29" s="9">
        <f t="shared" si="290"/>
        <v>231</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39</v>
      </c>
      <c r="EA30" s="10">
        <f t="shared" si="297"/>
        <v>36</v>
      </c>
      <c r="EB30" s="10">
        <f t="shared" si="297"/>
        <v>33</v>
      </c>
      <c r="EC30" s="10">
        <f t="shared" si="297"/>
        <v>13</v>
      </c>
      <c r="ED30" s="10">
        <f t="shared" si="297"/>
        <v>14</v>
      </c>
      <c r="EE30" s="10">
        <f t="shared" si="297"/>
        <v>39</v>
      </c>
      <c r="EF30" s="10">
        <f t="shared" si="297"/>
        <v>66</v>
      </c>
      <c r="EG30" s="10">
        <f t="shared" si="297"/>
        <v>86</v>
      </c>
      <c r="EH30" s="10">
        <f t="shared" si="297"/>
        <v>87</v>
      </c>
      <c r="EI30" s="10">
        <f t="shared" si="297"/>
        <v>68</v>
      </c>
      <c r="EJ30" s="10">
        <f t="shared" si="297"/>
        <v>57</v>
      </c>
      <c r="EK30" s="10">
        <f t="shared" si="297"/>
        <v>45</v>
      </c>
      <c r="EL30" s="10">
        <f t="shared" si="297"/>
        <v>57</v>
      </c>
      <c r="EM30" s="10">
        <f t="shared" si="297"/>
        <v>48</v>
      </c>
      <c r="EN30" s="10">
        <f t="shared" si="297"/>
        <v>63</v>
      </c>
      <c r="EO30" s="10">
        <f t="shared" si="297"/>
        <v>59</v>
      </c>
      <c r="EP30" s="10">
        <f t="shared" si="297"/>
        <v>56</v>
      </c>
      <c r="EQ30" s="10">
        <f t="shared" si="297"/>
        <v>59</v>
      </c>
      <c r="ER30" s="10">
        <f t="shared" si="297"/>
        <v>28</v>
      </c>
      <c r="ES30" s="10">
        <f t="shared" si="297"/>
        <v>10</v>
      </c>
      <c r="ET30" s="10">
        <f t="shared" si="297"/>
        <v>4</v>
      </c>
      <c r="EU30" s="10">
        <f t="shared" si="289"/>
        <v>967</v>
      </c>
      <c r="EV30" s="10">
        <f t="shared" si="282"/>
        <v>41.400000000000006</v>
      </c>
      <c r="EW30" s="10">
        <f t="shared" si="283"/>
        <v>15.799999999999999</v>
      </c>
      <c r="EX30" s="10">
        <f t="shared" si="280"/>
        <v>327</v>
      </c>
      <c r="EY30" s="10">
        <f t="shared" si="284"/>
        <v>216</v>
      </c>
      <c r="EZ30" s="14">
        <f t="shared" si="285"/>
        <v>0.33815925542916236</v>
      </c>
      <c r="FA30" s="14">
        <f t="shared" si="286"/>
        <v>0.2233712512926577</v>
      </c>
      <c r="FB30" s="10">
        <f t="shared" si="290"/>
        <v>205</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80</v>
      </c>
      <c r="EA31" s="16">
        <f t="shared" ref="EA31:ET31" si="298">EA29+EA30</f>
        <v>80</v>
      </c>
      <c r="EB31" s="16">
        <f t="shared" si="298"/>
        <v>70</v>
      </c>
      <c r="EC31" s="16">
        <f t="shared" si="298"/>
        <v>30</v>
      </c>
      <c r="ED31" s="16">
        <f t="shared" si="298"/>
        <v>37</v>
      </c>
      <c r="EE31" s="16">
        <f t="shared" si="298"/>
        <v>86</v>
      </c>
      <c r="EF31" s="16">
        <f t="shared" si="298"/>
        <v>137</v>
      </c>
      <c r="EG31" s="16">
        <f t="shared" si="298"/>
        <v>176</v>
      </c>
      <c r="EH31" s="16">
        <f t="shared" si="298"/>
        <v>180</v>
      </c>
      <c r="EI31" s="16">
        <f t="shared" si="298"/>
        <v>147</v>
      </c>
      <c r="EJ31" s="16">
        <f t="shared" si="298"/>
        <v>106</v>
      </c>
      <c r="EK31" s="16">
        <f t="shared" si="298"/>
        <v>90</v>
      </c>
      <c r="EL31" s="16">
        <f t="shared" si="298"/>
        <v>121</v>
      </c>
      <c r="EM31" s="16">
        <f t="shared" si="298"/>
        <v>101</v>
      </c>
      <c r="EN31" s="16">
        <f t="shared" si="298"/>
        <v>124</v>
      </c>
      <c r="EO31" s="16">
        <f t="shared" si="298"/>
        <v>115</v>
      </c>
      <c r="EP31" s="16">
        <f t="shared" si="298"/>
        <v>100</v>
      </c>
      <c r="EQ31" s="16">
        <f t="shared" si="298"/>
        <v>87</v>
      </c>
      <c r="ER31" s="16">
        <f t="shared" si="298"/>
        <v>37</v>
      </c>
      <c r="ES31" s="16">
        <f t="shared" si="298"/>
        <v>11</v>
      </c>
      <c r="ET31" s="16">
        <f t="shared" si="298"/>
        <v>4</v>
      </c>
      <c r="EU31" s="11">
        <f t="shared" si="289"/>
        <v>1919</v>
      </c>
      <c r="EV31" s="11">
        <f t="shared" si="282"/>
        <v>90</v>
      </c>
      <c r="EW31" s="11">
        <f t="shared" si="283"/>
        <v>34</v>
      </c>
      <c r="EX31" s="11">
        <f t="shared" si="280"/>
        <v>579</v>
      </c>
      <c r="EY31" s="11">
        <f t="shared" si="284"/>
        <v>354</v>
      </c>
      <c r="EZ31" s="15">
        <f t="shared" si="285"/>
        <v>0.3017196456487754</v>
      </c>
      <c r="FA31" s="15">
        <f t="shared" si="286"/>
        <v>0.18447107868681606</v>
      </c>
      <c r="FB31" s="11">
        <f t="shared" si="290"/>
        <v>436</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AD1:AD2"/>
    <mergeCell ref="AE1:AE2"/>
    <mergeCell ref="AB1:AB2"/>
    <mergeCell ref="AC1:AC2"/>
    <mergeCell ref="AY1:AY2"/>
    <mergeCell ref="AZ1:AZ2"/>
    <mergeCell ref="BA1:BA2"/>
    <mergeCell ref="BB1:BB2"/>
    <mergeCell ref="BC1:BC2"/>
    <mergeCell ref="BD1:BD2"/>
    <mergeCell ref="AS1:AS2"/>
    <mergeCell ref="AT1:AT2"/>
    <mergeCell ref="AU1:AU2"/>
    <mergeCell ref="AV1:AV2"/>
    <mergeCell ref="AW1:AW2"/>
    <mergeCell ref="AX1:AX2"/>
    <mergeCell ref="BO1:BO2"/>
    <mergeCell ref="BP1:BP2"/>
    <mergeCell ref="BQ1:BQ2"/>
    <mergeCell ref="BR1:BR2"/>
    <mergeCell ref="BS1:BS2"/>
    <mergeCell ref="BT1:BT2"/>
    <mergeCell ref="BE1:BE2"/>
    <mergeCell ref="BF1:BF2"/>
    <mergeCell ref="BK1:BK2"/>
    <mergeCell ref="BL1:BL2"/>
    <mergeCell ref="BM1:BM2"/>
    <mergeCell ref="BN1:BN2"/>
    <mergeCell ref="CA1:CA2"/>
    <mergeCell ref="CB1:CB2"/>
    <mergeCell ref="CC1:CC2"/>
    <mergeCell ref="CD1:CD2"/>
    <mergeCell ref="CE1:CE2"/>
    <mergeCell ref="CF1:CF2"/>
    <mergeCell ref="BU1:BU2"/>
    <mergeCell ref="BV1:BV2"/>
    <mergeCell ref="BW1:BW2"/>
    <mergeCell ref="BX1:BX2"/>
    <mergeCell ref="BY1:BY2"/>
    <mergeCell ref="BZ1:BZ2"/>
    <mergeCell ref="CM1:CM2"/>
    <mergeCell ref="CR1:CR2"/>
    <mergeCell ref="CS1:CS2"/>
    <mergeCell ref="CT1:CT2"/>
    <mergeCell ref="CU1:CU2"/>
    <mergeCell ref="CV1:CV2"/>
    <mergeCell ref="CG1:CG2"/>
    <mergeCell ref="CH1:CH2"/>
    <mergeCell ref="CI1:CI2"/>
    <mergeCell ref="CJ1:CJ2"/>
    <mergeCell ref="CK1:CK2"/>
    <mergeCell ref="CL1:CL2"/>
    <mergeCell ref="DC1:DC2"/>
    <mergeCell ref="DD1:DD2"/>
    <mergeCell ref="DE1:DE2"/>
    <mergeCell ref="DF1:DF2"/>
    <mergeCell ref="DG1:DG2"/>
    <mergeCell ref="DH1:DH2"/>
    <mergeCell ref="CW1:CW2"/>
    <mergeCell ref="CX1:CX2"/>
    <mergeCell ref="CY1:CY2"/>
    <mergeCell ref="CZ1:CZ2"/>
    <mergeCell ref="DA1:DA2"/>
    <mergeCell ref="DB1:DB2"/>
    <mergeCell ref="DO1:DO2"/>
    <mergeCell ref="DP1:DP2"/>
    <mergeCell ref="DQ1:DQ2"/>
    <mergeCell ref="DR1:DR2"/>
    <mergeCell ref="DS1:DS2"/>
    <mergeCell ref="DT1:DT2"/>
    <mergeCell ref="DI1:DI2"/>
    <mergeCell ref="DJ1:DJ2"/>
    <mergeCell ref="DK1:DK2"/>
    <mergeCell ref="DL1:DL2"/>
    <mergeCell ref="DM1:DM2"/>
    <mergeCell ref="DN1:DN2"/>
    <mergeCell ref="DX18:DY19"/>
    <mergeCell ref="DZ18:DZ19"/>
    <mergeCell ref="EA18:EA19"/>
    <mergeCell ref="EB18:EB19"/>
    <mergeCell ref="EC18:EC19"/>
    <mergeCell ref="ED18:ED19"/>
    <mergeCell ref="EE18:EE19"/>
    <mergeCell ref="EF18:EF19"/>
    <mergeCell ref="EG18:EG19"/>
    <mergeCell ref="EH18:EH19"/>
    <mergeCell ref="EI18:EI19"/>
    <mergeCell ref="EJ18:EJ19"/>
    <mergeCell ref="EK18:EK19"/>
    <mergeCell ref="EL18:EL19"/>
    <mergeCell ref="EM18:EM19"/>
    <mergeCell ref="EN18:EN19"/>
    <mergeCell ref="EO18:EO19"/>
    <mergeCell ref="EP18:EP19"/>
    <mergeCell ref="EZ18:EZ19"/>
    <mergeCell ref="FA18:FA19"/>
    <mergeCell ref="FB18:FB19"/>
    <mergeCell ref="EQ18:EQ19"/>
    <mergeCell ref="ER18:ER19"/>
    <mergeCell ref="ES18:ES19"/>
    <mergeCell ref="ET18:ET19"/>
    <mergeCell ref="EU18:EU19"/>
    <mergeCell ref="EV18:EV19"/>
    <mergeCell ref="EW18:EW19"/>
    <mergeCell ref="EX18:EX19"/>
    <mergeCell ref="EY18:EY19"/>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1100</v>
      </c>
      <c r="D4" s="17">
        <f>SUM(C41:C61)</f>
        <v>1214</v>
      </c>
      <c r="E4" s="17">
        <f>C4+D4</f>
        <v>2314</v>
      </c>
      <c r="F4" s="85"/>
      <c r="G4" s="1" t="s">
        <v>58</v>
      </c>
      <c r="H4" s="1">
        <f>B4</f>
        <v>2010</v>
      </c>
      <c r="I4" s="17">
        <f>C4</f>
        <v>1100</v>
      </c>
      <c r="J4" s="17">
        <f>D4</f>
        <v>1214</v>
      </c>
      <c r="K4" s="17">
        <f>I4+J4</f>
        <v>2314</v>
      </c>
      <c r="N4" s="1" t="s">
        <v>58</v>
      </c>
      <c r="O4" s="1">
        <f>H4</f>
        <v>2010</v>
      </c>
      <c r="P4" s="17">
        <f>I4</f>
        <v>1100</v>
      </c>
      <c r="Q4" s="17">
        <f t="shared" ref="Q4:R4" si="0">J4</f>
        <v>1214</v>
      </c>
      <c r="R4" s="17">
        <f t="shared" si="0"/>
        <v>2314</v>
      </c>
      <c r="S4" s="1"/>
      <c r="T4" s="1"/>
      <c r="U4" s="1"/>
    </row>
    <row r="5" spans="1:21" x14ac:dyDescent="0.15">
      <c r="A5" s="1" t="s">
        <v>61</v>
      </c>
      <c r="B5" s="1">
        <f>管理者入力シート!B6</f>
        <v>2015</v>
      </c>
      <c r="C5" s="17">
        <f>SUM(B65:B85)</f>
        <v>1018</v>
      </c>
      <c r="D5" s="17">
        <f>SUM(C65:C85)</f>
        <v>1164</v>
      </c>
      <c r="E5" s="17">
        <f t="shared" ref="E5" si="1">C5+D5</f>
        <v>2182</v>
      </c>
      <c r="F5" s="85"/>
      <c r="G5" s="1" t="s">
        <v>57</v>
      </c>
      <c r="H5" s="1">
        <f t="shared" ref="H5:H6" si="2">B5</f>
        <v>2015</v>
      </c>
      <c r="I5" s="17">
        <f t="shared" ref="I5" si="3">C5</f>
        <v>1018</v>
      </c>
      <c r="J5" s="17">
        <f>D5</f>
        <v>1164</v>
      </c>
      <c r="K5" s="17">
        <f t="shared" ref="K5:K10" si="4">I5+J5</f>
        <v>2182</v>
      </c>
      <c r="N5" s="1" t="s">
        <v>57</v>
      </c>
      <c r="O5" s="1">
        <f t="shared" ref="O5:O10" si="5">H5</f>
        <v>2015</v>
      </c>
      <c r="P5" s="17">
        <f t="shared" ref="P5:P10" si="6">I5</f>
        <v>1018</v>
      </c>
      <c r="Q5" s="17">
        <f t="shared" ref="Q5:Q10" si="7">J5</f>
        <v>1164</v>
      </c>
      <c r="R5" s="17">
        <f t="shared" ref="R5:R10" si="8">K5</f>
        <v>2182</v>
      </c>
      <c r="S5" s="1"/>
      <c r="T5" s="1"/>
      <c r="U5" s="1"/>
    </row>
    <row r="6" spans="1:21" x14ac:dyDescent="0.15">
      <c r="A6" s="1" t="s">
        <v>62</v>
      </c>
      <c r="B6" s="1">
        <f>管理者入力シート!B5</f>
        <v>2020</v>
      </c>
      <c r="C6" s="17">
        <f>SUM(B89:B109)</f>
        <v>939</v>
      </c>
      <c r="D6" s="17">
        <f>SUM(C89:C109)</f>
        <v>1031</v>
      </c>
      <c r="E6" s="17">
        <f>C6+D6</f>
        <v>1970</v>
      </c>
      <c r="F6" s="85"/>
      <c r="G6" s="1" t="s">
        <v>62</v>
      </c>
      <c r="H6" s="1">
        <f t="shared" si="2"/>
        <v>2020</v>
      </c>
      <c r="I6" s="17">
        <f>C6</f>
        <v>939</v>
      </c>
      <c r="J6" s="17">
        <f>D6</f>
        <v>1031</v>
      </c>
      <c r="K6" s="17">
        <f t="shared" si="4"/>
        <v>1970</v>
      </c>
      <c r="N6" s="1" t="s">
        <v>62</v>
      </c>
      <c r="O6" s="1">
        <f t="shared" si="5"/>
        <v>2020</v>
      </c>
      <c r="P6" s="17">
        <f t="shared" si="6"/>
        <v>939</v>
      </c>
      <c r="Q6" s="17">
        <f t="shared" si="7"/>
        <v>1031</v>
      </c>
      <c r="R6" s="17">
        <f t="shared" si="8"/>
        <v>1970</v>
      </c>
      <c r="S6" s="1"/>
      <c r="T6" s="1"/>
      <c r="U6" s="1"/>
    </row>
    <row r="7" spans="1:21" x14ac:dyDescent="0.15">
      <c r="G7" s="1" t="s">
        <v>106</v>
      </c>
      <c r="H7" s="1">
        <f>管理者入力シート!B8</f>
        <v>2025</v>
      </c>
      <c r="I7" s="17">
        <f>SUM(H69:H89)</f>
        <v>856</v>
      </c>
      <c r="J7" s="17">
        <f>SUM(I69:I89)</f>
        <v>921</v>
      </c>
      <c r="K7" s="17">
        <f t="shared" si="4"/>
        <v>1777</v>
      </c>
      <c r="N7" s="1" t="s">
        <v>106</v>
      </c>
      <c r="O7" s="1">
        <f t="shared" si="5"/>
        <v>2025</v>
      </c>
      <c r="P7" s="17">
        <f t="shared" si="6"/>
        <v>856</v>
      </c>
      <c r="Q7" s="17">
        <f t="shared" si="7"/>
        <v>921</v>
      </c>
      <c r="R7" s="17">
        <f t="shared" si="8"/>
        <v>1777</v>
      </c>
      <c r="S7" s="236">
        <f>SUM(O69:O89)</f>
        <v>860</v>
      </c>
      <c r="T7" s="236">
        <f>SUM(P69:P89)</f>
        <v>926</v>
      </c>
      <c r="U7" s="236">
        <f>S7+T7</f>
        <v>1786</v>
      </c>
    </row>
    <row r="8" spans="1:21" x14ac:dyDescent="0.15">
      <c r="A8" s="69" t="s">
        <v>71</v>
      </c>
      <c r="G8" s="1" t="s">
        <v>107</v>
      </c>
      <c r="H8" s="1">
        <f>管理者入力シート!B9</f>
        <v>2030</v>
      </c>
      <c r="I8" s="17">
        <f>SUM(H93:H113)</f>
        <v>777</v>
      </c>
      <c r="J8" s="17">
        <f>SUM(I93:I113)</f>
        <v>824</v>
      </c>
      <c r="K8" s="17">
        <f t="shared" si="4"/>
        <v>1601</v>
      </c>
      <c r="N8" s="1" t="s">
        <v>107</v>
      </c>
      <c r="O8" s="1">
        <f t="shared" si="5"/>
        <v>2030</v>
      </c>
      <c r="P8" s="17">
        <f t="shared" si="6"/>
        <v>777</v>
      </c>
      <c r="Q8" s="17">
        <f t="shared" si="7"/>
        <v>824</v>
      </c>
      <c r="R8" s="17">
        <f t="shared" si="8"/>
        <v>1601</v>
      </c>
      <c r="S8" s="236">
        <f>SUM(O93:O113)</f>
        <v>785</v>
      </c>
      <c r="T8" s="236">
        <f>SUM(P93:P113)</f>
        <v>835</v>
      </c>
      <c r="U8" s="236">
        <f t="shared" ref="U8:U10" si="9">S8+T8</f>
        <v>1620</v>
      </c>
    </row>
    <row r="9" spans="1:21" x14ac:dyDescent="0.15">
      <c r="A9" s="2" t="s">
        <v>72</v>
      </c>
      <c r="G9" s="1" t="s">
        <v>108</v>
      </c>
      <c r="H9" s="1">
        <f>管理者入力シート!B10</f>
        <v>2035</v>
      </c>
      <c r="I9" s="17">
        <f>SUM(H117:H137)</f>
        <v>702</v>
      </c>
      <c r="J9" s="17">
        <f>SUM(I117:I137)</f>
        <v>731</v>
      </c>
      <c r="K9" s="17">
        <f t="shared" si="4"/>
        <v>1433</v>
      </c>
      <c r="N9" s="1" t="s">
        <v>108</v>
      </c>
      <c r="O9" s="1">
        <f t="shared" si="5"/>
        <v>2035</v>
      </c>
      <c r="P9" s="17">
        <f t="shared" si="6"/>
        <v>702</v>
      </c>
      <c r="Q9" s="17">
        <f t="shared" si="7"/>
        <v>731</v>
      </c>
      <c r="R9" s="17">
        <f t="shared" si="8"/>
        <v>1433</v>
      </c>
      <c r="S9" s="236">
        <f>SUM(O117:O137)</f>
        <v>714</v>
      </c>
      <c r="T9" s="236">
        <f>SUM(P117:P137)</f>
        <v>747</v>
      </c>
      <c r="U9" s="236">
        <f t="shared" si="9"/>
        <v>1461</v>
      </c>
    </row>
    <row r="10" spans="1:21" x14ac:dyDescent="0.15">
      <c r="A10" s="1" t="s">
        <v>58</v>
      </c>
      <c r="B10" s="1">
        <f>B4</f>
        <v>2010</v>
      </c>
      <c r="C10" s="17">
        <f>ROUND(VLOOKUP(B10&amp;"_3",管理者用人口入力シート!A:AA,26,FALSE),0)</f>
        <v>125</v>
      </c>
      <c r="D10" s="12"/>
      <c r="E10" s="12"/>
      <c r="G10" s="1" t="s">
        <v>109</v>
      </c>
      <c r="H10" s="1">
        <f>管理者入力シート!B11</f>
        <v>2040</v>
      </c>
      <c r="I10" s="17">
        <f>SUM(H141:H161)</f>
        <v>629</v>
      </c>
      <c r="J10" s="17">
        <f>SUM(I141:I161)</f>
        <v>645</v>
      </c>
      <c r="K10" s="17">
        <f t="shared" si="4"/>
        <v>1274</v>
      </c>
      <c r="N10" s="1" t="s">
        <v>109</v>
      </c>
      <c r="O10" s="1">
        <f t="shared" si="5"/>
        <v>2040</v>
      </c>
      <c r="P10" s="17">
        <f t="shared" si="6"/>
        <v>629</v>
      </c>
      <c r="Q10" s="17">
        <f t="shared" si="7"/>
        <v>645</v>
      </c>
      <c r="R10" s="17">
        <f t="shared" si="8"/>
        <v>1274</v>
      </c>
      <c r="S10" s="236">
        <f>SUM(O141:O161)</f>
        <v>643</v>
      </c>
      <c r="T10" s="236">
        <f>SUM(P141:P161)</f>
        <v>666</v>
      </c>
      <c r="U10" s="236">
        <f t="shared" si="9"/>
        <v>1309</v>
      </c>
    </row>
    <row r="11" spans="1:21" x14ac:dyDescent="0.15">
      <c r="A11" s="1" t="s">
        <v>61</v>
      </c>
      <c r="B11" s="1">
        <f t="shared" ref="B11:B12" si="10">B5</f>
        <v>2015</v>
      </c>
      <c r="C11" s="17">
        <f>ROUND(VLOOKUP(B11&amp;"_3",管理者用人口入力シート!A:AA,26,FALSE),0)</f>
        <v>109</v>
      </c>
      <c r="D11" s="12"/>
      <c r="E11" s="12"/>
      <c r="I11" s="12"/>
      <c r="J11" s="12"/>
      <c r="K11" s="12"/>
      <c r="P11" s="12"/>
    </row>
    <row r="12" spans="1:21" x14ac:dyDescent="0.15">
      <c r="A12" s="1" t="s">
        <v>62</v>
      </c>
      <c r="B12" s="1">
        <f t="shared" si="10"/>
        <v>2020</v>
      </c>
      <c r="C12" s="17">
        <f>ROUND(VLOOKUP(B12&amp;"_3",管理者用人口入力シート!A:AA,26,FALSE),0)</f>
        <v>96</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68</v>
      </c>
      <c r="D14" s="12"/>
      <c r="E14" s="12"/>
      <c r="G14" s="1" t="s">
        <v>58</v>
      </c>
      <c r="H14" s="1">
        <f>H4</f>
        <v>2010</v>
      </c>
      <c r="I14" s="17">
        <f>C10</f>
        <v>125</v>
      </c>
      <c r="J14" s="12"/>
      <c r="K14" s="12"/>
      <c r="N14" s="1" t="s">
        <v>58</v>
      </c>
      <c r="O14" s="1">
        <f>O4</f>
        <v>2010</v>
      </c>
      <c r="P14" s="17">
        <f>I14</f>
        <v>125</v>
      </c>
      <c r="Q14" s="17"/>
    </row>
    <row r="15" spans="1:21" x14ac:dyDescent="0.15">
      <c r="A15" s="1" t="s">
        <v>61</v>
      </c>
      <c r="B15" s="1">
        <f t="shared" ref="B15:B16" si="11">B5</f>
        <v>2015</v>
      </c>
      <c r="C15" s="17">
        <f>ROUND(VLOOKUP(B15&amp;"_3",管理者用人口入力シート!A:AA,27,FALSE),0)</f>
        <v>50</v>
      </c>
      <c r="D15" s="12"/>
      <c r="E15" s="12"/>
      <c r="G15" s="1" t="s">
        <v>57</v>
      </c>
      <c r="H15" s="1">
        <f t="shared" ref="H15:H20" si="12">H5</f>
        <v>2015</v>
      </c>
      <c r="I15" s="17">
        <f>C11</f>
        <v>109</v>
      </c>
      <c r="J15" s="12"/>
      <c r="K15" s="12"/>
      <c r="N15" s="1" t="s">
        <v>57</v>
      </c>
      <c r="O15" s="1">
        <f t="shared" ref="O15:O20" si="13">O5</f>
        <v>2015</v>
      </c>
      <c r="P15" s="17">
        <f t="shared" ref="P15:P20" si="14">I15</f>
        <v>109</v>
      </c>
      <c r="Q15" s="17"/>
    </row>
    <row r="16" spans="1:21" x14ac:dyDescent="0.15">
      <c r="A16" s="1" t="s">
        <v>62</v>
      </c>
      <c r="B16" s="1">
        <f t="shared" si="11"/>
        <v>2020</v>
      </c>
      <c r="C16" s="17">
        <f>ROUND(VLOOKUP(B16&amp;"_3",管理者用人口入力シート!A:AA,27,FALSE),0)</f>
        <v>46</v>
      </c>
      <c r="D16" s="12"/>
      <c r="E16" s="12"/>
      <c r="G16" s="1" t="s">
        <v>62</v>
      </c>
      <c r="H16" s="1">
        <f t="shared" si="12"/>
        <v>2020</v>
      </c>
      <c r="I16" s="17">
        <f>C12</f>
        <v>96</v>
      </c>
      <c r="J16" s="12"/>
      <c r="K16" s="12"/>
      <c r="N16" s="1" t="s">
        <v>62</v>
      </c>
      <c r="O16" s="1">
        <f t="shared" si="13"/>
        <v>2020</v>
      </c>
      <c r="P16" s="17">
        <f t="shared" si="14"/>
        <v>96</v>
      </c>
      <c r="Q16" s="17"/>
    </row>
    <row r="17" spans="1:17" x14ac:dyDescent="0.15">
      <c r="G17" s="1" t="s">
        <v>106</v>
      </c>
      <c r="H17" s="1">
        <f t="shared" si="12"/>
        <v>2025</v>
      </c>
      <c r="I17" s="17">
        <f>ROUND(VLOOKUP(H17&amp;"_3",管理者用人口入力シート!BH:CM,26,FALSE),0)</f>
        <v>75</v>
      </c>
      <c r="J17" s="12"/>
      <c r="K17" s="12"/>
      <c r="N17" s="1" t="s">
        <v>106</v>
      </c>
      <c r="O17" s="1">
        <f t="shared" si="13"/>
        <v>2025</v>
      </c>
      <c r="P17" s="17">
        <f t="shared" si="14"/>
        <v>75</v>
      </c>
      <c r="Q17" s="17">
        <f>ROUND(VLOOKUP(H17&amp;"_3",管理者用人口入力シート!CO:DT,26,FALSE),0)</f>
        <v>76</v>
      </c>
    </row>
    <row r="18" spans="1:17" x14ac:dyDescent="0.15">
      <c r="A18" s="69" t="s">
        <v>110</v>
      </c>
      <c r="G18" s="1" t="s">
        <v>107</v>
      </c>
      <c r="H18" s="1">
        <f t="shared" si="12"/>
        <v>2030</v>
      </c>
      <c r="I18" s="17">
        <f>ROUND(VLOOKUP(H18&amp;"_3",管理者用人口入力シート!BH:CM,26,FALSE),0)</f>
        <v>58</v>
      </c>
      <c r="J18" s="12"/>
      <c r="K18" s="12"/>
      <c r="N18" s="1" t="s">
        <v>107</v>
      </c>
      <c r="O18" s="1">
        <f t="shared" si="13"/>
        <v>2030</v>
      </c>
      <c r="P18" s="17">
        <f t="shared" si="14"/>
        <v>58</v>
      </c>
      <c r="Q18" s="17">
        <f>ROUND(VLOOKUP(H18&amp;"_3",管理者用人口入力シート!CO:DT,26,FALSE),0)</f>
        <v>60</v>
      </c>
    </row>
    <row r="19" spans="1:17" x14ac:dyDescent="0.15">
      <c r="A19" s="2" t="s">
        <v>84</v>
      </c>
      <c r="G19" s="1" t="s">
        <v>108</v>
      </c>
      <c r="H19" s="1">
        <f t="shared" si="12"/>
        <v>2035</v>
      </c>
      <c r="I19" s="17">
        <f>ROUND(VLOOKUP(H19&amp;"_3",管理者用人口入力シート!BH:CM,26,FALSE),0)</f>
        <v>48</v>
      </c>
      <c r="J19" s="12"/>
      <c r="K19" s="12"/>
      <c r="N19" s="1" t="s">
        <v>108</v>
      </c>
      <c r="O19" s="1">
        <f t="shared" si="13"/>
        <v>2035</v>
      </c>
      <c r="P19" s="17">
        <f t="shared" si="14"/>
        <v>48</v>
      </c>
      <c r="Q19" s="17">
        <f>ROUND(VLOOKUP(H19&amp;"_3",管理者用人口入力シート!CO:DT,26,FALSE),0)</f>
        <v>52</v>
      </c>
    </row>
    <row r="20" spans="1:17" x14ac:dyDescent="0.15">
      <c r="A20" s="1" t="s">
        <v>58</v>
      </c>
      <c r="B20" s="1">
        <f>B4</f>
        <v>2010</v>
      </c>
      <c r="C20" s="17">
        <f>SUM(B54:C61)</f>
        <v>720</v>
      </c>
      <c r="D20" s="12"/>
      <c r="E20" s="12"/>
      <c r="G20" s="1" t="s">
        <v>109</v>
      </c>
      <c r="H20" s="1">
        <f t="shared" si="12"/>
        <v>2040</v>
      </c>
      <c r="I20" s="17">
        <f>ROUND(VLOOKUP(H20&amp;"_3",管理者用人口入力シート!BH:CM,26,FALSE),0)</f>
        <v>39</v>
      </c>
      <c r="J20" s="12"/>
      <c r="K20" s="12"/>
      <c r="N20" s="1" t="s">
        <v>109</v>
      </c>
      <c r="O20" s="1">
        <f t="shared" si="13"/>
        <v>2040</v>
      </c>
      <c r="P20" s="17">
        <f t="shared" si="14"/>
        <v>39</v>
      </c>
      <c r="Q20" s="17">
        <f>ROUND(VLOOKUP(H20&amp;"_3",管理者用人口入力シート!CO:DT,26,FALSE),0)</f>
        <v>44</v>
      </c>
    </row>
    <row r="21" spans="1:17" x14ac:dyDescent="0.15">
      <c r="A21" s="1" t="s">
        <v>61</v>
      </c>
      <c r="B21" s="1">
        <f t="shared" ref="B21:B22" si="15">B5</f>
        <v>2015</v>
      </c>
      <c r="C21" s="17">
        <f>SUM(B78:C85)</f>
        <v>720</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716</v>
      </c>
      <c r="D22" s="12"/>
      <c r="E22" s="12"/>
      <c r="G22" s="1" t="s">
        <v>58</v>
      </c>
      <c r="H22" s="1">
        <f>H4</f>
        <v>2010</v>
      </c>
      <c r="I22" s="17">
        <f>C14</f>
        <v>68</v>
      </c>
      <c r="J22" s="12"/>
      <c r="K22" s="12"/>
      <c r="N22" s="1" t="s">
        <v>58</v>
      </c>
      <c r="O22" s="1">
        <f>O4</f>
        <v>2010</v>
      </c>
      <c r="P22" s="17">
        <f>I22</f>
        <v>68</v>
      </c>
      <c r="Q22" s="17"/>
    </row>
    <row r="23" spans="1:17" x14ac:dyDescent="0.15">
      <c r="A23" s="2" t="s">
        <v>86</v>
      </c>
      <c r="G23" s="1" t="s">
        <v>57</v>
      </c>
      <c r="H23" s="1">
        <f t="shared" ref="H23:H28" si="16">H5</f>
        <v>2015</v>
      </c>
      <c r="I23" s="17">
        <f t="shared" ref="I23:I24" si="17">C15</f>
        <v>50</v>
      </c>
      <c r="J23" s="12"/>
      <c r="K23" s="12"/>
      <c r="N23" s="1" t="s">
        <v>57</v>
      </c>
      <c r="O23" s="1">
        <f t="shared" ref="O23:O28" si="18">O5</f>
        <v>2015</v>
      </c>
      <c r="P23" s="17">
        <f t="shared" ref="P23:P28" si="19">I23</f>
        <v>50</v>
      </c>
      <c r="Q23" s="17"/>
    </row>
    <row r="24" spans="1:17" x14ac:dyDescent="0.15">
      <c r="A24" s="1" t="s">
        <v>58</v>
      </c>
      <c r="B24" s="1">
        <f>B4</f>
        <v>2010</v>
      </c>
      <c r="C24" s="17">
        <f>SUM(B56:C61)</f>
        <v>439</v>
      </c>
      <c r="D24" s="12"/>
      <c r="E24" s="12"/>
      <c r="G24" s="1" t="s">
        <v>62</v>
      </c>
      <c r="H24" s="1">
        <f t="shared" si="16"/>
        <v>2020</v>
      </c>
      <c r="I24" s="17">
        <f t="shared" si="17"/>
        <v>46</v>
      </c>
      <c r="J24" s="12"/>
      <c r="K24" s="12"/>
      <c r="N24" s="1" t="s">
        <v>62</v>
      </c>
      <c r="O24" s="1">
        <f t="shared" si="18"/>
        <v>2020</v>
      </c>
      <c r="P24" s="17">
        <f t="shared" si="19"/>
        <v>46</v>
      </c>
      <c r="Q24" s="17"/>
    </row>
    <row r="25" spans="1:17" x14ac:dyDescent="0.15">
      <c r="A25" s="1" t="s">
        <v>61</v>
      </c>
      <c r="B25" s="1">
        <f t="shared" ref="B25:B26" si="20">B5</f>
        <v>2015</v>
      </c>
      <c r="C25" s="17">
        <f>SUM(B80:C85)</f>
        <v>432</v>
      </c>
      <c r="D25" s="12"/>
      <c r="E25" s="12"/>
      <c r="G25" s="1" t="s">
        <v>106</v>
      </c>
      <c r="H25" s="1">
        <f t="shared" si="16"/>
        <v>2025</v>
      </c>
      <c r="I25" s="17">
        <f>ROUND(VLOOKUP(H25&amp;"_3",管理者用人口入力シート!BH:CM,27,FALSE),0)</f>
        <v>39</v>
      </c>
      <c r="J25" s="12"/>
      <c r="K25" s="12"/>
      <c r="N25" s="1" t="s">
        <v>106</v>
      </c>
      <c r="O25" s="1">
        <f t="shared" si="18"/>
        <v>2025</v>
      </c>
      <c r="P25" s="17">
        <f t="shared" si="19"/>
        <v>39</v>
      </c>
      <c r="Q25" s="17">
        <f>ROUND(VLOOKUP(H17&amp;"_3",管理者用人口入力シート!CO:DT,27,FALSE),0)</f>
        <v>39</v>
      </c>
    </row>
    <row r="26" spans="1:17" x14ac:dyDescent="0.15">
      <c r="A26" s="1" t="s">
        <v>62</v>
      </c>
      <c r="B26" s="1">
        <f t="shared" si="20"/>
        <v>2020</v>
      </c>
      <c r="C26" s="17">
        <f>SUM(B104:C109)</f>
        <v>404</v>
      </c>
      <c r="D26" s="12"/>
      <c r="E26" s="12"/>
      <c r="G26" s="1" t="s">
        <v>107</v>
      </c>
      <c r="H26" s="1">
        <f t="shared" si="16"/>
        <v>2030</v>
      </c>
      <c r="I26" s="17">
        <f>ROUND(VLOOKUP(H26&amp;"_3",管理者用人口入力シート!BH:CM,27,FALSE),0)</f>
        <v>30</v>
      </c>
      <c r="J26" s="12"/>
      <c r="K26" s="12"/>
      <c r="N26" s="1" t="s">
        <v>107</v>
      </c>
      <c r="O26" s="1">
        <f t="shared" si="18"/>
        <v>2030</v>
      </c>
      <c r="P26" s="17">
        <f t="shared" si="19"/>
        <v>30</v>
      </c>
      <c r="Q26" s="17">
        <f>ROUND(VLOOKUP(H18&amp;"_3",管理者用人口入力シート!CO:DT,27,FALSE),0)</f>
        <v>31</v>
      </c>
    </row>
    <row r="27" spans="1:17" x14ac:dyDescent="0.15">
      <c r="G27" s="1" t="s">
        <v>108</v>
      </c>
      <c r="H27" s="1">
        <f t="shared" si="16"/>
        <v>2035</v>
      </c>
      <c r="I27" s="17">
        <f>ROUND(VLOOKUP(H27&amp;"_3",管理者用人口入力シート!BH:CM,27,FALSE),0)</f>
        <v>23</v>
      </c>
      <c r="J27" s="12"/>
      <c r="K27" s="12"/>
      <c r="N27" s="1" t="s">
        <v>108</v>
      </c>
      <c r="O27" s="1">
        <f t="shared" si="18"/>
        <v>2035</v>
      </c>
      <c r="P27" s="17">
        <f t="shared" si="19"/>
        <v>23</v>
      </c>
      <c r="Q27" s="17">
        <f>ROUND(VLOOKUP(H19&amp;"_3",管理者用人口入力シート!CO:DT,27,FALSE),0)</f>
        <v>25</v>
      </c>
    </row>
    <row r="28" spans="1:17" x14ac:dyDescent="0.15">
      <c r="A28" s="69" t="s">
        <v>85</v>
      </c>
      <c r="G28" s="1" t="s">
        <v>109</v>
      </c>
      <c r="H28" s="1">
        <f t="shared" si="16"/>
        <v>2040</v>
      </c>
      <c r="I28" s="17">
        <f>ROUND(VLOOKUP(H28&amp;"_3",管理者用人口入力シート!BH:CM,27,FALSE),0)</f>
        <v>19</v>
      </c>
      <c r="J28" s="12"/>
      <c r="K28" s="12"/>
      <c r="N28" s="1" t="s">
        <v>109</v>
      </c>
      <c r="O28" s="1">
        <f t="shared" si="18"/>
        <v>2040</v>
      </c>
      <c r="P28" s="17">
        <f t="shared" si="19"/>
        <v>19</v>
      </c>
      <c r="Q28" s="17">
        <f>ROUND(VLOOKUP(H20&amp;"_3",管理者用人口入力シート!CO:DT,27,FALSE),0)</f>
        <v>22</v>
      </c>
    </row>
    <row r="29" spans="1:17" x14ac:dyDescent="0.15">
      <c r="A29" s="2" t="s">
        <v>84</v>
      </c>
    </row>
    <row r="30" spans="1:17" x14ac:dyDescent="0.15">
      <c r="A30" s="1" t="s">
        <v>58</v>
      </c>
      <c r="B30" s="1">
        <f>B4</f>
        <v>2010</v>
      </c>
      <c r="C30" s="38">
        <f>ROUND((SUM(B54:C61)/SUM(B41:C61)),2)</f>
        <v>0.31</v>
      </c>
      <c r="D30" s="205"/>
      <c r="E30" s="205"/>
      <c r="G30" s="69" t="s">
        <v>110</v>
      </c>
      <c r="N30" s="69" t="s">
        <v>110</v>
      </c>
    </row>
    <row r="31" spans="1:17" x14ac:dyDescent="0.15">
      <c r="A31" s="1" t="s">
        <v>61</v>
      </c>
      <c r="B31" s="1">
        <f t="shared" ref="B31:B32" si="21">B5</f>
        <v>2015</v>
      </c>
      <c r="C31" s="38">
        <f>ROUND((SUM(B78:C85)/SUM(B65:C85)),2)</f>
        <v>0.33</v>
      </c>
      <c r="D31" s="205"/>
      <c r="E31" s="205"/>
      <c r="G31" s="2" t="s">
        <v>84</v>
      </c>
      <c r="H31" s="65"/>
      <c r="I31" s="66"/>
      <c r="J31" s="12"/>
      <c r="K31" s="12"/>
      <c r="N31" s="2" t="s">
        <v>84</v>
      </c>
      <c r="O31" s="65"/>
      <c r="P31" s="2" t="s">
        <v>120</v>
      </c>
      <c r="Q31" s="2" t="s">
        <v>119</v>
      </c>
    </row>
    <row r="32" spans="1:17" x14ac:dyDescent="0.15">
      <c r="A32" s="1" t="s">
        <v>62</v>
      </c>
      <c r="B32" s="1">
        <f t="shared" si="21"/>
        <v>2020</v>
      </c>
      <c r="C32" s="38">
        <f>ROUND((SUM(B102:C109)/SUM(B89:C109)),2)</f>
        <v>0.36</v>
      </c>
      <c r="D32" s="205"/>
      <c r="E32" s="205"/>
      <c r="G32" s="1" t="s">
        <v>58</v>
      </c>
      <c r="H32" s="1">
        <f>H4</f>
        <v>2010</v>
      </c>
      <c r="I32" s="17">
        <f>C20</f>
        <v>720</v>
      </c>
      <c r="J32" s="12"/>
      <c r="K32" s="12"/>
      <c r="N32" s="1" t="s">
        <v>58</v>
      </c>
      <c r="O32" s="1">
        <f>O4</f>
        <v>2010</v>
      </c>
      <c r="P32" s="17">
        <f>I32</f>
        <v>720</v>
      </c>
      <c r="Q32" s="17"/>
    </row>
    <row r="33" spans="1:17" x14ac:dyDescent="0.15">
      <c r="A33" s="2" t="s">
        <v>86</v>
      </c>
      <c r="G33" s="1" t="s">
        <v>57</v>
      </c>
      <c r="H33" s="1">
        <f t="shared" ref="H33:H38" si="22">H5</f>
        <v>2015</v>
      </c>
      <c r="I33" s="17">
        <f>C21</f>
        <v>720</v>
      </c>
      <c r="J33" s="12"/>
      <c r="K33" s="12"/>
      <c r="N33" s="1" t="s">
        <v>57</v>
      </c>
      <c r="O33" s="1">
        <f t="shared" ref="O33:O38" si="23">O5</f>
        <v>2015</v>
      </c>
      <c r="P33" s="17">
        <f t="shared" ref="P33:P38" si="24">I33</f>
        <v>720</v>
      </c>
      <c r="Q33" s="17"/>
    </row>
    <row r="34" spans="1:17" x14ac:dyDescent="0.15">
      <c r="A34" s="1" t="s">
        <v>58</v>
      </c>
      <c r="B34" s="1">
        <f>B4</f>
        <v>2010</v>
      </c>
      <c r="C34" s="38">
        <f>ROUND((SUM(B56:C61)/SUM(B41:C61)),2)</f>
        <v>0.19</v>
      </c>
      <c r="D34" s="205"/>
      <c r="E34" s="205"/>
      <c r="G34" s="1" t="s">
        <v>62</v>
      </c>
      <c r="H34" s="1">
        <f t="shared" si="22"/>
        <v>2020</v>
      </c>
      <c r="I34" s="17">
        <f>C22</f>
        <v>716</v>
      </c>
      <c r="J34" s="12"/>
      <c r="K34" s="12"/>
      <c r="N34" s="1" t="s">
        <v>62</v>
      </c>
      <c r="O34" s="1">
        <f t="shared" si="23"/>
        <v>2020</v>
      </c>
      <c r="P34" s="17">
        <f t="shared" si="24"/>
        <v>716</v>
      </c>
      <c r="Q34" s="17"/>
    </row>
    <row r="35" spans="1:17" x14ac:dyDescent="0.15">
      <c r="A35" s="1" t="s">
        <v>61</v>
      </c>
      <c r="B35" s="1">
        <f t="shared" ref="B35:B36" si="25">B5</f>
        <v>2015</v>
      </c>
      <c r="C35" s="38">
        <f>ROUND((SUM(B80:C85)/SUM(B65:C85)),2)</f>
        <v>0.2</v>
      </c>
      <c r="D35" s="205"/>
      <c r="E35" s="205"/>
      <c r="G35" s="1" t="s">
        <v>106</v>
      </c>
      <c r="H35" s="1">
        <f t="shared" si="22"/>
        <v>2025</v>
      </c>
      <c r="I35" s="17">
        <f>SUM(H82:I89)</f>
        <v>687</v>
      </c>
      <c r="J35" s="12"/>
      <c r="K35" s="12"/>
      <c r="N35" s="1" t="s">
        <v>106</v>
      </c>
      <c r="O35" s="1">
        <f t="shared" si="23"/>
        <v>2025</v>
      </c>
      <c r="P35" s="17">
        <f t="shared" si="24"/>
        <v>687</v>
      </c>
      <c r="Q35" s="17">
        <f>SUM(O82:P89)</f>
        <v>687</v>
      </c>
    </row>
    <row r="36" spans="1:17" x14ac:dyDescent="0.15">
      <c r="A36" s="1" t="s">
        <v>62</v>
      </c>
      <c r="B36" s="1">
        <f t="shared" si="25"/>
        <v>2020</v>
      </c>
      <c r="C36" s="38">
        <f>ROUND((SUM(B104:C109)/SUM(B89:C109)),2)</f>
        <v>0.21</v>
      </c>
      <c r="D36" s="205"/>
      <c r="E36" s="205"/>
      <c r="G36" s="1" t="s">
        <v>107</v>
      </c>
      <c r="H36" s="1">
        <f t="shared" si="22"/>
        <v>2030</v>
      </c>
      <c r="I36" s="17">
        <f>SUM(H106:I113)</f>
        <v>654</v>
      </c>
      <c r="J36" s="12"/>
      <c r="K36" s="12"/>
      <c r="N36" s="1" t="s">
        <v>107</v>
      </c>
      <c r="O36" s="1">
        <f t="shared" si="23"/>
        <v>2030</v>
      </c>
      <c r="P36" s="17">
        <f t="shared" si="24"/>
        <v>654</v>
      </c>
      <c r="Q36" s="17">
        <f>SUM(O106:P113)</f>
        <v>654</v>
      </c>
    </row>
    <row r="37" spans="1:17" x14ac:dyDescent="0.15">
      <c r="G37" s="1" t="s">
        <v>108</v>
      </c>
      <c r="H37" s="1">
        <f t="shared" si="22"/>
        <v>2035</v>
      </c>
      <c r="I37" s="17">
        <f>SUM(H130:I137)</f>
        <v>627</v>
      </c>
      <c r="J37" s="12"/>
      <c r="K37" s="12"/>
      <c r="N37" s="1" t="s">
        <v>108</v>
      </c>
      <c r="O37" s="1">
        <f t="shared" si="23"/>
        <v>2035</v>
      </c>
      <c r="P37" s="17">
        <f t="shared" si="24"/>
        <v>627</v>
      </c>
      <c r="Q37" s="17">
        <f>SUM(O130:P137)</f>
        <v>627</v>
      </c>
    </row>
    <row r="38" spans="1:17" x14ac:dyDescent="0.15">
      <c r="A38" s="69" t="s">
        <v>113</v>
      </c>
      <c r="G38" s="1" t="s">
        <v>109</v>
      </c>
      <c r="H38" s="1">
        <f t="shared" si="22"/>
        <v>2040</v>
      </c>
      <c r="I38" s="17">
        <f>SUM(H154:I161)</f>
        <v>579</v>
      </c>
      <c r="J38" s="12"/>
      <c r="K38" s="12"/>
      <c r="N38" s="1" t="s">
        <v>109</v>
      </c>
      <c r="O38" s="1">
        <f t="shared" si="23"/>
        <v>2040</v>
      </c>
      <c r="P38" s="17">
        <f t="shared" si="24"/>
        <v>579</v>
      </c>
      <c r="Q38" s="17">
        <f>SUM(O154:P161)</f>
        <v>579</v>
      </c>
    </row>
    <row r="39" spans="1:17" x14ac:dyDescent="0.15">
      <c r="A39" s="2" t="s">
        <v>383</v>
      </c>
      <c r="B39" s="315">
        <f>管理者入力シート!B7</f>
        <v>2010</v>
      </c>
      <c r="C39" s="316"/>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439</v>
      </c>
      <c r="J40" s="12"/>
      <c r="K40" s="12"/>
      <c r="N40" s="1" t="s">
        <v>58</v>
      </c>
      <c r="O40" s="1">
        <f>O4</f>
        <v>2010</v>
      </c>
      <c r="P40" s="17">
        <f>I40</f>
        <v>439</v>
      </c>
      <c r="Q40" s="17"/>
    </row>
    <row r="41" spans="1:17" x14ac:dyDescent="0.15">
      <c r="A41" s="2" t="s">
        <v>0</v>
      </c>
      <c r="B41" s="17">
        <f>ROUND(VLOOKUP(B$39&amp;"_1",管理者用人口入力シート!A:X,D41,FALSE),0)</f>
        <v>52</v>
      </c>
      <c r="C41" s="17">
        <f>ROUND(VLOOKUP(B$39&amp;"_2",管理者用人口入力シート!A:X,D41,FALSE),0)</f>
        <v>47</v>
      </c>
      <c r="D41" s="2">
        <v>4</v>
      </c>
      <c r="G41" s="1" t="s">
        <v>57</v>
      </c>
      <c r="H41" s="1">
        <f t="shared" ref="H41:H46" si="26">H5</f>
        <v>2015</v>
      </c>
      <c r="I41" s="17">
        <f>C25</f>
        <v>432</v>
      </c>
      <c r="J41" s="12"/>
      <c r="K41" s="12"/>
      <c r="N41" s="1" t="s">
        <v>57</v>
      </c>
      <c r="O41" s="1">
        <f t="shared" ref="O41:O46" si="27">O5</f>
        <v>2015</v>
      </c>
      <c r="P41" s="17">
        <f t="shared" ref="P41:P46" si="28">I41</f>
        <v>432</v>
      </c>
      <c r="Q41" s="17"/>
    </row>
    <row r="42" spans="1:17" x14ac:dyDescent="0.15">
      <c r="A42" s="2" t="s">
        <v>1</v>
      </c>
      <c r="B42" s="17">
        <f>ROUND(VLOOKUP(B$39&amp;"_1",管理者用人口入力シート!A:X,D42,FALSE),0)</f>
        <v>56</v>
      </c>
      <c r="C42" s="17">
        <f>ROUND(VLOOKUP(B$39&amp;"_2",管理者用人口入力シート!A:X,D42,FALSE),0)</f>
        <v>42</v>
      </c>
      <c r="D42" s="2">
        <v>5</v>
      </c>
      <c r="G42" s="1" t="s">
        <v>62</v>
      </c>
      <c r="H42" s="1">
        <f t="shared" si="26"/>
        <v>2020</v>
      </c>
      <c r="I42" s="17">
        <f>C26</f>
        <v>404</v>
      </c>
      <c r="J42" s="12"/>
      <c r="K42" s="12"/>
      <c r="N42" s="1" t="s">
        <v>62</v>
      </c>
      <c r="O42" s="1">
        <f t="shared" si="27"/>
        <v>2020</v>
      </c>
      <c r="P42" s="17">
        <f t="shared" si="28"/>
        <v>404</v>
      </c>
      <c r="Q42" s="17"/>
    </row>
    <row r="43" spans="1:17" x14ac:dyDescent="0.15">
      <c r="A43" s="2" t="s">
        <v>2</v>
      </c>
      <c r="B43" s="17">
        <f>ROUND(VLOOKUP(B$39&amp;"_1",管理者用人口入力シート!A:X,D43,FALSE),0)</f>
        <v>56</v>
      </c>
      <c r="C43" s="17">
        <f>ROUND(VLOOKUP(B$39&amp;"_2",管理者用人口入力シート!A:X,D43,FALSE),0)</f>
        <v>54</v>
      </c>
      <c r="D43" s="2">
        <v>6</v>
      </c>
      <c r="G43" s="1" t="s">
        <v>106</v>
      </c>
      <c r="H43" s="1">
        <f t="shared" si="26"/>
        <v>2025</v>
      </c>
      <c r="I43" s="17">
        <f>SUM(H84:I89)</f>
        <v>387</v>
      </c>
      <c r="J43" s="12"/>
      <c r="K43" s="12"/>
      <c r="N43" s="1" t="s">
        <v>106</v>
      </c>
      <c r="O43" s="1">
        <f t="shared" si="27"/>
        <v>2025</v>
      </c>
      <c r="P43" s="17">
        <f t="shared" si="28"/>
        <v>387</v>
      </c>
      <c r="Q43" s="17">
        <f>SUM(O84:P89)</f>
        <v>387</v>
      </c>
    </row>
    <row r="44" spans="1:17" x14ac:dyDescent="0.15">
      <c r="A44" s="2" t="s">
        <v>3</v>
      </c>
      <c r="B44" s="17">
        <f>ROUND(VLOOKUP(B$39&amp;"_1",管理者用人口入力シート!A:X,D44,FALSE),0)</f>
        <v>64</v>
      </c>
      <c r="C44" s="17">
        <f>ROUND(VLOOKUP(B$39&amp;"_2",管理者用人口入力シート!A:X,D44,FALSE),0)</f>
        <v>58</v>
      </c>
      <c r="D44" s="2">
        <v>7</v>
      </c>
      <c r="G44" s="1" t="s">
        <v>107</v>
      </c>
      <c r="H44" s="1">
        <f t="shared" si="26"/>
        <v>2030</v>
      </c>
      <c r="I44" s="17">
        <f>SUM(H108:I113)</f>
        <v>388</v>
      </c>
      <c r="J44" s="12"/>
      <c r="K44" s="12"/>
      <c r="N44" s="1" t="s">
        <v>107</v>
      </c>
      <c r="O44" s="1">
        <f t="shared" si="27"/>
        <v>2030</v>
      </c>
      <c r="P44" s="17">
        <f t="shared" si="28"/>
        <v>388</v>
      </c>
      <c r="Q44" s="17">
        <f>SUM(O108:P113)</f>
        <v>388</v>
      </c>
    </row>
    <row r="45" spans="1:17" x14ac:dyDescent="0.15">
      <c r="A45" s="2" t="s">
        <v>4</v>
      </c>
      <c r="B45" s="17">
        <f>ROUND(VLOOKUP(B$39&amp;"_1",管理者用人口入力シート!A:X,D45,FALSE),0)</f>
        <v>56</v>
      </c>
      <c r="C45" s="17">
        <f>ROUND(VLOOKUP(B$39&amp;"_2",管理者用人口入力シート!A:X,D45,FALSE),0)</f>
        <v>44</v>
      </c>
      <c r="D45" s="2">
        <v>8</v>
      </c>
      <c r="G45" s="1" t="s">
        <v>108</v>
      </c>
      <c r="H45" s="1">
        <f t="shared" si="26"/>
        <v>2035</v>
      </c>
      <c r="I45" s="17">
        <f>SUM(H132:I137)</f>
        <v>374</v>
      </c>
      <c r="J45" s="12"/>
      <c r="K45" s="12"/>
      <c r="N45" s="1" t="s">
        <v>108</v>
      </c>
      <c r="O45" s="1">
        <f t="shared" si="27"/>
        <v>2035</v>
      </c>
      <c r="P45" s="17">
        <f t="shared" si="28"/>
        <v>374</v>
      </c>
      <c r="Q45" s="17">
        <f>SUM(O132:P137)</f>
        <v>374</v>
      </c>
    </row>
    <row r="46" spans="1:17" x14ac:dyDescent="0.15">
      <c r="A46" s="2" t="s">
        <v>5</v>
      </c>
      <c r="B46" s="17">
        <f>ROUND(VLOOKUP(B$39&amp;"_1",管理者用人口入力シート!A:X,D46,FALSE),0)</f>
        <v>44</v>
      </c>
      <c r="C46" s="17">
        <f>ROUND(VLOOKUP(B$39&amp;"_2",管理者用人口入力シート!A:X,D46,FALSE),0)</f>
        <v>50</v>
      </c>
      <c r="D46" s="2">
        <v>9</v>
      </c>
      <c r="G46" s="1" t="s">
        <v>109</v>
      </c>
      <c r="H46" s="1">
        <f t="shared" si="26"/>
        <v>2040</v>
      </c>
      <c r="I46" s="17">
        <f>SUM(H156:I161)</f>
        <v>354</v>
      </c>
      <c r="J46" s="12"/>
      <c r="K46" s="12"/>
      <c r="N46" s="1" t="s">
        <v>109</v>
      </c>
      <c r="O46" s="1">
        <f t="shared" si="27"/>
        <v>2040</v>
      </c>
      <c r="P46" s="17">
        <f t="shared" si="28"/>
        <v>354</v>
      </c>
      <c r="Q46" s="17">
        <f>SUM(O156:P161)</f>
        <v>354</v>
      </c>
    </row>
    <row r="47" spans="1:17" x14ac:dyDescent="0.15">
      <c r="A47" s="2" t="s">
        <v>6</v>
      </c>
      <c r="B47" s="17">
        <f>ROUND(VLOOKUP(B$39&amp;"_1",管理者用人口入力シート!A:X,D47,FALSE),0)</f>
        <v>72</v>
      </c>
      <c r="C47" s="17">
        <f>ROUND(VLOOKUP(B$39&amp;"_2",管理者用人口入力シート!A:X,D47,FALSE),0)</f>
        <v>64</v>
      </c>
      <c r="D47" s="2">
        <v>10</v>
      </c>
    </row>
    <row r="48" spans="1:17" x14ac:dyDescent="0.15">
      <c r="A48" s="2" t="s">
        <v>7</v>
      </c>
      <c r="B48" s="17">
        <f>ROUND(VLOOKUP(B$39&amp;"_1",管理者用人口入力シート!A:X,D48,FALSE),0)</f>
        <v>57</v>
      </c>
      <c r="C48" s="17">
        <f>ROUND(VLOOKUP(B$39&amp;"_2",管理者用人口入力シート!A:X,D48,FALSE),0)</f>
        <v>58</v>
      </c>
      <c r="D48" s="2">
        <v>11</v>
      </c>
      <c r="G48" s="69" t="s">
        <v>85</v>
      </c>
      <c r="N48" s="69" t="s">
        <v>85</v>
      </c>
    </row>
    <row r="49" spans="1:17" x14ac:dyDescent="0.15">
      <c r="A49" s="2" t="s">
        <v>8</v>
      </c>
      <c r="B49" s="17">
        <f>ROUND(VLOOKUP(B$39&amp;"_1",管理者用人口入力シート!A:X,D49,FALSE),0)</f>
        <v>70</v>
      </c>
      <c r="C49" s="17">
        <f>ROUND(VLOOKUP(B$39&amp;"_2",管理者用人口入力シート!A:X,D49,FALSE),0)</f>
        <v>64</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60</v>
      </c>
      <c r="C50" s="17">
        <f>ROUND(VLOOKUP(B$39&amp;"_2",管理者用人口入力シート!A:X,D50,FALSE),0)</f>
        <v>66</v>
      </c>
      <c r="D50" s="2">
        <v>13</v>
      </c>
      <c r="G50" s="1" t="s">
        <v>58</v>
      </c>
      <c r="H50" s="1">
        <f>H4</f>
        <v>2010</v>
      </c>
      <c r="I50" s="38">
        <f>C30</f>
        <v>0.31</v>
      </c>
      <c r="J50" s="205"/>
      <c r="K50" s="205"/>
      <c r="N50" s="1" t="s">
        <v>58</v>
      </c>
      <c r="O50" s="1">
        <f>O4</f>
        <v>2010</v>
      </c>
      <c r="P50" s="38">
        <f t="shared" ref="P50:P56" si="29">I50</f>
        <v>0.31</v>
      </c>
      <c r="Q50" s="1"/>
    </row>
    <row r="51" spans="1:17" x14ac:dyDescent="0.15">
      <c r="A51" s="2" t="s">
        <v>10</v>
      </c>
      <c r="B51" s="17">
        <f>ROUND(VLOOKUP(B$39&amp;"_1",管理者用人口入力シート!A:X,D51,FALSE),0)</f>
        <v>74</v>
      </c>
      <c r="C51" s="17">
        <f>ROUND(VLOOKUP(B$39&amp;"_2",管理者用人口入力シート!A:X,D51,FALSE),0)</f>
        <v>64</v>
      </c>
      <c r="D51" s="2">
        <v>14</v>
      </c>
      <c r="G51" s="1" t="s">
        <v>57</v>
      </c>
      <c r="H51" s="1">
        <f t="shared" ref="H51:H56" si="30">H5</f>
        <v>2015</v>
      </c>
      <c r="I51" s="38">
        <f t="shared" ref="I51:I52" si="31">C31</f>
        <v>0.33</v>
      </c>
      <c r="J51" s="205"/>
      <c r="K51" s="205"/>
      <c r="N51" s="1" t="s">
        <v>57</v>
      </c>
      <c r="O51" s="1">
        <f t="shared" ref="O51:O56" si="32">O5</f>
        <v>2015</v>
      </c>
      <c r="P51" s="38">
        <f t="shared" si="29"/>
        <v>0.33</v>
      </c>
      <c r="Q51" s="1"/>
    </row>
    <row r="52" spans="1:17" x14ac:dyDescent="0.15">
      <c r="A52" s="2" t="s">
        <v>11</v>
      </c>
      <c r="B52" s="17">
        <f>ROUND(VLOOKUP(B$39&amp;"_1",管理者用人口入力シート!A:X,D52,FALSE),0)</f>
        <v>70</v>
      </c>
      <c r="C52" s="17">
        <f>ROUND(VLOOKUP(B$39&amp;"_2",管理者用人口入力シート!A:X,D52,FALSE),0)</f>
        <v>90</v>
      </c>
      <c r="D52" s="2">
        <v>15</v>
      </c>
      <c r="G52" s="1" t="s">
        <v>62</v>
      </c>
      <c r="H52" s="1">
        <f t="shared" si="30"/>
        <v>2020</v>
      </c>
      <c r="I52" s="38">
        <f t="shared" si="31"/>
        <v>0.36</v>
      </c>
      <c r="J52" s="205"/>
      <c r="K52" s="205"/>
      <c r="N52" s="1" t="s">
        <v>62</v>
      </c>
      <c r="O52" s="1">
        <f t="shared" si="32"/>
        <v>2020</v>
      </c>
      <c r="P52" s="38">
        <f t="shared" si="29"/>
        <v>0.36</v>
      </c>
      <c r="Q52" s="1"/>
    </row>
    <row r="53" spans="1:17" x14ac:dyDescent="0.15">
      <c r="A53" s="2" t="s">
        <v>12</v>
      </c>
      <c r="B53" s="17">
        <f>ROUND(VLOOKUP(B$39&amp;"_1",管理者用人口入力シート!A:X,D53,FALSE),0)</f>
        <v>78</v>
      </c>
      <c r="C53" s="17">
        <f>ROUND(VLOOKUP(B$39&amp;"_2",管理者用人口入力シート!A:X,D53,FALSE),0)</f>
        <v>84</v>
      </c>
      <c r="D53" s="2">
        <v>16</v>
      </c>
      <c r="G53" s="1" t="s">
        <v>106</v>
      </c>
      <c r="H53" s="1">
        <f t="shared" si="30"/>
        <v>2025</v>
      </c>
      <c r="I53" s="38">
        <f>ROUND((SUM(H82:I89)/SUM(H69:I89)),2)</f>
        <v>0.39</v>
      </c>
      <c r="J53" s="205"/>
      <c r="K53" s="205"/>
      <c r="L53" s="70"/>
      <c r="M53" s="70"/>
      <c r="N53" s="1" t="s">
        <v>106</v>
      </c>
      <c r="O53" s="1">
        <f t="shared" si="32"/>
        <v>2025</v>
      </c>
      <c r="P53" s="38">
        <f t="shared" si="29"/>
        <v>0.39</v>
      </c>
      <c r="Q53" s="38">
        <f>ROUND((SUM(O82:P89)/SUM(O69:P89)),2)</f>
        <v>0.38</v>
      </c>
    </row>
    <row r="54" spans="1:17" x14ac:dyDescent="0.15">
      <c r="A54" s="2" t="s">
        <v>13</v>
      </c>
      <c r="B54" s="17">
        <f>ROUND(VLOOKUP(B$39&amp;"_1",管理者用人口入力シート!A:X,D54,FALSE),0)</f>
        <v>58</v>
      </c>
      <c r="C54" s="17">
        <f>ROUND(VLOOKUP(B$39&amp;"_2",管理者用人口入力シート!A:X,D54,FALSE),0)</f>
        <v>80</v>
      </c>
      <c r="D54" s="2">
        <v>17</v>
      </c>
      <c r="G54" s="1" t="s">
        <v>107</v>
      </c>
      <c r="H54" s="1">
        <f t="shared" si="30"/>
        <v>2030</v>
      </c>
      <c r="I54" s="38">
        <f>ROUND((SUM(H106:I113)/SUM(H93:I113)),2)</f>
        <v>0.41</v>
      </c>
      <c r="J54" s="205"/>
      <c r="K54" s="205"/>
      <c r="N54" s="1" t="s">
        <v>107</v>
      </c>
      <c r="O54" s="1">
        <f t="shared" si="32"/>
        <v>2030</v>
      </c>
      <c r="P54" s="38">
        <f t="shared" si="29"/>
        <v>0.41</v>
      </c>
      <c r="Q54" s="38">
        <f>ROUND((SUM(O106:P113)/SUM(O93:P113)),2)</f>
        <v>0.4</v>
      </c>
    </row>
    <row r="55" spans="1:17" x14ac:dyDescent="0.15">
      <c r="A55" s="2" t="s">
        <v>14</v>
      </c>
      <c r="B55" s="17">
        <f>ROUND(VLOOKUP(B$39&amp;"_1",管理者用人口入力シート!A:X,D55,FALSE),0)</f>
        <v>60</v>
      </c>
      <c r="C55" s="17">
        <f>ROUND(VLOOKUP(B$39&amp;"_2",管理者用人口入力シート!A:X,D55,FALSE),0)</f>
        <v>83</v>
      </c>
      <c r="D55" s="2">
        <v>18</v>
      </c>
      <c r="G55" s="1" t="s">
        <v>108</v>
      </c>
      <c r="H55" s="1">
        <f t="shared" si="30"/>
        <v>2035</v>
      </c>
      <c r="I55" s="38">
        <f>ROUND((SUM(H130:I137)/SUM(H117:I137)),2)</f>
        <v>0.44</v>
      </c>
      <c r="J55" s="205"/>
      <c r="K55" s="205"/>
      <c r="N55" s="1" t="s">
        <v>108</v>
      </c>
      <c r="O55" s="1">
        <f t="shared" si="32"/>
        <v>2035</v>
      </c>
      <c r="P55" s="38">
        <f t="shared" si="29"/>
        <v>0.44</v>
      </c>
      <c r="Q55" s="38">
        <f>ROUND((SUM(O130:P137)/SUM(O117:P137)),2)</f>
        <v>0.43</v>
      </c>
    </row>
    <row r="56" spans="1:17" x14ac:dyDescent="0.15">
      <c r="A56" s="2" t="s">
        <v>15</v>
      </c>
      <c r="B56" s="17">
        <f>ROUND(VLOOKUP(B$39&amp;"_1",管理者用人口入力シート!A:X,D56,FALSE),0)</f>
        <v>81</v>
      </c>
      <c r="C56" s="17">
        <f>ROUND(VLOOKUP(B$39&amp;"_2",管理者用人口入力シート!A:X,D56,FALSE),0)</f>
        <v>100</v>
      </c>
      <c r="D56" s="2">
        <v>19</v>
      </c>
      <c r="G56" s="1" t="s">
        <v>109</v>
      </c>
      <c r="H56" s="1">
        <f t="shared" si="30"/>
        <v>2040</v>
      </c>
      <c r="I56" s="38">
        <f>ROUND((SUM(H154:I161)/SUM(H141:I161)),2)</f>
        <v>0.45</v>
      </c>
      <c r="J56" s="205"/>
      <c r="K56" s="205"/>
      <c r="N56" s="1" t="s">
        <v>109</v>
      </c>
      <c r="O56" s="1">
        <f t="shared" si="32"/>
        <v>2040</v>
      </c>
      <c r="P56" s="38">
        <f t="shared" si="29"/>
        <v>0.45</v>
      </c>
      <c r="Q56" s="38">
        <f>ROUND((SUM(O154:P161)/SUM(O141:P161)),2)</f>
        <v>0.44</v>
      </c>
    </row>
    <row r="57" spans="1:17" x14ac:dyDescent="0.15">
      <c r="A57" s="2" t="s">
        <v>16</v>
      </c>
      <c r="B57" s="17">
        <f>ROUND(VLOOKUP(B$39&amp;"_1",管理者用人口入力シート!A:X,D57,FALSE),0)</f>
        <v>62</v>
      </c>
      <c r="C57" s="17">
        <f>ROUND(VLOOKUP(B$39&amp;"_2",管理者用人口入力シート!A:X,D57,FALSE),0)</f>
        <v>88</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16</v>
      </c>
      <c r="C58" s="17">
        <f>ROUND(VLOOKUP(B$39&amp;"_2",管理者用人口入力シート!A:X,D58,FALSE),0)</f>
        <v>51</v>
      </c>
      <c r="D58" s="2">
        <v>21</v>
      </c>
      <c r="G58" s="1" t="s">
        <v>58</v>
      </c>
      <c r="H58" s="1">
        <f>H4</f>
        <v>2010</v>
      </c>
      <c r="I58" s="38">
        <f>C34</f>
        <v>0.19</v>
      </c>
      <c r="J58" s="205"/>
      <c r="K58" s="205"/>
      <c r="N58" s="1" t="s">
        <v>58</v>
      </c>
      <c r="O58" s="1">
        <f>O4</f>
        <v>2010</v>
      </c>
      <c r="P58" s="38">
        <f t="shared" ref="P58:P64" si="33">I58</f>
        <v>0.19</v>
      </c>
      <c r="Q58" s="1"/>
    </row>
    <row r="59" spans="1:17" x14ac:dyDescent="0.15">
      <c r="A59" s="2" t="s">
        <v>18</v>
      </c>
      <c r="B59" s="17">
        <f>ROUND(VLOOKUP(B$39&amp;"_1",管理者用人口入力シート!A:X,D59,FALSE),0)</f>
        <v>12</v>
      </c>
      <c r="C59" s="17">
        <f>ROUND(VLOOKUP(B$39&amp;"_2",管理者用人口入力シート!A:X,D59,FALSE),0)</f>
        <v>20</v>
      </c>
      <c r="D59" s="2">
        <v>22</v>
      </c>
      <c r="G59" s="1" t="s">
        <v>57</v>
      </c>
      <c r="H59" s="1">
        <f t="shared" ref="H59:H64" si="34">H5</f>
        <v>2015</v>
      </c>
      <c r="I59" s="38">
        <f t="shared" ref="I59:I60" si="35">C35</f>
        <v>0.2</v>
      </c>
      <c r="J59" s="205"/>
      <c r="K59" s="205"/>
      <c r="N59" s="1" t="s">
        <v>57</v>
      </c>
      <c r="O59" s="1">
        <f t="shared" ref="O59:O64" si="36">O5</f>
        <v>2015</v>
      </c>
      <c r="P59" s="38">
        <f t="shared" si="33"/>
        <v>0.2</v>
      </c>
      <c r="Q59" s="1"/>
    </row>
    <row r="60" spans="1:17" x14ac:dyDescent="0.15">
      <c r="A60" s="2" t="s">
        <v>19</v>
      </c>
      <c r="B60" s="17">
        <f>ROUND(VLOOKUP(B$39&amp;"_1",管理者用人口入力シート!A:X,D60,FALSE),0)</f>
        <v>2</v>
      </c>
      <c r="C60" s="17">
        <f>ROUND(VLOOKUP(B$39&amp;"_2",管理者用人口入力シート!A:X,D60,FALSE),0)</f>
        <v>7</v>
      </c>
      <c r="D60" s="2">
        <v>23</v>
      </c>
      <c r="G60" s="1" t="s">
        <v>62</v>
      </c>
      <c r="H60" s="1">
        <f t="shared" si="34"/>
        <v>2020</v>
      </c>
      <c r="I60" s="38">
        <f t="shared" si="35"/>
        <v>0.21</v>
      </c>
      <c r="J60" s="205"/>
      <c r="K60" s="205"/>
      <c r="N60" s="1" t="s">
        <v>62</v>
      </c>
      <c r="O60" s="1">
        <f t="shared" si="36"/>
        <v>2020</v>
      </c>
      <c r="P60" s="38">
        <f t="shared" si="33"/>
        <v>0.21</v>
      </c>
      <c r="Q60" s="1"/>
    </row>
    <row r="61" spans="1:17" x14ac:dyDescent="0.15">
      <c r="A61" s="2" t="s">
        <v>20</v>
      </c>
      <c r="B61" s="17">
        <f>ROUND(VLOOKUP(B$39&amp;"_1",管理者用人口入力シート!A:X,D61,FALSE),0)</f>
        <v>0</v>
      </c>
      <c r="C61" s="17">
        <f>ROUND(VLOOKUP(B$39&amp;"_2",管理者用人口入力シート!A:X,D61,FALSE),0)</f>
        <v>0</v>
      </c>
      <c r="D61" s="2">
        <v>24</v>
      </c>
      <c r="G61" s="1" t="s">
        <v>106</v>
      </c>
      <c r="H61" s="1">
        <f t="shared" si="34"/>
        <v>2025</v>
      </c>
      <c r="I61" s="38">
        <f>ROUND((SUM(H84:I89)/SUM(H69:I89)),2)</f>
        <v>0.22</v>
      </c>
      <c r="J61" s="205"/>
      <c r="K61" s="205"/>
      <c r="N61" s="1" t="s">
        <v>106</v>
      </c>
      <c r="O61" s="1">
        <f t="shared" si="36"/>
        <v>2025</v>
      </c>
      <c r="P61" s="38">
        <f t="shared" si="33"/>
        <v>0.22</v>
      </c>
      <c r="Q61" s="38">
        <f>ROUND((SUM(O84:P89)/SUM(O69:P89)),2)</f>
        <v>0.22</v>
      </c>
    </row>
    <row r="62" spans="1:17" x14ac:dyDescent="0.15">
      <c r="G62" s="1" t="s">
        <v>107</v>
      </c>
      <c r="H62" s="1">
        <f t="shared" si="34"/>
        <v>2030</v>
      </c>
      <c r="I62" s="38">
        <f>ROUND((SUM(H108:I113)/SUM(H93:I113)),2)</f>
        <v>0.24</v>
      </c>
      <c r="J62" s="205"/>
      <c r="K62" s="205"/>
      <c r="N62" s="1" t="s">
        <v>107</v>
      </c>
      <c r="O62" s="1">
        <f t="shared" si="36"/>
        <v>2030</v>
      </c>
      <c r="P62" s="38">
        <f t="shared" si="33"/>
        <v>0.24</v>
      </c>
      <c r="Q62" s="38">
        <f>ROUND((SUM(O108:P113)/SUM(O93:P113)),2)</f>
        <v>0.24</v>
      </c>
    </row>
    <row r="63" spans="1:17" x14ac:dyDescent="0.15">
      <c r="A63" s="2" t="s">
        <v>384</v>
      </c>
      <c r="B63" s="315">
        <f>管理者入力シート!B6</f>
        <v>2015</v>
      </c>
      <c r="C63" s="316"/>
      <c r="D63" s="2" t="s">
        <v>114</v>
      </c>
      <c r="G63" s="1" t="s">
        <v>108</v>
      </c>
      <c r="H63" s="1">
        <f t="shared" si="34"/>
        <v>2035</v>
      </c>
      <c r="I63" s="38">
        <f>ROUND((SUM(H132:I137)/SUM(H117:I137)),2)</f>
        <v>0.26</v>
      </c>
      <c r="J63" s="205"/>
      <c r="K63" s="205"/>
      <c r="N63" s="1" t="s">
        <v>108</v>
      </c>
      <c r="O63" s="1">
        <f t="shared" si="36"/>
        <v>2035</v>
      </c>
      <c r="P63" s="38">
        <f t="shared" si="33"/>
        <v>0.26</v>
      </c>
      <c r="Q63" s="38">
        <f>ROUND((SUM(O132:P137)/SUM(O117:P137)),2)</f>
        <v>0.26</v>
      </c>
    </row>
    <row r="64" spans="1:17" x14ac:dyDescent="0.15">
      <c r="A64" s="2" t="s">
        <v>115</v>
      </c>
      <c r="B64" s="18" t="s">
        <v>21</v>
      </c>
      <c r="C64" s="18" t="s">
        <v>22</v>
      </c>
      <c r="G64" s="1" t="s">
        <v>109</v>
      </c>
      <c r="H64" s="1">
        <f t="shared" si="34"/>
        <v>2040</v>
      </c>
      <c r="I64" s="38">
        <f>ROUND((SUM(H156:I161)/SUM(H141:I161)),2)</f>
        <v>0.28000000000000003</v>
      </c>
      <c r="J64" s="205"/>
      <c r="K64" s="205"/>
      <c r="N64" s="1" t="s">
        <v>109</v>
      </c>
      <c r="O64" s="1">
        <f t="shared" si="36"/>
        <v>2040</v>
      </c>
      <c r="P64" s="38">
        <f t="shared" si="33"/>
        <v>0.28000000000000003</v>
      </c>
      <c r="Q64" s="38">
        <f>ROUND((SUM(O156:P161)/SUM(O141:P161)),2)</f>
        <v>0.27</v>
      </c>
    </row>
    <row r="65" spans="1:21" x14ac:dyDescent="0.15">
      <c r="A65" s="2" t="s">
        <v>0</v>
      </c>
      <c r="B65" s="17">
        <f>ROUND(VLOOKUP(B$63&amp;"_1",管理者用人口入力シート!A:X,D65,FALSE),0)</f>
        <v>42</v>
      </c>
      <c r="C65" s="17">
        <f>ROUND(VLOOKUP(B$63&amp;"_2",管理者用人口入力シート!A:X,D65,FALSE),0)</f>
        <v>45</v>
      </c>
      <c r="D65" s="2">
        <v>4</v>
      </c>
    </row>
    <row r="66" spans="1:21" x14ac:dyDescent="0.15">
      <c r="A66" s="2" t="s">
        <v>1</v>
      </c>
      <c r="B66" s="17">
        <f>ROUND(VLOOKUP(B$63&amp;"_1",管理者用人口入力シート!A:X,D66,FALSE),0)</f>
        <v>51</v>
      </c>
      <c r="C66" s="17">
        <f>ROUND(VLOOKUP(B$63&amp;"_2",管理者用人口入力シート!A:X,D66,FALSE),0)</f>
        <v>46</v>
      </c>
      <c r="D66" s="2">
        <v>5</v>
      </c>
      <c r="G66" s="69" t="s">
        <v>113</v>
      </c>
      <c r="N66" s="69" t="s">
        <v>113</v>
      </c>
    </row>
    <row r="67" spans="1:21" x14ac:dyDescent="0.15">
      <c r="A67" s="2" t="s">
        <v>2</v>
      </c>
      <c r="B67" s="17">
        <f>ROUND(VLOOKUP(B$63&amp;"_1",管理者用人口入力シート!A:X,D67,FALSE),0)</f>
        <v>47</v>
      </c>
      <c r="C67" s="17">
        <f>ROUND(VLOOKUP(B$63&amp;"_2",管理者用人口入力シート!A:X,D67,FALSE),0)</f>
        <v>38</v>
      </c>
      <c r="D67" s="2">
        <v>6</v>
      </c>
      <c r="G67" s="2" t="s">
        <v>106</v>
      </c>
      <c r="H67" s="315">
        <f>管理者入力シート!B8</f>
        <v>2025</v>
      </c>
      <c r="I67" s="316"/>
      <c r="J67" s="2" t="s">
        <v>114</v>
      </c>
      <c r="K67" s="209"/>
      <c r="O67" s="315">
        <f>管理者入力シート!B8</f>
        <v>2025</v>
      </c>
      <c r="P67" s="316"/>
      <c r="Q67" s="2" t="s">
        <v>114</v>
      </c>
    </row>
    <row r="68" spans="1:21" x14ac:dyDescent="0.15">
      <c r="A68" s="2" t="s">
        <v>3</v>
      </c>
      <c r="B68" s="17">
        <f>ROUND(VLOOKUP(B$63&amp;"_1",管理者用人口入力シート!A:X,D68,FALSE),0)</f>
        <v>43</v>
      </c>
      <c r="C68" s="17">
        <f>ROUND(VLOOKUP(B$63&amp;"_2",管理者用人口入力シート!A:X,D68,FALSE),0)</f>
        <v>35</v>
      </c>
      <c r="D68" s="2">
        <v>7</v>
      </c>
      <c r="G68" s="2" t="s">
        <v>115</v>
      </c>
      <c r="H68" s="18" t="s">
        <v>243</v>
      </c>
      <c r="I68" s="18" t="s">
        <v>244</v>
      </c>
      <c r="K68" s="209"/>
      <c r="N68" s="2" t="s">
        <v>115</v>
      </c>
      <c r="O68" s="18" t="s">
        <v>21</v>
      </c>
      <c r="P68" s="18" t="s">
        <v>22</v>
      </c>
    </row>
    <row r="69" spans="1:21" x14ac:dyDescent="0.15">
      <c r="A69" s="2" t="s">
        <v>4</v>
      </c>
      <c r="B69" s="17">
        <f>ROUND(VLOOKUP(B$63&amp;"_1",管理者用人口入力シート!A:X,D69,FALSE),0)</f>
        <v>64</v>
      </c>
      <c r="C69" s="17">
        <f>ROUND(VLOOKUP(B$63&amp;"_2",管理者用人口入力シート!A:X,D69,FALSE),0)</f>
        <v>51</v>
      </c>
      <c r="D69" s="2">
        <v>8</v>
      </c>
      <c r="G69" s="2" t="s">
        <v>0</v>
      </c>
      <c r="H69" s="17">
        <f>ROUND(VLOOKUP(H$67&amp;"_1",管理者用人口入力シート!BH:CE,J69,FALSE),0)</f>
        <v>26</v>
      </c>
      <c r="I69" s="17">
        <f>ROUND(VLOOKUP(H$67&amp;"_2",管理者用人口入力シート!BH:CE,J69,FALSE),0)</f>
        <v>24</v>
      </c>
      <c r="J69" s="2">
        <v>4</v>
      </c>
      <c r="K69" s="12"/>
      <c r="N69" s="2" t="s">
        <v>0</v>
      </c>
      <c r="O69" s="17">
        <f>ROUND(VLOOKUP(O$67&amp;"_1",管理者用人口入力シート!CO:DL,Q69,FALSE),0)</f>
        <v>27</v>
      </c>
      <c r="P69" s="17">
        <f>ROUND(VLOOKUP(O$67&amp;"_2",管理者用人口入力シート!CO:DL,Q69,FALSE),0)</f>
        <v>25</v>
      </c>
      <c r="Q69" s="2">
        <v>4</v>
      </c>
      <c r="U69" s="85"/>
    </row>
    <row r="70" spans="1:21" x14ac:dyDescent="0.15">
      <c r="A70" s="2" t="s">
        <v>5</v>
      </c>
      <c r="B70" s="17">
        <f>ROUND(VLOOKUP(B$63&amp;"_1",管理者用人口入力シート!A:X,D70,FALSE),0)</f>
        <v>44</v>
      </c>
      <c r="C70" s="17">
        <f>ROUND(VLOOKUP(B$63&amp;"_2",管理者用人口入力シート!A:X,D70,FALSE),0)</f>
        <v>46</v>
      </c>
      <c r="D70" s="2">
        <v>9</v>
      </c>
      <c r="G70" s="2" t="s">
        <v>1</v>
      </c>
      <c r="H70" s="17">
        <f>ROUND(VLOOKUP(H$67&amp;"_1",管理者用人口入力シート!BH:CE,J70,FALSE),0)</f>
        <v>32</v>
      </c>
      <c r="I70" s="17">
        <f>ROUND(VLOOKUP(H$67&amp;"_2",管理者用人口入力シート!BH:CE,J70,FALSE),0)</f>
        <v>26</v>
      </c>
      <c r="J70" s="2">
        <v>5</v>
      </c>
      <c r="K70" s="12"/>
      <c r="N70" s="2" t="s">
        <v>1</v>
      </c>
      <c r="O70" s="17">
        <f>ROUND(VLOOKUP(O$67&amp;"_1",管理者用人口入力シート!CO:DL,Q70,FALSE),0)</f>
        <v>32</v>
      </c>
      <c r="P70" s="17">
        <f>ROUND(VLOOKUP(O$67&amp;"_2",管理者用人口入力シート!CO:DL,Q70,FALSE),0)</f>
        <v>26</v>
      </c>
      <c r="Q70" s="2">
        <v>5</v>
      </c>
      <c r="U70" s="85"/>
    </row>
    <row r="71" spans="1:21" x14ac:dyDescent="0.15">
      <c r="A71" s="2" t="s">
        <v>6</v>
      </c>
      <c r="B71" s="17">
        <f>ROUND(VLOOKUP(B$63&amp;"_1",管理者用人口入力シート!A:X,D71,FALSE),0)</f>
        <v>52</v>
      </c>
      <c r="C71" s="17">
        <f>ROUND(VLOOKUP(B$63&amp;"_2",管理者用人口入力シート!A:X,D71,FALSE),0)</f>
        <v>53</v>
      </c>
      <c r="D71" s="2">
        <v>10</v>
      </c>
      <c r="G71" s="2" t="s">
        <v>2</v>
      </c>
      <c r="H71" s="17">
        <f>ROUND(VLOOKUP(H$67&amp;"_1",管理者用人口入力シート!BH:CE,J71,FALSE),0)</f>
        <v>35</v>
      </c>
      <c r="I71" s="17">
        <f>ROUND(VLOOKUP(H$67&amp;"_2",管理者用人口入力シート!BH:CE,J71,FALSE),0)</f>
        <v>31</v>
      </c>
      <c r="J71" s="2">
        <v>6</v>
      </c>
      <c r="K71" s="12"/>
      <c r="N71" s="2" t="s">
        <v>2</v>
      </c>
      <c r="O71" s="17">
        <f>ROUND(VLOOKUP(O$67&amp;"_1",管理者用人口入力シート!CO:DL,Q71,FALSE),0)</f>
        <v>36</v>
      </c>
      <c r="P71" s="17">
        <f>ROUND(VLOOKUP(O$67&amp;"_2",管理者用人口入力シート!CO:DL,Q71,FALSE),0)</f>
        <v>32</v>
      </c>
      <c r="Q71" s="2">
        <v>6</v>
      </c>
      <c r="U71" s="85"/>
    </row>
    <row r="72" spans="1:21" x14ac:dyDescent="0.15">
      <c r="A72" s="2" t="s">
        <v>7</v>
      </c>
      <c r="B72" s="17">
        <f>ROUND(VLOOKUP(B$63&amp;"_1",管理者用人口入力シート!A:X,D72,FALSE),0)</f>
        <v>62</v>
      </c>
      <c r="C72" s="17">
        <f>ROUND(VLOOKUP(B$63&amp;"_2",管理者用人口入力シート!A:X,D72,FALSE),0)</f>
        <v>65</v>
      </c>
      <c r="D72" s="2">
        <v>11</v>
      </c>
      <c r="G72" s="2" t="s">
        <v>3</v>
      </c>
      <c r="H72" s="17">
        <f>ROUND(VLOOKUP(H$67&amp;"_1",管理者用人口入力シート!BH:CE,J72,FALSE),0)</f>
        <v>32</v>
      </c>
      <c r="I72" s="17">
        <f>ROUND(VLOOKUP(H$67&amp;"_2",管理者用人口入力シート!BH:CE,J72,FALSE),0)</f>
        <v>28</v>
      </c>
      <c r="J72" s="2">
        <v>7</v>
      </c>
      <c r="K72" s="12"/>
      <c r="N72" s="2" t="s">
        <v>3</v>
      </c>
      <c r="O72" s="17">
        <f>ROUND(VLOOKUP(O$67&amp;"_1",管理者用人口入力シート!CO:DL,Q72,FALSE),0)</f>
        <v>32</v>
      </c>
      <c r="P72" s="17">
        <f>ROUND(VLOOKUP(O$67&amp;"_2",管理者用人口入力シート!CO:DL,Q72,FALSE),0)</f>
        <v>28</v>
      </c>
      <c r="Q72" s="2">
        <v>7</v>
      </c>
      <c r="U72" s="85"/>
    </row>
    <row r="73" spans="1:21" x14ac:dyDescent="0.15">
      <c r="A73" s="2" t="s">
        <v>8</v>
      </c>
      <c r="B73" s="17">
        <f>ROUND(VLOOKUP(B$63&amp;"_1",管理者用人口入力シート!A:X,D73,FALSE),0)</f>
        <v>52</v>
      </c>
      <c r="C73" s="17">
        <f>ROUND(VLOOKUP(B$63&amp;"_2",管理者用人口入力シート!A:X,D73,FALSE),0)</f>
        <v>55</v>
      </c>
      <c r="D73" s="2">
        <v>12</v>
      </c>
      <c r="G73" s="2" t="s">
        <v>4</v>
      </c>
      <c r="H73" s="17">
        <f>ROUND(VLOOKUP(H$67&amp;"_1",管理者用人口入力シート!BH:CE,J73,FALSE),0)</f>
        <v>41</v>
      </c>
      <c r="I73" s="17">
        <f>ROUND(VLOOKUP(H$67&amp;"_2",管理者用人口入力シート!BH:CE,J73,FALSE),0)</f>
        <v>22</v>
      </c>
      <c r="J73" s="2">
        <v>8</v>
      </c>
      <c r="K73" s="12"/>
      <c r="N73" s="2" t="s">
        <v>4</v>
      </c>
      <c r="O73" s="17">
        <f>ROUND(VLOOKUP(O$67&amp;"_1",管理者用人口入力シート!CO:DL,Q73,FALSE),0)</f>
        <v>41</v>
      </c>
      <c r="P73" s="17">
        <f>ROUND(VLOOKUP(O$67&amp;"_2",管理者用人口入力シート!CO:DL,Q73,FALSE),0)</f>
        <v>22</v>
      </c>
      <c r="Q73" s="2">
        <v>8</v>
      </c>
      <c r="U73" s="85"/>
    </row>
    <row r="74" spans="1:21" x14ac:dyDescent="0.15">
      <c r="A74" s="2" t="s">
        <v>9</v>
      </c>
      <c r="B74" s="17">
        <f>ROUND(VLOOKUP(B$63&amp;"_1",管理者用人口入力シート!A:X,D74,FALSE),0)</f>
        <v>65</v>
      </c>
      <c r="C74" s="17">
        <f>ROUND(VLOOKUP(B$63&amp;"_2",管理者用人口入力シート!A:X,D74,FALSE),0)</f>
        <v>60</v>
      </c>
      <c r="D74" s="2">
        <v>13</v>
      </c>
      <c r="G74" s="2" t="s">
        <v>5</v>
      </c>
      <c r="H74" s="17">
        <f>ROUND(VLOOKUP(H$67&amp;"_1",管理者用人口入力シート!BH:CE,J74,FALSE),0)</f>
        <v>42</v>
      </c>
      <c r="I74" s="17">
        <f>ROUND(VLOOKUP(H$67&amp;"_2",管理者用人口入力シート!BH:CE,J74,FALSE),0)</f>
        <v>27</v>
      </c>
      <c r="J74" s="2">
        <v>9</v>
      </c>
      <c r="K74" s="12"/>
      <c r="N74" s="2" t="s">
        <v>5</v>
      </c>
      <c r="O74" s="17">
        <f>ROUND(VLOOKUP(O$67&amp;"_1",管理者用人口入力シート!CO:DL,Q74,FALSE),0)</f>
        <v>44</v>
      </c>
      <c r="P74" s="17">
        <f>ROUND(VLOOKUP(O$67&amp;"_2",管理者用人口入力シート!CO:DL,Q74,FALSE),0)</f>
        <v>29</v>
      </c>
      <c r="Q74" s="2">
        <v>9</v>
      </c>
      <c r="U74" s="85"/>
    </row>
    <row r="75" spans="1:21" x14ac:dyDescent="0.15">
      <c r="A75" s="2" t="s">
        <v>10</v>
      </c>
      <c r="B75" s="17">
        <f>ROUND(VLOOKUP(B$63&amp;"_1",管理者用人口入力シート!A:X,D75,FALSE),0)</f>
        <v>61</v>
      </c>
      <c r="C75" s="17">
        <f>ROUND(VLOOKUP(B$63&amp;"_2",管理者用人口入力シート!A:X,D75,FALSE),0)</f>
        <v>75</v>
      </c>
      <c r="D75" s="2">
        <v>14</v>
      </c>
      <c r="G75" s="2" t="s">
        <v>6</v>
      </c>
      <c r="H75" s="17">
        <f>ROUND(VLOOKUP(H$67&amp;"_1",管理者用人口入力シート!BH:CE,J75,FALSE),0)</f>
        <v>47</v>
      </c>
      <c r="I75" s="17">
        <f>ROUND(VLOOKUP(H$67&amp;"_2",管理者用人口入力シート!BH:CE,J75,FALSE),0)</f>
        <v>38</v>
      </c>
      <c r="J75" s="2">
        <v>10</v>
      </c>
      <c r="K75" s="12"/>
      <c r="N75" s="2" t="s">
        <v>6</v>
      </c>
      <c r="O75" s="17">
        <f>ROUND(VLOOKUP(O$67&amp;"_1",管理者用人口入力シート!CO:DL,Q75,FALSE),0)</f>
        <v>47</v>
      </c>
      <c r="P75" s="17">
        <f>ROUND(VLOOKUP(O$67&amp;"_2",管理者用人口入力シート!CO:DL,Q75,FALSE),0)</f>
        <v>38</v>
      </c>
      <c r="Q75" s="2">
        <v>10</v>
      </c>
      <c r="U75" s="85"/>
    </row>
    <row r="76" spans="1:21" x14ac:dyDescent="0.15">
      <c r="A76" s="2" t="s">
        <v>11</v>
      </c>
      <c r="B76" s="17">
        <f>ROUND(VLOOKUP(B$63&amp;"_1",管理者用人口入力シート!A:X,D76,FALSE),0)</f>
        <v>72</v>
      </c>
      <c r="C76" s="17">
        <f>ROUND(VLOOKUP(B$63&amp;"_2",管理者用人口入力シート!A:X,D76,FALSE),0)</f>
        <v>73</v>
      </c>
      <c r="D76" s="2">
        <v>15</v>
      </c>
      <c r="G76" s="2" t="s">
        <v>7</v>
      </c>
      <c r="H76" s="17">
        <f>ROUND(VLOOKUP(H$67&amp;"_1",管理者用人口入力シート!BH:CE,J76,FALSE),0)</f>
        <v>31</v>
      </c>
      <c r="I76" s="17">
        <f>ROUND(VLOOKUP(H$67&amp;"_2",管理者用人口入力シート!BH:CE,J76,FALSE),0)</f>
        <v>39</v>
      </c>
      <c r="J76" s="2">
        <v>11</v>
      </c>
      <c r="K76" s="12"/>
      <c r="N76" s="2" t="s">
        <v>7</v>
      </c>
      <c r="O76" s="17">
        <f>ROUND(VLOOKUP(O$67&amp;"_1",管理者用人口入力シート!CO:DL,Q76,FALSE),0)</f>
        <v>31</v>
      </c>
      <c r="P76" s="17">
        <f>ROUND(VLOOKUP(O$67&amp;"_2",管理者用人口入力シート!CO:DL,Q76,FALSE),0)</f>
        <v>39</v>
      </c>
      <c r="Q76" s="2">
        <v>11</v>
      </c>
      <c r="U76" s="85"/>
    </row>
    <row r="77" spans="1:21" x14ac:dyDescent="0.15">
      <c r="A77" s="2" t="s">
        <v>12</v>
      </c>
      <c r="B77" s="17">
        <f>ROUND(VLOOKUP(B$63&amp;"_1",管理者用人口入力シート!A:X,D77,FALSE),0)</f>
        <v>76</v>
      </c>
      <c r="C77" s="17">
        <f>ROUND(VLOOKUP(B$63&amp;"_2",管理者用人口入力シート!A:X,D77,FALSE),0)</f>
        <v>89</v>
      </c>
      <c r="D77" s="2">
        <v>16</v>
      </c>
      <c r="G77" s="2" t="s">
        <v>8</v>
      </c>
      <c r="H77" s="17">
        <f>ROUND(VLOOKUP(H$67&amp;"_1",管理者用人口入力シート!BH:CE,J77,FALSE),0)</f>
        <v>45</v>
      </c>
      <c r="I77" s="17">
        <f>ROUND(VLOOKUP(H$67&amp;"_2",管理者用人口入力シート!BH:CE,J77,FALSE),0)</f>
        <v>47</v>
      </c>
      <c r="J77" s="2">
        <v>12</v>
      </c>
      <c r="K77" s="12"/>
      <c r="N77" s="2" t="s">
        <v>8</v>
      </c>
      <c r="O77" s="17">
        <f>ROUND(VLOOKUP(O$67&amp;"_1",管理者用人口入力シート!CO:DL,Q77,FALSE),0)</f>
        <v>45</v>
      </c>
      <c r="P77" s="17">
        <f>ROUND(VLOOKUP(O$67&amp;"_2",管理者用人口入力シート!CO:DL,Q77,FALSE),0)</f>
        <v>48</v>
      </c>
      <c r="Q77" s="2">
        <v>12</v>
      </c>
      <c r="U77" s="85"/>
    </row>
    <row r="78" spans="1:21" x14ac:dyDescent="0.15">
      <c r="A78" s="2" t="s">
        <v>13</v>
      </c>
      <c r="B78" s="17">
        <f>ROUND(VLOOKUP(B$63&amp;"_1",管理者用人口入力シート!A:X,D78,FALSE),0)</f>
        <v>73</v>
      </c>
      <c r="C78" s="17">
        <f>ROUND(VLOOKUP(B$63&amp;"_2",管理者用人口入力シート!A:X,D78,FALSE),0)</f>
        <v>80</v>
      </c>
      <c r="D78" s="2">
        <v>17</v>
      </c>
      <c r="G78" s="2" t="s">
        <v>9</v>
      </c>
      <c r="H78" s="17">
        <f>ROUND(VLOOKUP(H$67&amp;"_1",管理者用人口入力シート!BH:CE,J78,FALSE),0)</f>
        <v>60</v>
      </c>
      <c r="I78" s="17">
        <f>ROUND(VLOOKUP(H$67&amp;"_2",管理者用人口入力シート!BH:CE,J78,FALSE),0)</f>
        <v>52</v>
      </c>
      <c r="J78" s="2">
        <v>13</v>
      </c>
      <c r="K78" s="12"/>
      <c r="N78" s="2" t="s">
        <v>9</v>
      </c>
      <c r="O78" s="17">
        <f>ROUND(VLOOKUP(O$67&amp;"_1",管理者用人口入力シート!CO:DL,Q78,FALSE),0)</f>
        <v>60</v>
      </c>
      <c r="P78" s="17">
        <f>ROUND(VLOOKUP(O$67&amp;"_2",管理者用人口入力シート!CO:DL,Q78,FALSE),0)</f>
        <v>52</v>
      </c>
      <c r="Q78" s="2">
        <v>13</v>
      </c>
      <c r="U78" s="85"/>
    </row>
    <row r="79" spans="1:21" x14ac:dyDescent="0.15">
      <c r="A79" s="2" t="s">
        <v>14</v>
      </c>
      <c r="B79" s="17">
        <f>ROUND(VLOOKUP(B$63&amp;"_1",管理者用人口入力シート!A:X,D79,FALSE),0)</f>
        <v>57</v>
      </c>
      <c r="C79" s="17">
        <f>ROUND(VLOOKUP(B$63&amp;"_2",管理者用人口入力シート!A:X,D79,FALSE),0)</f>
        <v>78</v>
      </c>
      <c r="D79" s="2">
        <v>18</v>
      </c>
      <c r="G79" s="2" t="s">
        <v>10</v>
      </c>
      <c r="H79" s="17">
        <f>ROUND(VLOOKUP(H$67&amp;"_1",管理者用人口入力シート!BH:CE,J79,FALSE),0)</f>
        <v>54</v>
      </c>
      <c r="I79" s="17">
        <f>ROUND(VLOOKUP(H$67&amp;"_2",管理者用人口入力シート!BH:CE,J79,FALSE),0)</f>
        <v>49</v>
      </c>
      <c r="J79" s="2">
        <v>14</v>
      </c>
      <c r="K79" s="12"/>
      <c r="N79" s="2" t="s">
        <v>10</v>
      </c>
      <c r="O79" s="17">
        <f>ROUND(VLOOKUP(O$67&amp;"_1",管理者用人口入力シート!CO:DL,Q79,FALSE),0)</f>
        <v>54</v>
      </c>
      <c r="P79" s="17">
        <f>ROUND(VLOOKUP(O$67&amp;"_2",管理者用人口入力シート!CO:DL,Q79,FALSE),0)</f>
        <v>49</v>
      </c>
      <c r="Q79" s="2">
        <v>14</v>
      </c>
      <c r="U79" s="85"/>
    </row>
    <row r="80" spans="1:21" x14ac:dyDescent="0.15">
      <c r="A80" s="2" t="s">
        <v>15</v>
      </c>
      <c r="B80" s="17">
        <f>ROUND(VLOOKUP(B$63&amp;"_1",管理者用人口入力シート!A:X,D80,FALSE),0)</f>
        <v>60</v>
      </c>
      <c r="C80" s="17">
        <f>ROUND(VLOOKUP(B$63&amp;"_2",管理者用人口入力シート!A:X,D80,FALSE),0)</f>
        <v>77</v>
      </c>
      <c r="D80" s="2">
        <v>19</v>
      </c>
      <c r="G80" s="2" t="s">
        <v>11</v>
      </c>
      <c r="H80" s="17">
        <f>ROUND(VLOOKUP(H$67&amp;"_1",管理者用人口入力シート!BH:CE,J80,FALSE),0)</f>
        <v>64</v>
      </c>
      <c r="I80" s="17">
        <f>ROUND(VLOOKUP(H$67&amp;"_2",管理者用人口入力シート!BH:CE,J80,FALSE),0)</f>
        <v>65</v>
      </c>
      <c r="J80" s="2">
        <v>15</v>
      </c>
      <c r="K80" s="12"/>
      <c r="N80" s="2" t="s">
        <v>11</v>
      </c>
      <c r="O80" s="17">
        <f>ROUND(VLOOKUP(O$67&amp;"_1",管理者用人口入力シート!CO:DL,Q80,FALSE),0)</f>
        <v>64</v>
      </c>
      <c r="P80" s="17">
        <f>ROUND(VLOOKUP(O$67&amp;"_2",管理者用人口入力シート!CO:DL,Q80,FALSE),0)</f>
        <v>65</v>
      </c>
      <c r="Q80" s="2">
        <v>15</v>
      </c>
      <c r="U80" s="85"/>
    </row>
    <row r="81" spans="1:21" x14ac:dyDescent="0.15">
      <c r="A81" s="2" t="s">
        <v>16</v>
      </c>
      <c r="B81" s="17">
        <f>ROUND(VLOOKUP(B$63&amp;"_1",管理者用人口入力シート!A:X,D81,FALSE),0)</f>
        <v>53</v>
      </c>
      <c r="C81" s="17">
        <f>ROUND(VLOOKUP(B$63&amp;"_2",管理者用人口入力シート!A:X,D81,FALSE),0)</f>
        <v>86</v>
      </c>
      <c r="D81" s="2">
        <v>20</v>
      </c>
      <c r="G81" s="2" t="s">
        <v>12</v>
      </c>
      <c r="H81" s="17">
        <f>ROUND(VLOOKUP(H$67&amp;"_1",管理者用人口入力シート!BH:CE,J81,FALSE),0)</f>
        <v>68</v>
      </c>
      <c r="I81" s="17">
        <f>ROUND(VLOOKUP(H$67&amp;"_2",管理者用人口入力シート!BH:CE,J81,FALSE),0)</f>
        <v>65</v>
      </c>
      <c r="J81" s="2">
        <v>16</v>
      </c>
      <c r="K81" s="12"/>
      <c r="N81" s="2" t="s">
        <v>12</v>
      </c>
      <c r="O81" s="17">
        <f>ROUND(VLOOKUP(O$67&amp;"_1",管理者用人口入力シート!CO:DL,Q81,FALSE),0)</f>
        <v>68</v>
      </c>
      <c r="P81" s="17">
        <f>ROUND(VLOOKUP(O$67&amp;"_2",管理者用人口入力シート!CO:DL,Q81,FALSE),0)</f>
        <v>65</v>
      </c>
      <c r="Q81" s="2">
        <v>16</v>
      </c>
      <c r="U81" s="85"/>
    </row>
    <row r="82" spans="1:21" x14ac:dyDescent="0.15">
      <c r="A82" s="2" t="s">
        <v>17</v>
      </c>
      <c r="B82" s="17">
        <f>ROUND(VLOOKUP(B$63&amp;"_1",管理者用人口入力シート!A:X,D82,FALSE),0)</f>
        <v>38</v>
      </c>
      <c r="C82" s="17">
        <f>ROUND(VLOOKUP(B$63&amp;"_2",管理者用人口入力シート!A:X,D82,FALSE),0)</f>
        <v>75</v>
      </c>
      <c r="D82" s="2">
        <v>21</v>
      </c>
      <c r="G82" s="2" t="s">
        <v>13</v>
      </c>
      <c r="H82" s="17">
        <f>ROUND(VLOOKUP(H$67&amp;"_1",管理者用人口入力シート!BH:CE,J82,FALSE),0)</f>
        <v>69</v>
      </c>
      <c r="I82" s="17">
        <f>ROUND(VLOOKUP(H$67&amp;"_2",管理者用人口入力シート!BH:CE,J82,FALSE),0)</f>
        <v>72</v>
      </c>
      <c r="J82" s="2">
        <v>17</v>
      </c>
      <c r="K82" s="12"/>
      <c r="N82" s="2" t="s">
        <v>13</v>
      </c>
      <c r="O82" s="17">
        <f>ROUND(VLOOKUP(O$67&amp;"_1",管理者用人口入力シート!CO:DL,Q82,FALSE),0)</f>
        <v>69</v>
      </c>
      <c r="P82" s="17">
        <f>ROUND(VLOOKUP(O$67&amp;"_2",管理者用人口入力シート!CO:DL,Q82,FALSE),0)</f>
        <v>72</v>
      </c>
      <c r="Q82" s="2">
        <v>17</v>
      </c>
      <c r="U82" s="85"/>
    </row>
    <row r="83" spans="1:21" x14ac:dyDescent="0.15">
      <c r="A83" s="2" t="s">
        <v>18</v>
      </c>
      <c r="B83" s="17">
        <f>ROUND(VLOOKUP(B$63&amp;"_1",管理者用人口入力シート!A:X,D83,FALSE),0)</f>
        <v>4</v>
      </c>
      <c r="C83" s="17">
        <f>ROUND(VLOOKUP(B$63&amp;"_2",管理者用人口入力シート!A:X,D83,FALSE),0)</f>
        <v>28</v>
      </c>
      <c r="D83" s="2">
        <v>22</v>
      </c>
      <c r="G83" s="2" t="s">
        <v>14</v>
      </c>
      <c r="H83" s="17">
        <f>ROUND(VLOOKUP(H$67&amp;"_1",管理者用人口入力シート!BH:CE,J83,FALSE),0)</f>
        <v>67</v>
      </c>
      <c r="I83" s="17">
        <f>ROUND(VLOOKUP(H$67&amp;"_2",管理者用人口入力シート!BH:CE,J83,FALSE),0)</f>
        <v>92</v>
      </c>
      <c r="J83" s="2">
        <v>18</v>
      </c>
      <c r="K83" s="12"/>
      <c r="N83" s="2" t="s">
        <v>14</v>
      </c>
      <c r="O83" s="17">
        <f>ROUND(VLOOKUP(O$67&amp;"_1",管理者用人口入力シート!CO:DL,Q83,FALSE),0)</f>
        <v>67</v>
      </c>
      <c r="P83" s="17">
        <f>ROUND(VLOOKUP(O$67&amp;"_2",管理者用人口入力シート!CO:DL,Q83,FALSE),0)</f>
        <v>92</v>
      </c>
      <c r="Q83" s="2">
        <v>18</v>
      </c>
      <c r="U83" s="85"/>
    </row>
    <row r="84" spans="1:21" x14ac:dyDescent="0.15">
      <c r="A84" s="2" t="s">
        <v>19</v>
      </c>
      <c r="B84" s="17">
        <f>ROUND(VLOOKUP(B$63&amp;"_1",管理者用人口入力シート!A:X,D84,FALSE),0)</f>
        <v>2</v>
      </c>
      <c r="C84" s="17">
        <f>ROUND(VLOOKUP(B$63&amp;"_2",管理者用人口入力シート!A:X,D84,FALSE),0)</f>
        <v>7</v>
      </c>
      <c r="D84" s="2">
        <v>23</v>
      </c>
      <c r="G84" s="2" t="s">
        <v>15</v>
      </c>
      <c r="H84" s="17">
        <f>ROUND(VLOOKUP(H$67&amp;"_1",管理者用人口入力シート!BH:CE,J84,FALSE),0)</f>
        <v>65</v>
      </c>
      <c r="I84" s="17">
        <f>ROUND(VLOOKUP(H$67&amp;"_2",管理者用人口入力シート!BH:CE,J84,FALSE),0)</f>
        <v>73</v>
      </c>
      <c r="J84" s="2">
        <v>19</v>
      </c>
      <c r="K84" s="12"/>
      <c r="N84" s="2" t="s">
        <v>15</v>
      </c>
      <c r="O84" s="17">
        <f>ROUND(VLOOKUP(O$67&amp;"_1",管理者用人口入力シート!CO:DL,Q84,FALSE),0)</f>
        <v>65</v>
      </c>
      <c r="P84" s="17">
        <f>ROUND(VLOOKUP(O$67&amp;"_2",管理者用人口入力シート!CO:DL,Q84,FALSE),0)</f>
        <v>73</v>
      </c>
      <c r="Q84" s="2">
        <v>19</v>
      </c>
      <c r="U84" s="85"/>
    </row>
    <row r="85" spans="1:21" x14ac:dyDescent="0.15">
      <c r="A85" s="2" t="s">
        <v>20</v>
      </c>
      <c r="B85" s="17">
        <f>ROUND(VLOOKUP(B$63&amp;"_1",管理者用人口入力シート!A:X,D85,FALSE),0)</f>
        <v>0</v>
      </c>
      <c r="C85" s="17">
        <f>ROUND(VLOOKUP(B$63&amp;"_2",管理者用人口入力シート!A:X,D85,FALSE),0)</f>
        <v>2</v>
      </c>
      <c r="D85" s="2">
        <v>24</v>
      </c>
      <c r="G85" s="2" t="s">
        <v>16</v>
      </c>
      <c r="H85" s="17">
        <f>ROUND(VLOOKUP(H$67&amp;"_1",管理者用人口入力シート!BH:CE,J85,FALSE),0)</f>
        <v>35</v>
      </c>
      <c r="I85" s="17">
        <f>ROUND(VLOOKUP(H$67&amp;"_2",管理者用人口入力シート!BH:CE,J85,FALSE),0)</f>
        <v>63</v>
      </c>
      <c r="J85" s="2">
        <v>20</v>
      </c>
      <c r="K85" s="12"/>
      <c r="N85" s="2" t="s">
        <v>16</v>
      </c>
      <c r="O85" s="17">
        <f>ROUND(VLOOKUP(O$67&amp;"_1",管理者用人口入力シート!CO:DL,Q85,FALSE),0)</f>
        <v>35</v>
      </c>
      <c r="P85" s="17">
        <f>ROUND(VLOOKUP(O$67&amp;"_2",管理者用人口入力シート!CO:DL,Q85,FALSE),0)</f>
        <v>63</v>
      </c>
      <c r="Q85" s="2">
        <v>20</v>
      </c>
      <c r="U85" s="85"/>
    </row>
    <row r="86" spans="1:21" x14ac:dyDescent="0.15">
      <c r="G86" s="2" t="s">
        <v>17</v>
      </c>
      <c r="H86" s="17">
        <f>ROUND(VLOOKUP(H$67&amp;"_1",管理者用人口入力シート!BH:CE,J86,FALSE),0)</f>
        <v>30</v>
      </c>
      <c r="I86" s="17">
        <f>ROUND(VLOOKUP(H$67&amp;"_2",管理者用人口入力シート!BH:CE,J86,FALSE),0)</f>
        <v>53</v>
      </c>
      <c r="J86" s="2">
        <v>21</v>
      </c>
      <c r="K86" s="12"/>
      <c r="N86" s="2" t="s">
        <v>17</v>
      </c>
      <c r="O86" s="17">
        <f>ROUND(VLOOKUP(O$67&amp;"_1",管理者用人口入力シート!CO:DL,Q86,FALSE),0)</f>
        <v>30</v>
      </c>
      <c r="P86" s="17">
        <f>ROUND(VLOOKUP(O$67&amp;"_2",管理者用人口入力シート!CO:DL,Q86,FALSE),0)</f>
        <v>53</v>
      </c>
      <c r="Q86" s="2">
        <v>21</v>
      </c>
      <c r="U86" s="85"/>
    </row>
    <row r="87" spans="1:21" x14ac:dyDescent="0.15">
      <c r="A87" s="2" t="s">
        <v>62</v>
      </c>
      <c r="B87" s="315">
        <f>管理者入力シート!B5</f>
        <v>2020</v>
      </c>
      <c r="C87" s="316"/>
      <c r="D87" s="2" t="s">
        <v>114</v>
      </c>
      <c r="G87" s="2" t="s">
        <v>18</v>
      </c>
      <c r="H87" s="17">
        <f>ROUND(VLOOKUP(H$67&amp;"_1",管理者用人口入力シート!BH:CE,J87,FALSE),0)</f>
        <v>10</v>
      </c>
      <c r="I87" s="17">
        <f>ROUND(VLOOKUP(H$67&amp;"_2",管理者用人口入力シート!BH:CE,J87,FALSE),0)</f>
        <v>35</v>
      </c>
      <c r="J87" s="2">
        <v>22</v>
      </c>
      <c r="K87" s="12"/>
      <c r="N87" s="2" t="s">
        <v>18</v>
      </c>
      <c r="O87" s="17">
        <f>ROUND(VLOOKUP(O$67&amp;"_1",管理者用人口入力シート!CO:DL,Q87,FALSE),0)</f>
        <v>10</v>
      </c>
      <c r="P87" s="17">
        <f>ROUND(VLOOKUP(O$67&amp;"_2",管理者用人口入力シート!CO:DL,Q87,FALSE),0)</f>
        <v>35</v>
      </c>
      <c r="Q87" s="2">
        <v>22</v>
      </c>
      <c r="U87" s="85"/>
    </row>
    <row r="88" spans="1:21" x14ac:dyDescent="0.15">
      <c r="A88" s="2" t="s">
        <v>115</v>
      </c>
      <c r="B88" s="18" t="s">
        <v>21</v>
      </c>
      <c r="C88" s="18" t="s">
        <v>22</v>
      </c>
      <c r="G88" s="2" t="s">
        <v>19</v>
      </c>
      <c r="H88" s="17">
        <f>ROUND(VLOOKUP(H$67&amp;"_1",管理者用人口入力シート!BH:CE,J88,FALSE),0)</f>
        <v>3</v>
      </c>
      <c r="I88" s="17">
        <f>ROUND(VLOOKUP(H$67&amp;"_2",管理者用人口入力シート!BH:CE,J88,FALSE),0)</f>
        <v>16</v>
      </c>
      <c r="J88" s="2">
        <v>23</v>
      </c>
      <c r="K88" s="12"/>
      <c r="N88" s="2" t="s">
        <v>19</v>
      </c>
      <c r="O88" s="17">
        <f>ROUND(VLOOKUP(O$67&amp;"_1",管理者用人口入力シート!CO:DL,Q88,FALSE),0)</f>
        <v>3</v>
      </c>
      <c r="P88" s="17">
        <f>ROUND(VLOOKUP(O$67&amp;"_2",管理者用人口入力シート!CO:DL,Q88,FALSE),0)</f>
        <v>16</v>
      </c>
      <c r="Q88" s="2">
        <v>23</v>
      </c>
      <c r="U88" s="85"/>
    </row>
    <row r="89" spans="1:21" x14ac:dyDescent="0.15">
      <c r="A89" s="2" t="s">
        <v>0</v>
      </c>
      <c r="B89" s="17">
        <f>ROUND(VLOOKUP(B$87&amp;"_1",管理者用人口入力シート!A:X,D89,FALSE),0)</f>
        <v>32</v>
      </c>
      <c r="C89" s="17">
        <f>ROUND(VLOOKUP(B$87&amp;"_2",管理者用人口入力シート!A:X,D89,FALSE),0)</f>
        <v>30</v>
      </c>
      <c r="D89" s="2">
        <v>4</v>
      </c>
      <c r="G89" s="2" t="s">
        <v>20</v>
      </c>
      <c r="H89" s="17">
        <f>ROUND(VLOOKUP(H$67&amp;"_1",管理者用人口入力シート!BH:CE,J89,FALSE),0)</f>
        <v>0</v>
      </c>
      <c r="I89" s="17">
        <f>ROUND(VLOOKUP(H$67&amp;"_2",管理者用人口入力シート!BH:CE,J89,FALSE),0)</f>
        <v>4</v>
      </c>
      <c r="J89" s="2">
        <v>24</v>
      </c>
      <c r="K89" s="12"/>
      <c r="N89" s="2" t="s">
        <v>20</v>
      </c>
      <c r="O89" s="17">
        <f>ROUND(VLOOKUP(O$67&amp;"_1",管理者用人口入力シート!CO:DL,Q89,FALSE),0)</f>
        <v>0</v>
      </c>
      <c r="P89" s="17">
        <f>ROUND(VLOOKUP(O$67&amp;"_2",管理者用人口入力シート!CO:DL,Q89,FALSE),0)</f>
        <v>4</v>
      </c>
      <c r="Q89" s="2">
        <v>24</v>
      </c>
      <c r="U89" s="85"/>
    </row>
    <row r="90" spans="1:21" x14ac:dyDescent="0.15">
      <c r="A90" s="2" t="s">
        <v>1</v>
      </c>
      <c r="B90" s="17">
        <f>ROUND(VLOOKUP(B$87&amp;"_1",管理者用人口入力シート!A:X,D90,FALSE),0)</f>
        <v>42</v>
      </c>
      <c r="C90" s="17">
        <f>ROUND(VLOOKUP(B$87&amp;"_2",管理者用人口入力シート!A:X,D90,FALSE),0)</f>
        <v>34</v>
      </c>
      <c r="D90" s="2">
        <v>5</v>
      </c>
    </row>
    <row r="91" spans="1:21" x14ac:dyDescent="0.15">
      <c r="A91" s="2" t="s">
        <v>2</v>
      </c>
      <c r="B91" s="17">
        <f>ROUND(VLOOKUP(B$87&amp;"_1",管理者用人口入力シート!A:X,D91,FALSE),0)</f>
        <v>41</v>
      </c>
      <c r="C91" s="17">
        <f>ROUND(VLOOKUP(B$87&amp;"_2",管理者用人口入力シート!A:X,D91,FALSE),0)</f>
        <v>42</v>
      </c>
      <c r="D91" s="2">
        <v>6</v>
      </c>
      <c r="G91" s="2" t="s">
        <v>107</v>
      </c>
      <c r="H91" s="315">
        <f>管理者入力シート!B9</f>
        <v>2030</v>
      </c>
      <c r="I91" s="316"/>
      <c r="J91" s="2" t="s">
        <v>114</v>
      </c>
      <c r="K91" s="209"/>
      <c r="O91" s="315">
        <f>管理者入力シート!B9</f>
        <v>2030</v>
      </c>
      <c r="P91" s="316"/>
      <c r="Q91" s="2" t="s">
        <v>114</v>
      </c>
    </row>
    <row r="92" spans="1:21" x14ac:dyDescent="0.15">
      <c r="A92" s="2" t="s">
        <v>3</v>
      </c>
      <c r="B92" s="17">
        <f>ROUND(VLOOKUP(B$87&amp;"_1",管理者用人口入力シート!A:X,D92,FALSE),0)</f>
        <v>37</v>
      </c>
      <c r="C92" s="17">
        <f>ROUND(VLOOKUP(B$87&amp;"_2",管理者用人口入力シート!A:X,D92,FALSE),0)</f>
        <v>26</v>
      </c>
      <c r="D92" s="2">
        <v>7</v>
      </c>
      <c r="G92" s="2" t="s">
        <v>115</v>
      </c>
      <c r="H92" s="18" t="s">
        <v>243</v>
      </c>
      <c r="I92" s="18" t="s">
        <v>244</v>
      </c>
      <c r="K92" s="209"/>
      <c r="N92" s="2" t="s">
        <v>115</v>
      </c>
      <c r="O92" s="18" t="s">
        <v>21</v>
      </c>
      <c r="P92" s="18" t="s">
        <v>22</v>
      </c>
    </row>
    <row r="93" spans="1:21" x14ac:dyDescent="0.15">
      <c r="A93" s="2" t="s">
        <v>4</v>
      </c>
      <c r="B93" s="17">
        <f>ROUND(VLOOKUP(B$87&amp;"_1",管理者用人口入力シート!A:X,D93,FALSE),0)</f>
        <v>54</v>
      </c>
      <c r="C93" s="17">
        <f>ROUND(VLOOKUP(B$87&amp;"_2",管理者用人口入力シート!A:X,D93,FALSE),0)</f>
        <v>30</v>
      </c>
      <c r="D93" s="2">
        <v>8</v>
      </c>
      <c r="G93" s="2" t="s">
        <v>0</v>
      </c>
      <c r="H93" s="17">
        <f>ROUND(VLOOKUP(H$91&amp;"_1",管理者用人口入力シート!BH:CE,J93,FALSE),0)</f>
        <v>22</v>
      </c>
      <c r="I93" s="17">
        <f>ROUND(VLOOKUP(H$91&amp;"_2",管理者用人口入力シート!BH:CE,J93,FALSE),0)</f>
        <v>20</v>
      </c>
      <c r="J93" s="2">
        <v>4</v>
      </c>
      <c r="K93" s="12"/>
      <c r="N93" s="2" t="s">
        <v>0</v>
      </c>
      <c r="O93" s="17">
        <f>ROUND(VLOOKUP(O$91&amp;"_1",管理者用人口入力シート!CO:DL,Q93,FALSE),0)</f>
        <v>23</v>
      </c>
      <c r="P93" s="17">
        <f>ROUND(VLOOKUP(O$91&amp;"_2",管理者用人口入力シート!CO:DL,Q93,FALSE),0)</f>
        <v>22</v>
      </c>
      <c r="Q93" s="2">
        <v>4</v>
      </c>
      <c r="T93" s="85"/>
    </row>
    <row r="94" spans="1:21" x14ac:dyDescent="0.15">
      <c r="A94" s="2" t="s">
        <v>5</v>
      </c>
      <c r="B94" s="17">
        <f>ROUND(VLOOKUP(B$87&amp;"_1",管理者用人口入力シート!A:X,D94,FALSE),0)</f>
        <v>49</v>
      </c>
      <c r="C94" s="17">
        <f>ROUND(VLOOKUP(B$87&amp;"_2",管理者用人口入力シート!A:X,D94,FALSE),0)</f>
        <v>40</v>
      </c>
      <c r="D94" s="2">
        <v>9</v>
      </c>
      <c r="G94" s="2" t="s">
        <v>1</v>
      </c>
      <c r="H94" s="17">
        <f>ROUND(VLOOKUP(H$91&amp;"_1",管理者用人口入力シート!BH:CE,J94,FALSE),0)</f>
        <v>25</v>
      </c>
      <c r="I94" s="17">
        <f>ROUND(VLOOKUP(H$91&amp;"_2",管理者用人口入力シート!BH:CE,J94,FALSE),0)</f>
        <v>21</v>
      </c>
      <c r="J94" s="2">
        <v>5</v>
      </c>
      <c r="K94" s="12"/>
      <c r="N94" s="2" t="s">
        <v>1</v>
      </c>
      <c r="O94" s="17">
        <f>ROUND(VLOOKUP(O$91&amp;"_1",管理者用人口入力シート!CO:DL,Q94,FALSE),0)</f>
        <v>26</v>
      </c>
      <c r="P94" s="17">
        <f>ROUND(VLOOKUP(O$91&amp;"_2",管理者用人口入力シート!CO:DL,Q94,FALSE),0)</f>
        <v>22</v>
      </c>
      <c r="Q94" s="2">
        <v>5</v>
      </c>
      <c r="T94" s="85"/>
    </row>
    <row r="95" spans="1:21" x14ac:dyDescent="0.15">
      <c r="A95" s="2" t="s">
        <v>6</v>
      </c>
      <c r="B95" s="17">
        <f>ROUND(VLOOKUP(B$87&amp;"_1",管理者用人口入力シート!A:X,D95,FALSE),0)</f>
        <v>34</v>
      </c>
      <c r="C95" s="17">
        <f>ROUND(VLOOKUP(B$87&amp;"_2",管理者用人口入力シート!A:X,D95,FALSE),0)</f>
        <v>40</v>
      </c>
      <c r="D95" s="2">
        <v>10</v>
      </c>
      <c r="G95" s="2" t="s">
        <v>2</v>
      </c>
      <c r="H95" s="17">
        <f>ROUND(VLOOKUP(H$91&amp;"_1",管理者用人口入力シート!BH:CE,J95,FALSE),0)</f>
        <v>27</v>
      </c>
      <c r="I95" s="17">
        <f>ROUND(VLOOKUP(H$91&amp;"_2",管理者用人口入力シート!BH:CE,J95,FALSE),0)</f>
        <v>24</v>
      </c>
      <c r="J95" s="2">
        <v>6</v>
      </c>
      <c r="K95" s="12"/>
      <c r="N95" s="2" t="s">
        <v>2</v>
      </c>
      <c r="O95" s="17">
        <f>ROUND(VLOOKUP(O$91&amp;"_1",管理者用人口入力シート!CO:DL,Q95,FALSE),0)</f>
        <v>28</v>
      </c>
      <c r="P95" s="17">
        <f>ROUND(VLOOKUP(O$91&amp;"_2",管理者用人口入力シート!CO:DL,Q95,FALSE),0)</f>
        <v>25</v>
      </c>
      <c r="Q95" s="2">
        <v>6</v>
      </c>
      <c r="T95" s="85"/>
    </row>
    <row r="96" spans="1:21" x14ac:dyDescent="0.15">
      <c r="A96" s="2" t="s">
        <v>7</v>
      </c>
      <c r="B96" s="17">
        <f>ROUND(VLOOKUP(B$87&amp;"_1",管理者用人口入力シート!A:X,D96,FALSE),0)</f>
        <v>48</v>
      </c>
      <c r="C96" s="17">
        <f>ROUND(VLOOKUP(B$87&amp;"_2",管理者用人口入力シート!A:X,D96,FALSE),0)</f>
        <v>49</v>
      </c>
      <c r="D96" s="2">
        <v>11</v>
      </c>
      <c r="G96" s="2" t="s">
        <v>3</v>
      </c>
      <c r="H96" s="17">
        <f>ROUND(VLOOKUP(H$91&amp;"_1",管理者用人口入力シート!BH:CE,J96,FALSE),0)</f>
        <v>27</v>
      </c>
      <c r="I96" s="17">
        <f>ROUND(VLOOKUP(H$91&amp;"_2",管理者用人口入力シート!BH:CE,J96,FALSE),0)</f>
        <v>21</v>
      </c>
      <c r="J96" s="2">
        <v>7</v>
      </c>
      <c r="K96" s="12"/>
      <c r="N96" s="2" t="s">
        <v>3</v>
      </c>
      <c r="O96" s="17">
        <f>ROUND(VLOOKUP(O$91&amp;"_1",管理者用人口入力シート!CO:DL,Q96,FALSE),0)</f>
        <v>28</v>
      </c>
      <c r="P96" s="17">
        <f>ROUND(VLOOKUP(O$91&amp;"_2",管理者用人口入力シート!CO:DL,Q96,FALSE),0)</f>
        <v>22</v>
      </c>
      <c r="Q96" s="2">
        <v>7</v>
      </c>
      <c r="T96" s="85"/>
    </row>
    <row r="97" spans="1:20" x14ac:dyDescent="0.15">
      <c r="A97" s="2" t="s">
        <v>8</v>
      </c>
      <c r="B97" s="17">
        <f>ROUND(VLOOKUP(B$87&amp;"_1",管理者用人口入力シート!A:X,D97,FALSE),0)</f>
        <v>61</v>
      </c>
      <c r="C97" s="17">
        <f>ROUND(VLOOKUP(B$87&amp;"_2",管理者用人口入力シート!A:X,D97,FALSE),0)</f>
        <v>61</v>
      </c>
      <c r="D97" s="2">
        <v>12</v>
      </c>
      <c r="G97" s="2" t="s">
        <v>4</v>
      </c>
      <c r="H97" s="17">
        <f>ROUND(VLOOKUP(H$91&amp;"_1",管理者用人口入力シート!BH:CE,J97,FALSE),0)</f>
        <v>36</v>
      </c>
      <c r="I97" s="17">
        <f>ROUND(VLOOKUP(H$91&amp;"_2",管理者用人口入力シート!BH:CE,J97,FALSE),0)</f>
        <v>24</v>
      </c>
      <c r="J97" s="2">
        <v>8</v>
      </c>
      <c r="K97" s="12"/>
      <c r="N97" s="2" t="s">
        <v>4</v>
      </c>
      <c r="O97" s="17">
        <f>ROUND(VLOOKUP(O$91&amp;"_1",管理者用人口入力シート!CO:DL,Q97,FALSE),0)</f>
        <v>36</v>
      </c>
      <c r="P97" s="17">
        <f>ROUND(VLOOKUP(O$91&amp;"_2",管理者用人口入力シート!CO:DL,Q97,FALSE),0)</f>
        <v>24</v>
      </c>
      <c r="Q97" s="2">
        <v>8</v>
      </c>
      <c r="T97" s="85"/>
    </row>
    <row r="98" spans="1:20" x14ac:dyDescent="0.15">
      <c r="A98" s="2" t="s">
        <v>9</v>
      </c>
      <c r="B98" s="17">
        <f>ROUND(VLOOKUP(B$87&amp;"_1",管理者用人口入力シート!A:X,D98,FALSE),0)</f>
        <v>54</v>
      </c>
      <c r="C98" s="17">
        <f>ROUND(VLOOKUP(B$87&amp;"_2",管理者用人口入力シート!A:X,D98,FALSE),0)</f>
        <v>44</v>
      </c>
      <c r="D98" s="2">
        <v>13</v>
      </c>
      <c r="G98" s="2" t="s">
        <v>5</v>
      </c>
      <c r="H98" s="17">
        <f>ROUND(VLOOKUP(H$91&amp;"_1",管理者用人口入力シート!BH:CE,J98,FALSE),0)</f>
        <v>32</v>
      </c>
      <c r="I98" s="17">
        <f>ROUND(VLOOKUP(H$91&amp;"_2",管理者用人口入力シート!BH:CE,J98,FALSE),0)</f>
        <v>20</v>
      </c>
      <c r="J98" s="2">
        <v>9</v>
      </c>
      <c r="K98" s="12"/>
      <c r="N98" s="2" t="s">
        <v>5</v>
      </c>
      <c r="O98" s="17">
        <f>ROUND(VLOOKUP(O$91&amp;"_1",管理者用人口入力シート!CO:DL,Q98,FALSE),0)</f>
        <v>34</v>
      </c>
      <c r="P98" s="17">
        <f>ROUND(VLOOKUP(O$91&amp;"_2",管理者用人口入力シート!CO:DL,Q98,FALSE),0)</f>
        <v>22</v>
      </c>
      <c r="Q98" s="2">
        <v>9</v>
      </c>
      <c r="T98" s="85"/>
    </row>
    <row r="99" spans="1:20" x14ac:dyDescent="0.15">
      <c r="A99" s="2" t="s">
        <v>10</v>
      </c>
      <c r="B99" s="17">
        <f>ROUND(VLOOKUP(B$87&amp;"_1",管理者用人口入力シート!A:X,D99,FALSE),0)</f>
        <v>63</v>
      </c>
      <c r="C99" s="17">
        <f>ROUND(VLOOKUP(B$87&amp;"_2",管理者用人口入力シート!A:X,D99,FALSE),0)</f>
        <v>66</v>
      </c>
      <c r="D99" s="2">
        <v>14</v>
      </c>
      <c r="G99" s="2" t="s">
        <v>6</v>
      </c>
      <c r="H99" s="17">
        <f>ROUND(VLOOKUP(H$91&amp;"_1",管理者用人口入力シート!BH:CE,J99,FALSE),0)</f>
        <v>40</v>
      </c>
      <c r="I99" s="17">
        <f>ROUND(VLOOKUP(H$91&amp;"_2",管理者用人口入力シート!BH:CE,J99,FALSE),0)</f>
        <v>26</v>
      </c>
      <c r="J99" s="2">
        <v>10</v>
      </c>
      <c r="K99" s="12"/>
      <c r="N99" s="2" t="s">
        <v>6</v>
      </c>
      <c r="O99" s="17">
        <f>ROUND(VLOOKUP(O$91&amp;"_1",管理者用人口入力シート!CO:DL,Q99,FALSE),0)</f>
        <v>42</v>
      </c>
      <c r="P99" s="17">
        <f>ROUND(VLOOKUP(O$91&amp;"_2",管理者用人口入力シート!CO:DL,Q99,FALSE),0)</f>
        <v>28</v>
      </c>
      <c r="Q99" s="2">
        <v>10</v>
      </c>
      <c r="T99" s="85"/>
    </row>
    <row r="100" spans="1:20" x14ac:dyDescent="0.15">
      <c r="A100" s="2" t="s">
        <v>11</v>
      </c>
      <c r="B100" s="17">
        <f>ROUND(VLOOKUP(B$87&amp;"_1",管理者用人口入力シート!A:X,D100,FALSE),0)</f>
        <v>65</v>
      </c>
      <c r="C100" s="17">
        <f>ROUND(VLOOKUP(B$87&amp;"_2",管理者用人口入力シート!A:X,D100,FALSE),0)</f>
        <v>66</v>
      </c>
      <c r="D100" s="2">
        <v>15</v>
      </c>
      <c r="G100" s="2" t="s">
        <v>7</v>
      </c>
      <c r="H100" s="17">
        <f>ROUND(VLOOKUP(H$91&amp;"_1",管理者用人口入力シート!BH:CE,J100,FALSE),0)</f>
        <v>42</v>
      </c>
      <c r="I100" s="17">
        <f>ROUND(VLOOKUP(H$91&amp;"_2",管理者用人口入力シート!BH:CE,J100,FALSE),0)</f>
        <v>37</v>
      </c>
      <c r="J100" s="2">
        <v>11</v>
      </c>
      <c r="K100" s="12"/>
      <c r="N100" s="2" t="s">
        <v>7</v>
      </c>
      <c r="O100" s="17">
        <f>ROUND(VLOOKUP(O$91&amp;"_1",管理者用人口入力シート!CO:DL,Q100,FALSE),0)</f>
        <v>42</v>
      </c>
      <c r="P100" s="17">
        <f>ROUND(VLOOKUP(O$91&amp;"_2",管理者用人口入力シート!CO:DL,Q100,FALSE),0)</f>
        <v>37</v>
      </c>
      <c r="Q100" s="2">
        <v>11</v>
      </c>
      <c r="T100" s="85"/>
    </row>
    <row r="101" spans="1:20" x14ac:dyDescent="0.15">
      <c r="A101" s="2" t="s">
        <v>12</v>
      </c>
      <c r="B101" s="17">
        <f>ROUND(VLOOKUP(B$87&amp;"_1",管理者用人口入力シート!A:X,D101,FALSE),0)</f>
        <v>75</v>
      </c>
      <c r="C101" s="17">
        <f>ROUND(VLOOKUP(B$87&amp;"_2",管理者用人口入力シート!A:X,D101,FALSE),0)</f>
        <v>71</v>
      </c>
      <c r="D101" s="2">
        <v>16</v>
      </c>
      <c r="G101" s="2" t="s">
        <v>8</v>
      </c>
      <c r="H101" s="17">
        <f>ROUND(VLOOKUP(H$91&amp;"_1",管理者用人口入力シート!BH:CE,J101,FALSE),0)</f>
        <v>29</v>
      </c>
      <c r="I101" s="17">
        <f>ROUND(VLOOKUP(H$91&amp;"_2",管理者用人口入力シート!BH:CE,J101,FALSE),0)</f>
        <v>37</v>
      </c>
      <c r="J101" s="2">
        <v>12</v>
      </c>
      <c r="K101" s="12"/>
      <c r="N101" s="2" t="s">
        <v>8</v>
      </c>
      <c r="O101" s="17">
        <f>ROUND(VLOOKUP(O$91&amp;"_1",管理者用人口入力シート!CO:DL,Q101,FALSE),0)</f>
        <v>29</v>
      </c>
      <c r="P101" s="17">
        <f>ROUND(VLOOKUP(O$91&amp;"_2",管理者用人口入力シート!CO:DL,Q101,FALSE),0)</f>
        <v>38</v>
      </c>
      <c r="Q101" s="2">
        <v>12</v>
      </c>
      <c r="T101" s="85"/>
    </row>
    <row r="102" spans="1:20" x14ac:dyDescent="0.15">
      <c r="A102" s="2" t="s">
        <v>13</v>
      </c>
      <c r="B102" s="17">
        <f>ROUND(VLOOKUP(B$87&amp;"_1",管理者用人口入力シート!A:X,D102,FALSE),0)</f>
        <v>68</v>
      </c>
      <c r="C102" s="17">
        <f>ROUND(VLOOKUP(B$87&amp;"_2",管理者用人口入力シート!A:X,D102,FALSE),0)</f>
        <v>94</v>
      </c>
      <c r="D102" s="2">
        <v>17</v>
      </c>
      <c r="G102" s="2" t="s">
        <v>9</v>
      </c>
      <c r="H102" s="17">
        <f>ROUND(VLOOKUP(H$91&amp;"_1",管理者用人口入力シート!BH:CE,J102,FALSE),0)</f>
        <v>44</v>
      </c>
      <c r="I102" s="17">
        <f>ROUND(VLOOKUP(H$91&amp;"_2",管理者用人口入力シート!BH:CE,J102,FALSE),0)</f>
        <v>40</v>
      </c>
      <c r="J102" s="2">
        <v>13</v>
      </c>
      <c r="K102" s="12"/>
      <c r="N102" s="2" t="s">
        <v>9</v>
      </c>
      <c r="O102" s="17">
        <f>ROUND(VLOOKUP(O$91&amp;"_1",管理者用人口入力シート!CO:DL,Q102,FALSE),0)</f>
        <v>44</v>
      </c>
      <c r="P102" s="17">
        <f>ROUND(VLOOKUP(O$91&amp;"_2",管理者用人口入力シート!CO:DL,Q102,FALSE),0)</f>
        <v>41</v>
      </c>
      <c r="Q102" s="2">
        <v>13</v>
      </c>
      <c r="T102" s="85"/>
    </row>
    <row r="103" spans="1:20" x14ac:dyDescent="0.15">
      <c r="A103" s="2" t="s">
        <v>14</v>
      </c>
      <c r="B103" s="17">
        <f>ROUND(VLOOKUP(B$87&amp;"_1",管理者用人口入力シート!A:X,D103,FALSE),0)</f>
        <v>72</v>
      </c>
      <c r="C103" s="17">
        <f>ROUND(VLOOKUP(B$87&amp;"_2",管理者用人口入力シート!A:X,D103,FALSE),0)</f>
        <v>78</v>
      </c>
      <c r="D103" s="2">
        <v>18</v>
      </c>
      <c r="G103" s="2" t="s">
        <v>10</v>
      </c>
      <c r="H103" s="17">
        <f>ROUND(VLOOKUP(H$91&amp;"_1",管理者用人口入力シート!BH:CE,J103,FALSE),0)</f>
        <v>60</v>
      </c>
      <c r="I103" s="17">
        <f>ROUND(VLOOKUP(H$91&amp;"_2",管理者用人口入力シート!BH:CE,J103,FALSE),0)</f>
        <v>58</v>
      </c>
      <c r="J103" s="2">
        <v>14</v>
      </c>
      <c r="K103" s="12"/>
      <c r="N103" s="2" t="s">
        <v>10</v>
      </c>
      <c r="O103" s="17">
        <f>ROUND(VLOOKUP(O$91&amp;"_1",管理者用人口入力シート!CO:DL,Q103,FALSE),0)</f>
        <v>60</v>
      </c>
      <c r="P103" s="17">
        <f>ROUND(VLOOKUP(O$91&amp;"_2",管理者用人口入力シート!CO:DL,Q103,FALSE),0)</f>
        <v>58</v>
      </c>
      <c r="Q103" s="2">
        <v>14</v>
      </c>
      <c r="T103" s="85"/>
    </row>
    <row r="104" spans="1:20" x14ac:dyDescent="0.15">
      <c r="A104" s="2" t="s">
        <v>15</v>
      </c>
      <c r="B104" s="17">
        <f>ROUND(VLOOKUP(B$87&amp;"_1",管理者用人口入力シート!A:X,D104,FALSE),0)</f>
        <v>48</v>
      </c>
      <c r="C104" s="17">
        <f>ROUND(VLOOKUP(B$87&amp;"_2",管理者用人口入力シート!A:X,D104,FALSE),0)</f>
        <v>73</v>
      </c>
      <c r="D104" s="2">
        <v>19</v>
      </c>
      <c r="G104" s="2" t="s">
        <v>11</v>
      </c>
      <c r="H104" s="17">
        <f>ROUND(VLOOKUP(H$91&amp;"_1",管理者用人口入力シート!BH:CE,J104,FALSE),0)</f>
        <v>55</v>
      </c>
      <c r="I104" s="17">
        <f>ROUND(VLOOKUP(H$91&amp;"_2",管理者用人口入力シート!BH:CE,J104,FALSE),0)</f>
        <v>49</v>
      </c>
      <c r="J104" s="2">
        <v>15</v>
      </c>
      <c r="K104" s="12"/>
      <c r="N104" s="2" t="s">
        <v>11</v>
      </c>
      <c r="O104" s="17">
        <f>ROUND(VLOOKUP(O$91&amp;"_1",管理者用人口入力シート!CO:DL,Q104,FALSE),0)</f>
        <v>55</v>
      </c>
      <c r="P104" s="17">
        <f>ROUND(VLOOKUP(O$91&amp;"_2",管理者用人口入力シート!CO:DL,Q104,FALSE),0)</f>
        <v>49</v>
      </c>
      <c r="Q104" s="2">
        <v>15</v>
      </c>
      <c r="T104" s="85"/>
    </row>
    <row r="105" spans="1:20" x14ac:dyDescent="0.15">
      <c r="A105" s="2" t="s">
        <v>16</v>
      </c>
      <c r="B105" s="17">
        <f>ROUND(VLOOKUP(B$87&amp;"_1",管理者用人口入力シート!A:X,D105,FALSE),0)</f>
        <v>48</v>
      </c>
      <c r="C105" s="17">
        <f>ROUND(VLOOKUP(B$87&amp;"_2",管理者用人口入力シート!A:X,D105,FALSE),0)</f>
        <v>67</v>
      </c>
      <c r="D105" s="2">
        <v>20</v>
      </c>
      <c r="G105" s="2" t="s">
        <v>12</v>
      </c>
      <c r="H105" s="17">
        <f>ROUND(VLOOKUP(H$91&amp;"_1",管理者用人口入力シート!BH:CE,J105,FALSE),0)</f>
        <v>67</v>
      </c>
      <c r="I105" s="17">
        <f>ROUND(VLOOKUP(H$91&amp;"_2",管理者用人口入力シート!BH:CE,J105,FALSE),0)</f>
        <v>64</v>
      </c>
      <c r="J105" s="2">
        <v>16</v>
      </c>
      <c r="K105" s="12"/>
      <c r="N105" s="2" t="s">
        <v>12</v>
      </c>
      <c r="O105" s="17">
        <f>ROUND(VLOOKUP(O$91&amp;"_1",管理者用人口入力シート!CO:DL,Q105,FALSE),0)</f>
        <v>67</v>
      </c>
      <c r="P105" s="17">
        <f>ROUND(VLOOKUP(O$91&amp;"_2",管理者用人口入力シート!CO:DL,Q105,FALSE),0)</f>
        <v>64</v>
      </c>
      <c r="Q105" s="2">
        <v>16</v>
      </c>
      <c r="T105" s="85"/>
    </row>
    <row r="106" spans="1:20" x14ac:dyDescent="0.15">
      <c r="A106" s="2" t="s">
        <v>17</v>
      </c>
      <c r="B106" s="17">
        <f>ROUND(VLOOKUP(B$87&amp;"_1",管理者用人口入力シート!A:X,D106,FALSE),0)</f>
        <v>33</v>
      </c>
      <c r="C106" s="17">
        <f>ROUND(VLOOKUP(B$87&amp;"_2",管理者用人口入力シート!A:X,D106,FALSE),0)</f>
        <v>63</v>
      </c>
      <c r="D106" s="2">
        <v>21</v>
      </c>
      <c r="G106" s="2" t="s">
        <v>13</v>
      </c>
      <c r="H106" s="17">
        <f>ROUND(VLOOKUP(H$91&amp;"_1",管理者用人口入力シート!BH:CE,J106,FALSE),0)</f>
        <v>63</v>
      </c>
      <c r="I106" s="17">
        <f>ROUND(VLOOKUP(H$91&amp;"_2",管理者用人口入力シート!BH:CE,J106,FALSE),0)</f>
        <v>66</v>
      </c>
      <c r="J106" s="2">
        <v>17</v>
      </c>
      <c r="K106" s="12"/>
      <c r="N106" s="2" t="s">
        <v>13</v>
      </c>
      <c r="O106" s="17">
        <f>ROUND(VLOOKUP(O$91&amp;"_1",管理者用人口入力シート!CO:DL,Q106,FALSE),0)</f>
        <v>63</v>
      </c>
      <c r="P106" s="17">
        <f>ROUND(VLOOKUP(O$91&amp;"_2",管理者用人口入力シート!CO:DL,Q106,FALSE),0)</f>
        <v>66</v>
      </c>
      <c r="Q106" s="2">
        <v>17</v>
      </c>
      <c r="T106" s="85"/>
    </row>
    <row r="107" spans="1:20" x14ac:dyDescent="0.15">
      <c r="A107" s="2" t="s">
        <v>18</v>
      </c>
      <c r="B107" s="17">
        <f>ROUND(VLOOKUP(B$87&amp;"_1",管理者用人口入力シート!A:X,D107,FALSE),0)</f>
        <v>13</v>
      </c>
      <c r="C107" s="17">
        <f>ROUND(VLOOKUP(B$87&amp;"_2",管理者用人口入力シート!A:X,D107,FALSE),0)</f>
        <v>43</v>
      </c>
      <c r="D107" s="2">
        <v>22</v>
      </c>
      <c r="G107" s="2" t="s">
        <v>14</v>
      </c>
      <c r="H107" s="17">
        <f>ROUND(VLOOKUP(H$91&amp;"_1",管理者用人口入力シート!BH:CE,J107,FALSE),0)</f>
        <v>67</v>
      </c>
      <c r="I107" s="17">
        <f>ROUND(VLOOKUP(H$91&amp;"_2",管理者用人口入力シート!BH:CE,J107,FALSE),0)</f>
        <v>70</v>
      </c>
      <c r="J107" s="2">
        <v>18</v>
      </c>
      <c r="K107" s="12"/>
      <c r="N107" s="2" t="s">
        <v>14</v>
      </c>
      <c r="O107" s="17">
        <f>ROUND(VLOOKUP(O$91&amp;"_1",管理者用人口入力シート!CO:DL,Q107,FALSE),0)</f>
        <v>67</v>
      </c>
      <c r="P107" s="17">
        <f>ROUND(VLOOKUP(O$91&amp;"_2",管理者用人口入力シート!CO:DL,Q107,FALSE),0)</f>
        <v>70</v>
      </c>
      <c r="Q107" s="2">
        <v>18</v>
      </c>
      <c r="T107" s="85"/>
    </row>
    <row r="108" spans="1:20" x14ac:dyDescent="0.15">
      <c r="A108" s="2" t="s">
        <v>19</v>
      </c>
      <c r="B108" s="17">
        <f>ROUND(VLOOKUP(B$87&amp;"_1",管理者用人口入力シート!A:X,D108,FALSE),0)</f>
        <v>1</v>
      </c>
      <c r="C108" s="17">
        <f>ROUND(VLOOKUP(B$87&amp;"_2",管理者用人口入力シート!A:X,D108,FALSE),0)</f>
        <v>11</v>
      </c>
      <c r="D108" s="2">
        <v>23</v>
      </c>
      <c r="G108" s="2" t="s">
        <v>15</v>
      </c>
      <c r="H108" s="17">
        <f>ROUND(VLOOKUP(H$91&amp;"_1",管理者用人口入力シート!BH:CE,J108,FALSE),0)</f>
        <v>61</v>
      </c>
      <c r="I108" s="17">
        <f>ROUND(VLOOKUP(H$91&amp;"_2",管理者用人口入力シート!BH:CE,J108,FALSE),0)</f>
        <v>85</v>
      </c>
      <c r="J108" s="2">
        <v>19</v>
      </c>
      <c r="K108" s="12"/>
      <c r="N108" s="2" t="s">
        <v>15</v>
      </c>
      <c r="O108" s="17">
        <f>ROUND(VLOOKUP(O$91&amp;"_1",管理者用人口入力シート!CO:DL,Q108,FALSE),0)</f>
        <v>61</v>
      </c>
      <c r="P108" s="17">
        <f>ROUND(VLOOKUP(O$91&amp;"_2",管理者用人口入力シート!CO:DL,Q108,FALSE),0)</f>
        <v>85</v>
      </c>
      <c r="Q108" s="2">
        <v>19</v>
      </c>
      <c r="T108" s="85"/>
    </row>
    <row r="109" spans="1:20" x14ac:dyDescent="0.15">
      <c r="A109" s="2" t="s">
        <v>20</v>
      </c>
      <c r="B109" s="17">
        <f>ROUND(VLOOKUP(B$87&amp;"_1",管理者用人口入力シート!A:X,D109,FALSE),0)</f>
        <v>1</v>
      </c>
      <c r="C109" s="17">
        <f>ROUND(VLOOKUP(B$87&amp;"_2",管理者用人口入力シート!A:X,D109,FALSE),0)</f>
        <v>3</v>
      </c>
      <c r="D109" s="2">
        <v>24</v>
      </c>
      <c r="G109" s="2" t="s">
        <v>16</v>
      </c>
      <c r="H109" s="17">
        <f>ROUND(VLOOKUP(H$91&amp;"_1",管理者用人口入力シート!BH:CE,J109,FALSE),0)</f>
        <v>47</v>
      </c>
      <c r="I109" s="17">
        <f>ROUND(VLOOKUP(H$91&amp;"_2",管理者用人口入力シート!BH:CE,J109,FALSE),0)</f>
        <v>63</v>
      </c>
      <c r="J109" s="2">
        <v>20</v>
      </c>
      <c r="K109" s="12"/>
      <c r="N109" s="2" t="s">
        <v>16</v>
      </c>
      <c r="O109" s="17">
        <f>ROUND(VLOOKUP(O$91&amp;"_1",管理者用人口入力シート!CO:DL,Q109,FALSE),0)</f>
        <v>47</v>
      </c>
      <c r="P109" s="17">
        <f>ROUND(VLOOKUP(O$91&amp;"_2",管理者用人口入力シート!CO:DL,Q109,FALSE),0)</f>
        <v>63</v>
      </c>
      <c r="Q109" s="2">
        <v>20</v>
      </c>
      <c r="T109" s="85"/>
    </row>
    <row r="110" spans="1:20" x14ac:dyDescent="0.15">
      <c r="G110" s="2" t="s">
        <v>17</v>
      </c>
      <c r="H110" s="17">
        <f>ROUND(VLOOKUP(H$91&amp;"_1",管理者用人口入力シート!BH:CE,J110,FALSE),0)</f>
        <v>22</v>
      </c>
      <c r="I110" s="17">
        <f>ROUND(VLOOKUP(H$91&amp;"_2",管理者用人口入力シート!BH:CE,J110,FALSE),0)</f>
        <v>50</v>
      </c>
      <c r="J110" s="2">
        <v>21</v>
      </c>
      <c r="K110" s="12"/>
      <c r="N110" s="2" t="s">
        <v>17</v>
      </c>
      <c r="O110" s="17">
        <f>ROUND(VLOOKUP(O$91&amp;"_1",管理者用人口入力シート!CO:DL,Q110,FALSE),0)</f>
        <v>22</v>
      </c>
      <c r="P110" s="17">
        <f>ROUND(VLOOKUP(O$91&amp;"_2",管理者用人口入力シート!CO:DL,Q110,FALSE),0)</f>
        <v>50</v>
      </c>
      <c r="Q110" s="2">
        <v>21</v>
      </c>
      <c r="T110" s="85"/>
    </row>
    <row r="111" spans="1:20" x14ac:dyDescent="0.15">
      <c r="G111" s="2" t="s">
        <v>18</v>
      </c>
      <c r="H111" s="17">
        <f>ROUND(VLOOKUP(H$91&amp;"_1",管理者用人口入力シート!BH:CE,J111,FALSE),0)</f>
        <v>9</v>
      </c>
      <c r="I111" s="17">
        <f>ROUND(VLOOKUP(H$91&amp;"_2",管理者用人口入力シート!BH:CE,J111,FALSE),0)</f>
        <v>30</v>
      </c>
      <c r="J111" s="2">
        <v>22</v>
      </c>
      <c r="K111" s="12"/>
      <c r="N111" s="2" t="s">
        <v>18</v>
      </c>
      <c r="O111" s="17">
        <f>ROUND(VLOOKUP(O$91&amp;"_1",管理者用人口入力シート!CO:DL,Q111,FALSE),0)</f>
        <v>9</v>
      </c>
      <c r="P111" s="17">
        <f>ROUND(VLOOKUP(O$91&amp;"_2",管理者用人口入力シート!CO:DL,Q111,FALSE),0)</f>
        <v>30</v>
      </c>
      <c r="Q111" s="2">
        <v>22</v>
      </c>
      <c r="T111" s="85"/>
    </row>
    <row r="112" spans="1:20" x14ac:dyDescent="0.15">
      <c r="G112" s="2" t="s">
        <v>19</v>
      </c>
      <c r="H112" s="17">
        <f>ROUND(VLOOKUP(H$91&amp;"_1",管理者用人口入力シート!BH:CE,J112,FALSE),0)</f>
        <v>2</v>
      </c>
      <c r="I112" s="17">
        <f>ROUND(VLOOKUP(H$91&amp;"_2",管理者用人口入力シート!BH:CE,J112,FALSE),0)</f>
        <v>13</v>
      </c>
      <c r="J112" s="2">
        <v>23</v>
      </c>
      <c r="K112" s="12"/>
      <c r="N112" s="2" t="s">
        <v>19</v>
      </c>
      <c r="O112" s="17">
        <f>ROUND(VLOOKUP(O$91&amp;"_1",管理者用人口入力シート!CO:DL,Q112,FALSE),0)</f>
        <v>2</v>
      </c>
      <c r="P112" s="17">
        <f>ROUND(VLOOKUP(O$91&amp;"_2",管理者用人口入力シート!CO:DL,Q112,FALSE),0)</f>
        <v>13</v>
      </c>
      <c r="Q112" s="2">
        <v>23</v>
      </c>
      <c r="T112" s="85"/>
    </row>
    <row r="113" spans="7:20" x14ac:dyDescent="0.15">
      <c r="G113" s="2" t="s">
        <v>20</v>
      </c>
      <c r="H113" s="17">
        <f>ROUND(VLOOKUP(H$91&amp;"_1",管理者用人口入力シート!BH:CE,J113,FALSE),0)</f>
        <v>0</v>
      </c>
      <c r="I113" s="17">
        <f>ROUND(VLOOKUP(H$91&amp;"_2",管理者用人口入力シート!BH:CE,J113,FALSE),0)</f>
        <v>6</v>
      </c>
      <c r="J113" s="2">
        <v>24</v>
      </c>
      <c r="K113" s="12"/>
      <c r="N113" s="2" t="s">
        <v>20</v>
      </c>
      <c r="O113" s="17">
        <f>ROUND(VLOOKUP(O$91&amp;"_1",管理者用人口入力シート!CO:DL,Q113,FALSE),0)</f>
        <v>0</v>
      </c>
      <c r="P113" s="17">
        <f>ROUND(VLOOKUP(O$91&amp;"_2",管理者用人口入力シート!CO:DL,Q113,FALSE),0)</f>
        <v>6</v>
      </c>
      <c r="Q113" s="2">
        <v>24</v>
      </c>
      <c r="T113" s="85"/>
    </row>
    <row r="115" spans="7:20" x14ac:dyDescent="0.15">
      <c r="G115" s="2" t="s">
        <v>394</v>
      </c>
      <c r="H115" s="315">
        <f>管理者入力シート!B10</f>
        <v>2035</v>
      </c>
      <c r="I115" s="316"/>
      <c r="J115" s="2" t="s">
        <v>114</v>
      </c>
      <c r="O115" s="315">
        <f>管理者入力シート!B10</f>
        <v>2035</v>
      </c>
      <c r="P115" s="316"/>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17</v>
      </c>
      <c r="I117" s="17">
        <f>ROUND(VLOOKUP(H$115&amp;"_2",管理者用人口入力シート!BH:CE,J117,FALSE),0)</f>
        <v>16</v>
      </c>
      <c r="J117" s="2">
        <v>4</v>
      </c>
      <c r="N117" s="2" t="s">
        <v>0</v>
      </c>
      <c r="O117" s="17">
        <f>ROUND(VLOOKUP(O$115&amp;"_1",管理者用人口入力シート!CO:DL,Q117,FALSE),0)</f>
        <v>19</v>
      </c>
      <c r="P117" s="17">
        <f>ROUND(VLOOKUP(O$115&amp;"_2",管理者用人口入力シート!CO:DL,Q117,FALSE),0)</f>
        <v>18</v>
      </c>
      <c r="Q117" s="2">
        <v>4</v>
      </c>
      <c r="T117" s="85"/>
    </row>
    <row r="118" spans="7:20" x14ac:dyDescent="0.15">
      <c r="G118" s="2" t="s">
        <v>1</v>
      </c>
      <c r="H118" s="17">
        <f>ROUND(VLOOKUP(H$115&amp;"_1",管理者用人口入力シート!BH:CE,J118,FALSE),0)</f>
        <v>22</v>
      </c>
      <c r="I118" s="17">
        <f>ROUND(VLOOKUP(H$115&amp;"_2",管理者用人口入力シート!BH:CE,J118,FALSE),0)</f>
        <v>18</v>
      </c>
      <c r="J118" s="2">
        <v>5</v>
      </c>
      <c r="N118" s="2" t="s">
        <v>1</v>
      </c>
      <c r="O118" s="17">
        <f>ROUND(VLOOKUP(O$115&amp;"_1",管理者用人口入力シート!CO:DL,Q118,FALSE),0)</f>
        <v>23</v>
      </c>
      <c r="P118" s="17">
        <f>ROUND(VLOOKUP(O$115&amp;"_2",管理者用人口入力シート!CO:DL,Q118,FALSE),0)</f>
        <v>19</v>
      </c>
      <c r="Q118" s="2">
        <v>5</v>
      </c>
      <c r="T118" s="85"/>
    </row>
    <row r="119" spans="7:20" x14ac:dyDescent="0.15">
      <c r="G119" s="2" t="s">
        <v>2</v>
      </c>
      <c r="H119" s="17">
        <f>ROUND(VLOOKUP(H$115&amp;"_1",管理者用人口入力シート!BH:CE,J119,FALSE),0)</f>
        <v>21</v>
      </c>
      <c r="I119" s="17">
        <f>ROUND(VLOOKUP(H$115&amp;"_2",管理者用人口入力シート!BH:CE,J119,FALSE),0)</f>
        <v>19</v>
      </c>
      <c r="J119" s="2">
        <v>6</v>
      </c>
      <c r="N119" s="2" t="s">
        <v>2</v>
      </c>
      <c r="O119" s="17">
        <f>ROUND(VLOOKUP(O$115&amp;"_1",管理者用人口入力シート!CO:DL,Q119,FALSE),0)</f>
        <v>23</v>
      </c>
      <c r="P119" s="17">
        <f>ROUND(VLOOKUP(O$115&amp;"_2",管理者用人口入力シート!CO:DL,Q119,FALSE),0)</f>
        <v>21</v>
      </c>
      <c r="Q119" s="2">
        <v>6</v>
      </c>
      <c r="T119" s="85"/>
    </row>
    <row r="120" spans="7:20" x14ac:dyDescent="0.15">
      <c r="G120" s="2" t="s">
        <v>3</v>
      </c>
      <c r="H120" s="17">
        <f>ROUND(VLOOKUP(H$115&amp;"_1",管理者用人口入力シート!BH:CE,J120,FALSE),0)</f>
        <v>21</v>
      </c>
      <c r="I120" s="17">
        <f>ROUND(VLOOKUP(H$115&amp;"_2",管理者用人口入力シート!BH:CE,J120,FALSE),0)</f>
        <v>16</v>
      </c>
      <c r="J120" s="2">
        <v>7</v>
      </c>
      <c r="N120" s="2" t="s">
        <v>3</v>
      </c>
      <c r="O120" s="17">
        <f>ROUND(VLOOKUP(O$115&amp;"_1",管理者用人口入力シート!CO:DL,Q120,FALSE),0)</f>
        <v>22</v>
      </c>
      <c r="P120" s="17">
        <f>ROUND(VLOOKUP(O$115&amp;"_2",管理者用人口入力シート!CO:DL,Q120,FALSE),0)</f>
        <v>17</v>
      </c>
      <c r="Q120" s="2">
        <v>7</v>
      </c>
      <c r="T120" s="85"/>
    </row>
    <row r="121" spans="7:20" x14ac:dyDescent="0.15">
      <c r="G121" s="2" t="s">
        <v>4</v>
      </c>
      <c r="H121" s="17">
        <f>ROUND(VLOOKUP(H$115&amp;"_1",管理者用人口入力シート!BH:CE,J121,FALSE),0)</f>
        <v>30</v>
      </c>
      <c r="I121" s="17">
        <f>ROUND(VLOOKUP(H$115&amp;"_2",管理者用人口入力シート!BH:CE,J121,FALSE),0)</f>
        <v>18</v>
      </c>
      <c r="J121" s="2">
        <v>8</v>
      </c>
      <c r="N121" s="2" t="s">
        <v>4</v>
      </c>
      <c r="O121" s="17">
        <f>ROUND(VLOOKUP(O$115&amp;"_1",管理者用人口入力シート!CO:DL,Q121,FALSE),0)</f>
        <v>31</v>
      </c>
      <c r="P121" s="17">
        <f>ROUND(VLOOKUP(O$115&amp;"_2",管理者用人口入力シート!CO:DL,Q121,FALSE),0)</f>
        <v>19</v>
      </c>
      <c r="Q121" s="2">
        <v>8</v>
      </c>
      <c r="T121" s="85"/>
    </row>
    <row r="122" spans="7:20" x14ac:dyDescent="0.15">
      <c r="G122" s="2" t="s">
        <v>5</v>
      </c>
      <c r="H122" s="17">
        <f>ROUND(VLOOKUP(H$115&amp;"_1",管理者用人口入力シート!BH:CE,J122,FALSE),0)</f>
        <v>28</v>
      </c>
      <c r="I122" s="17">
        <f>ROUND(VLOOKUP(H$115&amp;"_2",管理者用人口入力シート!BH:CE,J122,FALSE),0)</f>
        <v>21</v>
      </c>
      <c r="J122" s="2">
        <v>9</v>
      </c>
      <c r="N122" s="2" t="s">
        <v>5</v>
      </c>
      <c r="O122" s="17">
        <f>ROUND(VLOOKUP(O$115&amp;"_1",管理者用人口入力シート!CO:DL,Q122,FALSE),0)</f>
        <v>30</v>
      </c>
      <c r="P122" s="17">
        <f>ROUND(VLOOKUP(O$115&amp;"_2",管理者用人口入力シート!CO:DL,Q122,FALSE),0)</f>
        <v>23</v>
      </c>
      <c r="Q122" s="2">
        <v>9</v>
      </c>
      <c r="T122" s="85"/>
    </row>
    <row r="123" spans="7:20" x14ac:dyDescent="0.15">
      <c r="G123" s="2" t="s">
        <v>6</v>
      </c>
      <c r="H123" s="17">
        <f>ROUND(VLOOKUP(H$115&amp;"_1",管理者用人口入力シート!BH:CE,J123,FALSE),0)</f>
        <v>31</v>
      </c>
      <c r="I123" s="17">
        <f>ROUND(VLOOKUP(H$115&amp;"_2",管理者用人口入力シート!BH:CE,J123,FALSE),0)</f>
        <v>19</v>
      </c>
      <c r="J123" s="2">
        <v>10</v>
      </c>
      <c r="N123" s="2" t="s">
        <v>6</v>
      </c>
      <c r="O123" s="17">
        <f>ROUND(VLOOKUP(O$115&amp;"_1",管理者用人口入力シート!CO:DL,Q123,FALSE),0)</f>
        <v>32</v>
      </c>
      <c r="P123" s="17">
        <f>ROUND(VLOOKUP(O$115&amp;"_2",管理者用人口入力シート!CO:DL,Q123,FALSE),0)</f>
        <v>21</v>
      </c>
      <c r="Q123" s="2">
        <v>10</v>
      </c>
      <c r="T123" s="85"/>
    </row>
    <row r="124" spans="7:20" x14ac:dyDescent="0.15">
      <c r="G124" s="2" t="s">
        <v>7</v>
      </c>
      <c r="H124" s="17">
        <f>ROUND(VLOOKUP(H$115&amp;"_1",管理者用人口入力シート!BH:CE,J124,FALSE),0)</f>
        <v>35</v>
      </c>
      <c r="I124" s="17">
        <f>ROUND(VLOOKUP(H$115&amp;"_2",管理者用人口入力シート!BH:CE,J124,FALSE),0)</f>
        <v>25</v>
      </c>
      <c r="J124" s="2">
        <v>11</v>
      </c>
      <c r="N124" s="2" t="s">
        <v>7</v>
      </c>
      <c r="O124" s="17">
        <f>ROUND(VLOOKUP(O$115&amp;"_1",管理者用人口入力シート!CO:DL,Q124,FALSE),0)</f>
        <v>37</v>
      </c>
      <c r="P124" s="17">
        <f>ROUND(VLOOKUP(O$115&amp;"_2",管理者用人口入力シート!CO:DL,Q124,FALSE),0)</f>
        <v>27</v>
      </c>
      <c r="Q124" s="2">
        <v>11</v>
      </c>
      <c r="T124" s="85"/>
    </row>
    <row r="125" spans="7:20" x14ac:dyDescent="0.15">
      <c r="G125" s="2" t="s">
        <v>8</v>
      </c>
      <c r="H125" s="17">
        <f>ROUND(VLOOKUP(H$115&amp;"_1",管理者用人口入力シート!BH:CE,J125,FALSE),0)</f>
        <v>40</v>
      </c>
      <c r="I125" s="17">
        <f>ROUND(VLOOKUP(H$115&amp;"_2",管理者用人口入力シート!BH:CE,J125,FALSE),0)</f>
        <v>35</v>
      </c>
      <c r="J125" s="2">
        <v>12</v>
      </c>
      <c r="N125" s="2" t="s">
        <v>8</v>
      </c>
      <c r="O125" s="17">
        <f>ROUND(VLOOKUP(O$115&amp;"_1",管理者用人口入力シート!CO:DL,Q125,FALSE),0)</f>
        <v>40</v>
      </c>
      <c r="P125" s="17">
        <f>ROUND(VLOOKUP(O$115&amp;"_2",管理者用人口入力シート!CO:DL,Q125,FALSE),0)</f>
        <v>36</v>
      </c>
      <c r="Q125" s="2">
        <v>12</v>
      </c>
      <c r="T125" s="85"/>
    </row>
    <row r="126" spans="7:20" x14ac:dyDescent="0.15">
      <c r="G126" s="2" t="s">
        <v>9</v>
      </c>
      <c r="H126" s="17">
        <f>ROUND(VLOOKUP(H$115&amp;"_1",管理者用人口入力シート!BH:CE,J126,FALSE),0)</f>
        <v>28</v>
      </c>
      <c r="I126" s="17">
        <f>ROUND(VLOOKUP(H$115&amp;"_2",管理者用人口入力シート!BH:CE,J126,FALSE),0)</f>
        <v>32</v>
      </c>
      <c r="J126" s="2">
        <v>13</v>
      </c>
      <c r="N126" s="2" t="s">
        <v>9</v>
      </c>
      <c r="O126" s="17">
        <f>ROUND(VLOOKUP(O$115&amp;"_1",管理者用人口入力シート!CO:DL,Q126,FALSE),0)</f>
        <v>28</v>
      </c>
      <c r="P126" s="17">
        <f>ROUND(VLOOKUP(O$115&amp;"_2",管理者用人口入力シート!CO:DL,Q126,FALSE),0)</f>
        <v>33</v>
      </c>
      <c r="Q126" s="2">
        <v>13</v>
      </c>
      <c r="T126" s="85"/>
    </row>
    <row r="127" spans="7:20" x14ac:dyDescent="0.15">
      <c r="G127" s="2" t="s">
        <v>10</v>
      </c>
      <c r="H127" s="17">
        <f>ROUND(VLOOKUP(H$115&amp;"_1",管理者用人口入力シート!BH:CE,J127,FALSE),0)</f>
        <v>44</v>
      </c>
      <c r="I127" s="17">
        <f>ROUND(VLOOKUP(H$115&amp;"_2",管理者用人口入力シート!BH:CE,J127,FALSE),0)</f>
        <v>45</v>
      </c>
      <c r="J127" s="2">
        <v>14</v>
      </c>
      <c r="N127" s="2" t="s">
        <v>10</v>
      </c>
      <c r="O127" s="17">
        <f>ROUND(VLOOKUP(O$115&amp;"_1",管理者用人口入力シート!CO:DL,Q127,FALSE),0)</f>
        <v>44</v>
      </c>
      <c r="P127" s="17">
        <f>ROUND(VLOOKUP(O$115&amp;"_2",管理者用人口入力シート!CO:DL,Q127,FALSE),0)</f>
        <v>46</v>
      </c>
      <c r="Q127" s="2">
        <v>14</v>
      </c>
      <c r="T127" s="85"/>
    </row>
    <row r="128" spans="7:20" x14ac:dyDescent="0.15">
      <c r="G128" s="2" t="s">
        <v>11</v>
      </c>
      <c r="H128" s="17">
        <f>ROUND(VLOOKUP(H$115&amp;"_1",管理者用人口入力シート!BH:CE,J128,FALSE),0)</f>
        <v>61</v>
      </c>
      <c r="I128" s="17">
        <f>ROUND(VLOOKUP(H$115&amp;"_2",管理者用人口入力シート!BH:CE,J128,FALSE),0)</f>
        <v>58</v>
      </c>
      <c r="J128" s="2">
        <v>15</v>
      </c>
      <c r="N128" s="2" t="s">
        <v>11</v>
      </c>
      <c r="O128" s="17">
        <f>ROUND(VLOOKUP(O$115&amp;"_1",管理者用人口入力シート!CO:DL,Q128,FALSE),0)</f>
        <v>61</v>
      </c>
      <c r="P128" s="17">
        <f>ROUND(VLOOKUP(O$115&amp;"_2",管理者用人口入力シート!CO:DL,Q128,FALSE),0)</f>
        <v>58</v>
      </c>
      <c r="Q128" s="2">
        <v>15</v>
      </c>
      <c r="T128" s="85"/>
    </row>
    <row r="129" spans="7:20" x14ac:dyDescent="0.15">
      <c r="G129" s="2" t="s">
        <v>12</v>
      </c>
      <c r="H129" s="17">
        <f>ROUND(VLOOKUP(H$115&amp;"_1",管理者用人口入力シート!BH:CE,J129,FALSE),0)</f>
        <v>58</v>
      </c>
      <c r="I129" s="17">
        <f>ROUND(VLOOKUP(H$115&amp;"_2",管理者用人口入力シート!BH:CE,J129,FALSE),0)</f>
        <v>48</v>
      </c>
      <c r="J129" s="2">
        <v>16</v>
      </c>
      <c r="N129" s="2" t="s">
        <v>12</v>
      </c>
      <c r="O129" s="17">
        <f>ROUND(VLOOKUP(O$115&amp;"_1",管理者用人口入力シート!CO:DL,Q129,FALSE),0)</f>
        <v>58</v>
      </c>
      <c r="P129" s="17">
        <f>ROUND(VLOOKUP(O$115&amp;"_2",管理者用人口入力シート!CO:DL,Q129,FALSE),0)</f>
        <v>48</v>
      </c>
      <c r="Q129" s="2">
        <v>16</v>
      </c>
      <c r="T129" s="85"/>
    </row>
    <row r="130" spans="7:20" x14ac:dyDescent="0.15">
      <c r="G130" s="2" t="s">
        <v>13</v>
      </c>
      <c r="H130" s="17">
        <f>ROUND(VLOOKUP(H$115&amp;"_1",管理者用人口入力シート!BH:CE,J130,FALSE),0)</f>
        <v>62</v>
      </c>
      <c r="I130" s="17">
        <f>ROUND(VLOOKUP(H$115&amp;"_2",管理者用人口入力シート!BH:CE,J130,FALSE),0)</f>
        <v>65</v>
      </c>
      <c r="J130" s="2">
        <v>17</v>
      </c>
      <c r="N130" s="2" t="s">
        <v>13</v>
      </c>
      <c r="O130" s="17">
        <f>ROUND(VLOOKUP(O$115&amp;"_1",管理者用人口入力シート!CO:DL,Q130,FALSE),0)</f>
        <v>62</v>
      </c>
      <c r="P130" s="17">
        <f>ROUND(VLOOKUP(O$115&amp;"_2",管理者用人口入力シート!CO:DL,Q130,FALSE),0)</f>
        <v>65</v>
      </c>
      <c r="Q130" s="2">
        <v>17</v>
      </c>
      <c r="T130" s="85"/>
    </row>
    <row r="131" spans="7:20" x14ac:dyDescent="0.15">
      <c r="G131" s="2" t="s">
        <v>14</v>
      </c>
      <c r="H131" s="17">
        <f>ROUND(VLOOKUP(H$115&amp;"_1",管理者用人口入力シート!BH:CE,J131,FALSE),0)</f>
        <v>62</v>
      </c>
      <c r="I131" s="17">
        <f>ROUND(VLOOKUP(H$115&amp;"_2",管理者用人口入力シート!BH:CE,J131,FALSE),0)</f>
        <v>64</v>
      </c>
      <c r="J131" s="2">
        <v>18</v>
      </c>
      <c r="N131" s="2" t="s">
        <v>14</v>
      </c>
      <c r="O131" s="17">
        <f>ROUND(VLOOKUP(O$115&amp;"_1",管理者用人口入力シート!CO:DL,Q131,FALSE),0)</f>
        <v>62</v>
      </c>
      <c r="P131" s="17">
        <f>ROUND(VLOOKUP(O$115&amp;"_2",管理者用人口入力シート!CO:DL,Q131,FALSE),0)</f>
        <v>64</v>
      </c>
      <c r="Q131" s="2">
        <v>18</v>
      </c>
      <c r="T131" s="85"/>
    </row>
    <row r="132" spans="7:20" x14ac:dyDescent="0.15">
      <c r="G132" s="2" t="s">
        <v>15</v>
      </c>
      <c r="H132" s="17">
        <f>ROUND(VLOOKUP(H$115&amp;"_1",管理者用人口入力シート!BH:CE,J132,FALSE),0)</f>
        <v>61</v>
      </c>
      <c r="I132" s="17">
        <f>ROUND(VLOOKUP(H$115&amp;"_2",管理者用人口入力シート!BH:CE,J132,FALSE),0)</f>
        <v>65</v>
      </c>
      <c r="J132" s="2">
        <v>19</v>
      </c>
      <c r="N132" s="2" t="s">
        <v>15</v>
      </c>
      <c r="O132" s="17">
        <f>ROUND(VLOOKUP(O$115&amp;"_1",管理者用人口入力シート!CO:DL,Q132,FALSE),0)</f>
        <v>61</v>
      </c>
      <c r="P132" s="17">
        <f>ROUND(VLOOKUP(O$115&amp;"_2",管理者用人口入力シート!CO:DL,Q132,FALSE),0)</f>
        <v>65</v>
      </c>
      <c r="Q132" s="2">
        <v>19</v>
      </c>
      <c r="T132" s="85"/>
    </row>
    <row r="133" spans="7:20" x14ac:dyDescent="0.15">
      <c r="G133" s="2" t="s">
        <v>16</v>
      </c>
      <c r="H133" s="17">
        <f>ROUND(VLOOKUP(H$115&amp;"_1",管理者用人口入力シート!BH:CE,J133,FALSE),0)</f>
        <v>44</v>
      </c>
      <c r="I133" s="17">
        <f>ROUND(VLOOKUP(H$115&amp;"_2",管理者用人口入力シート!BH:CE,J133,FALSE),0)</f>
        <v>74</v>
      </c>
      <c r="J133" s="2">
        <v>20</v>
      </c>
      <c r="N133" s="2" t="s">
        <v>16</v>
      </c>
      <c r="O133" s="17">
        <f>ROUND(VLOOKUP(O$115&amp;"_1",管理者用人口入力シート!CO:DL,Q133,FALSE),0)</f>
        <v>44</v>
      </c>
      <c r="P133" s="17">
        <f>ROUND(VLOOKUP(O$115&amp;"_2",管理者用人口入力シート!CO:DL,Q133,FALSE),0)</f>
        <v>74</v>
      </c>
      <c r="Q133" s="2">
        <v>20</v>
      </c>
      <c r="T133" s="85"/>
    </row>
    <row r="134" spans="7:20" x14ac:dyDescent="0.15">
      <c r="G134" s="2" t="s">
        <v>17</v>
      </c>
      <c r="H134" s="17">
        <f>ROUND(VLOOKUP(H$115&amp;"_1",管理者用人口入力シート!BH:CE,J134,FALSE),0)</f>
        <v>29</v>
      </c>
      <c r="I134" s="17">
        <f>ROUND(VLOOKUP(H$115&amp;"_2",管理者用人口入力シート!BH:CE,J134,FALSE),0)</f>
        <v>50</v>
      </c>
      <c r="J134" s="2">
        <v>21</v>
      </c>
      <c r="N134" s="2" t="s">
        <v>17</v>
      </c>
      <c r="O134" s="17">
        <f>ROUND(VLOOKUP(O$115&amp;"_1",管理者用人口入力シート!CO:DL,Q134,FALSE),0)</f>
        <v>29</v>
      </c>
      <c r="P134" s="17">
        <f>ROUND(VLOOKUP(O$115&amp;"_2",管理者用人口入力シート!CO:DL,Q134,FALSE),0)</f>
        <v>50</v>
      </c>
      <c r="Q134" s="2">
        <v>21</v>
      </c>
      <c r="T134" s="85"/>
    </row>
    <row r="135" spans="7:20" x14ac:dyDescent="0.15">
      <c r="G135" s="2" t="s">
        <v>18</v>
      </c>
      <c r="H135" s="17">
        <f>ROUND(VLOOKUP(H$115&amp;"_1",管理者用人口入力シート!BH:CE,J135,FALSE),0)</f>
        <v>6</v>
      </c>
      <c r="I135" s="17">
        <f>ROUND(VLOOKUP(H$115&amp;"_2",管理者用人口入力シート!BH:CE,J135,FALSE),0)</f>
        <v>28</v>
      </c>
      <c r="J135" s="2">
        <v>22</v>
      </c>
      <c r="N135" s="2" t="s">
        <v>18</v>
      </c>
      <c r="O135" s="17">
        <f>ROUND(VLOOKUP(O$115&amp;"_1",管理者用人口入力シート!CO:DL,Q135,FALSE),0)</f>
        <v>6</v>
      </c>
      <c r="P135" s="17">
        <f>ROUND(VLOOKUP(O$115&amp;"_2",管理者用人口入力シート!CO:DL,Q135,FALSE),0)</f>
        <v>28</v>
      </c>
      <c r="Q135" s="2">
        <v>22</v>
      </c>
      <c r="T135" s="85"/>
    </row>
    <row r="136" spans="7:20" x14ac:dyDescent="0.15">
      <c r="G136" s="2" t="s">
        <v>19</v>
      </c>
      <c r="H136" s="17">
        <f>ROUND(VLOOKUP(H$115&amp;"_1",管理者用人口入力シート!BH:CE,J136,FALSE),0)</f>
        <v>2</v>
      </c>
      <c r="I136" s="17">
        <f>ROUND(VLOOKUP(H$115&amp;"_2",管理者用人口入力シート!BH:CE,J136,FALSE),0)</f>
        <v>11</v>
      </c>
      <c r="J136" s="2">
        <v>23</v>
      </c>
      <c r="N136" s="2" t="s">
        <v>19</v>
      </c>
      <c r="O136" s="17">
        <f>ROUND(VLOOKUP(O$115&amp;"_1",管理者用人口入力シート!CO:DL,Q136,FALSE),0)</f>
        <v>2</v>
      </c>
      <c r="P136" s="17">
        <f>ROUND(VLOOKUP(O$115&amp;"_2",管理者用人口入力シート!CO:DL,Q136,FALSE),0)</f>
        <v>11</v>
      </c>
      <c r="Q136" s="2">
        <v>23</v>
      </c>
      <c r="T136" s="85"/>
    </row>
    <row r="137" spans="7:20" x14ac:dyDescent="0.15">
      <c r="G137" s="2" t="s">
        <v>20</v>
      </c>
      <c r="H137" s="17">
        <f>ROUND(VLOOKUP(H$115&amp;"_1",管理者用人口入力シート!BH:CE,J137,FALSE),0)</f>
        <v>0</v>
      </c>
      <c r="I137" s="17">
        <f>ROUND(VLOOKUP(H$115&amp;"_2",管理者用人口入力シート!BH:CE,J137,FALSE),0)</f>
        <v>4</v>
      </c>
      <c r="J137" s="2">
        <v>24</v>
      </c>
      <c r="N137" s="2" t="s">
        <v>20</v>
      </c>
      <c r="O137" s="17">
        <f>ROUND(VLOOKUP(O$115&amp;"_1",管理者用人口入力シート!CO:DL,Q137,FALSE),0)</f>
        <v>0</v>
      </c>
      <c r="P137" s="17">
        <f>ROUND(VLOOKUP(O$115&amp;"_2",管理者用人口入力シート!CO:DL,Q137,FALSE),0)</f>
        <v>4</v>
      </c>
      <c r="Q137" s="2">
        <v>24</v>
      </c>
      <c r="T137" s="85"/>
    </row>
    <row r="139" spans="7:20" x14ac:dyDescent="0.15">
      <c r="G139" s="2" t="s">
        <v>109</v>
      </c>
      <c r="H139" s="315">
        <f>管理者入力シート!B11</f>
        <v>2040</v>
      </c>
      <c r="I139" s="316"/>
      <c r="J139" s="2" t="s">
        <v>114</v>
      </c>
      <c r="O139" s="315">
        <f>管理者入力シート!B11</f>
        <v>2040</v>
      </c>
      <c r="P139" s="316"/>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14</v>
      </c>
      <c r="I141" s="17">
        <f>ROUND(VLOOKUP(H$139&amp;"_2",管理者用人口入力シート!BH:CE,J141,FALSE),0)</f>
        <v>13</v>
      </c>
      <c r="J141" s="2">
        <v>4</v>
      </c>
      <c r="N141" s="2" t="s">
        <v>0</v>
      </c>
      <c r="O141" s="17">
        <f>ROUND(VLOOKUP(O$139&amp;"_1",管理者用人口入力シート!CO:DL,Q141,FALSE),0)</f>
        <v>16</v>
      </c>
      <c r="P141" s="17">
        <f>ROUND(VLOOKUP(O$139&amp;"_2",管理者用人口入力シート!CO:DL,Q141,FALSE),0)</f>
        <v>16</v>
      </c>
      <c r="Q141" s="2">
        <v>4</v>
      </c>
    </row>
    <row r="142" spans="7:20" x14ac:dyDescent="0.15">
      <c r="G142" s="2" t="s">
        <v>1</v>
      </c>
      <c r="H142" s="17">
        <f>ROUND(VLOOKUP(H$139&amp;"_1",管理者用人口入力シート!BH:CE,J142,FALSE),0)</f>
        <v>17</v>
      </c>
      <c r="I142" s="17">
        <f>ROUND(VLOOKUP(H$139&amp;"_2",管理者用人口入力シート!BH:CE,J142,FALSE),0)</f>
        <v>14</v>
      </c>
      <c r="J142" s="2">
        <v>5</v>
      </c>
      <c r="N142" s="2" t="s">
        <v>1</v>
      </c>
      <c r="O142" s="17">
        <f>ROUND(VLOOKUP(O$139&amp;"_1",管理者用人口入力シート!CO:DL,Q142,FALSE),0)</f>
        <v>19</v>
      </c>
      <c r="P142" s="17">
        <f>ROUND(VLOOKUP(O$139&amp;"_2",管理者用人口入力シート!CO:DL,Q142,FALSE),0)</f>
        <v>16</v>
      </c>
      <c r="Q142" s="2">
        <v>5</v>
      </c>
    </row>
    <row r="143" spans="7:20" x14ac:dyDescent="0.15">
      <c r="G143" s="2" t="s">
        <v>2</v>
      </c>
      <c r="H143" s="17">
        <f>ROUND(VLOOKUP(H$139&amp;"_1",管理者用人口入力シート!BH:CE,J143,FALSE),0)</f>
        <v>18</v>
      </c>
      <c r="I143" s="17">
        <f>ROUND(VLOOKUP(H$139&amp;"_2",管理者用人口入力シート!BH:CE,J143,FALSE),0)</f>
        <v>16</v>
      </c>
      <c r="J143" s="2">
        <v>6</v>
      </c>
      <c r="N143" s="2" t="s">
        <v>2</v>
      </c>
      <c r="O143" s="17">
        <f>ROUND(VLOOKUP(O$139&amp;"_1",管理者用人口入力シート!CO:DL,Q143,FALSE),0)</f>
        <v>20</v>
      </c>
      <c r="P143" s="17">
        <f>ROUND(VLOOKUP(O$139&amp;"_2",管理者用人口入力シート!CO:DL,Q143,FALSE),0)</f>
        <v>18</v>
      </c>
      <c r="Q143" s="2">
        <v>6</v>
      </c>
    </row>
    <row r="144" spans="7:20" x14ac:dyDescent="0.15">
      <c r="G144" s="2" t="s">
        <v>3</v>
      </c>
      <c r="H144" s="17">
        <f>ROUND(VLOOKUP(H$139&amp;"_1",管理者用人口入力シート!BH:CE,J144,FALSE),0)</f>
        <v>17</v>
      </c>
      <c r="I144" s="17">
        <f>ROUND(VLOOKUP(H$139&amp;"_2",管理者用人口入力シート!BH:CE,J144,FALSE),0)</f>
        <v>13</v>
      </c>
      <c r="J144" s="2">
        <v>7</v>
      </c>
      <c r="N144" s="2" t="s">
        <v>3</v>
      </c>
      <c r="O144" s="17">
        <f>ROUND(VLOOKUP(O$139&amp;"_1",管理者用人口入力シート!CO:DL,Q144,FALSE),0)</f>
        <v>18</v>
      </c>
      <c r="P144" s="17">
        <f>ROUND(VLOOKUP(O$139&amp;"_2",管理者用人口入力シート!CO:DL,Q144,FALSE),0)</f>
        <v>14</v>
      </c>
      <c r="Q144" s="2">
        <v>7</v>
      </c>
    </row>
    <row r="145" spans="7:17" x14ac:dyDescent="0.15">
      <c r="G145" s="2" t="s">
        <v>4</v>
      </c>
      <c r="H145" s="17">
        <f>ROUND(VLOOKUP(H$139&amp;"_1",管理者用人口入力シート!BH:CE,J145,FALSE),0)</f>
        <v>23</v>
      </c>
      <c r="I145" s="17">
        <f>ROUND(VLOOKUP(H$139&amp;"_2",管理者用人口入力シート!BH:CE,J145,FALSE),0)</f>
        <v>14</v>
      </c>
      <c r="J145" s="2">
        <v>8</v>
      </c>
      <c r="N145" s="2" t="s">
        <v>4</v>
      </c>
      <c r="O145" s="17">
        <f>ROUND(VLOOKUP(O$139&amp;"_1",管理者用人口入力シート!CO:DL,Q145,FALSE),0)</f>
        <v>24</v>
      </c>
      <c r="P145" s="17">
        <f>ROUND(VLOOKUP(O$139&amp;"_2",管理者用人口入力シート!CO:DL,Q145,FALSE),0)</f>
        <v>14</v>
      </c>
      <c r="Q145" s="2">
        <v>8</v>
      </c>
    </row>
    <row r="146" spans="7:17" x14ac:dyDescent="0.15">
      <c r="G146" s="2" t="s">
        <v>5</v>
      </c>
      <c r="H146" s="17">
        <f>ROUND(VLOOKUP(H$139&amp;"_1",管理者用人口入力シート!BH:CE,J146,FALSE),0)</f>
        <v>24</v>
      </c>
      <c r="I146" s="17">
        <f>ROUND(VLOOKUP(H$139&amp;"_2",管理者用人口入力シート!BH:CE,J146,FALSE),0)</f>
        <v>16</v>
      </c>
      <c r="J146" s="2">
        <v>9</v>
      </c>
      <c r="N146" s="2" t="s">
        <v>5</v>
      </c>
      <c r="O146" s="17">
        <f>ROUND(VLOOKUP(O$139&amp;"_1",管理者用人口入力シート!CO:DL,Q146,FALSE),0)</f>
        <v>26</v>
      </c>
      <c r="P146" s="17">
        <f>ROUND(VLOOKUP(O$139&amp;"_2",管理者用人口入力シート!CO:DL,Q146,FALSE),0)</f>
        <v>19</v>
      </c>
      <c r="Q146" s="2">
        <v>9</v>
      </c>
    </row>
    <row r="147" spans="7:17" x14ac:dyDescent="0.15">
      <c r="G147" s="2" t="s">
        <v>6</v>
      </c>
      <c r="H147" s="17">
        <f>ROUND(VLOOKUP(H$139&amp;"_1",管理者用人口入力シート!BH:CE,J147,FALSE),0)</f>
        <v>27</v>
      </c>
      <c r="I147" s="17">
        <f>ROUND(VLOOKUP(H$139&amp;"_2",管理者用人口入力シート!BH:CE,J147,FALSE),0)</f>
        <v>21</v>
      </c>
      <c r="J147" s="2">
        <v>10</v>
      </c>
      <c r="N147" s="2" t="s">
        <v>6</v>
      </c>
      <c r="O147" s="17">
        <f>ROUND(VLOOKUP(O$139&amp;"_1",管理者用人口入力シート!CO:DL,Q147,FALSE),0)</f>
        <v>28</v>
      </c>
      <c r="P147" s="17">
        <f>ROUND(VLOOKUP(O$139&amp;"_2",管理者用人口入力シート!CO:DL,Q147,FALSE),0)</f>
        <v>23</v>
      </c>
      <c r="Q147" s="2">
        <v>10</v>
      </c>
    </row>
    <row r="148" spans="7:17" x14ac:dyDescent="0.15">
      <c r="G148" s="2" t="s">
        <v>7</v>
      </c>
      <c r="H148" s="17">
        <f>ROUND(VLOOKUP(H$139&amp;"_1",管理者用人口入力シート!BH:CE,J148,FALSE),0)</f>
        <v>27</v>
      </c>
      <c r="I148" s="17">
        <f>ROUND(VLOOKUP(H$139&amp;"_2",管理者用人口入力シート!BH:CE,J148,FALSE),0)</f>
        <v>19</v>
      </c>
      <c r="J148" s="2">
        <v>11</v>
      </c>
      <c r="N148" s="2" t="s">
        <v>7</v>
      </c>
      <c r="O148" s="17">
        <f>ROUND(VLOOKUP(O$139&amp;"_1",管理者用人口入力シート!CO:DL,Q148,FALSE),0)</f>
        <v>29</v>
      </c>
      <c r="P148" s="17">
        <f>ROUND(VLOOKUP(O$139&amp;"_2",管理者用人口入力シート!CO:DL,Q148,FALSE),0)</f>
        <v>21</v>
      </c>
      <c r="Q148" s="2">
        <v>11</v>
      </c>
    </row>
    <row r="149" spans="7:17" x14ac:dyDescent="0.15">
      <c r="G149" s="2" t="s">
        <v>8</v>
      </c>
      <c r="H149" s="17">
        <f>ROUND(VLOOKUP(H$139&amp;"_1",管理者用人口入力シート!BH:CE,J149,FALSE),0)</f>
        <v>34</v>
      </c>
      <c r="I149" s="17">
        <f>ROUND(VLOOKUP(H$139&amp;"_2",管理者用人口入力シート!BH:CE,J149,FALSE),0)</f>
        <v>24</v>
      </c>
      <c r="J149" s="2">
        <v>12</v>
      </c>
      <c r="N149" s="2" t="s">
        <v>8</v>
      </c>
      <c r="O149" s="17">
        <f>ROUND(VLOOKUP(O$139&amp;"_1",管理者用人口入力シート!CO:DL,Q149,FALSE),0)</f>
        <v>35</v>
      </c>
      <c r="P149" s="17">
        <f>ROUND(VLOOKUP(O$139&amp;"_2",管理者用人口入力シート!CO:DL,Q149,FALSE),0)</f>
        <v>27</v>
      </c>
      <c r="Q149" s="2">
        <v>12</v>
      </c>
    </row>
    <row r="150" spans="7:17" x14ac:dyDescent="0.15">
      <c r="G150" s="2" t="s">
        <v>9</v>
      </c>
      <c r="H150" s="17">
        <f>ROUND(VLOOKUP(H$139&amp;"_1",管理者用人口入力シート!BH:CE,J150,FALSE),0)</f>
        <v>39</v>
      </c>
      <c r="I150" s="17">
        <f>ROUND(VLOOKUP(H$139&amp;"_2",管理者用人口入力シート!BH:CE,J150,FALSE),0)</f>
        <v>30</v>
      </c>
      <c r="J150" s="2">
        <v>13</v>
      </c>
      <c r="N150" s="2" t="s">
        <v>9</v>
      </c>
      <c r="O150" s="17">
        <f>ROUND(VLOOKUP(O$139&amp;"_1",管理者用人口入力シート!CO:DL,Q150,FALSE),0)</f>
        <v>39</v>
      </c>
      <c r="P150" s="17">
        <f>ROUND(VLOOKUP(O$139&amp;"_2",管理者用人口入力シート!CO:DL,Q150,FALSE),0)</f>
        <v>31</v>
      </c>
      <c r="Q150" s="2">
        <v>13</v>
      </c>
    </row>
    <row r="151" spans="7:17" x14ac:dyDescent="0.15">
      <c r="G151" s="2" t="s">
        <v>10</v>
      </c>
      <c r="H151" s="17">
        <f>ROUND(VLOOKUP(H$139&amp;"_1",管理者用人口入力シート!BH:CE,J151,FALSE),0)</f>
        <v>28</v>
      </c>
      <c r="I151" s="17">
        <f>ROUND(VLOOKUP(H$139&amp;"_2",管理者用人口入力シート!BH:CE,J151,FALSE),0)</f>
        <v>36</v>
      </c>
      <c r="J151" s="2">
        <v>14</v>
      </c>
      <c r="N151" s="2" t="s">
        <v>10</v>
      </c>
      <c r="O151" s="17">
        <f>ROUND(VLOOKUP(O$139&amp;"_1",管理者用人口入力シート!CO:DL,Q151,FALSE),0)</f>
        <v>28</v>
      </c>
      <c r="P151" s="17">
        <f>ROUND(VLOOKUP(O$139&amp;"_2",管理者用人口入力シート!CO:DL,Q151,FALSE),0)</f>
        <v>37</v>
      </c>
      <c r="Q151" s="2">
        <v>14</v>
      </c>
    </row>
    <row r="152" spans="7:17" x14ac:dyDescent="0.15">
      <c r="G152" s="2" t="s">
        <v>11</v>
      </c>
      <c r="H152" s="17">
        <f>ROUND(VLOOKUP(H$139&amp;"_1",管理者用人口入力シート!BH:CE,J152,FALSE),0)</f>
        <v>45</v>
      </c>
      <c r="I152" s="17">
        <f>ROUND(VLOOKUP(H$139&amp;"_2",管理者用人口入力シート!BH:CE,J152,FALSE),0)</f>
        <v>45</v>
      </c>
      <c r="J152" s="2">
        <v>15</v>
      </c>
      <c r="N152" s="2" t="s">
        <v>11</v>
      </c>
      <c r="O152" s="17">
        <f>ROUND(VLOOKUP(O$139&amp;"_1",管理者用人口入力シート!CO:DL,Q152,FALSE),0)</f>
        <v>45</v>
      </c>
      <c r="P152" s="17">
        <f>ROUND(VLOOKUP(O$139&amp;"_2",管理者用人口入力シート!CO:DL,Q152,FALSE),0)</f>
        <v>46</v>
      </c>
      <c r="Q152" s="2">
        <v>15</v>
      </c>
    </row>
    <row r="153" spans="7:17" x14ac:dyDescent="0.15">
      <c r="G153" s="2" t="s">
        <v>12</v>
      </c>
      <c r="H153" s="17">
        <f>ROUND(VLOOKUP(H$139&amp;"_1",管理者用人口入力シート!BH:CE,J153,FALSE),0)</f>
        <v>64</v>
      </c>
      <c r="I153" s="17">
        <f>ROUND(VLOOKUP(H$139&amp;"_2",管理者用人口入力シート!BH:CE,J153,FALSE),0)</f>
        <v>57</v>
      </c>
      <c r="J153" s="2">
        <v>16</v>
      </c>
      <c r="N153" s="2" t="s">
        <v>12</v>
      </c>
      <c r="O153" s="17">
        <f>ROUND(VLOOKUP(O$139&amp;"_1",管理者用人口入力シート!CO:DL,Q153,FALSE),0)</f>
        <v>64</v>
      </c>
      <c r="P153" s="17">
        <f>ROUND(VLOOKUP(O$139&amp;"_2",管理者用人口入力シート!CO:DL,Q153,FALSE),0)</f>
        <v>57</v>
      </c>
      <c r="Q153" s="2">
        <v>16</v>
      </c>
    </row>
    <row r="154" spans="7:17" x14ac:dyDescent="0.15">
      <c r="G154" s="2" t="s">
        <v>13</v>
      </c>
      <c r="H154" s="17">
        <f>ROUND(VLOOKUP(H$139&amp;"_1",管理者用人口入力シート!BH:CE,J154,FALSE),0)</f>
        <v>53</v>
      </c>
      <c r="I154" s="17">
        <f>ROUND(VLOOKUP(H$139&amp;"_2",管理者用人口入力シート!BH:CE,J154,FALSE),0)</f>
        <v>48</v>
      </c>
      <c r="J154" s="2">
        <v>17</v>
      </c>
      <c r="N154" s="2" t="s">
        <v>13</v>
      </c>
      <c r="O154" s="17">
        <f>ROUND(VLOOKUP(O$139&amp;"_1",管理者用人口入力シート!CO:DL,Q154,FALSE),0)</f>
        <v>53</v>
      </c>
      <c r="P154" s="17">
        <f>ROUND(VLOOKUP(O$139&amp;"_2",管理者用人口入力シート!CO:DL,Q154,FALSE),0)</f>
        <v>48</v>
      </c>
      <c r="Q154" s="2">
        <v>17</v>
      </c>
    </row>
    <row r="155" spans="7:17" x14ac:dyDescent="0.15">
      <c r="G155" s="2" t="s">
        <v>14</v>
      </c>
      <c r="H155" s="17">
        <f>ROUND(VLOOKUP(H$139&amp;"_1",管理者用人口入力シート!BH:CE,J155,FALSE),0)</f>
        <v>61</v>
      </c>
      <c r="I155" s="17">
        <f>ROUND(VLOOKUP(H$139&amp;"_2",管理者用人口入力シート!BH:CE,J155,FALSE),0)</f>
        <v>63</v>
      </c>
      <c r="J155" s="2">
        <v>18</v>
      </c>
      <c r="N155" s="2" t="s">
        <v>14</v>
      </c>
      <c r="O155" s="17">
        <f>ROUND(VLOOKUP(O$139&amp;"_1",管理者用人口入力シート!CO:DL,Q155,FALSE),0)</f>
        <v>61</v>
      </c>
      <c r="P155" s="17">
        <f>ROUND(VLOOKUP(O$139&amp;"_2",管理者用人口入力シート!CO:DL,Q155,FALSE),0)</f>
        <v>63</v>
      </c>
      <c r="Q155" s="2">
        <v>18</v>
      </c>
    </row>
    <row r="156" spans="7:17" x14ac:dyDescent="0.15">
      <c r="G156" s="2" t="s">
        <v>15</v>
      </c>
      <c r="H156" s="17">
        <f>ROUND(VLOOKUP(H$139&amp;"_1",管理者用人口入力シート!BH:CE,J156,FALSE),0)</f>
        <v>56</v>
      </c>
      <c r="I156" s="17">
        <f>ROUND(VLOOKUP(H$139&amp;"_2",管理者用人口入力シート!BH:CE,J156,FALSE),0)</f>
        <v>59</v>
      </c>
      <c r="J156" s="2">
        <v>19</v>
      </c>
      <c r="N156" s="2" t="s">
        <v>15</v>
      </c>
      <c r="O156" s="17">
        <f>ROUND(VLOOKUP(O$139&amp;"_1",管理者用人口入力シート!CO:DL,Q156,FALSE),0)</f>
        <v>56</v>
      </c>
      <c r="P156" s="17">
        <f>ROUND(VLOOKUP(O$139&amp;"_2",管理者用人口入力シート!CO:DL,Q156,FALSE),0)</f>
        <v>59</v>
      </c>
      <c r="Q156" s="2">
        <v>19</v>
      </c>
    </row>
    <row r="157" spans="7:17" x14ac:dyDescent="0.15">
      <c r="G157" s="2" t="s">
        <v>16</v>
      </c>
      <c r="H157" s="17">
        <f>ROUND(VLOOKUP(H$139&amp;"_1",管理者用人口入力シート!BH:CE,J157,FALSE),0)</f>
        <v>44</v>
      </c>
      <c r="I157" s="17">
        <f>ROUND(VLOOKUP(H$139&amp;"_2",管理者用人口入力シート!BH:CE,J157,FALSE),0)</f>
        <v>56</v>
      </c>
      <c r="J157" s="2">
        <v>20</v>
      </c>
      <c r="N157" s="2" t="s">
        <v>16</v>
      </c>
      <c r="O157" s="17">
        <f>ROUND(VLOOKUP(O$139&amp;"_1",管理者用人口入力シート!CO:DL,Q157,FALSE),0)</f>
        <v>44</v>
      </c>
      <c r="P157" s="17">
        <f>ROUND(VLOOKUP(O$139&amp;"_2",管理者用人口入力シート!CO:DL,Q157,FALSE),0)</f>
        <v>56</v>
      </c>
      <c r="Q157" s="2">
        <v>20</v>
      </c>
    </row>
    <row r="158" spans="7:17" x14ac:dyDescent="0.15">
      <c r="G158" s="2" t="s">
        <v>17</v>
      </c>
      <c r="H158" s="17">
        <f>ROUND(VLOOKUP(H$139&amp;"_1",管理者用人口入力シート!BH:CE,J158,FALSE),0)</f>
        <v>28</v>
      </c>
      <c r="I158" s="17">
        <f>ROUND(VLOOKUP(H$139&amp;"_2",管理者用人口入力シート!BH:CE,J158,FALSE),0)</f>
        <v>59</v>
      </c>
      <c r="J158" s="2">
        <v>21</v>
      </c>
      <c r="N158" s="2" t="s">
        <v>17</v>
      </c>
      <c r="O158" s="17">
        <f>ROUND(VLOOKUP(O$139&amp;"_1",管理者用人口入力シート!CO:DL,Q158,FALSE),0)</f>
        <v>28</v>
      </c>
      <c r="P158" s="17">
        <f>ROUND(VLOOKUP(O$139&amp;"_2",管理者用人口入力シート!CO:DL,Q158,FALSE),0)</f>
        <v>59</v>
      </c>
      <c r="Q158" s="2">
        <v>21</v>
      </c>
    </row>
    <row r="159" spans="7:17" x14ac:dyDescent="0.15">
      <c r="G159" s="2" t="s">
        <v>18</v>
      </c>
      <c r="H159" s="17">
        <f>ROUND(VLOOKUP(H$139&amp;"_1",管理者用人口入力シート!BH:CE,J159,FALSE),0)</f>
        <v>9</v>
      </c>
      <c r="I159" s="17">
        <f>ROUND(VLOOKUP(H$139&amp;"_2",管理者用人口入力シート!BH:CE,J159,FALSE),0)</f>
        <v>28</v>
      </c>
      <c r="J159" s="2">
        <v>22</v>
      </c>
      <c r="N159" s="2" t="s">
        <v>18</v>
      </c>
      <c r="O159" s="17">
        <f>ROUND(VLOOKUP(O$139&amp;"_1",管理者用人口入力シート!CO:DL,Q159,FALSE),0)</f>
        <v>9</v>
      </c>
      <c r="P159" s="17">
        <f>ROUND(VLOOKUP(O$139&amp;"_2",管理者用人口入力シート!CO:DL,Q159,FALSE),0)</f>
        <v>28</v>
      </c>
      <c r="Q159" s="2">
        <v>22</v>
      </c>
    </row>
    <row r="160" spans="7:17" x14ac:dyDescent="0.15">
      <c r="G160" s="2" t="s">
        <v>19</v>
      </c>
      <c r="H160" s="17">
        <f>ROUND(VLOOKUP(H$139&amp;"_1",管理者用人口入力シート!BH:CE,J160,FALSE),0)</f>
        <v>1</v>
      </c>
      <c r="I160" s="17">
        <f>ROUND(VLOOKUP(H$139&amp;"_2",管理者用人口入力シート!BH:CE,J160,FALSE),0)</f>
        <v>10</v>
      </c>
      <c r="J160" s="2">
        <v>23</v>
      </c>
      <c r="N160" s="2" t="s">
        <v>19</v>
      </c>
      <c r="O160" s="17">
        <f>ROUND(VLOOKUP(O$139&amp;"_1",管理者用人口入力シート!CO:DL,Q160,FALSE),0)</f>
        <v>1</v>
      </c>
      <c r="P160" s="17">
        <f>ROUND(VLOOKUP(O$139&amp;"_2",管理者用人口入力シート!CO:DL,Q160,FALSE),0)</f>
        <v>10</v>
      </c>
      <c r="Q160" s="2">
        <v>23</v>
      </c>
    </row>
    <row r="161" spans="7:17" x14ac:dyDescent="0.15">
      <c r="G161" s="2" t="s">
        <v>20</v>
      </c>
      <c r="H161" s="17">
        <f>ROUND(VLOOKUP(H$139&amp;"_1",管理者用人口入力シート!BH:CE,J161,FALSE),0)</f>
        <v>0</v>
      </c>
      <c r="I161" s="17">
        <f>ROUND(VLOOKUP(H$139&amp;"_2",管理者用人口入力シート!BH:CE,J161,FALSE),0)</f>
        <v>4</v>
      </c>
      <c r="J161" s="2">
        <v>24</v>
      </c>
      <c r="N161" s="2" t="s">
        <v>20</v>
      </c>
      <c r="O161" s="17">
        <f>ROUND(VLOOKUP(O$139&amp;"_1",管理者用人口入力シート!CO:DL,Q161,FALSE),0)</f>
        <v>0</v>
      </c>
      <c r="P161" s="17">
        <f>ROUND(VLOOKUP(O$139&amp;"_2",管理者用人口入力シート!CO:DL,Q161,FALSE),0)</f>
        <v>4</v>
      </c>
      <c r="Q161" s="2">
        <v>24</v>
      </c>
    </row>
    <row r="163" spans="7:17" x14ac:dyDescent="0.15">
      <c r="G163" s="2" t="s">
        <v>395</v>
      </c>
      <c r="H163" s="315">
        <f>管理者入力シート!B12</f>
        <v>2045</v>
      </c>
      <c r="I163" s="316"/>
      <c r="J163" s="2" t="s">
        <v>114</v>
      </c>
      <c r="O163" s="315">
        <f>管理者入力シート!B12</f>
        <v>2045</v>
      </c>
      <c r="P163" s="316"/>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12</v>
      </c>
      <c r="I165" s="17">
        <f>ROUND(VLOOKUP(H$163&amp;"_2",管理者用人口入力シート!BH:CE,J165,FALSE),0)</f>
        <v>11</v>
      </c>
      <c r="J165" s="2">
        <v>4</v>
      </c>
      <c r="N165" s="2" t="s">
        <v>0</v>
      </c>
      <c r="O165" s="17">
        <f>ROUND(VLOOKUP(O$163&amp;"_1",管理者用人口入力シート!CO:DL,Q165,FALSE),0)</f>
        <v>15</v>
      </c>
      <c r="P165" s="17">
        <f>ROUND(VLOOKUP(O$163&amp;"_2",管理者用人口入力シート!CO:DL,Q165,FALSE),0)</f>
        <v>14</v>
      </c>
      <c r="Q165" s="2">
        <v>4</v>
      </c>
    </row>
    <row r="166" spans="7:17" x14ac:dyDescent="0.15">
      <c r="G166" s="2" t="s">
        <v>1</v>
      </c>
      <c r="H166" s="17">
        <f>ROUND(VLOOKUP(H$163&amp;"_1",管理者用人口入力シート!BH:CE,J166,FALSE),0)</f>
        <v>14</v>
      </c>
      <c r="I166" s="17">
        <f>ROUND(VLOOKUP(H$163&amp;"_2",管理者用人口入力シート!BH:CE,J166,FALSE),0)</f>
        <v>11</v>
      </c>
      <c r="J166" s="2">
        <v>5</v>
      </c>
      <c r="N166" s="2" t="s">
        <v>1</v>
      </c>
      <c r="O166" s="17">
        <f>ROUND(VLOOKUP(O$163&amp;"_1",管理者用人口入力シート!CO:DL,Q166,FALSE),0)</f>
        <v>16</v>
      </c>
      <c r="P166" s="17">
        <f>ROUND(VLOOKUP(O$163&amp;"_2",管理者用人口入力シート!CO:DL,Q166,FALSE),0)</f>
        <v>13</v>
      </c>
      <c r="Q166" s="2">
        <v>5</v>
      </c>
    </row>
    <row r="167" spans="7:17" x14ac:dyDescent="0.15">
      <c r="G167" s="2" t="s">
        <v>2</v>
      </c>
      <c r="H167" s="17">
        <f>ROUND(VLOOKUP(H$163&amp;"_1",管理者用人口入力シート!BH:CE,J167,FALSE),0)</f>
        <v>14</v>
      </c>
      <c r="I167" s="17">
        <f>ROUND(VLOOKUP(H$163&amp;"_2",管理者用人口入力シート!BH:CE,J167,FALSE),0)</f>
        <v>13</v>
      </c>
      <c r="J167" s="2">
        <v>6</v>
      </c>
      <c r="N167" s="2" t="s">
        <v>2</v>
      </c>
      <c r="O167" s="17">
        <f>ROUND(VLOOKUP(O$163&amp;"_1",管理者用人口入力シート!CO:DL,Q167,FALSE),0)</f>
        <v>17</v>
      </c>
      <c r="P167" s="17">
        <f>ROUND(VLOOKUP(O$163&amp;"_2",管理者用人口入力シート!CO:DL,Q167,FALSE),0)</f>
        <v>15</v>
      </c>
      <c r="Q167" s="2">
        <v>6</v>
      </c>
    </row>
    <row r="168" spans="7:17" x14ac:dyDescent="0.15">
      <c r="G168" s="2" t="s">
        <v>3</v>
      </c>
      <c r="H168" s="17">
        <f>ROUND(VLOOKUP(H$163&amp;"_1",管理者用人口入力シート!BH:CE,J168,FALSE),0)</f>
        <v>14</v>
      </c>
      <c r="I168" s="17">
        <f>ROUND(VLOOKUP(H$163&amp;"_2",管理者用人口入力シート!BH:CE,J168,FALSE),0)</f>
        <v>11</v>
      </c>
      <c r="J168" s="2">
        <v>7</v>
      </c>
      <c r="N168" s="2" t="s">
        <v>3</v>
      </c>
      <c r="O168" s="17">
        <f>ROUND(VLOOKUP(O$163&amp;"_1",管理者用人口入力シート!CO:DL,Q168,FALSE),0)</f>
        <v>16</v>
      </c>
      <c r="P168" s="17">
        <f>ROUND(VLOOKUP(O$163&amp;"_2",管理者用人口入力シート!CO:DL,Q168,FALSE),0)</f>
        <v>12</v>
      </c>
      <c r="Q168" s="2">
        <v>7</v>
      </c>
    </row>
    <row r="169" spans="7:17" x14ac:dyDescent="0.15">
      <c r="G169" s="2" t="s">
        <v>4</v>
      </c>
      <c r="H169" s="17">
        <f>ROUND(VLOOKUP(H$163&amp;"_1",管理者用人口入力シート!BH:CE,J169,FALSE),0)</f>
        <v>18</v>
      </c>
      <c r="I169" s="17">
        <f>ROUND(VLOOKUP(H$163&amp;"_2",管理者用人口入力シート!BH:CE,J169,FALSE),0)</f>
        <v>11</v>
      </c>
      <c r="J169" s="2">
        <v>8</v>
      </c>
      <c r="N169" s="2" t="s">
        <v>4</v>
      </c>
      <c r="O169" s="17">
        <f>ROUND(VLOOKUP(O$163&amp;"_1",管理者用人口入力シート!CO:DL,Q169,FALSE),0)</f>
        <v>20</v>
      </c>
      <c r="P169" s="17">
        <f>ROUND(VLOOKUP(O$163&amp;"_2",管理者用人口入力シート!CO:DL,Q169,FALSE),0)</f>
        <v>12</v>
      </c>
      <c r="Q169" s="2">
        <v>8</v>
      </c>
    </row>
    <row r="170" spans="7:17" x14ac:dyDescent="0.15">
      <c r="G170" s="2" t="s">
        <v>5</v>
      </c>
      <c r="H170" s="17">
        <f>ROUND(VLOOKUP(H$163&amp;"_1",管理者用人口入力シート!BH:CE,J170,FALSE),0)</f>
        <v>18</v>
      </c>
      <c r="I170" s="17">
        <f>ROUND(VLOOKUP(H$163&amp;"_2",管理者用人口入力シート!BH:CE,J170,FALSE),0)</f>
        <v>12</v>
      </c>
      <c r="J170" s="2">
        <v>9</v>
      </c>
      <c r="N170" s="2" t="s">
        <v>5</v>
      </c>
      <c r="O170" s="17">
        <f>ROUND(VLOOKUP(O$163&amp;"_1",管理者用人口入力シート!CO:DL,Q170,FALSE),0)</f>
        <v>21</v>
      </c>
      <c r="P170" s="17">
        <f>ROUND(VLOOKUP(O$163&amp;"_2",管理者用人口入力シート!CO:DL,Q170,FALSE),0)</f>
        <v>15</v>
      </c>
      <c r="Q170" s="2">
        <v>9</v>
      </c>
    </row>
    <row r="171" spans="7:17" x14ac:dyDescent="0.15">
      <c r="G171" s="2" t="s">
        <v>6</v>
      </c>
      <c r="H171" s="17">
        <f>ROUND(VLOOKUP(H$163&amp;"_1",管理者用人口入力シート!BH:CE,J171,FALSE),0)</f>
        <v>23</v>
      </c>
      <c r="I171" s="17">
        <f>ROUND(VLOOKUP(H$163&amp;"_2",管理者用人口入力シート!BH:CE,J171,FALSE),0)</f>
        <v>16</v>
      </c>
      <c r="J171" s="2">
        <v>10</v>
      </c>
      <c r="N171" s="2" t="s">
        <v>6</v>
      </c>
      <c r="O171" s="17">
        <f>ROUND(VLOOKUP(O$163&amp;"_1",管理者用人口入力シート!CO:DL,Q171,FALSE),0)</f>
        <v>25</v>
      </c>
      <c r="P171" s="17">
        <f>ROUND(VLOOKUP(O$163&amp;"_2",管理者用人口入力シート!CO:DL,Q171,FALSE),0)</f>
        <v>18</v>
      </c>
      <c r="Q171" s="2">
        <v>10</v>
      </c>
    </row>
    <row r="172" spans="7:17" x14ac:dyDescent="0.15">
      <c r="G172" s="2" t="s">
        <v>7</v>
      </c>
      <c r="H172" s="17">
        <f>ROUND(VLOOKUP(H$163&amp;"_1",管理者用人口入力シート!BH:CE,J172,FALSE),0)</f>
        <v>24</v>
      </c>
      <c r="I172" s="17">
        <f>ROUND(VLOOKUP(H$163&amp;"_2",管理者用人口入力シート!BH:CE,J172,FALSE),0)</f>
        <v>20</v>
      </c>
      <c r="J172" s="2">
        <v>11</v>
      </c>
      <c r="N172" s="2" t="s">
        <v>7</v>
      </c>
      <c r="O172" s="17">
        <f>ROUND(VLOOKUP(O$163&amp;"_1",管理者用人口入力シート!CO:DL,Q172,FALSE),0)</f>
        <v>25</v>
      </c>
      <c r="P172" s="17">
        <f>ROUND(VLOOKUP(O$163&amp;"_2",管理者用人口入力シート!CO:DL,Q172,FALSE),0)</f>
        <v>22</v>
      </c>
      <c r="Q172" s="2">
        <v>11</v>
      </c>
    </row>
    <row r="173" spans="7:17" x14ac:dyDescent="0.15">
      <c r="G173" s="2" t="s">
        <v>8</v>
      </c>
      <c r="H173" s="17">
        <f>ROUND(VLOOKUP(H$163&amp;"_1",管理者用人口入力シート!BH:CE,J173,FALSE),0)</f>
        <v>26</v>
      </c>
      <c r="I173" s="17">
        <f>ROUND(VLOOKUP(H$163&amp;"_2",管理者用人口入力シート!BH:CE,J173,FALSE),0)</f>
        <v>18</v>
      </c>
      <c r="J173" s="2">
        <v>12</v>
      </c>
      <c r="N173" s="2" t="s">
        <v>8</v>
      </c>
      <c r="O173" s="17">
        <f>ROUND(VLOOKUP(O$163&amp;"_1",管理者用人口入力シート!CO:DL,Q173,FALSE),0)</f>
        <v>27</v>
      </c>
      <c r="P173" s="17">
        <f>ROUND(VLOOKUP(O$163&amp;"_2",管理者用人口入力シート!CO:DL,Q173,FALSE),0)</f>
        <v>21</v>
      </c>
      <c r="Q173" s="2">
        <v>12</v>
      </c>
    </row>
    <row r="174" spans="7:17" x14ac:dyDescent="0.15">
      <c r="G174" s="2" t="s">
        <v>9</v>
      </c>
      <c r="H174" s="17">
        <f>ROUND(VLOOKUP(H$163&amp;"_1",管理者用人口入力シート!BH:CE,J174,FALSE),0)</f>
        <v>33</v>
      </c>
      <c r="I174" s="17">
        <f>ROUND(VLOOKUP(H$163&amp;"_2",管理者用人口入力シート!BH:CE,J174,FALSE),0)</f>
        <v>21</v>
      </c>
      <c r="J174" s="2">
        <v>13</v>
      </c>
      <c r="N174" s="2" t="s">
        <v>9</v>
      </c>
      <c r="O174" s="17">
        <f>ROUND(VLOOKUP(O$163&amp;"_1",管理者用人口入力シート!CO:DL,Q174,FALSE),0)</f>
        <v>34</v>
      </c>
      <c r="P174" s="17">
        <f>ROUND(VLOOKUP(O$163&amp;"_2",管理者用人口入力シート!CO:DL,Q174,FALSE),0)</f>
        <v>23</v>
      </c>
      <c r="Q174" s="2">
        <v>13</v>
      </c>
    </row>
    <row r="175" spans="7:17" x14ac:dyDescent="0.15">
      <c r="G175" s="2" t="s">
        <v>10</v>
      </c>
      <c r="H175" s="17">
        <f>ROUND(VLOOKUP(H$163&amp;"_1",管理者用人口入力シート!BH:CE,J175,FALSE),0)</f>
        <v>39</v>
      </c>
      <c r="I175" s="17">
        <f>ROUND(VLOOKUP(H$163&amp;"_2",管理者用人口入力シート!BH:CE,J175,FALSE),0)</f>
        <v>34</v>
      </c>
      <c r="J175" s="2">
        <v>14</v>
      </c>
      <c r="N175" s="2" t="s">
        <v>10</v>
      </c>
      <c r="O175" s="17">
        <f>ROUND(VLOOKUP(O$163&amp;"_1",管理者用人口入力シート!CO:DL,Q175,FALSE),0)</f>
        <v>39</v>
      </c>
      <c r="P175" s="17">
        <f>ROUND(VLOOKUP(O$163&amp;"_2",管理者用人口入力シート!CO:DL,Q175,FALSE),0)</f>
        <v>35</v>
      </c>
      <c r="Q175" s="2">
        <v>14</v>
      </c>
    </row>
    <row r="176" spans="7:17" x14ac:dyDescent="0.15">
      <c r="G176" s="2" t="s">
        <v>11</v>
      </c>
      <c r="H176" s="17">
        <f>ROUND(VLOOKUP(H$163&amp;"_1",管理者用人口入力シート!BH:CE,J176,FALSE),0)</f>
        <v>29</v>
      </c>
      <c r="I176" s="17">
        <f>ROUND(VLOOKUP(H$163&amp;"_2",管理者用人口入力シート!BH:CE,J176,FALSE),0)</f>
        <v>36</v>
      </c>
      <c r="J176" s="2">
        <v>15</v>
      </c>
      <c r="N176" s="2" t="s">
        <v>11</v>
      </c>
      <c r="O176" s="17">
        <f>ROUND(VLOOKUP(O$163&amp;"_1",管理者用人口入力シート!CO:DL,Q176,FALSE),0)</f>
        <v>29</v>
      </c>
      <c r="P176" s="17">
        <f>ROUND(VLOOKUP(O$163&amp;"_2",管理者用人口入力シート!CO:DL,Q176,FALSE),0)</f>
        <v>37</v>
      </c>
      <c r="Q176" s="2">
        <v>15</v>
      </c>
    </row>
    <row r="177" spans="7:17" x14ac:dyDescent="0.15">
      <c r="G177" s="2" t="s">
        <v>12</v>
      </c>
      <c r="H177" s="17">
        <f>ROUND(VLOOKUP(H$163&amp;"_1",管理者用人口入力シート!BH:CE,J177,FALSE),0)</f>
        <v>47</v>
      </c>
      <c r="I177" s="17">
        <f>ROUND(VLOOKUP(H$163&amp;"_2",管理者用人口入力シート!BH:CE,J177,FALSE),0)</f>
        <v>44</v>
      </c>
      <c r="J177" s="2">
        <v>16</v>
      </c>
      <c r="N177" s="2" t="s">
        <v>12</v>
      </c>
      <c r="O177" s="17">
        <f>ROUND(VLOOKUP(O$163&amp;"_1",管理者用人口入力シート!CO:DL,Q177,FALSE),0)</f>
        <v>47</v>
      </c>
      <c r="P177" s="17">
        <f>ROUND(VLOOKUP(O$163&amp;"_2",管理者用人口入力シート!CO:DL,Q177,FALSE),0)</f>
        <v>45</v>
      </c>
      <c r="Q177" s="2">
        <v>16</v>
      </c>
    </row>
    <row r="178" spans="7:17" x14ac:dyDescent="0.15">
      <c r="G178" s="2" t="s">
        <v>13</v>
      </c>
      <c r="H178" s="17">
        <f>ROUND(VLOOKUP(H$163&amp;"_1",管理者用人口入力シート!BH:CE,J178,FALSE),0)</f>
        <v>59</v>
      </c>
      <c r="I178" s="17">
        <f>ROUND(VLOOKUP(H$163&amp;"_2",管理者用人口入力シート!BH:CE,J178,FALSE),0)</f>
        <v>58</v>
      </c>
      <c r="J178" s="2">
        <v>17</v>
      </c>
      <c r="N178" s="2" t="s">
        <v>13</v>
      </c>
      <c r="O178" s="17">
        <f>ROUND(VLOOKUP(O$163&amp;"_1",管理者用人口入力シート!CO:DL,Q178,FALSE),0)</f>
        <v>59</v>
      </c>
      <c r="P178" s="17">
        <f>ROUND(VLOOKUP(O$163&amp;"_2",管理者用人口入力シート!CO:DL,Q178,FALSE),0)</f>
        <v>58</v>
      </c>
      <c r="Q178" s="2">
        <v>17</v>
      </c>
    </row>
    <row r="179" spans="7:17" x14ac:dyDescent="0.15">
      <c r="G179" s="2" t="s">
        <v>14</v>
      </c>
      <c r="H179" s="17">
        <f>ROUND(VLOOKUP(H$163&amp;"_1",管理者用人口入力シート!BH:CE,J179,FALSE),0)</f>
        <v>52</v>
      </c>
      <c r="I179" s="17">
        <f>ROUND(VLOOKUP(H$163&amp;"_2",管理者用人口入力シート!BH:CE,J179,FALSE),0)</f>
        <v>47</v>
      </c>
      <c r="J179" s="2">
        <v>18</v>
      </c>
      <c r="N179" s="2" t="s">
        <v>14</v>
      </c>
      <c r="O179" s="17">
        <f>ROUND(VLOOKUP(O$163&amp;"_1",管理者用人口入力シート!CO:DL,Q179,FALSE),0)</f>
        <v>52</v>
      </c>
      <c r="P179" s="17">
        <f>ROUND(VLOOKUP(O$163&amp;"_2",管理者用人口入力シート!CO:DL,Q179,FALSE),0)</f>
        <v>47</v>
      </c>
      <c r="Q179" s="2">
        <v>18</v>
      </c>
    </row>
    <row r="180" spans="7:17" x14ac:dyDescent="0.15">
      <c r="G180" s="2" t="s">
        <v>15</v>
      </c>
      <c r="H180" s="17">
        <f>ROUND(VLOOKUP(H$163&amp;"_1",管理者用人口入力シート!BH:CE,J180,FALSE),0)</f>
        <v>55</v>
      </c>
      <c r="I180" s="17">
        <f>ROUND(VLOOKUP(H$163&amp;"_2",管理者用人口入力シート!BH:CE,J180,FALSE),0)</f>
        <v>59</v>
      </c>
      <c r="J180" s="2">
        <v>19</v>
      </c>
      <c r="N180" s="2" t="s">
        <v>15</v>
      </c>
      <c r="O180" s="17">
        <f>ROUND(VLOOKUP(O$163&amp;"_1",管理者用人口入力シート!CO:DL,Q180,FALSE),0)</f>
        <v>55</v>
      </c>
      <c r="P180" s="17">
        <f>ROUND(VLOOKUP(O$163&amp;"_2",管理者用人口入力シート!CO:DL,Q180,FALSE),0)</f>
        <v>59</v>
      </c>
      <c r="Q180" s="2">
        <v>19</v>
      </c>
    </row>
    <row r="181" spans="7:17" x14ac:dyDescent="0.15">
      <c r="G181" s="2" t="s">
        <v>16</v>
      </c>
      <c r="H181" s="17">
        <f>ROUND(VLOOKUP(H$163&amp;"_1",管理者用人口入力シート!BH:CE,J181,FALSE),0)</f>
        <v>41</v>
      </c>
      <c r="I181" s="17">
        <f>ROUND(VLOOKUP(H$163&amp;"_2",管理者用人口入力シート!BH:CE,J181,FALSE),0)</f>
        <v>52</v>
      </c>
      <c r="J181" s="2">
        <v>20</v>
      </c>
      <c r="N181" s="2" t="s">
        <v>16</v>
      </c>
      <c r="O181" s="17">
        <f>ROUND(VLOOKUP(O$163&amp;"_1",管理者用人口入力シート!CO:DL,Q181,FALSE),0)</f>
        <v>41</v>
      </c>
      <c r="P181" s="17">
        <f>ROUND(VLOOKUP(O$163&amp;"_2",管理者用人口入力シート!CO:DL,Q181,FALSE),0)</f>
        <v>52</v>
      </c>
      <c r="Q181" s="2">
        <v>20</v>
      </c>
    </row>
    <row r="182" spans="7:17" x14ac:dyDescent="0.15">
      <c r="G182" s="2" t="s">
        <v>17</v>
      </c>
      <c r="H182" s="17">
        <f>ROUND(VLOOKUP(H$163&amp;"_1",管理者用人口入力シート!BH:CE,J182,FALSE),0)</f>
        <v>28</v>
      </c>
      <c r="I182" s="17">
        <f>ROUND(VLOOKUP(H$163&amp;"_2",管理者用人口入力シート!BH:CE,J182,FALSE),0)</f>
        <v>45</v>
      </c>
      <c r="J182" s="2">
        <v>21</v>
      </c>
      <c r="N182" s="2" t="s">
        <v>17</v>
      </c>
      <c r="O182" s="17">
        <f>ROUND(VLOOKUP(O$163&amp;"_1",管理者用人口入力シート!CO:DL,Q182,FALSE),0)</f>
        <v>28</v>
      </c>
      <c r="P182" s="17">
        <f>ROUND(VLOOKUP(O$163&amp;"_2",管理者用人口入力シート!CO:DL,Q182,FALSE),0)</f>
        <v>45</v>
      </c>
      <c r="Q182" s="2">
        <v>21</v>
      </c>
    </row>
    <row r="183" spans="7:17" x14ac:dyDescent="0.15">
      <c r="G183" s="2" t="s">
        <v>18</v>
      </c>
      <c r="H183" s="17">
        <f>ROUND(VLOOKUP(H$163&amp;"_1",管理者用人口入力シート!BH:CE,J183,FALSE),0)</f>
        <v>8</v>
      </c>
      <c r="I183" s="17">
        <f>ROUND(VLOOKUP(H$163&amp;"_2",管理者用人口入力シート!BH:CE,J183,FALSE),0)</f>
        <v>33</v>
      </c>
      <c r="J183" s="2">
        <v>22</v>
      </c>
      <c r="N183" s="2" t="s">
        <v>18</v>
      </c>
      <c r="O183" s="17">
        <f>ROUND(VLOOKUP(O$163&amp;"_1",管理者用人口入力シート!CO:DL,Q183,FALSE),0)</f>
        <v>8</v>
      </c>
      <c r="P183" s="17">
        <f>ROUND(VLOOKUP(O$163&amp;"_2",管理者用人口入力シート!CO:DL,Q183,FALSE),0)</f>
        <v>33</v>
      </c>
      <c r="Q183" s="2">
        <v>22</v>
      </c>
    </row>
    <row r="184" spans="7:17" x14ac:dyDescent="0.15">
      <c r="G184" s="2" t="s">
        <v>19</v>
      </c>
      <c r="H184" s="17">
        <f>ROUND(VLOOKUP(H$163&amp;"_1",管理者用人口入力シート!BH:CE,J184,FALSE),0)</f>
        <v>2</v>
      </c>
      <c r="I184" s="17">
        <f>ROUND(VLOOKUP(H$163&amp;"_2",管理者用人口入力シート!BH:CE,J184,FALSE),0)</f>
        <v>10</v>
      </c>
      <c r="J184" s="2">
        <v>23</v>
      </c>
      <c r="N184" s="2" t="s">
        <v>19</v>
      </c>
      <c r="O184" s="17">
        <f>ROUND(VLOOKUP(O$163&amp;"_1",管理者用人口入力シート!CO:DL,Q184,FALSE),0)</f>
        <v>2</v>
      </c>
      <c r="P184" s="17">
        <f>ROUND(VLOOKUP(O$163&amp;"_2",管理者用人口入力シート!CO:DL,Q184,FALSE),0)</f>
        <v>10</v>
      </c>
      <c r="Q184" s="2">
        <v>23</v>
      </c>
    </row>
    <row r="185" spans="7:17" x14ac:dyDescent="0.15">
      <c r="G185" s="2" t="s">
        <v>20</v>
      </c>
      <c r="H185" s="17">
        <f>ROUND(VLOOKUP(H$163&amp;"_1",管理者用人口入力シート!BH:CE,J185,FALSE),0)</f>
        <v>0</v>
      </c>
      <c r="I185" s="17">
        <f>ROUND(VLOOKUP(H$163&amp;"_2",管理者用人口入力シート!BH:CE,J185,FALSE),0)</f>
        <v>4</v>
      </c>
      <c r="J185" s="2">
        <v>24</v>
      </c>
      <c r="N185" s="2" t="s">
        <v>20</v>
      </c>
      <c r="O185" s="17">
        <f>ROUND(VLOOKUP(O$163&amp;"_1",管理者用人口入力シート!CO:DL,Q185,FALSE),0)</f>
        <v>0</v>
      </c>
      <c r="P185" s="17">
        <f>ROUND(VLOOKUP(O$163&amp;"_2",管理者用人口入力シート!CO:DL,Q185,FALSE),0)</f>
        <v>4</v>
      </c>
      <c r="Q185" s="2">
        <v>24</v>
      </c>
    </row>
    <row r="187" spans="7:17" x14ac:dyDescent="0.15">
      <c r="G187" s="2" t="s">
        <v>396</v>
      </c>
      <c r="H187" s="315">
        <f>管理者入力シート!B13</f>
        <v>2050</v>
      </c>
      <c r="I187" s="316"/>
      <c r="J187" s="2" t="s">
        <v>114</v>
      </c>
      <c r="O187" s="315">
        <f>管理者入力シート!B13</f>
        <v>2050</v>
      </c>
      <c r="P187" s="316"/>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9</v>
      </c>
      <c r="I189" s="17">
        <f>ROUND(VLOOKUP(H$187&amp;"_2",管理者用人口入力シート!BH:CE,J189,FALSE),0)</f>
        <v>9</v>
      </c>
      <c r="J189" s="2">
        <v>4</v>
      </c>
      <c r="N189" s="2" t="s">
        <v>0</v>
      </c>
      <c r="O189" s="17">
        <f>ROUND(VLOOKUP(O$187&amp;"_1",管理者用人口入力シート!CO:DL,Q189,FALSE),0)</f>
        <v>12</v>
      </c>
      <c r="P189" s="17">
        <f>ROUND(VLOOKUP(O$187&amp;"_2",管理者用人口入力シート!CO:DL,Q189,FALSE),0)</f>
        <v>12</v>
      </c>
      <c r="Q189" s="2">
        <v>4</v>
      </c>
    </row>
    <row r="190" spans="7:17" x14ac:dyDescent="0.15">
      <c r="G190" s="2" t="s">
        <v>1</v>
      </c>
      <c r="H190" s="17">
        <f>ROUND(VLOOKUP(H$187&amp;"_1",管理者用人口入力シート!BH:CE,J190,FALSE),0)</f>
        <v>12</v>
      </c>
      <c r="I190" s="17">
        <f>ROUND(VLOOKUP(H$187&amp;"_2",管理者用人口入力シート!BH:CE,J190,FALSE),0)</f>
        <v>10</v>
      </c>
      <c r="J190" s="2">
        <v>5</v>
      </c>
      <c r="N190" s="2" t="s">
        <v>1</v>
      </c>
      <c r="O190" s="17">
        <f>ROUND(VLOOKUP(O$187&amp;"_1",管理者用人口入力シート!CO:DL,Q190,FALSE),0)</f>
        <v>14</v>
      </c>
      <c r="P190" s="17">
        <f>ROUND(VLOOKUP(O$187&amp;"_2",管理者用人口入力シート!CO:DL,Q190,FALSE),0)</f>
        <v>12</v>
      </c>
      <c r="Q190" s="2">
        <v>5</v>
      </c>
    </row>
    <row r="191" spans="7:17" x14ac:dyDescent="0.15">
      <c r="G191" s="2" t="s">
        <v>2</v>
      </c>
      <c r="H191" s="17">
        <f>ROUND(VLOOKUP(H$187&amp;"_1",管理者用人口入力シート!BH:CE,J191,FALSE),0)</f>
        <v>12</v>
      </c>
      <c r="I191" s="17">
        <f>ROUND(VLOOKUP(H$187&amp;"_2",管理者用人口入力シート!BH:CE,J191,FALSE),0)</f>
        <v>10</v>
      </c>
      <c r="J191" s="2">
        <v>6</v>
      </c>
      <c r="N191" s="2" t="s">
        <v>2</v>
      </c>
      <c r="O191" s="17">
        <f>ROUND(VLOOKUP(O$187&amp;"_1",管理者用人口入力シート!CO:DL,Q191,FALSE),0)</f>
        <v>15</v>
      </c>
      <c r="P191" s="17">
        <f>ROUND(VLOOKUP(O$187&amp;"_2",管理者用人口入力シート!CO:DL,Q191,FALSE),0)</f>
        <v>13</v>
      </c>
      <c r="Q191" s="2">
        <v>6</v>
      </c>
    </row>
    <row r="192" spans="7:17" x14ac:dyDescent="0.15">
      <c r="G192" s="2" t="s">
        <v>3</v>
      </c>
      <c r="H192" s="17">
        <f>ROUND(VLOOKUP(H$187&amp;"_1",管理者用人口入力シート!BH:CE,J192,FALSE),0)</f>
        <v>11</v>
      </c>
      <c r="I192" s="17">
        <f>ROUND(VLOOKUP(H$187&amp;"_2",管理者用人口入力シート!BH:CE,J192,FALSE),0)</f>
        <v>8</v>
      </c>
      <c r="J192" s="2">
        <v>7</v>
      </c>
      <c r="N192" s="2" t="s">
        <v>3</v>
      </c>
      <c r="O192" s="17">
        <f>ROUND(VLOOKUP(O$187&amp;"_1",管理者用人口入力シート!CO:DL,Q192,FALSE),0)</f>
        <v>13</v>
      </c>
      <c r="P192" s="17">
        <f>ROUND(VLOOKUP(O$187&amp;"_2",管理者用人口入力シート!CO:DL,Q192,FALSE),0)</f>
        <v>10</v>
      </c>
      <c r="Q192" s="2">
        <v>7</v>
      </c>
    </row>
    <row r="193" spans="7:17" x14ac:dyDescent="0.15">
      <c r="G193" s="2" t="s">
        <v>4</v>
      </c>
      <c r="H193" s="17">
        <f>ROUND(VLOOKUP(H$187&amp;"_1",管理者用人口入力シート!BH:CE,J193,FALSE),0)</f>
        <v>15</v>
      </c>
      <c r="I193" s="17">
        <f>ROUND(VLOOKUP(H$187&amp;"_2",管理者用人口入力シート!BH:CE,J193,FALSE),0)</f>
        <v>9</v>
      </c>
      <c r="J193" s="2">
        <v>8</v>
      </c>
      <c r="N193" s="2" t="s">
        <v>4</v>
      </c>
      <c r="O193" s="17">
        <f>ROUND(VLOOKUP(O$187&amp;"_1",管理者用人口入力シート!CO:DL,Q193,FALSE),0)</f>
        <v>18</v>
      </c>
      <c r="P193" s="17">
        <f>ROUND(VLOOKUP(O$187&amp;"_2",管理者用人口入力シート!CO:DL,Q193,FALSE),0)</f>
        <v>11</v>
      </c>
      <c r="Q193" s="2">
        <v>8</v>
      </c>
    </row>
    <row r="194" spans="7:17" x14ac:dyDescent="0.15">
      <c r="G194" s="2" t="s">
        <v>5</v>
      </c>
      <c r="H194" s="17">
        <f>ROUND(VLOOKUP(H$187&amp;"_1",管理者用人口入力シート!BH:CE,J194,FALSE),0)</f>
        <v>14</v>
      </c>
      <c r="I194" s="17">
        <f>ROUND(VLOOKUP(H$187&amp;"_2",管理者用人口入力シート!BH:CE,J194,FALSE),0)</f>
        <v>10</v>
      </c>
      <c r="J194" s="2">
        <v>9</v>
      </c>
      <c r="N194" s="2" t="s">
        <v>5</v>
      </c>
      <c r="O194" s="17">
        <f>ROUND(VLOOKUP(O$187&amp;"_1",管理者用人口入力シート!CO:DL,Q194,FALSE),0)</f>
        <v>18</v>
      </c>
      <c r="P194" s="17">
        <f>ROUND(VLOOKUP(O$187&amp;"_2",管理者用人口入力シート!CO:DL,Q194,FALSE),0)</f>
        <v>13</v>
      </c>
      <c r="Q194" s="2">
        <v>9</v>
      </c>
    </row>
    <row r="195" spans="7:17" x14ac:dyDescent="0.15">
      <c r="G195" s="2" t="s">
        <v>6</v>
      </c>
      <c r="H195" s="17">
        <f>ROUND(VLOOKUP(H$187&amp;"_1",管理者用人口入力シート!BH:CE,J195,FALSE),0)</f>
        <v>17</v>
      </c>
      <c r="I195" s="17">
        <f>ROUND(VLOOKUP(H$187&amp;"_2",管理者用人口入力シート!BH:CE,J195,FALSE),0)</f>
        <v>12</v>
      </c>
      <c r="J195" s="2">
        <v>10</v>
      </c>
      <c r="N195" s="2" t="s">
        <v>6</v>
      </c>
      <c r="O195" s="17">
        <f>ROUND(VLOOKUP(O$187&amp;"_1",管理者用人口入力シート!CO:DL,Q195,FALSE),0)</f>
        <v>20</v>
      </c>
      <c r="P195" s="17">
        <f>ROUND(VLOOKUP(O$187&amp;"_2",管理者用人口入力シート!CO:DL,Q195,FALSE),0)</f>
        <v>14</v>
      </c>
      <c r="Q195" s="2">
        <v>10</v>
      </c>
    </row>
    <row r="196" spans="7:17" x14ac:dyDescent="0.15">
      <c r="G196" s="2" t="s">
        <v>7</v>
      </c>
      <c r="H196" s="17">
        <f>ROUND(VLOOKUP(H$187&amp;"_1",管理者用人口入力シート!BH:CE,J196,FALSE),0)</f>
        <v>20</v>
      </c>
      <c r="I196" s="17">
        <f>ROUND(VLOOKUP(H$187&amp;"_2",管理者用人口入力シート!BH:CE,J196,FALSE),0)</f>
        <v>15</v>
      </c>
      <c r="J196" s="2">
        <v>11</v>
      </c>
      <c r="N196" s="2" t="s">
        <v>7</v>
      </c>
      <c r="O196" s="17">
        <f>ROUND(VLOOKUP(O$187&amp;"_1",管理者用人口入力シート!CO:DL,Q196,FALSE),0)</f>
        <v>22</v>
      </c>
      <c r="P196" s="17">
        <f>ROUND(VLOOKUP(O$187&amp;"_2",管理者用人口入力シート!CO:DL,Q196,FALSE),0)</f>
        <v>18</v>
      </c>
      <c r="Q196" s="2">
        <v>11</v>
      </c>
    </row>
    <row r="197" spans="7:17" x14ac:dyDescent="0.15">
      <c r="G197" s="2" t="s">
        <v>8</v>
      </c>
      <c r="H197" s="17">
        <f>ROUND(VLOOKUP(H$187&amp;"_1",管理者用人口入力シート!BH:CE,J197,FALSE),0)</f>
        <v>22</v>
      </c>
      <c r="I197" s="17">
        <f>ROUND(VLOOKUP(H$187&amp;"_2",管理者用人口入力シート!BH:CE,J197,FALSE),0)</f>
        <v>19</v>
      </c>
      <c r="J197" s="2">
        <v>12</v>
      </c>
      <c r="N197" s="2" t="s">
        <v>8</v>
      </c>
      <c r="O197" s="17">
        <f>ROUND(VLOOKUP(O$187&amp;"_1",管理者用人口入力シート!CO:DL,Q197,FALSE),0)</f>
        <v>24</v>
      </c>
      <c r="P197" s="17">
        <f>ROUND(VLOOKUP(O$187&amp;"_2",管理者用人口入力シート!CO:DL,Q197,FALSE),0)</f>
        <v>22</v>
      </c>
      <c r="Q197" s="2">
        <v>12</v>
      </c>
    </row>
    <row r="198" spans="7:17" x14ac:dyDescent="0.15">
      <c r="G198" s="2" t="s">
        <v>9</v>
      </c>
      <c r="H198" s="17">
        <f>ROUND(VLOOKUP(H$187&amp;"_1",管理者用人口入力シート!BH:CE,J198,FALSE),0)</f>
        <v>25</v>
      </c>
      <c r="I198" s="17">
        <f>ROUND(VLOOKUP(H$187&amp;"_2",管理者用人口入力シート!BH:CE,J198,FALSE),0)</f>
        <v>15</v>
      </c>
      <c r="J198" s="2">
        <v>13</v>
      </c>
      <c r="N198" s="2" t="s">
        <v>9</v>
      </c>
      <c r="O198" s="17">
        <f>ROUND(VLOOKUP(O$187&amp;"_1",管理者用人口入力シート!CO:DL,Q198,FALSE),0)</f>
        <v>27</v>
      </c>
      <c r="P198" s="17">
        <f>ROUND(VLOOKUP(O$187&amp;"_2",管理者用人口入力シート!CO:DL,Q198,FALSE),0)</f>
        <v>18</v>
      </c>
      <c r="Q198" s="2">
        <v>13</v>
      </c>
    </row>
    <row r="199" spans="7:17" x14ac:dyDescent="0.15">
      <c r="G199" s="2" t="s">
        <v>10</v>
      </c>
      <c r="H199" s="17">
        <f>ROUND(VLOOKUP(H$187&amp;"_1",管理者用人口入力シート!BH:CE,J199,FALSE),0)</f>
        <v>33</v>
      </c>
      <c r="I199" s="17">
        <f>ROUND(VLOOKUP(H$187&amp;"_2",管理者用人口入力シート!BH:CE,J199,FALSE),0)</f>
        <v>23</v>
      </c>
      <c r="J199" s="2">
        <v>14</v>
      </c>
      <c r="N199" s="2" t="s">
        <v>10</v>
      </c>
      <c r="O199" s="17">
        <f>ROUND(VLOOKUP(O$187&amp;"_1",管理者用人口入力シート!CO:DL,Q199,FALSE),0)</f>
        <v>34</v>
      </c>
      <c r="P199" s="17">
        <f>ROUND(VLOOKUP(O$187&amp;"_2",管理者用人口入力シート!CO:DL,Q199,FALSE),0)</f>
        <v>26</v>
      </c>
      <c r="Q199" s="2">
        <v>14</v>
      </c>
    </row>
    <row r="200" spans="7:17" x14ac:dyDescent="0.15">
      <c r="G200" s="2" t="s">
        <v>11</v>
      </c>
      <c r="H200" s="17">
        <f>ROUND(VLOOKUP(H$187&amp;"_1",管理者用人口入力シート!BH:CE,J200,FALSE),0)</f>
        <v>39</v>
      </c>
      <c r="I200" s="17">
        <f>ROUND(VLOOKUP(H$187&amp;"_2",管理者用人口入力シート!BH:CE,J200,FALSE),0)</f>
        <v>34</v>
      </c>
      <c r="J200" s="2">
        <v>15</v>
      </c>
      <c r="N200" s="2" t="s">
        <v>11</v>
      </c>
      <c r="O200" s="17">
        <f>ROUND(VLOOKUP(O$187&amp;"_1",管理者用人口入力シート!CO:DL,Q200,FALSE),0)</f>
        <v>39</v>
      </c>
      <c r="P200" s="17">
        <f>ROUND(VLOOKUP(O$187&amp;"_2",管理者用人口入力シート!CO:DL,Q200,FALSE),0)</f>
        <v>35</v>
      </c>
      <c r="Q200" s="2">
        <v>15</v>
      </c>
    </row>
    <row r="201" spans="7:17" x14ac:dyDescent="0.15">
      <c r="G201" s="2" t="s">
        <v>12</v>
      </c>
      <c r="H201" s="17">
        <f>ROUND(VLOOKUP(H$187&amp;"_1",管理者用人口入力シート!BH:CE,J201,FALSE),0)</f>
        <v>30</v>
      </c>
      <c r="I201" s="17">
        <f>ROUND(VLOOKUP(H$187&amp;"_2",管理者用人口入力シート!BH:CE,J201,FALSE),0)</f>
        <v>35</v>
      </c>
      <c r="J201" s="2">
        <v>16</v>
      </c>
      <c r="N201" s="2" t="s">
        <v>12</v>
      </c>
      <c r="O201" s="17">
        <f>ROUND(VLOOKUP(O$187&amp;"_1",管理者用人口入力シート!CO:DL,Q201,FALSE),0)</f>
        <v>30</v>
      </c>
      <c r="P201" s="17">
        <f>ROUND(VLOOKUP(O$187&amp;"_2",管理者用人口入力シート!CO:DL,Q201,FALSE),0)</f>
        <v>36</v>
      </c>
      <c r="Q201" s="2">
        <v>16</v>
      </c>
    </row>
    <row r="202" spans="7:17" x14ac:dyDescent="0.15">
      <c r="G202" s="2" t="s">
        <v>13</v>
      </c>
      <c r="H202" s="17">
        <f>ROUND(VLOOKUP(H$187&amp;"_1",管理者用人口入力シート!BH:CE,J202,FALSE),0)</f>
        <v>43</v>
      </c>
      <c r="I202" s="17">
        <f>ROUND(VLOOKUP(H$187&amp;"_2",管理者用人口入力シート!BH:CE,J202,FALSE),0)</f>
        <v>45</v>
      </c>
      <c r="J202" s="2">
        <v>17</v>
      </c>
      <c r="N202" s="2" t="s">
        <v>13</v>
      </c>
      <c r="O202" s="17">
        <f>ROUND(VLOOKUP(O$187&amp;"_1",管理者用人口入力シート!CO:DL,Q202,FALSE),0)</f>
        <v>43</v>
      </c>
      <c r="P202" s="17">
        <f>ROUND(VLOOKUP(O$187&amp;"_2",管理者用人口入力シート!CO:DL,Q202,FALSE),0)</f>
        <v>46</v>
      </c>
      <c r="Q202" s="2">
        <v>17</v>
      </c>
    </row>
    <row r="203" spans="7:17" x14ac:dyDescent="0.15">
      <c r="G203" s="2" t="s">
        <v>14</v>
      </c>
      <c r="H203" s="17">
        <f>ROUND(VLOOKUP(H$187&amp;"_1",管理者用人口入力シート!BH:CE,J203,FALSE),0)</f>
        <v>58</v>
      </c>
      <c r="I203" s="17">
        <f>ROUND(VLOOKUP(H$187&amp;"_2",管理者用人口入力シート!BH:CE,J203,FALSE),0)</f>
        <v>56</v>
      </c>
      <c r="J203" s="2">
        <v>18</v>
      </c>
      <c r="N203" s="2" t="s">
        <v>14</v>
      </c>
      <c r="O203" s="17">
        <f>ROUND(VLOOKUP(O$187&amp;"_1",管理者用人口入力シート!CO:DL,Q203,FALSE),0)</f>
        <v>58</v>
      </c>
      <c r="P203" s="17">
        <f>ROUND(VLOOKUP(O$187&amp;"_2",管理者用人口入力シート!CO:DL,Q203,FALSE),0)</f>
        <v>56</v>
      </c>
      <c r="Q203" s="2">
        <v>18</v>
      </c>
    </row>
    <row r="204" spans="7:17" x14ac:dyDescent="0.15">
      <c r="G204" s="2" t="s">
        <v>15</v>
      </c>
      <c r="H204" s="17">
        <f>ROUND(VLOOKUP(H$187&amp;"_1",管理者用人口入力シート!BH:CE,J204,FALSE),0)</f>
        <v>47</v>
      </c>
      <c r="I204" s="17">
        <f>ROUND(VLOOKUP(H$187&amp;"_2",管理者用人口入力シート!BH:CE,J204,FALSE),0)</f>
        <v>44</v>
      </c>
      <c r="J204" s="2">
        <v>19</v>
      </c>
      <c r="N204" s="2" t="s">
        <v>15</v>
      </c>
      <c r="O204" s="17">
        <f>ROUND(VLOOKUP(O$187&amp;"_1",管理者用人口入力シート!CO:DL,Q204,FALSE),0)</f>
        <v>47</v>
      </c>
      <c r="P204" s="17">
        <f>ROUND(VLOOKUP(O$187&amp;"_2",管理者用人口入力シート!CO:DL,Q204,FALSE),0)</f>
        <v>44</v>
      </c>
      <c r="Q204" s="2">
        <v>19</v>
      </c>
    </row>
    <row r="205" spans="7:17" x14ac:dyDescent="0.15">
      <c r="G205" s="2" t="s">
        <v>16</v>
      </c>
      <c r="H205" s="17">
        <f>ROUND(VLOOKUP(H$187&amp;"_1",管理者用人口入力シート!BH:CE,J205,FALSE),0)</f>
        <v>40</v>
      </c>
      <c r="I205" s="17">
        <f>ROUND(VLOOKUP(H$187&amp;"_2",管理者用人口入力シート!BH:CE,J205,FALSE),0)</f>
        <v>51</v>
      </c>
      <c r="J205" s="2">
        <v>20</v>
      </c>
      <c r="N205" s="2" t="s">
        <v>16</v>
      </c>
      <c r="O205" s="17">
        <f>ROUND(VLOOKUP(O$187&amp;"_1",管理者用人口入力シート!CO:DL,Q205,FALSE),0)</f>
        <v>40</v>
      </c>
      <c r="P205" s="17">
        <f>ROUND(VLOOKUP(O$187&amp;"_2",管理者用人口入力シート!CO:DL,Q205,FALSE),0)</f>
        <v>51</v>
      </c>
      <c r="Q205" s="2">
        <v>20</v>
      </c>
    </row>
    <row r="206" spans="7:17" x14ac:dyDescent="0.15">
      <c r="G206" s="2" t="s">
        <v>17</v>
      </c>
      <c r="H206" s="17">
        <f>ROUND(VLOOKUP(H$187&amp;"_1",管理者用人口入力シート!BH:CE,J206,FALSE),0)</f>
        <v>25</v>
      </c>
      <c r="I206" s="17">
        <f>ROUND(VLOOKUP(H$187&amp;"_2",管理者用人口入力シート!BH:CE,J206,FALSE),0)</f>
        <v>41</v>
      </c>
      <c r="J206" s="2">
        <v>21</v>
      </c>
      <c r="N206" s="2" t="s">
        <v>17</v>
      </c>
      <c r="O206" s="17">
        <f>ROUND(VLOOKUP(O$187&amp;"_1",管理者用人口入力シート!CO:DL,Q206,FALSE),0)</f>
        <v>25</v>
      </c>
      <c r="P206" s="17">
        <f>ROUND(VLOOKUP(O$187&amp;"_2",管理者用人口入力シート!CO:DL,Q206,FALSE),0)</f>
        <v>41</v>
      </c>
      <c r="Q206" s="2">
        <v>21</v>
      </c>
    </row>
    <row r="207" spans="7:17" x14ac:dyDescent="0.15">
      <c r="G207" s="2" t="s">
        <v>18</v>
      </c>
      <c r="H207" s="17">
        <f>ROUND(VLOOKUP(H$187&amp;"_1",管理者用人口入力シート!BH:CE,J207,FALSE),0)</f>
        <v>8</v>
      </c>
      <c r="I207" s="17">
        <f>ROUND(VLOOKUP(H$187&amp;"_2",管理者用人口入力シート!BH:CE,J207,FALSE),0)</f>
        <v>25</v>
      </c>
      <c r="J207" s="2">
        <v>22</v>
      </c>
      <c r="N207" s="2" t="s">
        <v>18</v>
      </c>
      <c r="O207" s="17">
        <f>ROUND(VLOOKUP(O$187&amp;"_1",管理者用人口入力シート!CO:DL,Q207,FALSE),0)</f>
        <v>8</v>
      </c>
      <c r="P207" s="17">
        <f>ROUND(VLOOKUP(O$187&amp;"_2",管理者用人口入力シート!CO:DL,Q207,FALSE),0)</f>
        <v>25</v>
      </c>
      <c r="Q207" s="2">
        <v>22</v>
      </c>
    </row>
    <row r="208" spans="7:17" x14ac:dyDescent="0.15">
      <c r="G208" s="2" t="s">
        <v>19</v>
      </c>
      <c r="H208" s="17">
        <f>ROUND(VLOOKUP(H$187&amp;"_1",管理者用人口入力シート!BH:CE,J208,FALSE),0)</f>
        <v>2</v>
      </c>
      <c r="I208" s="17">
        <f>ROUND(VLOOKUP(H$187&amp;"_2",管理者用人口入力シート!BH:CE,J208,FALSE),0)</f>
        <v>12</v>
      </c>
      <c r="J208" s="2">
        <v>23</v>
      </c>
      <c r="N208" s="2" t="s">
        <v>19</v>
      </c>
      <c r="O208" s="17">
        <f>ROUND(VLOOKUP(O$187&amp;"_1",管理者用人口入力シート!CO:DL,Q208,FALSE),0)</f>
        <v>2</v>
      </c>
      <c r="P208" s="17">
        <f>ROUND(VLOOKUP(O$187&amp;"_2",管理者用人口入力シート!CO:DL,Q208,FALSE),0)</f>
        <v>12</v>
      </c>
      <c r="Q208" s="2">
        <v>23</v>
      </c>
    </row>
    <row r="209" spans="7:17" x14ac:dyDescent="0.15">
      <c r="G209" s="2" t="s">
        <v>20</v>
      </c>
      <c r="H209" s="17">
        <f>ROUND(VLOOKUP(H$187&amp;"_1",管理者用人口入力シート!BH:CE,J209,FALSE),0)</f>
        <v>0</v>
      </c>
      <c r="I209" s="17">
        <f>ROUND(VLOOKUP(H$187&amp;"_2",管理者用人口入力シート!BH:CE,J209,FALSE),0)</f>
        <v>4</v>
      </c>
      <c r="J209" s="2">
        <v>24</v>
      </c>
      <c r="N209" s="2" t="s">
        <v>20</v>
      </c>
      <c r="O209" s="17">
        <f>ROUND(VLOOKUP(O$187&amp;"_1",管理者用人口入力シート!CO:DL,Q209,FALSE),0)</f>
        <v>0</v>
      </c>
      <c r="P209" s="17">
        <f>ROUND(VLOOKUP(O$187&amp;"_2",管理者用人口入力シート!CO:DL,Q209,FALSE),0)</f>
        <v>4</v>
      </c>
      <c r="Q209" s="2">
        <v>24</v>
      </c>
    </row>
    <row r="212" spans="7:17" x14ac:dyDescent="0.15">
      <c r="N212" s="2" t="s">
        <v>273</v>
      </c>
      <c r="O212" s="315">
        <f>O91</f>
        <v>2030</v>
      </c>
      <c r="P212" s="316"/>
      <c r="Q212" s="2" t="s">
        <v>114</v>
      </c>
    </row>
    <row r="213" spans="7:17" x14ac:dyDescent="0.15">
      <c r="N213" s="2" t="s">
        <v>115</v>
      </c>
      <c r="O213" s="78" t="s">
        <v>329</v>
      </c>
      <c r="P213" s="78" t="s">
        <v>330</v>
      </c>
    </row>
    <row r="214" spans="7:17" x14ac:dyDescent="0.15">
      <c r="N214" s="2" t="s">
        <v>0</v>
      </c>
      <c r="O214" s="17">
        <f>H93+I93</f>
        <v>42</v>
      </c>
      <c r="P214" s="17">
        <f>O93+P93</f>
        <v>45</v>
      </c>
      <c r="Q214" s="2">
        <v>4</v>
      </c>
    </row>
    <row r="215" spans="7:17" x14ac:dyDescent="0.15">
      <c r="N215" s="2" t="s">
        <v>1</v>
      </c>
      <c r="O215" s="17">
        <f t="shared" ref="O215:O233" si="37">H94+I94</f>
        <v>46</v>
      </c>
      <c r="P215" s="17">
        <f t="shared" ref="P215:P233" si="38">O94+P94</f>
        <v>48</v>
      </c>
      <c r="Q215" s="2">
        <v>5</v>
      </c>
    </row>
    <row r="216" spans="7:17" x14ac:dyDescent="0.15">
      <c r="N216" s="2" t="s">
        <v>2</v>
      </c>
      <c r="O216" s="17">
        <f t="shared" si="37"/>
        <v>51</v>
      </c>
      <c r="P216" s="17">
        <f t="shared" si="38"/>
        <v>53</v>
      </c>
      <c r="Q216" s="2">
        <v>6</v>
      </c>
    </row>
    <row r="217" spans="7:17" x14ac:dyDescent="0.15">
      <c r="N217" s="2" t="s">
        <v>3</v>
      </c>
      <c r="O217" s="17">
        <f t="shared" si="37"/>
        <v>48</v>
      </c>
      <c r="P217" s="17">
        <f t="shared" si="38"/>
        <v>50</v>
      </c>
      <c r="Q217" s="2">
        <v>7</v>
      </c>
    </row>
    <row r="218" spans="7:17" x14ac:dyDescent="0.15">
      <c r="N218" s="2" t="s">
        <v>4</v>
      </c>
      <c r="O218" s="17">
        <f t="shared" si="37"/>
        <v>60</v>
      </c>
      <c r="P218" s="17">
        <f t="shared" si="38"/>
        <v>60</v>
      </c>
      <c r="Q218" s="2">
        <v>8</v>
      </c>
    </row>
    <row r="219" spans="7:17" x14ac:dyDescent="0.15">
      <c r="N219" s="2" t="s">
        <v>5</v>
      </c>
      <c r="O219" s="17">
        <f t="shared" si="37"/>
        <v>52</v>
      </c>
      <c r="P219" s="17">
        <f t="shared" si="38"/>
        <v>56</v>
      </c>
      <c r="Q219" s="2">
        <v>9</v>
      </c>
    </row>
    <row r="220" spans="7:17" x14ac:dyDescent="0.15">
      <c r="N220" s="2" t="s">
        <v>6</v>
      </c>
      <c r="O220" s="17">
        <f t="shared" si="37"/>
        <v>66</v>
      </c>
      <c r="P220" s="17">
        <f t="shared" si="38"/>
        <v>70</v>
      </c>
      <c r="Q220" s="2">
        <v>10</v>
      </c>
    </row>
    <row r="221" spans="7:17" x14ac:dyDescent="0.15">
      <c r="N221" s="2" t="s">
        <v>7</v>
      </c>
      <c r="O221" s="17">
        <f t="shared" si="37"/>
        <v>79</v>
      </c>
      <c r="P221" s="17">
        <f t="shared" si="38"/>
        <v>79</v>
      </c>
      <c r="Q221" s="2">
        <v>11</v>
      </c>
    </row>
    <row r="222" spans="7:17" x14ac:dyDescent="0.15">
      <c r="N222" s="2" t="s">
        <v>8</v>
      </c>
      <c r="O222" s="17">
        <f t="shared" si="37"/>
        <v>66</v>
      </c>
      <c r="P222" s="17">
        <f t="shared" si="38"/>
        <v>67</v>
      </c>
      <c r="Q222" s="2">
        <v>12</v>
      </c>
    </row>
    <row r="223" spans="7:17" x14ac:dyDescent="0.15">
      <c r="N223" s="2" t="s">
        <v>9</v>
      </c>
      <c r="O223" s="17">
        <f t="shared" si="37"/>
        <v>84</v>
      </c>
      <c r="P223" s="17">
        <f t="shared" si="38"/>
        <v>85</v>
      </c>
      <c r="Q223" s="2">
        <v>13</v>
      </c>
    </row>
    <row r="224" spans="7:17" x14ac:dyDescent="0.15">
      <c r="N224" s="2" t="s">
        <v>10</v>
      </c>
      <c r="O224" s="17">
        <f t="shared" si="37"/>
        <v>118</v>
      </c>
      <c r="P224" s="17">
        <f t="shared" si="38"/>
        <v>118</v>
      </c>
      <c r="Q224" s="2">
        <v>14</v>
      </c>
    </row>
    <row r="225" spans="14:17" x14ac:dyDescent="0.15">
      <c r="N225" s="2" t="s">
        <v>11</v>
      </c>
      <c r="O225" s="17">
        <f t="shared" si="37"/>
        <v>104</v>
      </c>
      <c r="P225" s="17">
        <f t="shared" si="38"/>
        <v>104</v>
      </c>
      <c r="Q225" s="2">
        <v>15</v>
      </c>
    </row>
    <row r="226" spans="14:17" x14ac:dyDescent="0.15">
      <c r="N226" s="2" t="s">
        <v>12</v>
      </c>
      <c r="O226" s="17">
        <f t="shared" si="37"/>
        <v>131</v>
      </c>
      <c r="P226" s="17">
        <f t="shared" si="38"/>
        <v>131</v>
      </c>
      <c r="Q226" s="2">
        <v>16</v>
      </c>
    </row>
    <row r="227" spans="14:17" x14ac:dyDescent="0.15">
      <c r="N227" s="2" t="s">
        <v>13</v>
      </c>
      <c r="O227" s="17">
        <f t="shared" si="37"/>
        <v>129</v>
      </c>
      <c r="P227" s="17">
        <f t="shared" si="38"/>
        <v>129</v>
      </c>
      <c r="Q227" s="2">
        <v>17</v>
      </c>
    </row>
    <row r="228" spans="14:17" x14ac:dyDescent="0.15">
      <c r="N228" s="2" t="s">
        <v>14</v>
      </c>
      <c r="O228" s="17">
        <f t="shared" si="37"/>
        <v>137</v>
      </c>
      <c r="P228" s="17">
        <f t="shared" si="38"/>
        <v>137</v>
      </c>
      <c r="Q228" s="2">
        <v>18</v>
      </c>
    </row>
    <row r="229" spans="14:17" x14ac:dyDescent="0.15">
      <c r="N229" s="2" t="s">
        <v>15</v>
      </c>
      <c r="O229" s="17">
        <f t="shared" si="37"/>
        <v>146</v>
      </c>
      <c r="P229" s="17">
        <f t="shared" si="38"/>
        <v>146</v>
      </c>
      <c r="Q229" s="2">
        <v>19</v>
      </c>
    </row>
    <row r="230" spans="14:17" x14ac:dyDescent="0.15">
      <c r="N230" s="2" t="s">
        <v>16</v>
      </c>
      <c r="O230" s="17">
        <f t="shared" si="37"/>
        <v>110</v>
      </c>
      <c r="P230" s="17">
        <f t="shared" si="38"/>
        <v>110</v>
      </c>
      <c r="Q230" s="2">
        <v>20</v>
      </c>
    </row>
    <row r="231" spans="14:17" x14ac:dyDescent="0.15">
      <c r="N231" s="2" t="s">
        <v>17</v>
      </c>
      <c r="O231" s="17">
        <f t="shared" si="37"/>
        <v>72</v>
      </c>
      <c r="P231" s="17">
        <f t="shared" si="38"/>
        <v>72</v>
      </c>
      <c r="Q231" s="2">
        <v>21</v>
      </c>
    </row>
    <row r="232" spans="14:17" x14ac:dyDescent="0.15">
      <c r="N232" s="2" t="s">
        <v>18</v>
      </c>
      <c r="O232" s="17">
        <f t="shared" si="37"/>
        <v>39</v>
      </c>
      <c r="P232" s="17">
        <f t="shared" si="38"/>
        <v>39</v>
      </c>
      <c r="Q232" s="2">
        <v>22</v>
      </c>
    </row>
    <row r="233" spans="14:17" x14ac:dyDescent="0.15">
      <c r="N233" s="2" t="s">
        <v>19</v>
      </c>
      <c r="O233" s="17">
        <f t="shared" si="37"/>
        <v>15</v>
      </c>
      <c r="P233" s="17">
        <f t="shared" si="38"/>
        <v>15</v>
      </c>
      <c r="Q233" s="2">
        <v>23</v>
      </c>
    </row>
    <row r="234" spans="14:17" x14ac:dyDescent="0.15">
      <c r="N234" s="2" t="s">
        <v>20</v>
      </c>
      <c r="O234" s="17">
        <f>H113+I113</f>
        <v>6</v>
      </c>
      <c r="P234" s="17">
        <f>O113+P113</f>
        <v>6</v>
      </c>
      <c r="Q234" s="2">
        <v>24</v>
      </c>
    </row>
    <row r="236" spans="14:17" x14ac:dyDescent="0.15">
      <c r="N236" s="2" t="s">
        <v>273</v>
      </c>
      <c r="O236" s="315">
        <f>O139</f>
        <v>2040</v>
      </c>
      <c r="P236" s="316"/>
      <c r="Q236" s="2" t="s">
        <v>114</v>
      </c>
    </row>
    <row r="237" spans="14:17" x14ac:dyDescent="0.15">
      <c r="N237" s="2" t="s">
        <v>115</v>
      </c>
      <c r="O237" s="78" t="s">
        <v>329</v>
      </c>
      <c r="P237" s="78" t="s">
        <v>330</v>
      </c>
    </row>
    <row r="238" spans="14:17" x14ac:dyDescent="0.15">
      <c r="N238" s="2" t="s">
        <v>0</v>
      </c>
      <c r="O238" s="17">
        <f>H141+I141</f>
        <v>27</v>
      </c>
      <c r="P238" s="17">
        <f>O141+P141</f>
        <v>32</v>
      </c>
      <c r="Q238" s="2">
        <v>4</v>
      </c>
    </row>
    <row r="239" spans="14:17" x14ac:dyDescent="0.15">
      <c r="N239" s="2" t="s">
        <v>1</v>
      </c>
      <c r="O239" s="17">
        <f t="shared" ref="O239:O257" si="39">H142+I142</f>
        <v>31</v>
      </c>
      <c r="P239" s="17">
        <f t="shared" ref="P239:P257" si="40">O142+P142</f>
        <v>35</v>
      </c>
      <c r="Q239" s="2">
        <v>5</v>
      </c>
    </row>
    <row r="240" spans="14:17" x14ac:dyDescent="0.15">
      <c r="N240" s="2" t="s">
        <v>2</v>
      </c>
      <c r="O240" s="17">
        <f t="shared" si="39"/>
        <v>34</v>
      </c>
      <c r="P240" s="17">
        <f t="shared" si="40"/>
        <v>38</v>
      </c>
      <c r="Q240" s="2">
        <v>6</v>
      </c>
    </row>
    <row r="241" spans="14:17" x14ac:dyDescent="0.15">
      <c r="N241" s="2" t="s">
        <v>3</v>
      </c>
      <c r="O241" s="17">
        <f t="shared" si="39"/>
        <v>30</v>
      </c>
      <c r="P241" s="17">
        <f t="shared" si="40"/>
        <v>32</v>
      </c>
      <c r="Q241" s="2">
        <v>7</v>
      </c>
    </row>
    <row r="242" spans="14:17" x14ac:dyDescent="0.15">
      <c r="N242" s="2" t="s">
        <v>4</v>
      </c>
      <c r="O242" s="17">
        <f t="shared" si="39"/>
        <v>37</v>
      </c>
      <c r="P242" s="17">
        <f t="shared" si="40"/>
        <v>38</v>
      </c>
      <c r="Q242" s="2">
        <v>8</v>
      </c>
    </row>
    <row r="243" spans="14:17" x14ac:dyDescent="0.15">
      <c r="N243" s="2" t="s">
        <v>5</v>
      </c>
      <c r="O243" s="17">
        <f t="shared" si="39"/>
        <v>40</v>
      </c>
      <c r="P243" s="17">
        <f t="shared" si="40"/>
        <v>45</v>
      </c>
      <c r="Q243" s="2">
        <v>9</v>
      </c>
    </row>
    <row r="244" spans="14:17" x14ac:dyDescent="0.15">
      <c r="N244" s="2" t="s">
        <v>6</v>
      </c>
      <c r="O244" s="17">
        <f t="shared" si="39"/>
        <v>48</v>
      </c>
      <c r="P244" s="17">
        <f t="shared" si="40"/>
        <v>51</v>
      </c>
      <c r="Q244" s="2">
        <v>10</v>
      </c>
    </row>
    <row r="245" spans="14:17" x14ac:dyDescent="0.15">
      <c r="N245" s="2" t="s">
        <v>7</v>
      </c>
      <c r="O245" s="17">
        <f t="shared" si="39"/>
        <v>46</v>
      </c>
      <c r="P245" s="17">
        <f t="shared" si="40"/>
        <v>50</v>
      </c>
      <c r="Q245" s="2">
        <v>11</v>
      </c>
    </row>
    <row r="246" spans="14:17" x14ac:dyDescent="0.15">
      <c r="N246" s="2" t="s">
        <v>8</v>
      </c>
      <c r="O246" s="17">
        <f t="shared" si="39"/>
        <v>58</v>
      </c>
      <c r="P246" s="17">
        <f t="shared" si="40"/>
        <v>62</v>
      </c>
      <c r="Q246" s="2">
        <v>12</v>
      </c>
    </row>
    <row r="247" spans="14:17" x14ac:dyDescent="0.15">
      <c r="N247" s="2" t="s">
        <v>9</v>
      </c>
      <c r="O247" s="17">
        <f t="shared" si="39"/>
        <v>69</v>
      </c>
      <c r="P247" s="17">
        <f t="shared" si="40"/>
        <v>70</v>
      </c>
      <c r="Q247" s="2">
        <v>13</v>
      </c>
    </row>
    <row r="248" spans="14:17" x14ac:dyDescent="0.15">
      <c r="N248" s="2" t="s">
        <v>10</v>
      </c>
      <c r="O248" s="17">
        <f t="shared" si="39"/>
        <v>64</v>
      </c>
      <c r="P248" s="17">
        <f t="shared" si="40"/>
        <v>65</v>
      </c>
      <c r="Q248" s="2">
        <v>14</v>
      </c>
    </row>
    <row r="249" spans="14:17" x14ac:dyDescent="0.15">
      <c r="N249" s="2" t="s">
        <v>11</v>
      </c>
      <c r="O249" s="17">
        <f t="shared" si="39"/>
        <v>90</v>
      </c>
      <c r="P249" s="17">
        <f t="shared" si="40"/>
        <v>91</v>
      </c>
      <c r="Q249" s="2">
        <v>15</v>
      </c>
    </row>
    <row r="250" spans="14:17" x14ac:dyDescent="0.15">
      <c r="N250" s="2" t="s">
        <v>12</v>
      </c>
      <c r="O250" s="17">
        <f t="shared" si="39"/>
        <v>121</v>
      </c>
      <c r="P250" s="17">
        <f t="shared" si="40"/>
        <v>121</v>
      </c>
      <c r="Q250" s="2">
        <v>16</v>
      </c>
    </row>
    <row r="251" spans="14:17" x14ac:dyDescent="0.15">
      <c r="N251" s="2" t="s">
        <v>13</v>
      </c>
      <c r="O251" s="17">
        <f t="shared" si="39"/>
        <v>101</v>
      </c>
      <c r="P251" s="17">
        <f t="shared" si="40"/>
        <v>101</v>
      </c>
      <c r="Q251" s="2">
        <v>17</v>
      </c>
    </row>
    <row r="252" spans="14:17" x14ac:dyDescent="0.15">
      <c r="N252" s="2" t="s">
        <v>14</v>
      </c>
      <c r="O252" s="17">
        <f t="shared" si="39"/>
        <v>124</v>
      </c>
      <c r="P252" s="17">
        <f t="shared" si="40"/>
        <v>124</v>
      </c>
      <c r="Q252" s="2">
        <v>18</v>
      </c>
    </row>
    <row r="253" spans="14:17" x14ac:dyDescent="0.15">
      <c r="N253" s="2" t="s">
        <v>15</v>
      </c>
      <c r="O253" s="17">
        <f t="shared" si="39"/>
        <v>115</v>
      </c>
      <c r="P253" s="17">
        <f t="shared" si="40"/>
        <v>115</v>
      </c>
      <c r="Q253" s="2">
        <v>19</v>
      </c>
    </row>
    <row r="254" spans="14:17" x14ac:dyDescent="0.15">
      <c r="N254" s="2" t="s">
        <v>16</v>
      </c>
      <c r="O254" s="17">
        <f t="shared" si="39"/>
        <v>100</v>
      </c>
      <c r="P254" s="17">
        <f t="shared" si="40"/>
        <v>100</v>
      </c>
      <c r="Q254" s="2">
        <v>20</v>
      </c>
    </row>
    <row r="255" spans="14:17" x14ac:dyDescent="0.15">
      <c r="N255" s="2" t="s">
        <v>17</v>
      </c>
      <c r="O255" s="17">
        <f t="shared" si="39"/>
        <v>87</v>
      </c>
      <c r="P255" s="17">
        <f t="shared" si="40"/>
        <v>87</v>
      </c>
      <c r="Q255" s="2">
        <v>21</v>
      </c>
    </row>
    <row r="256" spans="14:17" x14ac:dyDescent="0.15">
      <c r="N256" s="2" t="s">
        <v>18</v>
      </c>
      <c r="O256" s="17">
        <f t="shared" si="39"/>
        <v>37</v>
      </c>
      <c r="P256" s="17">
        <f t="shared" si="40"/>
        <v>37</v>
      </c>
      <c r="Q256" s="2">
        <v>22</v>
      </c>
    </row>
    <row r="257" spans="14:17" x14ac:dyDescent="0.15">
      <c r="N257" s="2" t="s">
        <v>19</v>
      </c>
      <c r="O257" s="17">
        <f t="shared" si="39"/>
        <v>11</v>
      </c>
      <c r="P257" s="17">
        <f t="shared" si="40"/>
        <v>11</v>
      </c>
      <c r="Q257" s="2">
        <v>23</v>
      </c>
    </row>
    <row r="258" spans="14:17" x14ac:dyDescent="0.15">
      <c r="N258" s="2" t="s">
        <v>20</v>
      </c>
      <c r="O258" s="17">
        <f>H161+I161</f>
        <v>4</v>
      </c>
      <c r="P258" s="17">
        <f>O161+P161</f>
        <v>4</v>
      </c>
      <c r="Q258" s="2">
        <v>24</v>
      </c>
    </row>
  </sheetData>
  <mergeCells count="17">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 ref="H163:I163"/>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2019-03-18T09:25:56Z</cp:lastPrinted>
  <dcterms:created xsi:type="dcterms:W3CDTF">2018-08-17T00:57:13Z</dcterms:created>
  <dcterms:modified xsi:type="dcterms:W3CDTF">2023-03-06T09:03:13Z</dcterms:modified>
</cp:coreProperties>
</file>