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wLkp9y5WzQ2fiu7E8rBY6wRU05ffeKNdrTiywURKMX1AUg/AjngL0IFwI6FRM5dpmIifAyHaulrB20Zot1Rqgg==" workbookSaltValue="FqqTehQkKQ0g6gjsaaPHiQ=="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AP8" i="17"/>
  <c r="BO4" i="17" s="1"/>
  <c r="CV4" i="17" s="1"/>
  <c r="AT8" i="17"/>
  <c r="BS4" i="17" s="1"/>
  <c r="EH4" i="17" s="1"/>
  <c r="O46" i="18"/>
  <c r="O14" i="18"/>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EJ4" i="17"/>
  <c r="O53" i="18"/>
  <c r="O43" i="18"/>
  <c r="O25" i="18"/>
  <c r="O64" i="18"/>
  <c r="O56" i="18"/>
  <c r="O20" i="18"/>
  <c r="A77" i="21" s="1"/>
  <c r="EP4" i="17"/>
  <c r="CY3" i="17"/>
  <c r="CZ6" i="17" s="1"/>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O5" i="17"/>
  <c r="BV6" i="17"/>
  <c r="BX6" i="17"/>
  <c r="BP6" i="17"/>
  <c r="BT6" i="17"/>
  <c r="O42" i="18"/>
  <c r="O60" i="18"/>
  <c r="O52" i="18"/>
  <c r="O24" i="18"/>
  <c r="O34" i="18"/>
  <c r="O16" i="18"/>
  <c r="CZ4" i="17" l="1"/>
  <c r="DA7" i="17" s="1"/>
  <c r="ED4" i="17"/>
  <c r="BS5" i="17"/>
  <c r="BT7" i="17"/>
  <c r="BU10" i="17" s="1"/>
  <c r="BV13" i="17" s="1"/>
  <c r="I152" i="18" s="1"/>
  <c r="O75" i="18"/>
  <c r="ER4" i="17"/>
  <c r="ES7" i="17" s="1"/>
  <c r="CC5" i="17"/>
  <c r="CJ5"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I78" i="18"/>
  <c r="BT10" i="17"/>
  <c r="BU13" i="17" s="1"/>
  <c r="I151" i="18" s="1"/>
  <c r="I77" i="18"/>
  <c r="I75" i="18"/>
  <c r="I81" i="18"/>
  <c r="I82" i="18"/>
  <c r="I86" i="18"/>
  <c r="I80" i="18"/>
  <c r="CE9" i="17"/>
  <c r="H137" i="18" s="1"/>
  <c r="H88" i="18"/>
  <c r="P87"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T8" i="17" l="1"/>
  <c r="BU8" i="17"/>
  <c r="ER7" i="17"/>
  <c r="ER8" i="17" s="1"/>
  <c r="CM5" i="17"/>
  <c r="ER21" i="17"/>
  <c r="ER22" i="17" s="1"/>
  <c r="DH7" i="17"/>
  <c r="P85" i="18" s="1"/>
  <c r="ER5" i="17"/>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Y21"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EX21" i="17" l="1"/>
  <c r="DP7" i="17"/>
  <c r="DH8" i="17"/>
  <c r="DP8" i="17" s="1"/>
  <c r="DQ7" i="17"/>
  <c r="DI10" i="17"/>
  <c r="DJ13" i="17" s="1"/>
  <c r="DK16"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Q10" i="17" l="1"/>
  <c r="P250" i="18"/>
  <c r="P226" i="18"/>
  <c r="DB16" i="17"/>
  <c r="DC19" i="17" s="1"/>
  <c r="P200" i="18" s="1"/>
  <c r="DG19" i="17"/>
  <c r="P204" i="18" s="1"/>
  <c r="P134" i="18"/>
  <c r="Q45" i="18" s="1"/>
  <c r="DP10" i="17"/>
  <c r="DI11" i="17"/>
  <c r="DP11" i="17"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252" i="18"/>
  <c r="P225" i="18"/>
  <c r="O221" i="18"/>
  <c r="I37" i="18"/>
  <c r="P37" i="18" s="1"/>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Q12" i="17"/>
  <c r="BN13" i="17"/>
  <c r="CH10" i="17"/>
  <c r="DS3" i="17"/>
  <c r="DR3" i="17"/>
  <c r="CM14" i="17"/>
  <c r="CJ14" i="17"/>
  <c r="DR4" i="17"/>
  <c r="DS4" i="17"/>
  <c r="CG9" i="17"/>
  <c r="BN12" i="17"/>
  <c r="CH9" i="17"/>
  <c r="BM11" i="17"/>
  <c r="CH11" i="17" s="1"/>
  <c r="I27" i="18" s="1"/>
  <c r="P27" i="18" s="1"/>
  <c r="CV14" i="17"/>
  <c r="DT12" i="17"/>
  <c r="DN6" i="17"/>
  <c r="BL11" i="17"/>
  <c r="BM12" i="17"/>
  <c r="DP12" i="17"/>
  <c r="CI14" i="17"/>
  <c r="BM13" i="17"/>
  <c r="CG10" i="17"/>
  <c r="DQ11" i="17" l="1"/>
  <c r="DB17" i="17"/>
  <c r="H142" i="18"/>
  <c r="Q37" i="18"/>
  <c r="DC20" i="17"/>
  <c r="P175" i="18"/>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O239" i="18" l="1"/>
  <c r="DW8" i="17"/>
  <c r="DW9" i="17" s="1"/>
  <c r="DW10" i="17"/>
  <c r="CF12" i="17"/>
  <c r="CL12" i="17" s="1"/>
  <c r="DW7" i="17"/>
  <c r="EY14" i="17"/>
  <c r="DW16" i="17"/>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CK12" i="17" l="1"/>
  <c r="CK13" i="17"/>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C37" i="21" l="1"/>
  <c r="EG4" i="17"/>
  <c r="EE10" i="17"/>
  <c r="EE3" i="17"/>
  <c r="EG3" i="17"/>
  <c r="EF3" i="17"/>
  <c r="EE9" i="17"/>
  <c r="EF12" i="17" s="1"/>
  <c r="DX18" i="17"/>
  <c r="EF4" i="17"/>
  <c r="EF21" i="17" s="1"/>
  <c r="EE12" i="17"/>
  <c r="EE6" i="17"/>
  <c r="EE7" i="17"/>
  <c r="EE4" i="17"/>
  <c r="EF7" i="17" s="1"/>
  <c r="EG10" i="17" s="1"/>
  <c r="EE13"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E24" i="17"/>
  <c r="EE23" i="17"/>
  <c r="EE8" i="17"/>
  <c r="EH13" i="17"/>
  <c r="EH30" i="17" s="1"/>
  <c r="EE29" i="17"/>
  <c r="EE14" i="17"/>
  <c r="EG27" i="17"/>
  <c r="EF29" i="17"/>
  <c r="EE26" i="17"/>
  <c r="EE11" i="17"/>
  <c r="EG7" i="17"/>
  <c r="EG6" i="17"/>
  <c r="EF20" i="17"/>
  <c r="EF22" i="17" s="1"/>
  <c r="EF5" i="17"/>
  <c r="EF9" i="17"/>
  <c r="EH6" i="17"/>
  <c r="EG5" i="17"/>
  <c r="EG20" i="17"/>
  <c r="EF24" i="17"/>
  <c r="EF6" i="17"/>
  <c r="FB6" i="17" s="1"/>
  <c r="EE5" i="17"/>
  <c r="EE20" i="17"/>
  <c r="EU3" i="17"/>
  <c r="FB3" i="17"/>
  <c r="EF10" i="17"/>
  <c r="EF13" i="17"/>
  <c r="EF30" i="17" s="1"/>
  <c r="EE27" i="17"/>
  <c r="EE30" i="17"/>
  <c r="EG21" i="17"/>
  <c r="EH7" i="17"/>
  <c r="EE21" i="17"/>
  <c r="FB4" i="17"/>
  <c r="EU4" i="17"/>
  <c r="D38" i="21"/>
  <c r="C38" i="21"/>
  <c r="C39" i="21"/>
  <c r="D39" i="21"/>
  <c r="D37" i="21"/>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E25" i="17" l="1"/>
  <c r="EF14" i="17"/>
  <c r="EG22" i="17"/>
  <c r="EE28" i="17"/>
  <c r="EG12" i="17"/>
  <c r="EF26" i="17"/>
  <c r="EF11" i="17"/>
  <c r="EG13" i="17"/>
  <c r="EF27" i="17"/>
  <c r="EE31" i="17"/>
  <c r="EZ3" i="17"/>
  <c r="FA3" i="17"/>
  <c r="EG23" i="17"/>
  <c r="EH9" i="17"/>
  <c r="FB10" i="17"/>
  <c r="EI9" i="17"/>
  <c r="EH23" i="17"/>
  <c r="EH8" i="17"/>
  <c r="FA4" i="17"/>
  <c r="EZ4" i="17"/>
  <c r="EE22" i="17"/>
  <c r="FB20" i="17"/>
  <c r="EU20" i="17"/>
  <c r="EG8" i="17"/>
  <c r="EH10" i="17"/>
  <c r="EG24" i="17"/>
  <c r="FB24" i="17" s="1"/>
  <c r="EU5" i="17"/>
  <c r="FB5" i="17"/>
  <c r="FB21" i="17"/>
  <c r="EU21" i="17"/>
  <c r="EF23" i="17"/>
  <c r="EF25" i="17" s="1"/>
  <c r="EG9" i="17"/>
  <c r="EI10" i="17"/>
  <c r="EH24" i="17"/>
  <c r="FB7" i="17"/>
  <c r="EF8" i="17"/>
  <c r="EF31" i="17"/>
  <c r="D11" i="19"/>
  <c r="CK18" i="17"/>
  <c r="DS20" i="17"/>
  <c r="DS18" i="17"/>
  <c r="CK19" i="17"/>
  <c r="CL19" i="17"/>
  <c r="CF20" i="17"/>
  <c r="EF28" i="17" l="1"/>
  <c r="FB23" i="17"/>
  <c r="FB8" i="17"/>
  <c r="EH25" i="17"/>
  <c r="EI27" i="17"/>
  <c r="EJ13" i="17"/>
  <c r="EJ30" i="17" s="1"/>
  <c r="EH27" i="17"/>
  <c r="EI13" i="17"/>
  <c r="EI30" i="17" s="1"/>
  <c r="FB22" i="17"/>
  <c r="EU22" i="17"/>
  <c r="EG30" i="17"/>
  <c r="FB30" i="17" s="1"/>
  <c r="FB13" i="17"/>
  <c r="EG26" i="17"/>
  <c r="EH12" i="17"/>
  <c r="EG11" i="17"/>
  <c r="FB11" i="17" s="1"/>
  <c r="EZ21" i="17"/>
  <c r="FA21" i="17"/>
  <c r="FB9" i="17"/>
  <c r="FA20" i="17"/>
  <c r="EZ20" i="17"/>
  <c r="DZ7" i="17"/>
  <c r="DZ6" i="17"/>
  <c r="EZ5" i="17"/>
  <c r="FA5" i="17"/>
  <c r="EI11" i="17"/>
  <c r="EJ12" i="17"/>
  <c r="EI26" i="17"/>
  <c r="EG14" i="17"/>
  <c r="FB14" i="17" s="1"/>
  <c r="EG29" i="17"/>
  <c r="FB12" i="17"/>
  <c r="DZ10" i="17"/>
  <c r="DZ9" i="17"/>
  <c r="EG25" i="17"/>
  <c r="FB25" i="17" s="1"/>
  <c r="EH26" i="17"/>
  <c r="EI12" i="17"/>
  <c r="EH11" i="17"/>
  <c r="FB27" i="17"/>
  <c r="CK20" i="17"/>
  <c r="CL20" i="17"/>
  <c r="EH28" i="17" l="1"/>
  <c r="EI28" i="17"/>
  <c r="EG28" i="17"/>
  <c r="FB28" i="17" s="1"/>
  <c r="FB26" i="17"/>
  <c r="DZ23" i="17"/>
  <c r="DZ8" i="17"/>
  <c r="EU8" i="17" s="1"/>
  <c r="EU6" i="17"/>
  <c r="EA9" i="17"/>
  <c r="FA22" i="17"/>
  <c r="EZ22" i="17"/>
  <c r="H36" i="21"/>
  <c r="EJ29" i="17"/>
  <c r="EJ31" i="17" s="1"/>
  <c r="EJ14" i="17"/>
  <c r="EA10" i="17"/>
  <c r="DZ24" i="17"/>
  <c r="EU24" i="17" s="1"/>
  <c r="EU7" i="17"/>
  <c r="EH29" i="17"/>
  <c r="EH31" i="17" s="1"/>
  <c r="EH14" i="17"/>
  <c r="EA12" i="17"/>
  <c r="DZ26" i="17"/>
  <c r="DZ11" i="17"/>
  <c r="EI29" i="17"/>
  <c r="EI31" i="17" s="1"/>
  <c r="EI14" i="17"/>
  <c r="EA13" i="17"/>
  <c r="EA30" i="17" s="1"/>
  <c r="DZ27" i="17"/>
  <c r="DZ13" i="17"/>
  <c r="DZ12" i="17"/>
  <c r="FB29" i="17"/>
  <c r="EG31" i="17"/>
  <c r="FB31" i="17" s="1"/>
  <c r="EU9" i="17" l="1"/>
  <c r="EV9" i="17"/>
  <c r="EA11" i="17"/>
  <c r="EV11" i="17" s="1"/>
  <c r="EB12" i="17"/>
  <c r="EU12" i="17" s="1"/>
  <c r="EA26" i="17"/>
  <c r="EB13" i="17"/>
  <c r="EU13" i="17" s="1"/>
  <c r="EV10" i="17"/>
  <c r="EA27" i="17"/>
  <c r="EV27" i="17" s="1"/>
  <c r="EZ6" i="17"/>
  <c r="FA6" i="17"/>
  <c r="FA8" i="17"/>
  <c r="EZ8" i="17"/>
  <c r="DZ28" i="17"/>
  <c r="EU23" i="17"/>
  <c r="DZ25" i="17"/>
  <c r="EU25" i="17" s="1"/>
  <c r="EU11" i="17"/>
  <c r="DZ14" i="17"/>
  <c r="DZ29" i="17"/>
  <c r="DZ30" i="17"/>
  <c r="FA7" i="17"/>
  <c r="EZ7" i="17"/>
  <c r="EA14" i="17"/>
  <c r="EA29" i="17"/>
  <c r="EU10" i="17"/>
  <c r="FA24" i="17"/>
  <c r="EZ24" i="17"/>
  <c r="EZ13" i="17" l="1"/>
  <c r="FA13" i="17"/>
  <c r="H37" i="21"/>
  <c r="FA25" i="17"/>
  <c r="EZ25" i="17"/>
  <c r="FA12" i="17"/>
  <c r="EZ12" i="17"/>
  <c r="EB29" i="17"/>
  <c r="EV29" i="17" s="1"/>
  <c r="EB14" i="17"/>
  <c r="EW14" i="17" s="1"/>
  <c r="EW12" i="17"/>
  <c r="EZ11" i="17"/>
  <c r="FA11" i="17"/>
  <c r="EA28" i="17"/>
  <c r="EV28" i="17" s="1"/>
  <c r="EV26" i="17"/>
  <c r="EV12" i="17"/>
  <c r="EZ10" i="17"/>
  <c r="FA10" i="17"/>
  <c r="FA23" i="17"/>
  <c r="EZ23" i="17"/>
  <c r="EU26" i="17"/>
  <c r="EU27" i="17"/>
  <c r="EZ9" i="17"/>
  <c r="FA9" i="17"/>
  <c r="DZ31" i="17"/>
  <c r="EV13" i="17"/>
  <c r="EB30" i="17"/>
  <c r="EW13" i="17"/>
  <c r="EA31" i="17"/>
  <c r="EU28" i="17" l="1"/>
  <c r="EZ28" i="17" s="1"/>
  <c r="FA27" i="17"/>
  <c r="EZ27" i="17"/>
  <c r="EZ26" i="17"/>
  <c r="FA26" i="17"/>
  <c r="EB31" i="17"/>
  <c r="EW31" i="17" s="1"/>
  <c r="EW29" i="17"/>
  <c r="EW30" i="17"/>
  <c r="EV30" i="17"/>
  <c r="EU14" i="17"/>
  <c r="EV14" i="17"/>
  <c r="EU29" i="17"/>
  <c r="EU30" i="17"/>
  <c r="FA28" i="17" l="1"/>
  <c r="H38" i="21"/>
  <c r="EV31" i="17"/>
  <c r="FA30" i="17"/>
  <c r="EZ30" i="17"/>
  <c r="EU31" i="17"/>
  <c r="EZ29" i="17"/>
  <c r="FA29" i="17"/>
  <c r="FA14" i="17"/>
  <c r="EZ14" i="17"/>
  <c r="H39" i="21" l="1"/>
  <c r="EZ31" i="17"/>
  <c r="FA31" i="17"/>
</calcChain>
</file>

<file path=xl/sharedStrings.xml><?xml version="1.0" encoding="utf-8"?>
<sst xmlns="http://schemas.openxmlformats.org/spreadsheetml/2006/main" count="1378" uniqueCount="458">
  <si>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</si>
  <si>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</si>
  <si>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</si>
  <si>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</si>
  <si>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</si>
  <si>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</si>
  <si>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</si>
  <si>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</si>
  <si>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</si>
  <si>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</si>
  <si>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</si>
  <si>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</si>
  <si>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</si>
  <si>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</si>
  <si>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</si>
  <si>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</si>
  <si>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</si>
  <si>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</si>
  <si>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</si>
  <si>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</si>
  <si>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</si>
  <si>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</si>
  <si>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</si>
  <si>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</si>
  <si>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</si>
  <si>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</si>
  <si>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</si>
  <si>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</si>
  <si>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</si>
  <si>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</si>
  <si>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</si>
  <si>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</si>
  <si>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</si>
  <si>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</si>
  <si>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</si>
  <si>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</si>
  <si>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</si>
  <si>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</si>
  <si>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</si>
  <si>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</si>
  <si>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</si>
  <si>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</si>
  <si>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</si>
  <si>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</si>
  <si>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</si>
  <si>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</si>
  <si>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</si>
  <si>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</si>
  <si>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</si>
  <si>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</si>
  <si>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</si>
  <si>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</si>
  <si>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</si>
  <si>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</si>
  <si>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</si>
  <si>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</si>
  <si>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</si>
  <si>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</si>
  <si>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</si>
  <si>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</si>
  <si>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</si>
  <si>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</si>
  <si>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</si>
  <si>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</si>
  <si>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</si>
  <si>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</si>
  <si>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</si>
  <si>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</si>
  <si>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</si>
  <si>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</si>
  <si>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</si>
  <si>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</si>
  <si>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</si>
  <si>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</si>
  <si>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</si>
  <si>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</si>
  <si>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</si>
  <si>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</si>
  <si>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</si>
  <si>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</si>
  <si>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</si>
  <si>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</si>
  <si>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</si>
  <si>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</si>
  <si>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</si>
  <si>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</si>
  <si>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</si>
  <si>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</si>
  <si>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</si>
  <si>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</si>
  <si>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</si>
  <si>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</si>
  <si>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</si>
  <si>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</si>
  <si>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</si>
  <si>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</si>
  <si>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</si>
  <si>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</si>
  <si>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</si>
  <si>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</si>
  <si>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</si>
  <si>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</si>
  <si>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</si>
  <si>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</si>
  <si>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</si>
  <si>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</si>
  <si>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</si>
  <si>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</si>
  <si>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</si>
  <si>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</si>
  <si>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</si>
  <si>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</si>
  <si>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</si>
  <si>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</si>
  <si>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</si>
  <si>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</si>
  <si>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</si>
  <si>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</si>
  <si>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</si>
  <si>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</si>
  <si>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</si>
  <si>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</si>
  <si>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</si>
  <si>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</si>
  <si>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</si>
  <si>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</si>
  <si>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</si>
  <si>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</si>
  <si>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</si>
  <si>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</si>
  <si>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</si>
  <si>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</si>
  <si>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</si>
  <si>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</si>
  <si>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</si>
  <si>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</si>
  <si>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</si>
  <si>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</si>
  <si>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</si>
  <si>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</si>
  <si>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</si>
  <si>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</si>
  <si>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</si>
  <si>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</si>
  <si>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</si>
  <si>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</si>
  <si>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</si>
  <si>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</si>
  <si>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</si>
  <si>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</si>
  <si>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</si>
  <si>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</si>
  <si>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</si>
  <si>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</si>
  <si>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</si>
  <si>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</si>
  <si>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</si>
  <si>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</si>
  <si>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</si>
  <si>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</si>
  <si>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</si>
  <si>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</si>
  <si>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</si>
  <si>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</si>
  <si>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</si>
  <si>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</si>
  <si>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</si>
  <si>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</si>
  <si>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</si>
  <si>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</si>
  <si>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</si>
  <si>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</si>
  <si>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</si>
  <si>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</si>
  <si>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</si>
  <si>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</si>
  <si>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</si>
  <si>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</si>
  <si>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</si>
  <si>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</si>
  <si>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</si>
  <si>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</si>
  <si>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</si>
  <si>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</si>
  <si>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</si>
  <si>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</si>
  <si>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</si>
  <si>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</si>
  <si>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</si>
  <si>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</si>
  <si>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</si>
  <si>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</si>
  <si>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</si>
  <si>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</si>
  <si>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</si>
  <si>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</si>
  <si>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</si>
  <si>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</si>
  <si>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</si>
  <si>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</si>
  <si>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</si>
  <si>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</si>
  <si>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</si>
  <si>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</si>
  <si>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</si>
  <si>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</si>
  <si>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</si>
  <si>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</si>
  <si>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</si>
  <si>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</si>
  <si>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</si>
  <si>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</si>
  <si>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</si>
  <si>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</si>
  <si>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</si>
  <si>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</si>
  <si>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</si>
  <si>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</si>
  <si>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</si>
  <si>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</si>
  <si>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</si>
  <si>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</si>
  <si>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</si>
  <si>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</si>
  <si>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</si>
  <si>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</si>
  <si>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</si>
  <si>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</si>
  <si>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</si>
  <si>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</si>
  <si>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</si>
  <si>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</si>
  <si>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</si>
  <si>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</si>
  <si>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</si>
  <si>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</si>
  <si>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</si>
  <si>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</si>
  <si>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</si>
  <si>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</si>
  <si>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</si>
  <si>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</si>
  <si>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</si>
  <si>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</si>
  <si>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</si>
  <si>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</si>
  <si>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</si>
  <si>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</si>
  <si>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</si>
  <si>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</si>
  <si>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</si>
  <si>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</si>
  <si>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</si>
  <si>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</si>
  <si>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</si>
  <si>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</si>
  <si>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</si>
  <si>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</si>
  <si>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</si>
  <si>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</si>
  <si>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</si>
  <si>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</si>
  <si>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</si>
  <si>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</si>
  <si>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</si>
  <si>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</si>
  <si>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</si>
  <si>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</si>
  <si>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</si>
  <si>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</si>
  <si>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</si>
  <si>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</si>
  <si>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</si>
  <si>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</si>
  <si>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</si>
  <si>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</si>
  <si>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</si>
  <si>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</si>
  <si>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</si>
  <si>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</si>
  <si>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</si>
  <si>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</si>
  <si>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</si>
  <si>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</si>
  <si>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</si>
  <si>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</si>
  <si>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</si>
  <si>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</si>
  <si>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</si>
  <si>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</si>
  <si>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</si>
  <si>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</si>
  <si>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</si>
  <si>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</si>
  <si>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</si>
  <si>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</si>
  <si>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</si>
  <si>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</si>
  <si>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</si>
  <si>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</si>
  <si>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</si>
  <si>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</si>
  <si>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</si>
  <si>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</si>
  <si>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</si>
  <si>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</si>
  <si>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</si>
  <si>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</si>
  <si>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</si>
  <si>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</si>
  <si>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</si>
  <si>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</si>
  <si>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</si>
  <si>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</si>
  <si>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</si>
  <si>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</si>
  <si>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</si>
  <si>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</si>
  <si>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</si>
  <si>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</si>
  <si>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</si>
  <si>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</si>
  <si>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</si>
  <si>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</si>
  <si>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</si>
  <si>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</si>
  <si>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</si>
  <si>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</si>
  <si>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</si>
  <si>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</si>
  <si>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</si>
  <si>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</si>
  <si>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</si>
  <si>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</si>
  <si>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</si>
  <si>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</si>
  <si>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</si>
  <si>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</si>
  <si>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</si>
  <si>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</si>
  <si>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</si>
  <si>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</si>
  <si>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</si>
  <si>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</si>
  <si>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</si>
  <si>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</si>
  <si>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</si>
  <si>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</si>
  <si>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</si>
  <si>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</si>
  <si>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</si>
  <si>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</si>
  <si>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</si>
  <si>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</si>
  <si>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</si>
  <si>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</si>
  <si>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</si>
  <si>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</si>
  <si>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</si>
  <si>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</si>
  <si>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</si>
  <si>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</si>
  <si>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</si>
  <si>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</si>
  <si>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</si>
  <si>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</si>
  <si>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</si>
  <si>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</si>
  <si>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</si>
  <si>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</si>
  <si>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</si>
  <si>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</si>
  <si>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</si>
  <si>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</si>
  <si>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</si>
  <si>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</si>
  <si>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</si>
  <si>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</si>
  <si>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</si>
  <si>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</si>
  <si>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</si>
  <si>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</si>
  <si>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</si>
  <si>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</si>
  <si>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</si>
  <si>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</si>
  <si>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</si>
  <si>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</si>
  <si>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</si>
  <si>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</si>
  <si>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</si>
  <si>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</si>
  <si>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</si>
  <si>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</si>
  <si>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</si>
  <si>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</si>
  <si>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</si>
  <si>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</si>
  <si>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</si>
  <si>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</si>
  <si>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</si>
  <si>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</si>
  <si>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</si>
  <si>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</si>
  <si>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</si>
  <si>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</si>
  <si>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</si>
  <si>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</si>
  <si>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</si>
  <si>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</si>
  <si>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</si>
  <si>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</si>
  <si>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</si>
  <si>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</si>
  <si>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</si>
  <si>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</si>
  <si>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</si>
  <si>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</si>
  <si>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</si>
  <si>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</si>
  <si>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</si>
  <si>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</si>
  <si>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</si>
  <si>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</si>
  <si>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</si>
  <si>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</si>
  <si>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</si>
  <si>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</si>
  <si>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45206_2</t>
  </si>
  <si>
    <t>45206_2</t>
    <phoneticPr fontId="2"/>
  </si>
  <si>
    <t>45206_1</t>
  </si>
  <si>
    <t>日向市</t>
    <rPh sb="0" eb="3">
      <t>ヒュウガシ</t>
    </rPh>
    <phoneticPr fontId="1"/>
  </si>
  <si>
    <t>富高小学校</t>
  </si>
  <si>
    <t>日知屋小学校</t>
  </si>
  <si>
    <t>45206_3</t>
  </si>
  <si>
    <t>財光寺小学校</t>
  </si>
  <si>
    <t>45206_4</t>
  </si>
  <si>
    <t>細島小学校</t>
  </si>
  <si>
    <t>45206_5</t>
  </si>
  <si>
    <t>塩見小学校</t>
  </si>
  <si>
    <t>45206_6</t>
  </si>
  <si>
    <t>平岩小学校</t>
  </si>
  <si>
    <t>45206_7</t>
  </si>
  <si>
    <t>美々津小学校</t>
  </si>
  <si>
    <t>45206_8</t>
  </si>
  <si>
    <t>大王谷小学校</t>
  </si>
  <si>
    <t>45206_9</t>
  </si>
  <si>
    <t>日知屋東小学校</t>
  </si>
  <si>
    <t>45206_10</t>
  </si>
  <si>
    <t>財光寺南小学校</t>
  </si>
  <si>
    <t>45206_11</t>
  </si>
  <si>
    <t>東郷小学校</t>
  </si>
  <si>
    <t>45206_12</t>
  </si>
  <si>
    <t>坪谷小学校</t>
  </si>
  <si>
    <t>45206_13</t>
  </si>
  <si>
    <t>寺迫小学校</t>
  </si>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</sst>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1">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295</c:v>
                </c:pt>
                <c:pt idx="1">
                  <c:v>230</c:v>
                </c:pt>
                <c:pt idx="2">
                  <c:v>211</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8851440"/>
        <c:axId val="398856536"/>
      </c:barChart>
      <c:catAx>
        <c:axId val="398851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56536"/>
        <c:crosses val="autoZero"/>
        <c:auto val="1"/>
        <c:lblAlgn val="ctr"/>
        <c:lblOffset val="100"/>
        <c:noMultiLvlLbl val="0"/>
      </c:catAx>
      <c:valAx>
        <c:axId val="3988565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514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155</c:v>
                </c:pt>
                <c:pt idx="1">
                  <c:v>125</c:v>
                </c:pt>
                <c:pt idx="2">
                  <c:v>108</c:v>
                </c:pt>
                <c:pt idx="3">
                  <c:v>97</c:v>
                </c:pt>
                <c:pt idx="4">
                  <c:v>89</c:v>
                </c:pt>
                <c:pt idx="5">
                  <c:v>78</c:v>
                </c:pt>
                <c:pt idx="6">
                  <c:v>66</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455246336"/>
        <c:axId val="398853400"/>
      </c:barChart>
      <c:catAx>
        <c:axId val="4552463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53400"/>
        <c:crosses val="autoZero"/>
        <c:auto val="1"/>
        <c:lblAlgn val="ctr"/>
        <c:lblOffset val="100"/>
        <c:noMultiLvlLbl val="0"/>
      </c:catAx>
      <c:valAx>
        <c:axId val="3988534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46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0.24</c:v>
                </c:pt>
                <c:pt idx="1">
                  <c:v>0.28999999999999998</c:v>
                </c:pt>
                <c:pt idx="2">
                  <c:v>0.32</c:v>
                </c:pt>
                <c:pt idx="3">
                  <c:v>0.33</c:v>
                </c:pt>
                <c:pt idx="4">
                  <c:v>0.33</c:v>
                </c:pt>
                <c:pt idx="5">
                  <c:v>0.35</c:v>
                </c:pt>
                <c:pt idx="6">
                  <c:v>0.37</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8854184"/>
        <c:axId val="455724768"/>
      </c:barChart>
      <c:catAx>
        <c:axId val="398854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724768"/>
        <c:crosses val="autoZero"/>
        <c:auto val="1"/>
        <c:lblAlgn val="ctr"/>
        <c:lblOffset val="100"/>
        <c:noMultiLvlLbl val="0"/>
      </c:catAx>
      <c:valAx>
        <c:axId val="4557247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541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0.12</c:v>
                </c:pt>
                <c:pt idx="1">
                  <c:v>0.15</c:v>
                </c:pt>
                <c:pt idx="2">
                  <c:v>0.17</c:v>
                </c:pt>
                <c:pt idx="3">
                  <c:v>0.2</c:v>
                </c:pt>
                <c:pt idx="4">
                  <c:v>0.21</c:v>
                </c:pt>
                <c:pt idx="5">
                  <c:v>0.22</c:v>
                </c:pt>
                <c:pt idx="6">
                  <c:v>0.21</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55725160"/>
        <c:axId val="455724376"/>
      </c:barChart>
      <c:catAx>
        <c:axId val="4557251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724376"/>
        <c:crosses val="autoZero"/>
        <c:auto val="1"/>
        <c:lblAlgn val="ctr"/>
        <c:lblOffset val="100"/>
        <c:noMultiLvlLbl val="0"/>
      </c:catAx>
      <c:valAx>
        <c:axId val="4557243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72516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6.5180946886741111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BB0-4168-8CC1-9A79C28CAD41}"/>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BB0-4168-8CC1-9A79C28CAD4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63</c:v>
                </c:pt>
                <c:pt idx="1">
                  <c:v>69</c:v>
                </c:pt>
                <c:pt idx="2">
                  <c:v>71</c:v>
                </c:pt>
                <c:pt idx="3">
                  <c:v>62</c:v>
                </c:pt>
                <c:pt idx="4">
                  <c:v>53</c:v>
                </c:pt>
                <c:pt idx="5">
                  <c:v>87</c:v>
                </c:pt>
                <c:pt idx="6">
                  <c:v>97</c:v>
                </c:pt>
                <c:pt idx="7">
                  <c:v>103</c:v>
                </c:pt>
                <c:pt idx="8">
                  <c:v>97</c:v>
                </c:pt>
                <c:pt idx="9">
                  <c:v>102</c:v>
                </c:pt>
                <c:pt idx="10">
                  <c:v>126</c:v>
                </c:pt>
                <c:pt idx="11">
                  <c:v>145</c:v>
                </c:pt>
                <c:pt idx="12">
                  <c:v>137</c:v>
                </c:pt>
                <c:pt idx="13">
                  <c:v>103</c:v>
                </c:pt>
                <c:pt idx="14">
                  <c:v>106</c:v>
                </c:pt>
                <c:pt idx="15">
                  <c:v>110</c:v>
                </c:pt>
                <c:pt idx="16">
                  <c:v>107</c:v>
                </c:pt>
                <c:pt idx="17">
                  <c:v>47</c:v>
                </c:pt>
                <c:pt idx="18">
                  <c:v>34</c:v>
                </c:pt>
                <c:pt idx="19">
                  <c:v>8</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5721632"/>
        <c:axId val="455722024"/>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69</c:v>
                </c:pt>
                <c:pt idx="1">
                  <c:v>69</c:v>
                </c:pt>
                <c:pt idx="2">
                  <c:v>81</c:v>
                </c:pt>
                <c:pt idx="3">
                  <c:v>77</c:v>
                </c:pt>
                <c:pt idx="4">
                  <c:v>54</c:v>
                </c:pt>
                <c:pt idx="5">
                  <c:v>72</c:v>
                </c:pt>
                <c:pt idx="6">
                  <c:v>78</c:v>
                </c:pt>
                <c:pt idx="7">
                  <c:v>97</c:v>
                </c:pt>
                <c:pt idx="8">
                  <c:v>105</c:v>
                </c:pt>
                <c:pt idx="9">
                  <c:v>114</c:v>
                </c:pt>
                <c:pt idx="10">
                  <c:v>158</c:v>
                </c:pt>
                <c:pt idx="11">
                  <c:v>154</c:v>
                </c:pt>
                <c:pt idx="12">
                  <c:v>140</c:v>
                </c:pt>
                <c:pt idx="13">
                  <c:v>114</c:v>
                </c:pt>
                <c:pt idx="14">
                  <c:v>132</c:v>
                </c:pt>
                <c:pt idx="15">
                  <c:v>144</c:v>
                </c:pt>
                <c:pt idx="16">
                  <c:v>148</c:v>
                </c:pt>
                <c:pt idx="17">
                  <c:v>98</c:v>
                </c:pt>
                <c:pt idx="18">
                  <c:v>66</c:v>
                </c:pt>
                <c:pt idx="19">
                  <c:v>21</c:v>
                </c:pt>
                <c:pt idx="20">
                  <c:v>7</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5723984"/>
        <c:axId val="455722416"/>
      </c:barChart>
      <c:catAx>
        <c:axId val="4557216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722024"/>
        <c:crosses val="autoZero"/>
        <c:auto val="1"/>
        <c:lblAlgn val="ctr"/>
        <c:lblOffset val="100"/>
        <c:noMultiLvlLbl val="0"/>
      </c:catAx>
      <c:valAx>
        <c:axId val="45572202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721632"/>
        <c:crosses val="autoZero"/>
        <c:crossBetween val="between"/>
        <c:majorUnit val="150"/>
      </c:valAx>
      <c:valAx>
        <c:axId val="455722416"/>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723984"/>
        <c:crosses val="max"/>
        <c:crossBetween val="between"/>
        <c:majorUnit val="150"/>
      </c:valAx>
      <c:catAx>
        <c:axId val="455723984"/>
        <c:scaling>
          <c:orientation val="minMax"/>
        </c:scaling>
        <c:delete val="1"/>
        <c:axPos val="l"/>
        <c:numFmt formatCode="General" sourceLinked="1"/>
        <c:majorTickMark val="out"/>
        <c:minorTickMark val="none"/>
        <c:tickLblPos val="nextTo"/>
        <c:crossAx val="4557224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4.35415036296015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7AE-42B7-8192-24BA6475D432}"/>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7AE-42B7-8192-24BA6475D43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50</c:v>
                </c:pt>
                <c:pt idx="1">
                  <c:v>50</c:v>
                </c:pt>
                <c:pt idx="2">
                  <c:v>51</c:v>
                </c:pt>
                <c:pt idx="3">
                  <c:v>56</c:v>
                </c:pt>
                <c:pt idx="4">
                  <c:v>43</c:v>
                </c:pt>
                <c:pt idx="5">
                  <c:v>53</c:v>
                </c:pt>
                <c:pt idx="6">
                  <c:v>65</c:v>
                </c:pt>
                <c:pt idx="7">
                  <c:v>76</c:v>
                </c:pt>
                <c:pt idx="8">
                  <c:v>87</c:v>
                </c:pt>
                <c:pt idx="9">
                  <c:v>98</c:v>
                </c:pt>
                <c:pt idx="10">
                  <c:v>99</c:v>
                </c:pt>
                <c:pt idx="11">
                  <c:v>97</c:v>
                </c:pt>
                <c:pt idx="12">
                  <c:v>108</c:v>
                </c:pt>
                <c:pt idx="13">
                  <c:v>120</c:v>
                </c:pt>
                <c:pt idx="14">
                  <c:v>106</c:v>
                </c:pt>
                <c:pt idx="15">
                  <c:v>79</c:v>
                </c:pt>
                <c:pt idx="16">
                  <c:v>74</c:v>
                </c:pt>
                <c:pt idx="17">
                  <c:v>55</c:v>
                </c:pt>
                <c:pt idx="18">
                  <c:v>38</c:v>
                </c:pt>
                <c:pt idx="19">
                  <c:v>7</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6621472"/>
        <c:axId val="456619120"/>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54</c:v>
                </c:pt>
                <c:pt idx="1">
                  <c:v>50</c:v>
                </c:pt>
                <c:pt idx="2">
                  <c:v>59</c:v>
                </c:pt>
                <c:pt idx="3">
                  <c:v>55</c:v>
                </c:pt>
                <c:pt idx="4">
                  <c:v>47</c:v>
                </c:pt>
                <c:pt idx="5">
                  <c:v>70</c:v>
                </c:pt>
                <c:pt idx="6">
                  <c:v>60</c:v>
                </c:pt>
                <c:pt idx="7">
                  <c:v>59</c:v>
                </c:pt>
                <c:pt idx="8">
                  <c:v>69</c:v>
                </c:pt>
                <c:pt idx="9">
                  <c:v>101</c:v>
                </c:pt>
                <c:pt idx="10">
                  <c:v>108</c:v>
                </c:pt>
                <c:pt idx="11">
                  <c:v>103</c:v>
                </c:pt>
                <c:pt idx="12">
                  <c:v>135</c:v>
                </c:pt>
                <c:pt idx="13">
                  <c:v>129</c:v>
                </c:pt>
                <c:pt idx="14">
                  <c:v>121</c:v>
                </c:pt>
                <c:pt idx="15">
                  <c:v>101</c:v>
                </c:pt>
                <c:pt idx="16">
                  <c:v>106</c:v>
                </c:pt>
                <c:pt idx="17">
                  <c:v>89</c:v>
                </c:pt>
                <c:pt idx="18">
                  <c:v>68</c:v>
                </c:pt>
                <c:pt idx="19">
                  <c:v>22</c:v>
                </c:pt>
                <c:pt idx="20">
                  <c:v>8</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6620296"/>
        <c:axId val="456619904"/>
      </c:barChart>
      <c:catAx>
        <c:axId val="4566214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19120"/>
        <c:crosses val="autoZero"/>
        <c:auto val="1"/>
        <c:lblAlgn val="ctr"/>
        <c:lblOffset val="100"/>
        <c:noMultiLvlLbl val="0"/>
      </c:catAx>
      <c:valAx>
        <c:axId val="456619120"/>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21472"/>
        <c:crosses val="autoZero"/>
        <c:crossBetween val="between"/>
        <c:majorUnit val="150"/>
      </c:valAx>
      <c:valAx>
        <c:axId val="456619904"/>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20296"/>
        <c:crosses val="max"/>
        <c:crossBetween val="between"/>
        <c:majorUnit val="150"/>
      </c:valAx>
      <c:catAx>
        <c:axId val="456620296"/>
        <c:scaling>
          <c:orientation val="minMax"/>
        </c:scaling>
        <c:delete val="1"/>
        <c:axPos val="l"/>
        <c:numFmt formatCode="General" sourceLinked="1"/>
        <c:majorTickMark val="out"/>
        <c:minorTickMark val="none"/>
        <c:tickLblPos val="nextTo"/>
        <c:crossAx val="45661990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4972</c:v>
                </c:pt>
                <c:pt idx="1">
                  <c:v>4560</c:v>
                </c:pt>
                <c:pt idx="2">
                  <c:v>4415</c:v>
                </c:pt>
                <c:pt idx="3">
                  <c:v>4080</c:v>
                </c:pt>
                <c:pt idx="4">
                  <c:v>3725</c:v>
                </c:pt>
                <c:pt idx="5">
                  <c:v>3370</c:v>
                </c:pt>
                <c:pt idx="6">
                  <c:v>3026</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EB19-4E93-AD58-69B816401457}"/>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EB19-4E93-AD58-69B816401457}"/>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EB19-4E93-AD58-69B816401457}"/>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EB19-4E93-AD58-69B81640145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4089</c:v>
                </c:pt>
                <c:pt idx="4" formatCode="#,##0_);[Red]\(#,##0\)">
                  <c:v>3744</c:v>
                </c:pt>
                <c:pt idx="5" formatCode="#,##0_);[Red]\(#,##0\)">
                  <c:v>3400</c:v>
                </c:pt>
                <c:pt idx="6" formatCode="#,##0_);[Red]\(#,##0\)">
                  <c:v>3067</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6621080"/>
        <c:axId val="456618336"/>
      </c:barChart>
      <c:catAx>
        <c:axId val="4566210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18336"/>
        <c:crosses val="autoZero"/>
        <c:auto val="1"/>
        <c:lblAlgn val="ctr"/>
        <c:lblOffset val="100"/>
        <c:noMultiLvlLbl val="0"/>
      </c:catAx>
      <c:valAx>
        <c:axId val="4566183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2108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295</c:v>
                </c:pt>
                <c:pt idx="1">
                  <c:v>230</c:v>
                </c:pt>
                <c:pt idx="2">
                  <c:v>211</c:v>
                </c:pt>
                <c:pt idx="3">
                  <c:v>195</c:v>
                </c:pt>
                <c:pt idx="4">
                  <c:v>174</c:v>
                </c:pt>
                <c:pt idx="5">
                  <c:v>148</c:v>
                </c:pt>
                <c:pt idx="6">
                  <c:v>126</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196</c:v>
                </c:pt>
                <c:pt idx="4">
                  <c:v>176</c:v>
                </c:pt>
                <c:pt idx="5">
                  <c:v>153</c:v>
                </c:pt>
                <c:pt idx="6">
                  <c:v>132</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6623432"/>
        <c:axId val="456624216"/>
      </c:barChart>
      <c:catAx>
        <c:axId val="456623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24216"/>
        <c:crosses val="autoZero"/>
        <c:auto val="1"/>
        <c:lblAlgn val="ctr"/>
        <c:lblOffset val="100"/>
        <c:noMultiLvlLbl val="0"/>
      </c:catAx>
      <c:valAx>
        <c:axId val="4566242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23432"/>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0.24</c:v>
                </c:pt>
                <c:pt idx="1">
                  <c:v>0.28999999999999998</c:v>
                </c:pt>
                <c:pt idx="2">
                  <c:v>0.32</c:v>
                </c:pt>
                <c:pt idx="3">
                  <c:v>0.33</c:v>
                </c:pt>
                <c:pt idx="4">
                  <c:v>0.33</c:v>
                </c:pt>
                <c:pt idx="5">
                  <c:v>0.35</c:v>
                </c:pt>
                <c:pt idx="6">
                  <c:v>0.37</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746A-4A50-B599-E4929415A9A9}"/>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746A-4A50-B599-E4929415A9A9}"/>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746A-4A50-B599-E4929415A9A9}"/>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746A-4A50-B599-E4929415A9A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0.33</c:v>
                </c:pt>
                <c:pt idx="4" formatCode="0%">
                  <c:v>0.33</c:v>
                </c:pt>
                <c:pt idx="5" formatCode="0%">
                  <c:v>0.35</c:v>
                </c:pt>
                <c:pt idx="6" formatCode="0%">
                  <c:v>0.37</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6618728"/>
        <c:axId val="456620688"/>
      </c:barChart>
      <c:catAx>
        <c:axId val="4566187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20688"/>
        <c:crosses val="autoZero"/>
        <c:auto val="1"/>
        <c:lblAlgn val="ctr"/>
        <c:lblOffset val="100"/>
        <c:noMultiLvlLbl val="0"/>
      </c:catAx>
      <c:valAx>
        <c:axId val="4566206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1872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0.12</c:v>
                </c:pt>
                <c:pt idx="1">
                  <c:v>0.15</c:v>
                </c:pt>
                <c:pt idx="2">
                  <c:v>0.17</c:v>
                </c:pt>
                <c:pt idx="3">
                  <c:v>0.2</c:v>
                </c:pt>
                <c:pt idx="4">
                  <c:v>0.21</c:v>
                </c:pt>
                <c:pt idx="5">
                  <c:v>0.22</c:v>
                </c:pt>
                <c:pt idx="6">
                  <c:v>0.21</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FECA-4E05-A49E-F4C2F4B0E085}"/>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ECA-4E05-A49E-F4C2F4B0E085}"/>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FECA-4E05-A49E-F4C2F4B0E085}"/>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ECA-4E05-A49E-F4C2F4B0E08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c:v>
                </c:pt>
                <c:pt idx="4" formatCode="0%">
                  <c:v>0.21</c:v>
                </c:pt>
                <c:pt idx="5" formatCode="0%">
                  <c:v>0.22</c:v>
                </c:pt>
                <c:pt idx="6" formatCode="0%">
                  <c:v>0.21</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6623040"/>
        <c:axId val="456623824"/>
      </c:barChart>
      <c:catAx>
        <c:axId val="4566230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23824"/>
        <c:crosses val="autoZero"/>
        <c:auto val="1"/>
        <c:lblAlgn val="ctr"/>
        <c:lblOffset val="100"/>
        <c:noMultiLvlLbl val="0"/>
      </c:catAx>
      <c:valAx>
        <c:axId val="4566238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2304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155</c:v>
                </c:pt>
                <c:pt idx="1">
                  <c:v>125</c:v>
                </c:pt>
                <c:pt idx="2">
                  <c:v>108</c:v>
                </c:pt>
                <c:pt idx="3">
                  <c:v>97</c:v>
                </c:pt>
                <c:pt idx="4">
                  <c:v>89</c:v>
                </c:pt>
                <c:pt idx="5">
                  <c:v>78</c:v>
                </c:pt>
                <c:pt idx="6">
                  <c:v>66</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97</c:v>
                </c:pt>
                <c:pt idx="4">
                  <c:v>90</c:v>
                </c:pt>
                <c:pt idx="5">
                  <c:v>80</c:v>
                </c:pt>
                <c:pt idx="6">
                  <c:v>69</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6617552"/>
        <c:axId val="456617944"/>
      </c:barChart>
      <c:catAx>
        <c:axId val="4566175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17944"/>
        <c:crosses val="autoZero"/>
        <c:auto val="1"/>
        <c:lblAlgn val="ctr"/>
        <c:lblOffset val="100"/>
        <c:noMultiLvlLbl val="0"/>
      </c:catAx>
      <c:valAx>
        <c:axId val="4566179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17552"/>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155</c:v>
                </c:pt>
                <c:pt idx="1">
                  <c:v>125</c:v>
                </c:pt>
                <c:pt idx="2">
                  <c:v>108</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8851048"/>
        <c:axId val="398849872"/>
      </c:barChart>
      <c:catAx>
        <c:axId val="3988510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49872"/>
        <c:crosses val="autoZero"/>
        <c:auto val="1"/>
        <c:lblAlgn val="ctr"/>
        <c:lblOffset val="100"/>
        <c:noMultiLvlLbl val="0"/>
      </c:catAx>
      <c:valAx>
        <c:axId val="3988498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510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4.48414184358093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509-4112-9F2D-9E01A90CE67A}"/>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509-4112-9F2D-9E01A90CE67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65</c:v>
                </c:pt>
                <c:pt idx="1">
                  <c:v>70</c:v>
                </c:pt>
                <c:pt idx="2">
                  <c:v>72</c:v>
                </c:pt>
                <c:pt idx="3">
                  <c:v>63</c:v>
                </c:pt>
                <c:pt idx="4">
                  <c:v>53</c:v>
                </c:pt>
                <c:pt idx="5">
                  <c:v>89</c:v>
                </c:pt>
                <c:pt idx="6">
                  <c:v>99</c:v>
                </c:pt>
                <c:pt idx="7">
                  <c:v>103</c:v>
                </c:pt>
                <c:pt idx="8">
                  <c:v>97</c:v>
                </c:pt>
                <c:pt idx="9">
                  <c:v>102</c:v>
                </c:pt>
                <c:pt idx="10">
                  <c:v>126</c:v>
                </c:pt>
                <c:pt idx="11">
                  <c:v>145</c:v>
                </c:pt>
                <c:pt idx="12">
                  <c:v>137</c:v>
                </c:pt>
                <c:pt idx="13">
                  <c:v>103</c:v>
                </c:pt>
                <c:pt idx="14">
                  <c:v>106</c:v>
                </c:pt>
                <c:pt idx="15">
                  <c:v>110</c:v>
                </c:pt>
                <c:pt idx="16">
                  <c:v>107</c:v>
                </c:pt>
                <c:pt idx="17">
                  <c:v>47</c:v>
                </c:pt>
                <c:pt idx="18">
                  <c:v>34</c:v>
                </c:pt>
                <c:pt idx="19">
                  <c:v>8</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6815592"/>
        <c:axId val="456815200"/>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71</c:v>
                </c:pt>
                <c:pt idx="1">
                  <c:v>70</c:v>
                </c:pt>
                <c:pt idx="2">
                  <c:v>82</c:v>
                </c:pt>
                <c:pt idx="3">
                  <c:v>78</c:v>
                </c:pt>
                <c:pt idx="4">
                  <c:v>54</c:v>
                </c:pt>
                <c:pt idx="5">
                  <c:v>74</c:v>
                </c:pt>
                <c:pt idx="6">
                  <c:v>79</c:v>
                </c:pt>
                <c:pt idx="7">
                  <c:v>97</c:v>
                </c:pt>
                <c:pt idx="8">
                  <c:v>106</c:v>
                </c:pt>
                <c:pt idx="9">
                  <c:v>115</c:v>
                </c:pt>
                <c:pt idx="10">
                  <c:v>158</c:v>
                </c:pt>
                <c:pt idx="11">
                  <c:v>154</c:v>
                </c:pt>
                <c:pt idx="12">
                  <c:v>140</c:v>
                </c:pt>
                <c:pt idx="13">
                  <c:v>114</c:v>
                </c:pt>
                <c:pt idx="14">
                  <c:v>132</c:v>
                </c:pt>
                <c:pt idx="15">
                  <c:v>144</c:v>
                </c:pt>
                <c:pt idx="16">
                  <c:v>148</c:v>
                </c:pt>
                <c:pt idx="17">
                  <c:v>98</c:v>
                </c:pt>
                <c:pt idx="18">
                  <c:v>66</c:v>
                </c:pt>
                <c:pt idx="19">
                  <c:v>21</c:v>
                </c:pt>
                <c:pt idx="20">
                  <c:v>7</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6818728"/>
        <c:axId val="456818336"/>
      </c:barChart>
      <c:catAx>
        <c:axId val="4568155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15200"/>
        <c:crosses val="autoZero"/>
        <c:auto val="1"/>
        <c:lblAlgn val="ctr"/>
        <c:lblOffset val="100"/>
        <c:noMultiLvlLbl val="0"/>
      </c:catAx>
      <c:valAx>
        <c:axId val="456815200"/>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15592"/>
        <c:crosses val="autoZero"/>
        <c:crossBetween val="between"/>
        <c:majorUnit val="150"/>
      </c:valAx>
      <c:valAx>
        <c:axId val="456818336"/>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18728"/>
        <c:crosses val="max"/>
        <c:crossBetween val="between"/>
        <c:majorUnit val="150"/>
      </c:valAx>
      <c:catAx>
        <c:axId val="456818728"/>
        <c:scaling>
          <c:orientation val="minMax"/>
        </c:scaling>
        <c:delete val="1"/>
        <c:axPos val="l"/>
        <c:numFmt formatCode="General" sourceLinked="1"/>
        <c:majorTickMark val="out"/>
        <c:minorTickMark val="none"/>
        <c:tickLblPos val="nextTo"/>
        <c:crossAx val="4568183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1.7654796817122611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043-4644-AEC5-B2CC00F85073}"/>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043-4644-AEC5-B2CC00F8507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52</c:v>
                </c:pt>
                <c:pt idx="1">
                  <c:v>52</c:v>
                </c:pt>
                <c:pt idx="2">
                  <c:v>54</c:v>
                </c:pt>
                <c:pt idx="3">
                  <c:v>58</c:v>
                </c:pt>
                <c:pt idx="4">
                  <c:v>44</c:v>
                </c:pt>
                <c:pt idx="5">
                  <c:v>56</c:v>
                </c:pt>
                <c:pt idx="6">
                  <c:v>67</c:v>
                </c:pt>
                <c:pt idx="7">
                  <c:v>78</c:v>
                </c:pt>
                <c:pt idx="8">
                  <c:v>89</c:v>
                </c:pt>
                <c:pt idx="9">
                  <c:v>98</c:v>
                </c:pt>
                <c:pt idx="10">
                  <c:v>99</c:v>
                </c:pt>
                <c:pt idx="11">
                  <c:v>97</c:v>
                </c:pt>
                <c:pt idx="12">
                  <c:v>108</c:v>
                </c:pt>
                <c:pt idx="13">
                  <c:v>120</c:v>
                </c:pt>
                <c:pt idx="14">
                  <c:v>106</c:v>
                </c:pt>
                <c:pt idx="15">
                  <c:v>79</c:v>
                </c:pt>
                <c:pt idx="16">
                  <c:v>74</c:v>
                </c:pt>
                <c:pt idx="17">
                  <c:v>55</c:v>
                </c:pt>
                <c:pt idx="18">
                  <c:v>38</c:v>
                </c:pt>
                <c:pt idx="19">
                  <c:v>7</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6816768"/>
        <c:axId val="456819120"/>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57</c:v>
                </c:pt>
                <c:pt idx="1">
                  <c:v>52</c:v>
                </c:pt>
                <c:pt idx="2">
                  <c:v>61</c:v>
                </c:pt>
                <c:pt idx="3">
                  <c:v>57</c:v>
                </c:pt>
                <c:pt idx="4">
                  <c:v>48</c:v>
                </c:pt>
                <c:pt idx="5">
                  <c:v>73</c:v>
                </c:pt>
                <c:pt idx="6">
                  <c:v>61</c:v>
                </c:pt>
                <c:pt idx="7">
                  <c:v>61</c:v>
                </c:pt>
                <c:pt idx="8">
                  <c:v>72</c:v>
                </c:pt>
                <c:pt idx="9">
                  <c:v>102</c:v>
                </c:pt>
                <c:pt idx="10">
                  <c:v>109</c:v>
                </c:pt>
                <c:pt idx="11">
                  <c:v>104</c:v>
                </c:pt>
                <c:pt idx="12">
                  <c:v>135</c:v>
                </c:pt>
                <c:pt idx="13">
                  <c:v>129</c:v>
                </c:pt>
                <c:pt idx="14">
                  <c:v>121</c:v>
                </c:pt>
                <c:pt idx="15">
                  <c:v>101</c:v>
                </c:pt>
                <c:pt idx="16">
                  <c:v>106</c:v>
                </c:pt>
                <c:pt idx="17">
                  <c:v>89</c:v>
                </c:pt>
                <c:pt idx="18">
                  <c:v>68</c:v>
                </c:pt>
                <c:pt idx="19">
                  <c:v>22</c:v>
                </c:pt>
                <c:pt idx="20">
                  <c:v>8</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6816376"/>
        <c:axId val="456819512"/>
      </c:barChart>
      <c:catAx>
        <c:axId val="4568167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19120"/>
        <c:crosses val="autoZero"/>
        <c:auto val="1"/>
        <c:lblAlgn val="ctr"/>
        <c:lblOffset val="100"/>
        <c:noMultiLvlLbl val="0"/>
      </c:catAx>
      <c:valAx>
        <c:axId val="456819120"/>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16768"/>
        <c:crosses val="autoZero"/>
        <c:crossBetween val="between"/>
        <c:majorUnit val="150"/>
      </c:valAx>
      <c:valAx>
        <c:axId val="456819512"/>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16376"/>
        <c:crosses val="max"/>
        <c:crossBetween val="between"/>
        <c:majorUnit val="150"/>
      </c:valAx>
      <c:catAx>
        <c:axId val="456816376"/>
        <c:scaling>
          <c:orientation val="minMax"/>
        </c:scaling>
        <c:delete val="1"/>
        <c:axPos val="l"/>
        <c:numFmt formatCode="General" sourceLinked="1"/>
        <c:majorTickMark val="out"/>
        <c:minorTickMark val="none"/>
        <c:tickLblPos val="nextTo"/>
        <c:crossAx val="4568195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20"/>
              <c:layout>
                <c:manualLayout>
                  <c:x val="1.6628354936892066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15A-4F3F-B747-A661CCF5979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132</c:v>
                </c:pt>
                <c:pt idx="1">
                  <c:v>138</c:v>
                </c:pt>
                <c:pt idx="2">
                  <c:v>152</c:v>
                </c:pt>
                <c:pt idx="3">
                  <c:v>139</c:v>
                </c:pt>
                <c:pt idx="4">
                  <c:v>107</c:v>
                </c:pt>
                <c:pt idx="5">
                  <c:v>159</c:v>
                </c:pt>
                <c:pt idx="6">
                  <c:v>175</c:v>
                </c:pt>
                <c:pt idx="7">
                  <c:v>200</c:v>
                </c:pt>
                <c:pt idx="8">
                  <c:v>202</c:v>
                </c:pt>
                <c:pt idx="9">
                  <c:v>216</c:v>
                </c:pt>
                <c:pt idx="10">
                  <c:v>284</c:v>
                </c:pt>
                <c:pt idx="11">
                  <c:v>299</c:v>
                </c:pt>
                <c:pt idx="12">
                  <c:v>277</c:v>
                </c:pt>
                <c:pt idx="13">
                  <c:v>217</c:v>
                </c:pt>
                <c:pt idx="14">
                  <c:v>238</c:v>
                </c:pt>
                <c:pt idx="15">
                  <c:v>254</c:v>
                </c:pt>
                <c:pt idx="16">
                  <c:v>255</c:v>
                </c:pt>
                <c:pt idx="17">
                  <c:v>145</c:v>
                </c:pt>
                <c:pt idx="18">
                  <c:v>100</c:v>
                </c:pt>
                <c:pt idx="19">
                  <c:v>29</c:v>
                </c:pt>
                <c:pt idx="20">
                  <c:v>7</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6821472"/>
        <c:axId val="456821864"/>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136</c:v>
                </c:pt>
                <c:pt idx="1">
                  <c:v>140</c:v>
                </c:pt>
                <c:pt idx="2">
                  <c:v>154</c:v>
                </c:pt>
                <c:pt idx="3">
                  <c:v>141</c:v>
                </c:pt>
                <c:pt idx="4">
                  <c:v>107</c:v>
                </c:pt>
                <c:pt idx="5">
                  <c:v>163</c:v>
                </c:pt>
                <c:pt idx="6">
                  <c:v>178</c:v>
                </c:pt>
                <c:pt idx="7">
                  <c:v>200</c:v>
                </c:pt>
                <c:pt idx="8">
                  <c:v>203</c:v>
                </c:pt>
                <c:pt idx="9">
                  <c:v>217</c:v>
                </c:pt>
                <c:pt idx="10">
                  <c:v>284</c:v>
                </c:pt>
                <c:pt idx="11">
                  <c:v>299</c:v>
                </c:pt>
                <c:pt idx="12">
                  <c:v>277</c:v>
                </c:pt>
                <c:pt idx="13">
                  <c:v>217</c:v>
                </c:pt>
                <c:pt idx="14">
                  <c:v>238</c:v>
                </c:pt>
                <c:pt idx="15">
                  <c:v>254</c:v>
                </c:pt>
                <c:pt idx="16">
                  <c:v>255</c:v>
                </c:pt>
                <c:pt idx="17">
                  <c:v>145</c:v>
                </c:pt>
                <c:pt idx="18">
                  <c:v>100</c:v>
                </c:pt>
                <c:pt idx="19">
                  <c:v>29</c:v>
                </c:pt>
                <c:pt idx="20">
                  <c:v>7</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6822256"/>
        <c:axId val="456819904"/>
      </c:barChart>
      <c:catAx>
        <c:axId val="4568214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21864"/>
        <c:crosses val="autoZero"/>
        <c:auto val="1"/>
        <c:lblAlgn val="ctr"/>
        <c:lblOffset val="100"/>
        <c:noMultiLvlLbl val="0"/>
      </c:catAx>
      <c:valAx>
        <c:axId val="456821864"/>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21472"/>
        <c:crosses val="autoZero"/>
        <c:crossBetween val="between"/>
        <c:majorUnit val="250"/>
      </c:valAx>
      <c:valAx>
        <c:axId val="456819904"/>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22256"/>
        <c:crosses val="max"/>
        <c:crossBetween val="between"/>
        <c:majorUnit val="250"/>
      </c:valAx>
      <c:catAx>
        <c:axId val="456822256"/>
        <c:scaling>
          <c:orientation val="minMax"/>
        </c:scaling>
        <c:delete val="1"/>
        <c:axPos val="l"/>
        <c:numFmt formatCode="General" sourceLinked="1"/>
        <c:majorTickMark val="out"/>
        <c:minorTickMark val="none"/>
        <c:tickLblPos val="nextTo"/>
        <c:crossAx val="456819904"/>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104</c:v>
                </c:pt>
                <c:pt idx="1">
                  <c:v>100</c:v>
                </c:pt>
                <c:pt idx="2">
                  <c:v>110</c:v>
                </c:pt>
                <c:pt idx="3">
                  <c:v>111</c:v>
                </c:pt>
                <c:pt idx="4">
                  <c:v>90</c:v>
                </c:pt>
                <c:pt idx="5">
                  <c:v>123</c:v>
                </c:pt>
                <c:pt idx="6">
                  <c:v>125</c:v>
                </c:pt>
                <c:pt idx="7">
                  <c:v>135</c:v>
                </c:pt>
                <c:pt idx="8">
                  <c:v>156</c:v>
                </c:pt>
                <c:pt idx="9">
                  <c:v>199</c:v>
                </c:pt>
                <c:pt idx="10">
                  <c:v>207</c:v>
                </c:pt>
                <c:pt idx="11">
                  <c:v>200</c:v>
                </c:pt>
                <c:pt idx="12">
                  <c:v>243</c:v>
                </c:pt>
                <c:pt idx="13">
                  <c:v>249</c:v>
                </c:pt>
                <c:pt idx="14">
                  <c:v>227</c:v>
                </c:pt>
                <c:pt idx="15">
                  <c:v>180</c:v>
                </c:pt>
                <c:pt idx="16">
                  <c:v>180</c:v>
                </c:pt>
                <c:pt idx="17">
                  <c:v>144</c:v>
                </c:pt>
                <c:pt idx="18">
                  <c:v>106</c:v>
                </c:pt>
                <c:pt idx="19">
                  <c:v>29</c:v>
                </c:pt>
                <c:pt idx="20">
                  <c:v>8</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6820296"/>
        <c:axId val="456820688"/>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109</c:v>
                </c:pt>
                <c:pt idx="1">
                  <c:v>104</c:v>
                </c:pt>
                <c:pt idx="2">
                  <c:v>115</c:v>
                </c:pt>
                <c:pt idx="3">
                  <c:v>115</c:v>
                </c:pt>
                <c:pt idx="4">
                  <c:v>92</c:v>
                </c:pt>
                <c:pt idx="5">
                  <c:v>129</c:v>
                </c:pt>
                <c:pt idx="6">
                  <c:v>128</c:v>
                </c:pt>
                <c:pt idx="7">
                  <c:v>139</c:v>
                </c:pt>
                <c:pt idx="8">
                  <c:v>161</c:v>
                </c:pt>
                <c:pt idx="9">
                  <c:v>200</c:v>
                </c:pt>
                <c:pt idx="10">
                  <c:v>208</c:v>
                </c:pt>
                <c:pt idx="11">
                  <c:v>201</c:v>
                </c:pt>
                <c:pt idx="12">
                  <c:v>243</c:v>
                </c:pt>
                <c:pt idx="13">
                  <c:v>249</c:v>
                </c:pt>
                <c:pt idx="14">
                  <c:v>227</c:v>
                </c:pt>
                <c:pt idx="15">
                  <c:v>180</c:v>
                </c:pt>
                <c:pt idx="16">
                  <c:v>180</c:v>
                </c:pt>
                <c:pt idx="17">
                  <c:v>144</c:v>
                </c:pt>
                <c:pt idx="18">
                  <c:v>106</c:v>
                </c:pt>
                <c:pt idx="19">
                  <c:v>29</c:v>
                </c:pt>
                <c:pt idx="20">
                  <c:v>8</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6817944"/>
        <c:axId val="456815984"/>
      </c:barChart>
      <c:catAx>
        <c:axId val="4568202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20688"/>
        <c:crosses val="autoZero"/>
        <c:auto val="1"/>
        <c:lblAlgn val="ctr"/>
        <c:lblOffset val="100"/>
        <c:noMultiLvlLbl val="0"/>
      </c:catAx>
      <c:valAx>
        <c:axId val="456820688"/>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20296"/>
        <c:crosses val="autoZero"/>
        <c:crossBetween val="between"/>
        <c:majorUnit val="250"/>
      </c:valAx>
      <c:valAx>
        <c:axId val="456815984"/>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17944"/>
        <c:crosses val="max"/>
        <c:crossBetween val="between"/>
        <c:majorUnit val="250"/>
      </c:valAx>
      <c:catAx>
        <c:axId val="456817944"/>
        <c:scaling>
          <c:orientation val="minMax"/>
        </c:scaling>
        <c:delete val="1"/>
        <c:axPos val="l"/>
        <c:numFmt formatCode="General" sourceLinked="1"/>
        <c:majorTickMark val="out"/>
        <c:minorTickMark val="none"/>
        <c:tickLblPos val="nextTo"/>
        <c:crossAx val="456815984"/>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日知屋小学校</c:v>
                </c:pt>
              </c:strCache>
            </c:strRef>
          </c:cat>
          <c:val>
            <c:numRef>
              <c:f>管理者用地域特徴シート!$H$3:$H$5</c:f>
              <c:numCache>
                <c:formatCode>0.0%</c:formatCode>
                <c:ptCount val="3"/>
                <c:pt idx="0">
                  <c:v>0.46108733927332846</c:v>
                </c:pt>
                <c:pt idx="1">
                  <c:v>0.48642488704066539</c:v>
                </c:pt>
                <c:pt idx="2">
                  <c:v>0.44712775078593886</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395231752"/>
        <c:axId val="395232928"/>
      </c:barChart>
      <c:catAx>
        <c:axId val="3952317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32928"/>
        <c:crosses val="autoZero"/>
        <c:auto val="1"/>
        <c:lblAlgn val="ctr"/>
        <c:lblOffset val="100"/>
        <c:noMultiLvlLbl val="0"/>
      </c:catAx>
      <c:valAx>
        <c:axId val="39523292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3175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日知屋小学校</c:v>
                </c:pt>
              </c:strCache>
            </c:strRef>
          </c:cat>
          <c:val>
            <c:numRef>
              <c:f>管理者用地域特徴シート!$J$3:$J$5</c:f>
              <c:numCache>
                <c:formatCode>0.0%</c:formatCode>
                <c:ptCount val="3"/>
                <c:pt idx="0">
                  <c:v>0.15075281438403673</c:v>
                </c:pt>
                <c:pt idx="1">
                  <c:v>0.15218521332320362</c:v>
                </c:pt>
                <c:pt idx="2">
                  <c:v>0.17624083071353719</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395236848"/>
        <c:axId val="395230184"/>
      </c:barChart>
      <c:catAx>
        <c:axId val="3952368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30184"/>
        <c:crosses val="autoZero"/>
        <c:auto val="1"/>
        <c:lblAlgn val="ctr"/>
        <c:lblOffset val="100"/>
        <c:noMultiLvlLbl val="0"/>
      </c:catAx>
      <c:valAx>
        <c:axId val="39523018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368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日知屋小学校</c:v>
                </c:pt>
              </c:strCache>
            </c:strRef>
          </c:cat>
          <c:val>
            <c:numRef>
              <c:f>管理者用地域特徴シート!$P$3:$P$5</c:f>
              <c:numCache>
                <c:formatCode>0.0%</c:formatCode>
                <c:ptCount val="3"/>
                <c:pt idx="0">
                  <c:v>0.34758352842621743</c:v>
                </c:pt>
                <c:pt idx="1">
                  <c:v>0.37602508846366695</c:v>
                </c:pt>
                <c:pt idx="2">
                  <c:v>0.42268555240793199</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395237240"/>
        <c:axId val="395230968"/>
      </c:barChart>
      <c:catAx>
        <c:axId val="3952372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30968"/>
        <c:crosses val="autoZero"/>
        <c:auto val="1"/>
        <c:lblAlgn val="ctr"/>
        <c:lblOffset val="100"/>
        <c:noMultiLvlLbl val="0"/>
      </c:catAx>
      <c:valAx>
        <c:axId val="39523096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372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日知屋小学校</c:v>
                </c:pt>
              </c:strCache>
            </c:strRef>
          </c:cat>
          <c:val>
            <c:numRef>
              <c:f>管理者用地域特徴シート!$AO$3:$AO$5</c:f>
              <c:numCache>
                <c:formatCode>0.0%</c:formatCode>
                <c:ptCount val="3"/>
                <c:pt idx="0">
                  <c:v>0.5259093009439566</c:v>
                </c:pt>
                <c:pt idx="1">
                  <c:v>0.5193868349864742</c:v>
                </c:pt>
                <c:pt idx="2">
                  <c:v>0.53168738589933062</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395237632"/>
        <c:axId val="395230576"/>
      </c:barChart>
      <c:catAx>
        <c:axId val="3952376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30576"/>
        <c:crosses val="autoZero"/>
        <c:auto val="1"/>
        <c:lblAlgn val="ctr"/>
        <c:lblOffset val="100"/>
        <c:noMultiLvlLbl val="0"/>
      </c:catAx>
      <c:valAx>
        <c:axId val="39523057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3763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日知屋小学校</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1.859278162595698E-2</c:v>
                </c:pt>
                <c:pt idx="1">
                  <c:v>2.7342325920524969E-3</c:v>
                </c:pt>
                <c:pt idx="2">
                  <c:v>0</c:v>
                </c:pt>
                <c:pt idx="3">
                  <c:v>8.2756106452788913E-2</c:v>
                </c:pt>
                <c:pt idx="4">
                  <c:v>0.1883430550492162</c:v>
                </c:pt>
                <c:pt idx="5">
                  <c:v>8.430550492161867E-3</c:v>
                </c:pt>
                <c:pt idx="6">
                  <c:v>6.3798760481224934E-3</c:v>
                </c:pt>
                <c:pt idx="7">
                  <c:v>3.4633612832664973E-2</c:v>
                </c:pt>
                <c:pt idx="8">
                  <c:v>0.16004374772147287</c:v>
                </c:pt>
                <c:pt idx="9">
                  <c:v>2.2420707254830474E-2</c:v>
                </c:pt>
                <c:pt idx="10">
                  <c:v>1.4947138169886983E-2</c:v>
                </c:pt>
                <c:pt idx="11">
                  <c:v>2.6066350710900472E-2</c:v>
                </c:pt>
                <c:pt idx="12">
                  <c:v>6.6168428727670425E-2</c:v>
                </c:pt>
                <c:pt idx="13">
                  <c:v>4.2608457892818079E-2</c:v>
                </c:pt>
                <c:pt idx="14">
                  <c:v>4.4841414509660948E-2</c:v>
                </c:pt>
                <c:pt idx="15">
                  <c:v>0.16965913233685745</c:v>
                </c:pt>
                <c:pt idx="16">
                  <c:v>9.5242435289828644E-3</c:v>
                </c:pt>
                <c:pt idx="17">
                  <c:v>5.1768137076193946E-2</c:v>
                </c:pt>
                <c:pt idx="18">
                  <c:v>3.9691943127962079E-2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日向市平均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5.7295275045032561E-2</c:v>
                </c:pt>
                <c:pt idx="1">
                  <c:v>8.3829846196480529E-3</c:v>
                </c:pt>
                <c:pt idx="2">
                  <c:v>3.1176389081335733E-4</c:v>
                </c:pt>
                <c:pt idx="3">
                  <c:v>0.10052653457115145</c:v>
                </c:pt>
                <c:pt idx="4">
                  <c:v>0.18536095330469723</c:v>
                </c:pt>
                <c:pt idx="5">
                  <c:v>5.681030899265623E-3</c:v>
                </c:pt>
                <c:pt idx="6">
                  <c:v>5.9581543577663853E-3</c:v>
                </c:pt>
                <c:pt idx="7">
                  <c:v>4.274629347374255E-2</c:v>
                </c:pt>
                <c:pt idx="8">
                  <c:v>0.14393099625883332</c:v>
                </c:pt>
                <c:pt idx="9">
                  <c:v>1.6558126645420536E-2</c:v>
                </c:pt>
                <c:pt idx="10">
                  <c:v>1.1916308715532772E-2</c:v>
                </c:pt>
                <c:pt idx="11">
                  <c:v>1.9502563391991131E-2</c:v>
                </c:pt>
                <c:pt idx="12">
                  <c:v>4.6972426215879166E-2</c:v>
                </c:pt>
                <c:pt idx="13">
                  <c:v>3.1938478592212834E-2</c:v>
                </c:pt>
                <c:pt idx="14">
                  <c:v>4.0217541914923098E-2</c:v>
                </c:pt>
                <c:pt idx="15">
                  <c:v>0.16724400720520993</c:v>
                </c:pt>
                <c:pt idx="16">
                  <c:v>1.309408341416101E-2</c:v>
                </c:pt>
                <c:pt idx="17">
                  <c:v>5.4385478730774553E-2</c:v>
                </c:pt>
                <c:pt idx="18">
                  <c:v>3.470971317722045E-2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395232144"/>
        <c:axId val="395232536"/>
      </c:barChart>
      <c:catAx>
        <c:axId val="3952321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32536"/>
        <c:crosses val="autoZero"/>
        <c:auto val="1"/>
        <c:lblAlgn val="ctr"/>
        <c:lblOffset val="100"/>
        <c:noMultiLvlLbl val="0"/>
      </c:catAx>
      <c:valAx>
        <c:axId val="39523253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32144"/>
        <c:crosses val="autoZero"/>
        <c:crossBetween val="between"/>
      </c:valAx>
      <c:spPr>
        <a:noFill/>
        <a:ln>
          <a:noFill/>
        </a:ln>
        <a:effectLst/>
      </c:spPr>
    </c:plotArea>
    <c:legend>
      <c:legendPos val="b"/>
      <c:layout>
        <c:manualLayout>
          <c:xMode val="edge"/>
          <c:yMode val="edge"/>
          <c:x val="0.5476894754352889"/>
          <c:y val="9.103322298200318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日知屋小学校</c:v>
                </c:pt>
              </c:strCache>
            </c:strRef>
          </c:cat>
          <c:val>
            <c:numRef>
              <c:f>管理者用地域特徴シート!$CK$3:$CK$5</c:f>
              <c:numCache>
                <c:formatCode>0.0%</c:formatCode>
                <c:ptCount val="3"/>
                <c:pt idx="0">
                  <c:v>0.82747216160708559</c:v>
                </c:pt>
                <c:pt idx="1">
                  <c:v>0.80338090619370928</c:v>
                </c:pt>
                <c:pt idx="2">
                  <c:v>0.82710535909588045</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395233712"/>
        <c:axId val="395234496"/>
      </c:barChart>
      <c:catAx>
        <c:axId val="3952337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34496"/>
        <c:crosses val="autoZero"/>
        <c:auto val="1"/>
        <c:lblAlgn val="ctr"/>
        <c:lblOffset val="100"/>
        <c:noMultiLvlLbl val="0"/>
      </c:catAx>
      <c:valAx>
        <c:axId val="39523449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337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0.24</c:v>
                </c:pt>
                <c:pt idx="1">
                  <c:v>0.28999999999999998</c:v>
                </c:pt>
                <c:pt idx="2">
                  <c:v>0.32</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8852224"/>
        <c:axId val="398852616"/>
      </c:barChart>
      <c:catAx>
        <c:axId val="3988522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52616"/>
        <c:crosses val="autoZero"/>
        <c:auto val="1"/>
        <c:lblAlgn val="ctr"/>
        <c:lblOffset val="100"/>
        <c:noMultiLvlLbl val="0"/>
      </c:catAx>
      <c:valAx>
        <c:axId val="3988526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5222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0.12</c:v>
                </c:pt>
                <c:pt idx="1">
                  <c:v>0.15</c:v>
                </c:pt>
                <c:pt idx="2">
                  <c:v>0.17</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8854576"/>
        <c:axId val="398854968"/>
      </c:barChart>
      <c:catAx>
        <c:axId val="3988545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54968"/>
        <c:crosses val="autoZero"/>
        <c:auto val="1"/>
        <c:lblAlgn val="ctr"/>
        <c:lblOffset val="100"/>
        <c:noMultiLvlLbl val="0"/>
      </c:catAx>
      <c:valAx>
        <c:axId val="3988549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5457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3.5029817944634598E-2"/>
                  <c:y val="-5.222733117926435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1F9-4D2E-AA3C-EFC2FC0D20C1}"/>
                </c:ext>
                <c:ext xmlns:c15="http://schemas.microsoft.com/office/drawing/2012/chart" uri="{CE6537A1-D6FC-4f65-9D91-7224C49458BB}"/>
              </c:extLst>
            </c:dLbl>
            <c:dLbl>
              <c:idx val="20"/>
              <c:layout>
                <c:manualLayout>
                  <c:x val="-3.9053354285533491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1F9-4D2E-AA3C-EFC2FC0D20C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107</c:v>
                </c:pt>
                <c:pt idx="1">
                  <c:v>115</c:v>
                </c:pt>
                <c:pt idx="2">
                  <c:v>145</c:v>
                </c:pt>
                <c:pt idx="3">
                  <c:v>118</c:v>
                </c:pt>
                <c:pt idx="4">
                  <c:v>83</c:v>
                </c:pt>
                <c:pt idx="5">
                  <c:v>140</c:v>
                </c:pt>
                <c:pt idx="6">
                  <c:v>145</c:v>
                </c:pt>
                <c:pt idx="7">
                  <c:v>154</c:v>
                </c:pt>
                <c:pt idx="8">
                  <c:v>157</c:v>
                </c:pt>
                <c:pt idx="9">
                  <c:v>140</c:v>
                </c:pt>
                <c:pt idx="10">
                  <c:v>156</c:v>
                </c:pt>
                <c:pt idx="11">
                  <c:v>166</c:v>
                </c:pt>
                <c:pt idx="12">
                  <c:v>198</c:v>
                </c:pt>
                <c:pt idx="13">
                  <c:v>130</c:v>
                </c:pt>
                <c:pt idx="14">
                  <c:v>138</c:v>
                </c:pt>
                <c:pt idx="15">
                  <c:v>98</c:v>
                </c:pt>
                <c:pt idx="16">
                  <c:v>73</c:v>
                </c:pt>
                <c:pt idx="17">
                  <c:v>28</c:v>
                </c:pt>
                <c:pt idx="18">
                  <c:v>6</c:v>
                </c:pt>
                <c:pt idx="19">
                  <c:v>3</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55252608"/>
        <c:axId val="45524672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103</c:v>
                </c:pt>
                <c:pt idx="1">
                  <c:v>107</c:v>
                </c:pt>
                <c:pt idx="2">
                  <c:v>124</c:v>
                </c:pt>
                <c:pt idx="3">
                  <c:v>117</c:v>
                </c:pt>
                <c:pt idx="4">
                  <c:v>93</c:v>
                </c:pt>
                <c:pt idx="5">
                  <c:v>150</c:v>
                </c:pt>
                <c:pt idx="6">
                  <c:v>172</c:v>
                </c:pt>
                <c:pt idx="7">
                  <c:v>173</c:v>
                </c:pt>
                <c:pt idx="8">
                  <c:v>167</c:v>
                </c:pt>
                <c:pt idx="9">
                  <c:v>149</c:v>
                </c:pt>
                <c:pt idx="10">
                  <c:v>176</c:v>
                </c:pt>
                <c:pt idx="11">
                  <c:v>195</c:v>
                </c:pt>
                <c:pt idx="12">
                  <c:v>212</c:v>
                </c:pt>
                <c:pt idx="13">
                  <c:v>180</c:v>
                </c:pt>
                <c:pt idx="14">
                  <c:v>177</c:v>
                </c:pt>
                <c:pt idx="15">
                  <c:v>149</c:v>
                </c:pt>
                <c:pt idx="16">
                  <c:v>122</c:v>
                </c:pt>
                <c:pt idx="17">
                  <c:v>65</c:v>
                </c:pt>
                <c:pt idx="18">
                  <c:v>33</c:v>
                </c:pt>
                <c:pt idx="19">
                  <c:v>6</c:v>
                </c:pt>
                <c:pt idx="20">
                  <c:v>2</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55249080"/>
        <c:axId val="455249864"/>
      </c:barChart>
      <c:catAx>
        <c:axId val="4552526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46728"/>
        <c:crosses val="autoZero"/>
        <c:auto val="1"/>
        <c:lblAlgn val="ctr"/>
        <c:lblOffset val="100"/>
        <c:noMultiLvlLbl val="0"/>
      </c:catAx>
      <c:valAx>
        <c:axId val="455246728"/>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52608"/>
        <c:crosses val="autoZero"/>
        <c:crossBetween val="between"/>
        <c:majorUnit val="150"/>
      </c:valAx>
      <c:valAx>
        <c:axId val="455249864"/>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49080"/>
        <c:crosses val="max"/>
        <c:crossBetween val="between"/>
        <c:majorUnit val="150"/>
      </c:valAx>
      <c:catAx>
        <c:axId val="455249080"/>
        <c:scaling>
          <c:orientation val="minMax"/>
        </c:scaling>
        <c:delete val="1"/>
        <c:axPos val="l"/>
        <c:numFmt formatCode="General" sourceLinked="1"/>
        <c:majorTickMark val="out"/>
        <c:minorTickMark val="none"/>
        <c:tickLblPos val="nextTo"/>
        <c:crossAx val="45524986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2300</c:v>
                </c:pt>
                <c:pt idx="1">
                  <c:v>2082</c:v>
                </c:pt>
                <c:pt idx="2">
                  <c:v>2037</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2672</c:v>
                </c:pt>
                <c:pt idx="1">
                  <c:v>2478</c:v>
                </c:pt>
                <c:pt idx="2">
                  <c:v>2378</c:v>
                </c:pt>
              </c:numCache>
            </c:numRef>
          </c:val>
          <c:extLst xmlns:c16r2="http://schemas.microsoft.com/office/drawing/2015/06/chart">
            <c:ext xmlns:c16="http://schemas.microsoft.com/office/drawing/2014/chart" uri="{C3380CC4-5D6E-409C-BE32-E72D297353CC}">
              <c16:uniqueId val="{00000000-200A-4123-9B4C-08239D79F5B9}"/>
            </c:ext>
          </c:extLst>
        </c:ser>
        <c:dLbls>
          <c:showLegendKey val="0"/>
          <c:showVal val="0"/>
          <c:showCatName val="0"/>
          <c:showSerName val="0"/>
          <c:showPercent val="0"/>
          <c:showBubbleSize val="0"/>
        </c:dLbls>
        <c:gapWidth val="219"/>
        <c:overlap val="100"/>
        <c:axId val="455253000"/>
        <c:axId val="455249472"/>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00A-4123-9B4C-08239D79F5B9}"/>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4972</c:v>
                </c:pt>
                <c:pt idx="1">
                  <c:v>4560</c:v>
                </c:pt>
                <c:pt idx="2">
                  <c:v>4415</c:v>
                </c:pt>
              </c:numCache>
            </c:numRef>
          </c:val>
          <c:smooth val="0"/>
          <c:extLst xmlns:c16r2="http://schemas.microsoft.com/office/drawing/2015/06/chart">
            <c:ext xmlns:c16="http://schemas.microsoft.com/office/drawing/2014/chart" uri="{C3380CC4-5D6E-409C-BE32-E72D297353CC}">
              <c16:uniqueId val="{00000002-200A-4123-9B4C-08239D79F5B9}"/>
            </c:ext>
          </c:extLst>
        </c:ser>
        <c:dLbls>
          <c:showLegendKey val="0"/>
          <c:showVal val="0"/>
          <c:showCatName val="0"/>
          <c:showSerName val="0"/>
          <c:showPercent val="0"/>
          <c:showBubbleSize val="0"/>
        </c:dLbls>
        <c:marker val="1"/>
        <c:smooth val="0"/>
        <c:axId val="455253000"/>
        <c:axId val="455249472"/>
      </c:lineChart>
      <c:catAx>
        <c:axId val="455253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49472"/>
        <c:crosses val="autoZero"/>
        <c:auto val="1"/>
        <c:lblAlgn val="ctr"/>
        <c:lblOffset val="100"/>
        <c:noMultiLvlLbl val="0"/>
      </c:catAx>
      <c:valAx>
        <c:axId val="4552494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53000"/>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9E0-4017-8A52-4D376E824E4B}"/>
                </c:ext>
                <c:ext xmlns:c15="http://schemas.microsoft.com/office/drawing/2012/chart" uri="{CE6537A1-D6FC-4f65-9D91-7224C49458BB}"/>
              </c:extLst>
            </c:dLbl>
            <c:dLbl>
              <c:idx val="20"/>
              <c:layout>
                <c:manualLayout>
                  <c:x val="-3.6946888930098752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9E0-4017-8A52-4D376E824E4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87</c:v>
                </c:pt>
                <c:pt idx="1">
                  <c:v>76</c:v>
                </c:pt>
                <c:pt idx="2">
                  <c:v>87</c:v>
                </c:pt>
                <c:pt idx="3">
                  <c:v>101</c:v>
                </c:pt>
                <c:pt idx="4">
                  <c:v>79</c:v>
                </c:pt>
                <c:pt idx="5">
                  <c:v>118</c:v>
                </c:pt>
                <c:pt idx="6">
                  <c:v>109</c:v>
                </c:pt>
                <c:pt idx="7">
                  <c:v>108</c:v>
                </c:pt>
                <c:pt idx="8">
                  <c:v>123</c:v>
                </c:pt>
                <c:pt idx="9">
                  <c:v>153</c:v>
                </c:pt>
                <c:pt idx="10">
                  <c:v>160</c:v>
                </c:pt>
                <c:pt idx="11">
                  <c:v>124</c:v>
                </c:pt>
                <c:pt idx="12">
                  <c:v>138</c:v>
                </c:pt>
                <c:pt idx="13">
                  <c:v>145</c:v>
                </c:pt>
                <c:pt idx="14">
                  <c:v>154</c:v>
                </c:pt>
                <c:pt idx="15">
                  <c:v>95</c:v>
                </c:pt>
                <c:pt idx="16">
                  <c:v>94</c:v>
                </c:pt>
                <c:pt idx="17">
                  <c:v>57</c:v>
                </c:pt>
                <c:pt idx="18">
                  <c:v>22</c:v>
                </c:pt>
                <c:pt idx="19">
                  <c:v>6</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55248296"/>
        <c:axId val="45525221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95</c:v>
                </c:pt>
                <c:pt idx="1">
                  <c:v>96</c:v>
                </c:pt>
                <c:pt idx="2">
                  <c:v>93</c:v>
                </c:pt>
                <c:pt idx="3">
                  <c:v>79</c:v>
                </c:pt>
                <c:pt idx="4">
                  <c:v>70</c:v>
                </c:pt>
                <c:pt idx="5">
                  <c:v>117</c:v>
                </c:pt>
                <c:pt idx="6">
                  <c:v>118</c:v>
                </c:pt>
                <c:pt idx="7">
                  <c:v>109</c:v>
                </c:pt>
                <c:pt idx="8">
                  <c:v>154</c:v>
                </c:pt>
                <c:pt idx="9">
                  <c:v>171</c:v>
                </c:pt>
                <c:pt idx="10">
                  <c:v>164</c:v>
                </c:pt>
                <c:pt idx="11">
                  <c:v>136</c:v>
                </c:pt>
                <c:pt idx="12">
                  <c:v>153</c:v>
                </c:pt>
                <c:pt idx="13">
                  <c:v>164</c:v>
                </c:pt>
                <c:pt idx="14">
                  <c:v>184</c:v>
                </c:pt>
                <c:pt idx="15">
                  <c:v>160</c:v>
                </c:pt>
                <c:pt idx="16">
                  <c:v>143</c:v>
                </c:pt>
                <c:pt idx="17">
                  <c:v>91</c:v>
                </c:pt>
                <c:pt idx="18">
                  <c:v>59</c:v>
                </c:pt>
                <c:pt idx="19">
                  <c:v>13</c:v>
                </c:pt>
                <c:pt idx="20">
                  <c:v>9</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55250256"/>
        <c:axId val="455247512"/>
      </c:barChart>
      <c:catAx>
        <c:axId val="4552482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52216"/>
        <c:crosses val="autoZero"/>
        <c:auto val="1"/>
        <c:lblAlgn val="ctr"/>
        <c:lblOffset val="100"/>
        <c:noMultiLvlLbl val="0"/>
      </c:catAx>
      <c:valAx>
        <c:axId val="455252216"/>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48296"/>
        <c:crosses val="autoZero"/>
        <c:crossBetween val="between"/>
        <c:majorUnit val="150"/>
      </c:valAx>
      <c:valAx>
        <c:axId val="455247512"/>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50256"/>
        <c:crosses val="max"/>
        <c:crossBetween val="between"/>
        <c:majorUnit val="150"/>
      </c:valAx>
      <c:catAx>
        <c:axId val="455250256"/>
        <c:scaling>
          <c:orientation val="minMax"/>
        </c:scaling>
        <c:delete val="1"/>
        <c:axPos val="l"/>
        <c:numFmt formatCode="General" sourceLinked="1"/>
        <c:majorTickMark val="out"/>
        <c:minorTickMark val="none"/>
        <c:tickLblPos val="nextTo"/>
        <c:crossAx val="4552475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D940-43CD-80A7-265B441F2CB0}"/>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D940-43CD-80A7-265B441F2CB0}"/>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D940-43CD-80A7-265B441F2CB0}"/>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940-43CD-80A7-265B441F2CB0}"/>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940-43CD-80A7-265B441F2CB0}"/>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2300</c:v>
                </c:pt>
                <c:pt idx="1">
                  <c:v>2082</c:v>
                </c:pt>
                <c:pt idx="2">
                  <c:v>2037</c:v>
                </c:pt>
                <c:pt idx="3">
                  <c:v>1885</c:v>
                </c:pt>
                <c:pt idx="4">
                  <c:v>1727</c:v>
                </c:pt>
                <c:pt idx="5">
                  <c:v>1569</c:v>
                </c:pt>
                <c:pt idx="6">
                  <c:v>1412</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D940-43CD-80A7-265B441F2CB0}"/>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D940-43CD-80A7-265B441F2CB0}"/>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D940-43CD-80A7-265B441F2CB0}"/>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2672</c:v>
                </c:pt>
                <c:pt idx="1">
                  <c:v>2478</c:v>
                </c:pt>
                <c:pt idx="2">
                  <c:v>2378</c:v>
                </c:pt>
                <c:pt idx="3">
                  <c:v>2195</c:v>
                </c:pt>
                <c:pt idx="4">
                  <c:v>1998</c:v>
                </c:pt>
                <c:pt idx="5">
                  <c:v>1801</c:v>
                </c:pt>
                <c:pt idx="6">
                  <c:v>1614</c:v>
                </c:pt>
              </c:numCache>
            </c:numRef>
          </c:val>
          <c:extLst xmlns:c16r2="http://schemas.microsoft.com/office/drawing/2015/06/chart">
            <c:ext xmlns:c16="http://schemas.microsoft.com/office/drawing/2014/chart" uri="{C3380CC4-5D6E-409C-BE32-E72D297353CC}">
              <c16:uniqueId val="{00000010-D940-43CD-80A7-265B441F2CB0}"/>
            </c:ext>
          </c:extLst>
        </c:ser>
        <c:dLbls>
          <c:showLegendKey val="0"/>
          <c:showVal val="0"/>
          <c:showCatName val="0"/>
          <c:showSerName val="0"/>
          <c:showPercent val="0"/>
          <c:showBubbleSize val="0"/>
        </c:dLbls>
        <c:gapWidth val="219"/>
        <c:overlap val="100"/>
        <c:axId val="455250648"/>
        <c:axId val="455251040"/>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4972</c:v>
                </c:pt>
                <c:pt idx="1">
                  <c:v>4560</c:v>
                </c:pt>
                <c:pt idx="2">
                  <c:v>4415</c:v>
                </c:pt>
                <c:pt idx="3">
                  <c:v>4080</c:v>
                </c:pt>
                <c:pt idx="4">
                  <c:v>3725</c:v>
                </c:pt>
                <c:pt idx="5">
                  <c:v>3370</c:v>
                </c:pt>
                <c:pt idx="6">
                  <c:v>3026</c:v>
                </c:pt>
              </c:numCache>
            </c:numRef>
          </c:val>
          <c:smooth val="0"/>
          <c:extLst xmlns:c16r2="http://schemas.microsoft.com/office/drawing/2015/06/chart">
            <c:ext xmlns:c16="http://schemas.microsoft.com/office/drawing/2014/chart" uri="{C3380CC4-5D6E-409C-BE32-E72D297353CC}">
              <c16:uniqueId val="{00000011-D940-43CD-80A7-265B441F2CB0}"/>
            </c:ext>
          </c:extLst>
        </c:ser>
        <c:dLbls>
          <c:showLegendKey val="0"/>
          <c:showVal val="0"/>
          <c:showCatName val="0"/>
          <c:showSerName val="0"/>
          <c:showPercent val="0"/>
          <c:showBubbleSize val="0"/>
        </c:dLbls>
        <c:marker val="1"/>
        <c:smooth val="0"/>
        <c:axId val="455250648"/>
        <c:axId val="455251040"/>
      </c:lineChart>
      <c:catAx>
        <c:axId val="4552506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51040"/>
        <c:crosses val="autoZero"/>
        <c:auto val="1"/>
        <c:lblAlgn val="ctr"/>
        <c:lblOffset val="100"/>
        <c:noMultiLvlLbl val="0"/>
      </c:catAx>
      <c:valAx>
        <c:axId val="4552510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50648"/>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295</c:v>
                </c:pt>
                <c:pt idx="1">
                  <c:v>230</c:v>
                </c:pt>
                <c:pt idx="2">
                  <c:v>211</c:v>
                </c:pt>
                <c:pt idx="3">
                  <c:v>195</c:v>
                </c:pt>
                <c:pt idx="4">
                  <c:v>174</c:v>
                </c:pt>
                <c:pt idx="5">
                  <c:v>148</c:v>
                </c:pt>
                <c:pt idx="6">
                  <c:v>126</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8855360"/>
        <c:axId val="455251824"/>
      </c:barChart>
      <c:catAx>
        <c:axId val="398855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51824"/>
        <c:crosses val="autoZero"/>
        <c:auto val="1"/>
        <c:lblAlgn val="ctr"/>
        <c:lblOffset val="100"/>
        <c:noMultiLvlLbl val="0"/>
      </c:catAx>
      <c:valAx>
        <c:axId val="4552518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553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日知屋小学校</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9"/>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2" t="s">
        <v>127</v>
      </c>
      <c r="B1" s="323" t="s">
        <v>128</v>
      </c>
      <c r="C1" s="325" t="s">
        <v>129</v>
      </c>
      <c r="D1" s="327" t="s">
        <v>130</v>
      </c>
      <c r="E1" s="327"/>
      <c r="F1" s="327"/>
      <c r="G1" s="327"/>
      <c r="H1" s="327"/>
      <c r="I1" s="327"/>
      <c r="J1" s="327"/>
      <c r="K1" s="304" t="s">
        <v>131</v>
      </c>
      <c r="L1" s="304"/>
      <c r="M1" s="304"/>
      <c r="N1" s="304"/>
      <c r="O1" s="304"/>
      <c r="P1" s="304"/>
      <c r="Q1" s="304"/>
      <c r="R1" s="328" t="s">
        <v>132</v>
      </c>
      <c r="S1" s="329"/>
      <c r="T1" s="329"/>
      <c r="U1" s="329"/>
      <c r="V1" s="329"/>
      <c r="W1" s="329"/>
      <c r="X1" s="329"/>
      <c r="Y1" s="329"/>
      <c r="Z1" s="329"/>
      <c r="AA1" s="329"/>
      <c r="AB1" s="329"/>
      <c r="AC1" s="329"/>
      <c r="AD1" s="329"/>
      <c r="AE1" s="329"/>
      <c r="AF1" s="329"/>
      <c r="AG1" s="329"/>
      <c r="AH1" s="329"/>
      <c r="AI1" s="329"/>
      <c r="AJ1" s="329"/>
      <c r="AK1" s="329"/>
      <c r="AL1" s="329"/>
      <c r="AM1" s="329"/>
      <c r="AN1" s="329"/>
      <c r="AO1" s="330"/>
      <c r="AP1" s="316" t="s">
        <v>133</v>
      </c>
      <c r="AQ1" s="317"/>
      <c r="AR1" s="317"/>
      <c r="AS1" s="317"/>
      <c r="AT1" s="317"/>
      <c r="AU1" s="317"/>
      <c r="AV1" s="317"/>
      <c r="AW1" s="317"/>
      <c r="AX1" s="317"/>
      <c r="AY1" s="317"/>
      <c r="AZ1" s="317"/>
      <c r="BA1" s="317"/>
      <c r="BB1" s="317"/>
      <c r="BC1" s="317"/>
      <c r="BD1" s="317"/>
      <c r="BE1" s="317"/>
      <c r="BF1" s="317"/>
      <c r="BG1" s="317"/>
      <c r="BH1" s="317"/>
      <c r="BI1" s="317"/>
      <c r="BJ1" s="317"/>
      <c r="BK1" s="317"/>
      <c r="BL1" s="317"/>
      <c r="BM1" s="317"/>
      <c r="BN1" s="317"/>
      <c r="BO1" s="317"/>
      <c r="BP1" s="317"/>
      <c r="BQ1" s="317"/>
      <c r="BR1" s="317"/>
      <c r="BS1" s="317"/>
      <c r="BT1" s="317"/>
      <c r="BU1" s="317"/>
      <c r="BV1" s="317"/>
      <c r="BW1" s="317"/>
      <c r="BX1" s="317"/>
      <c r="BY1" s="317"/>
      <c r="BZ1" s="317"/>
      <c r="CA1" s="317"/>
      <c r="CB1" s="318"/>
      <c r="CC1" s="319" t="s">
        <v>134</v>
      </c>
      <c r="CD1" s="320"/>
      <c r="CE1" s="320"/>
      <c r="CF1" s="320"/>
      <c r="CG1" s="320"/>
      <c r="CH1" s="320"/>
      <c r="CI1" s="320"/>
      <c r="CJ1" s="320"/>
      <c r="CK1" s="320"/>
      <c r="CL1" s="320"/>
      <c r="CM1" s="320"/>
      <c r="CN1" s="320"/>
      <c r="CO1" s="320"/>
      <c r="CP1" s="321"/>
    </row>
    <row r="2" spans="1:94" s="80" customFormat="1" ht="60" x14ac:dyDescent="0.15">
      <c r="A2" s="323"/>
      <c r="B2" s="324"/>
      <c r="C2" s="326"/>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日向市平均</v>
      </c>
      <c r="C4" s="88" t="str">
        <f>B4</f>
        <v>日向市平均</v>
      </c>
      <c r="D4" s="185">
        <f>SUM(D7:D70)</f>
        <v>25009.000000000004</v>
      </c>
      <c r="E4" s="186">
        <f>SUM(E7:E70)</f>
        <v>12165.000000000002</v>
      </c>
      <c r="F4" s="186">
        <f>SUM(F7:F70)</f>
        <v>3721</v>
      </c>
      <c r="G4" s="187">
        <f>SUM(G7:G70)</f>
        <v>3806</v>
      </c>
      <c r="H4" s="148">
        <f>E4/D4</f>
        <v>0.48642488704066539</v>
      </c>
      <c r="I4" s="149">
        <f>F4/D4</f>
        <v>0.1487864368827222</v>
      </c>
      <c r="J4" s="150">
        <f>G4/D4</f>
        <v>0.15218521332320362</v>
      </c>
      <c r="K4" s="185">
        <f>SUM(K7:K70)</f>
        <v>59629</v>
      </c>
      <c r="L4" s="186">
        <f>SUM(L7:L70)</f>
        <v>6305</v>
      </c>
      <c r="M4" s="186">
        <f>SUM(M7:M70)</f>
        <v>22421.999999999996</v>
      </c>
      <c r="N4" s="187">
        <f>SUM(N7:N70)</f>
        <v>29549</v>
      </c>
      <c r="O4" s="148">
        <f>L4/K4</f>
        <v>0.10573714132385249</v>
      </c>
      <c r="P4" s="149">
        <f>M4/K4</f>
        <v>0.37602508846366695</v>
      </c>
      <c r="Q4" s="150">
        <f>N4/K4</f>
        <v>0.49554746851364267</v>
      </c>
      <c r="R4" s="185">
        <f>SUM(R7:R70)</f>
        <v>59629</v>
      </c>
      <c r="S4" s="145">
        <f>SUM(S7:S70)</f>
        <v>8352</v>
      </c>
      <c r="T4" s="145">
        <f>SUM(T7:T70)</f>
        <v>2712.9999999999995</v>
      </c>
      <c r="U4" s="144">
        <f>SUM(U7:U70)</f>
        <v>2004</v>
      </c>
      <c r="V4" s="144">
        <f>SUM(V7:V70)</f>
        <v>239</v>
      </c>
      <c r="W4" s="146">
        <f>S4+T4+U4+V4</f>
        <v>13308</v>
      </c>
      <c r="X4" s="143">
        <f>SUM(X7:X70)</f>
        <v>28372</v>
      </c>
      <c r="Y4" s="144">
        <f>SUM(Y7:Y70)</f>
        <v>3805</v>
      </c>
      <c r="Z4" s="144">
        <f>SUM(Z7:Z70)</f>
        <v>1328.0000000000002</v>
      </c>
      <c r="AA4" s="144">
        <f>SUM(AA7:AA70)</f>
        <v>1163.0000000000002</v>
      </c>
      <c r="AB4" s="144">
        <f>SUM(AB7:AB70)</f>
        <v>100</v>
      </c>
      <c r="AC4" s="146">
        <f>Y4+Z4+AA4+AB4</f>
        <v>6396</v>
      </c>
      <c r="AD4" s="143">
        <f>SUM(AD7:AD70)</f>
        <v>31257</v>
      </c>
      <c r="AE4" s="143">
        <f t="shared" ref="AE4:AH4" si="0">SUM(AE7:AE70)</f>
        <v>4546.9999999999991</v>
      </c>
      <c r="AF4" s="143">
        <f t="shared" si="0"/>
        <v>1385.0000000000002</v>
      </c>
      <c r="AG4" s="143">
        <f t="shared" si="0"/>
        <v>841.00000000000011</v>
      </c>
      <c r="AH4" s="143">
        <f t="shared" si="0"/>
        <v>139</v>
      </c>
      <c r="AI4" s="146">
        <f>AE4+AF4+AG4+AH4</f>
        <v>6911.9999999999991</v>
      </c>
      <c r="AJ4" s="148">
        <f>W4/R4</f>
        <v>0.22317999631052005</v>
      </c>
      <c r="AK4" s="149">
        <f>T4/W4</f>
        <v>0.20386233844304175</v>
      </c>
      <c r="AL4" s="149">
        <f>U4/W4</f>
        <v>0.15058611361587015</v>
      </c>
      <c r="AM4" s="149">
        <f>V4/W4</f>
        <v>1.7959122332431621E-2</v>
      </c>
      <c r="AN4" s="147">
        <f>AC4/W4</f>
        <v>0.48061316501352569</v>
      </c>
      <c r="AO4" s="150">
        <f>AI4/W4</f>
        <v>0.5193868349864742</v>
      </c>
      <c r="AP4" s="143">
        <f>SUM(AP7:AP70)</f>
        <v>28868</v>
      </c>
      <c r="AQ4" s="144">
        <f t="shared" ref="AQ4:BI4" si="1">SUM(AQ7:AQ70)</f>
        <v>1654</v>
      </c>
      <c r="AR4" s="144">
        <f t="shared" si="1"/>
        <v>242</v>
      </c>
      <c r="AS4" s="144">
        <f t="shared" si="1"/>
        <v>9</v>
      </c>
      <c r="AT4" s="144">
        <f t="shared" si="1"/>
        <v>2902</v>
      </c>
      <c r="AU4" s="144">
        <f t="shared" si="1"/>
        <v>5351</v>
      </c>
      <c r="AV4" s="144">
        <f t="shared" si="1"/>
        <v>164</v>
      </c>
      <c r="AW4" s="144">
        <f t="shared" si="1"/>
        <v>172</v>
      </c>
      <c r="AX4" s="144">
        <f t="shared" si="1"/>
        <v>1234</v>
      </c>
      <c r="AY4" s="144">
        <f t="shared" si="1"/>
        <v>4155</v>
      </c>
      <c r="AZ4" s="144">
        <f t="shared" si="1"/>
        <v>478</v>
      </c>
      <c r="BA4" s="144">
        <f t="shared" si="1"/>
        <v>344.00000000000006</v>
      </c>
      <c r="BB4" s="144">
        <f t="shared" si="1"/>
        <v>563</v>
      </c>
      <c r="BC4" s="144">
        <f t="shared" si="1"/>
        <v>1355.9999999999998</v>
      </c>
      <c r="BD4" s="144">
        <f t="shared" si="1"/>
        <v>922</v>
      </c>
      <c r="BE4" s="144">
        <f t="shared" si="1"/>
        <v>1161</v>
      </c>
      <c r="BF4" s="144">
        <f t="shared" si="1"/>
        <v>4828</v>
      </c>
      <c r="BG4" s="144">
        <f t="shared" si="1"/>
        <v>378.00000000000006</v>
      </c>
      <c r="BH4" s="144">
        <f t="shared" si="1"/>
        <v>1569.9999999999998</v>
      </c>
      <c r="BI4" s="146">
        <f t="shared" si="1"/>
        <v>1002</v>
      </c>
      <c r="BJ4" s="147">
        <f>IF($AP4=0,0,AQ4/$AP4)</f>
        <v>5.7295275045032561E-2</v>
      </c>
      <c r="BK4" s="149">
        <f t="shared" ref="BK4:CB4" si="2">IF($AP4=0,0,AR4/$AP4)</f>
        <v>8.3829846196480529E-3</v>
      </c>
      <c r="BL4" s="149">
        <f t="shared" si="2"/>
        <v>3.1176389081335733E-4</v>
      </c>
      <c r="BM4" s="149">
        <f t="shared" si="2"/>
        <v>0.10052653457115145</v>
      </c>
      <c r="BN4" s="149">
        <f t="shared" si="2"/>
        <v>0.18536095330469723</v>
      </c>
      <c r="BO4" s="149">
        <f t="shared" si="2"/>
        <v>5.681030899265623E-3</v>
      </c>
      <c r="BP4" s="149">
        <f t="shared" si="2"/>
        <v>5.9581543577663853E-3</v>
      </c>
      <c r="BQ4" s="149">
        <f t="shared" si="2"/>
        <v>4.274629347374255E-2</v>
      </c>
      <c r="BR4" s="149">
        <f t="shared" si="2"/>
        <v>0.14393099625883332</v>
      </c>
      <c r="BS4" s="149">
        <f t="shared" si="2"/>
        <v>1.6558126645420536E-2</v>
      </c>
      <c r="BT4" s="149">
        <f t="shared" si="2"/>
        <v>1.1916308715532772E-2</v>
      </c>
      <c r="BU4" s="149">
        <f t="shared" si="2"/>
        <v>1.9502563391991131E-2</v>
      </c>
      <c r="BV4" s="149">
        <f t="shared" si="2"/>
        <v>4.6972426215879166E-2</v>
      </c>
      <c r="BW4" s="149">
        <f t="shared" si="2"/>
        <v>3.1938478592212834E-2</v>
      </c>
      <c r="BX4" s="149">
        <f t="shared" si="2"/>
        <v>4.0217541914923098E-2</v>
      </c>
      <c r="BY4" s="149">
        <f t="shared" si="2"/>
        <v>0.16724400720520993</v>
      </c>
      <c r="BZ4" s="149">
        <f t="shared" si="2"/>
        <v>1.309408341416101E-2</v>
      </c>
      <c r="CA4" s="149">
        <f t="shared" si="2"/>
        <v>5.4385478730774553E-2</v>
      </c>
      <c r="CB4" s="150">
        <f t="shared" si="2"/>
        <v>3.470971317722045E-2</v>
      </c>
      <c r="CC4" s="143">
        <f>SUM(CC7:CC70)</f>
        <v>28868</v>
      </c>
      <c r="CD4" s="144">
        <f t="shared" ref="CD4:CI4" si="3">SUM(CD7:CD70)</f>
        <v>23192</v>
      </c>
      <c r="CE4" s="144">
        <f t="shared" si="3"/>
        <v>5039</v>
      </c>
      <c r="CF4" s="144">
        <f t="shared" si="3"/>
        <v>162</v>
      </c>
      <c r="CG4" s="143">
        <f t="shared" si="3"/>
        <v>2206</v>
      </c>
      <c r="CH4" s="144">
        <f t="shared" si="3"/>
        <v>1324.0000000000002</v>
      </c>
      <c r="CI4" s="144">
        <f t="shared" si="3"/>
        <v>792</v>
      </c>
      <c r="CJ4" s="144">
        <f>SUM(CJ7:CJ70)</f>
        <v>33</v>
      </c>
      <c r="CK4" s="148">
        <f t="shared" ref="CK4:CM4" si="4">IF($CC4=0,0,CD4/$CC4)</f>
        <v>0.80338090619370928</v>
      </c>
      <c r="CL4" s="149">
        <f t="shared" si="4"/>
        <v>0.17455313842316753</v>
      </c>
      <c r="CM4" s="150">
        <f t="shared" si="4"/>
        <v>5.6117500346404324E-3</v>
      </c>
      <c r="CN4" s="148">
        <f t="shared" ref="CN4:CP4" si="5">IF($CG4=0,0,CH4/$CG4)</f>
        <v>0.60018132366273813</v>
      </c>
      <c r="CO4" s="149">
        <f t="shared" si="5"/>
        <v>0.35902085222121488</v>
      </c>
      <c r="CP4" s="150">
        <f t="shared" si="5"/>
        <v>1.4959202175883953E-2</v>
      </c>
    </row>
    <row r="5" spans="1:94" s="181" customFormat="1" x14ac:dyDescent="0.15">
      <c r="A5" s="183" t="str">
        <f>管理者入力シート!B2</f>
        <v>45206_2</v>
      </c>
      <c r="B5" s="201" t="str">
        <f>VLOOKUP($A$5,$A$7:$CP$50,2,FALSE)</f>
        <v>日向市</v>
      </c>
      <c r="C5" s="201" t="str">
        <f>VLOOKUP($A$5,$A$7:$CP$50,3,FALSE)</f>
        <v>日知屋小学校</v>
      </c>
      <c r="D5" s="188">
        <f>VLOOKUP($A$5,$A$7:$CP$70,4,FALSE)</f>
        <v>2099.4</v>
      </c>
      <c r="E5" s="189">
        <f>VLOOKUP($A$5,$A$7:$CP$70,5,FALSE)</f>
        <v>938.7</v>
      </c>
      <c r="F5" s="189">
        <f>VLOOKUP($A$5,$A$7:$CP$70,6,FALSE)</f>
        <v>263.5</v>
      </c>
      <c r="G5" s="190">
        <f>VLOOKUP($A$5,$A$7:$CP$70,7,FALSE)</f>
        <v>370</v>
      </c>
      <c r="H5" s="178">
        <f>VLOOKUP($A$5,$A$7:$CP$70,8,FALSE)</f>
        <v>0.44712775078593886</v>
      </c>
      <c r="I5" s="179">
        <f>VLOOKUP($A$5,$A$7:$CP$70,9,FALSE)</f>
        <v>0.12551205106220825</v>
      </c>
      <c r="J5" s="180">
        <f>VLOOKUP($A$5,$A$7:$CP$70,10,FALSE)</f>
        <v>0.17624083071353719</v>
      </c>
      <c r="K5" s="188">
        <f>VLOOKUP($A$5,$A$7:$CP$70,11,FALSE)</f>
        <v>4412.5</v>
      </c>
      <c r="L5" s="189">
        <f>VLOOKUP($A$5,$A$7:$CP$70,12,FALSE)</f>
        <v>358.00000000000006</v>
      </c>
      <c r="M5" s="189">
        <f>VLOOKUP($A$5,$A$7:$CP$70,13,FALSE)</f>
        <v>1865.1</v>
      </c>
      <c r="N5" s="190">
        <f>VLOOKUP($A$5,$A$7:$CP$70,14,FALSE)</f>
        <v>2108.6</v>
      </c>
      <c r="O5" s="178">
        <f>VLOOKUP($A$5,$A$7:$CP$70,15,FALSE)</f>
        <v>8.1133144475920696E-2</v>
      </c>
      <c r="P5" s="179">
        <f>VLOOKUP($A$5,$A$7:$CP$70,16,FALSE)</f>
        <v>0.42268555240793199</v>
      </c>
      <c r="Q5" s="180">
        <f>VLOOKUP($A$5,$A$7:$CP$70,17,FALSE)</f>
        <v>0.47786968838526911</v>
      </c>
      <c r="R5" s="188">
        <f>VLOOKUP($A$5,$A$7:$CP$70,18,FALSE)</f>
        <v>4412.5</v>
      </c>
      <c r="S5" s="189">
        <f>VLOOKUP($A$5,$A$7:$CP$70,19,FALSE)</f>
        <v>655.4</v>
      </c>
      <c r="T5" s="189">
        <f>VLOOKUP($A$5,$A$7:$CP$70,20,FALSE)</f>
        <v>262.39999999999998</v>
      </c>
      <c r="U5" s="189">
        <f>VLOOKUP($A$5,$A$7:$CP$70,21,FALSE)</f>
        <v>223.4</v>
      </c>
      <c r="V5" s="189">
        <f>VLOOKUP($A$5,$A$7:$CP$70,22,FALSE)</f>
        <v>9.1</v>
      </c>
      <c r="W5" s="190">
        <f>VLOOKUP($A$5,$A$7:$CP$70,23,FALSE)</f>
        <v>1150.3</v>
      </c>
      <c r="X5" s="188">
        <f>VLOOKUP($A$5,$A$7:$CP$70,24,FALSE)</f>
        <v>2036</v>
      </c>
      <c r="Y5" s="189">
        <f>VLOOKUP($A$5,$A$7:$CP$70,25,FALSE)</f>
        <v>283.89999999999998</v>
      </c>
      <c r="Z5" s="189">
        <f>VLOOKUP($A$5,$A$7:$CP$70,26,FALSE)</f>
        <v>118.89999999999999</v>
      </c>
      <c r="AA5" s="189">
        <f>VLOOKUP($A$5,$A$7:$CP$70,27,FALSE)</f>
        <v>132.79999999999998</v>
      </c>
      <c r="AB5" s="189">
        <f>VLOOKUP($A$5,$A$7:$CP$70,28,FALSE)</f>
        <v>3.1</v>
      </c>
      <c r="AC5" s="191">
        <f>VLOOKUP($A$5,$A$7:$CP$70,29,FALSE)</f>
        <v>538.69999999999993</v>
      </c>
      <c r="AD5" s="188">
        <f>VLOOKUP($A$5,$A$7:$CP$70,30,FALSE)</f>
        <v>2376.5</v>
      </c>
      <c r="AE5" s="189">
        <f>VLOOKUP($A$5,$A$7:$CP$70,31,FALSE)</f>
        <v>371.5</v>
      </c>
      <c r="AF5" s="189">
        <f>VLOOKUP($A$5,$A$7:$CP$70,32,FALSE)</f>
        <v>143.5</v>
      </c>
      <c r="AG5" s="189">
        <f>VLOOKUP($A$5,$A$7:$CP$70,33,FALSE)</f>
        <v>90.6</v>
      </c>
      <c r="AH5" s="189">
        <f>VLOOKUP($A$5,$A$7:$CP$70,34,FALSE)</f>
        <v>6</v>
      </c>
      <c r="AI5" s="191">
        <f>VLOOKUP($A$5,$A$7:$CP$70,35,FALSE)</f>
        <v>611.6</v>
      </c>
      <c r="AJ5" s="178">
        <f>VLOOKUP($A$5,$A$7:$CP$70,36,FALSE)</f>
        <v>0.2606912181303116</v>
      </c>
      <c r="AK5" s="179">
        <f>VLOOKUP($A$5,$A$7:$CP$70,37,FALSE)</f>
        <v>0.2281144049378423</v>
      </c>
      <c r="AL5" s="179">
        <f>VLOOKUP($A$5,$A$7:$CP$70,38,FALSE)</f>
        <v>0.19421020603320874</v>
      </c>
      <c r="AM5" s="179">
        <f>VLOOKUP($A$5,$A$7:$CP$70,39,FALSE)</f>
        <v>7.9109797444145008E-3</v>
      </c>
      <c r="AN5" s="182">
        <f>VLOOKUP($A$5,$A$7:$CP$70,40,FALSE)</f>
        <v>0.46831261410066932</v>
      </c>
      <c r="AO5" s="180">
        <f>VLOOKUP($A$5,$A$7:$CP$70,41,FALSE)</f>
        <v>0.53168738589933062</v>
      </c>
      <c r="AP5" s="192">
        <f>VLOOKUP($A$5,$A$7:$CP$70,42,FALSE)</f>
        <v>2194.4</v>
      </c>
      <c r="AQ5" s="189">
        <f>VLOOKUP($A$5,$A$7:$CP$70,43,FALSE)</f>
        <v>40.799999999999997</v>
      </c>
      <c r="AR5" s="189">
        <f>VLOOKUP($A$5,$A$7:$CP$70,44,FALSE)</f>
        <v>6</v>
      </c>
      <c r="AS5" s="189">
        <f>VLOOKUP($A$5,$A$7:$CP$70,45,FALSE)</f>
        <v>0</v>
      </c>
      <c r="AT5" s="189">
        <f>VLOOKUP($A$5,$A$7:$CP$70,46,FALSE)</f>
        <v>181.6</v>
      </c>
      <c r="AU5" s="189">
        <f>VLOOKUP($A$5,$A$7:$CP$70,47,FALSE)</f>
        <v>413.3</v>
      </c>
      <c r="AV5" s="189">
        <f>VLOOKUP($A$5,$A$7:$CP$70,48,FALSE)</f>
        <v>18.5</v>
      </c>
      <c r="AW5" s="189">
        <f>VLOOKUP($A$5,$A$7:$CP$70,49,FALSE)</f>
        <v>14</v>
      </c>
      <c r="AX5" s="189">
        <f>VLOOKUP($A$5,$A$7:$CP$70,50,FALSE)</f>
        <v>76.000000000000014</v>
      </c>
      <c r="AY5" s="189">
        <f>VLOOKUP($A$5,$A$7:$CP$70,51,FALSE)</f>
        <v>351.20000000000005</v>
      </c>
      <c r="AZ5" s="189">
        <f>VLOOKUP($A$5,$A$7:$CP$70,52,FALSE)</f>
        <v>49.199999999999996</v>
      </c>
      <c r="BA5" s="189">
        <f>VLOOKUP($A$5,$A$7:$CP$70,53,FALSE)</f>
        <v>32.799999999999997</v>
      </c>
      <c r="BB5" s="189">
        <f>VLOOKUP($A$5,$A$7:$CP$70,54,FALSE)</f>
        <v>57.2</v>
      </c>
      <c r="BC5" s="189">
        <f>VLOOKUP($A$5,$A$7:$CP$70,55,FALSE)</f>
        <v>145.19999999999999</v>
      </c>
      <c r="BD5" s="189">
        <f>VLOOKUP($A$5,$A$7:$CP$70,56,FALSE)</f>
        <v>93.5</v>
      </c>
      <c r="BE5" s="189">
        <f>VLOOKUP($A$5,$A$7:$CP$70,57,FALSE)</f>
        <v>98.399999999999991</v>
      </c>
      <c r="BF5" s="189">
        <f>VLOOKUP($A$5,$A$7:$CP$70,58,FALSE)</f>
        <v>372.3</v>
      </c>
      <c r="BG5" s="189">
        <f>VLOOKUP($A$5,$A$7:$CP$70,59,FALSE)</f>
        <v>20.9</v>
      </c>
      <c r="BH5" s="189">
        <f>VLOOKUP($A$5,$A$7:$CP$70,60,FALSE)</f>
        <v>113.6</v>
      </c>
      <c r="BI5" s="189">
        <f>VLOOKUP($A$5,$A$7:$CP$70,61,FALSE)</f>
        <v>87.1</v>
      </c>
      <c r="BJ5" s="178">
        <f>VLOOKUP($A$5,$A$7:$CP$70,62,FALSE)</f>
        <v>1.859278162595698E-2</v>
      </c>
      <c r="BK5" s="179">
        <f>VLOOKUP($A$5,$A$7:$CP$70,63,FALSE)</f>
        <v>2.7342325920524969E-3</v>
      </c>
      <c r="BL5" s="179">
        <f>VLOOKUP($A$5,$A$7:$CP$70,64,FALSE)</f>
        <v>0</v>
      </c>
      <c r="BM5" s="179">
        <f>VLOOKUP($A$5,$A$7:$CP$70,65,FALSE)</f>
        <v>8.2756106452788913E-2</v>
      </c>
      <c r="BN5" s="179">
        <f>VLOOKUP($A$5,$A$7:$CP$70,66,FALSE)</f>
        <v>0.1883430550492162</v>
      </c>
      <c r="BO5" s="179">
        <f>VLOOKUP($A$5,$A$7:$CP$70,67,FALSE)</f>
        <v>8.430550492161867E-3</v>
      </c>
      <c r="BP5" s="179">
        <f>VLOOKUP($A$5,$A$7:$CP$70,68,FALSE)</f>
        <v>6.3798760481224934E-3</v>
      </c>
      <c r="BQ5" s="179">
        <f>VLOOKUP($A$5,$A$7:$CP$70,69,FALSE)</f>
        <v>3.4633612832664973E-2</v>
      </c>
      <c r="BR5" s="179">
        <f>VLOOKUP($A$5,$A$7:$CP$70,70,FALSE)</f>
        <v>0.16004374772147287</v>
      </c>
      <c r="BS5" s="179">
        <f>VLOOKUP($A$5,$A$7:$CP$70,71,FALSE)</f>
        <v>2.2420707254830474E-2</v>
      </c>
      <c r="BT5" s="179">
        <f>VLOOKUP($A$5,$A$7:$CP$70,72,FALSE)</f>
        <v>1.4947138169886983E-2</v>
      </c>
      <c r="BU5" s="179">
        <f>VLOOKUP($A$5,$A$7:$CP$70,73,FALSE)</f>
        <v>2.6066350710900472E-2</v>
      </c>
      <c r="BV5" s="179">
        <f>VLOOKUP($A$5,$A$7:$CP$70,74,FALSE)</f>
        <v>6.6168428727670425E-2</v>
      </c>
      <c r="BW5" s="179">
        <f>VLOOKUP($A$5,$A$7:$CP$70,75,FALSE)</f>
        <v>4.2608457892818079E-2</v>
      </c>
      <c r="BX5" s="179">
        <f>VLOOKUP($A$5,$A$7:$CP$70,76,FALSE)</f>
        <v>4.4841414509660948E-2</v>
      </c>
      <c r="BY5" s="179">
        <f>VLOOKUP($A$5,$A$7:$CP$70,77,FALSE)</f>
        <v>0.16965913233685745</v>
      </c>
      <c r="BZ5" s="179">
        <f>VLOOKUP($A$5,$A$7:$CP$70,78,FALSE)</f>
        <v>9.5242435289828644E-3</v>
      </c>
      <c r="CA5" s="179">
        <f>VLOOKUP($A$5,$A$7:$CP$70,79,FALSE)</f>
        <v>5.1768137076193946E-2</v>
      </c>
      <c r="CB5" s="180">
        <f>VLOOKUP($A$5,$A$7:$CP$70,80,FALSE)</f>
        <v>3.9691943127962079E-2</v>
      </c>
      <c r="CC5" s="188">
        <f>VLOOKUP($A$5,$A$7:$CP$70,81,FALSE)</f>
        <v>2194.4</v>
      </c>
      <c r="CD5" s="190">
        <f>VLOOKUP($A$5,$A$7:$CP$70,82,FALSE)</f>
        <v>1815.0000000000002</v>
      </c>
      <c r="CE5" s="189">
        <f>VLOOKUP($A$5,$A$7:$CP$70,83,FALSE)</f>
        <v>348.40000000000003</v>
      </c>
      <c r="CF5" s="191">
        <f>VLOOKUP($A$5,$A$7:$CP$70,84,FALSE)</f>
        <v>4.2</v>
      </c>
      <c r="CG5" s="188">
        <f>VLOOKUP($A$5,$A$7:$CP$70,85,FALSE)</f>
        <v>160.99999999999997</v>
      </c>
      <c r="CH5" s="189">
        <f>VLOOKUP($A$5,$A$7:$CP$70,86,FALSE)</f>
        <v>96.800000000000011</v>
      </c>
      <c r="CI5" s="189">
        <f>VLOOKUP($A$5,$A$7:$CP$70,87,FALSE)</f>
        <v>56.5</v>
      </c>
      <c r="CJ5" s="191">
        <f>VLOOKUP($A$5,$A$7:$CP$70,88,FALSE)</f>
        <v>4.3999999999999995</v>
      </c>
      <c r="CK5" s="178">
        <f>VLOOKUP($A$5,$A$7:$CP$70,89,FALSE)</f>
        <v>0.82710535909588045</v>
      </c>
      <c r="CL5" s="179">
        <f>VLOOKUP($A$5,$A$7:$CP$70,90,FALSE)</f>
        <v>0.15876777251184834</v>
      </c>
      <c r="CM5" s="180">
        <f>VLOOKUP($A$5,$A$7:$CP$70,91,FALSE)</f>
        <v>1.913962814436748E-3</v>
      </c>
      <c r="CN5" s="178">
        <f>VLOOKUP($A$5,$A$7:$CP$70,92,FALSE)</f>
        <v>0.60124223602484494</v>
      </c>
      <c r="CO5" s="179">
        <f>VLOOKUP($A$5,$A$7:$CP$70,93,FALSE)</f>
        <v>0.35093167701863359</v>
      </c>
      <c r="CP5" s="180">
        <f>VLOOKUP($A$5,$A$7:$CP$70,94,FALSE)</f>
        <v>2.7329192546583853E-2</v>
      </c>
    </row>
    <row r="6" spans="1:94" s="241" customFormat="1" x14ac:dyDescent="0.15"/>
    <row r="7" spans="1:94" x14ac:dyDescent="0.15">
      <c r="A7" t="s">
        <v>430</v>
      </c>
      <c r="B7" t="s">
        <v>431</v>
      </c>
      <c r="C7" t="s">
        <v>432</v>
      </c>
      <c r="D7">
        <v>3922.1</v>
      </c>
      <c r="E7">
        <v>1780.9</v>
      </c>
      <c r="F7">
        <v>562.80000000000007</v>
      </c>
      <c r="G7">
        <v>622.20000000000005</v>
      </c>
      <c r="H7">
        <v>0.45406797378955155</v>
      </c>
      <c r="I7">
        <v>0.14349455648759596</v>
      </c>
      <c r="J7">
        <v>0.15863950434716098</v>
      </c>
      <c r="K7">
        <v>8652.1999999999989</v>
      </c>
      <c r="L7">
        <v>821.00000000000011</v>
      </c>
      <c r="M7">
        <v>3460.3</v>
      </c>
      <c r="N7">
        <v>4157.5999999999995</v>
      </c>
      <c r="O7">
        <v>9.4889161138207653E-2</v>
      </c>
      <c r="P7">
        <v>0.39993296502623615</v>
      </c>
      <c r="Q7">
        <v>0.48052518434617786</v>
      </c>
      <c r="R7">
        <v>8652.1999999999989</v>
      </c>
      <c r="S7">
        <v>1286.8999999999999</v>
      </c>
      <c r="T7">
        <v>492.29999999999995</v>
      </c>
      <c r="U7">
        <v>378.90000000000009</v>
      </c>
      <c r="V7">
        <v>17.100000000000001</v>
      </c>
      <c r="W7">
        <v>2175.1999999999998</v>
      </c>
      <c r="X7">
        <v>4142.2999999999993</v>
      </c>
      <c r="Y7">
        <v>589.5</v>
      </c>
      <c r="Z7">
        <v>238.4</v>
      </c>
      <c r="AA7">
        <v>231.49999999999997</v>
      </c>
      <c r="AB7">
        <v>6.1</v>
      </c>
      <c r="AC7">
        <v>1065.4999999999998</v>
      </c>
      <c r="AD7">
        <v>4509.8999999999996</v>
      </c>
      <c r="AE7">
        <v>697.40000000000009</v>
      </c>
      <c r="AF7">
        <v>253.89999999999995</v>
      </c>
      <c r="AG7">
        <v>147.4</v>
      </c>
      <c r="AH7">
        <v>11</v>
      </c>
      <c r="AI7">
        <v>1109.7</v>
      </c>
      <c r="AJ7">
        <v>0.25140426712281272</v>
      </c>
      <c r="AK7">
        <v>0.22632401618242001</v>
      </c>
      <c r="AL7">
        <v>0.17419087899963229</v>
      </c>
      <c r="AM7">
        <v>7.8613460831187948E-3</v>
      </c>
      <c r="AN7">
        <v>0.48984001471129085</v>
      </c>
      <c r="AO7">
        <v>0.51015998528870909</v>
      </c>
      <c r="AP7">
        <v>4173.3999999999996</v>
      </c>
      <c r="AQ7">
        <v>130.19999999999999</v>
      </c>
      <c r="AR7">
        <v>5</v>
      </c>
      <c r="AS7">
        <v>0.1</v>
      </c>
      <c r="AT7">
        <v>376.8</v>
      </c>
      <c r="AU7">
        <v>700.6</v>
      </c>
      <c r="AV7">
        <v>34.6</v>
      </c>
      <c r="AW7">
        <v>38.1</v>
      </c>
      <c r="AX7">
        <v>131.1</v>
      </c>
      <c r="AY7">
        <v>687.2</v>
      </c>
      <c r="AZ7">
        <v>95.299999999999983</v>
      </c>
      <c r="BA7">
        <v>54.400000000000006</v>
      </c>
      <c r="BB7">
        <v>124.60000000000001</v>
      </c>
      <c r="BC7">
        <v>242.10000000000002</v>
      </c>
      <c r="BD7">
        <v>141.30000000000001</v>
      </c>
      <c r="BE7">
        <v>217</v>
      </c>
      <c r="BF7">
        <v>670.19999999999993</v>
      </c>
      <c r="BG7">
        <v>62.9</v>
      </c>
      <c r="BH7">
        <v>226.89999999999998</v>
      </c>
      <c r="BI7">
        <v>193.20000000000002</v>
      </c>
      <c r="BJ7">
        <v>3.1197584703119757E-2</v>
      </c>
      <c r="BK7">
        <v>1.1980639286912351E-3</v>
      </c>
      <c r="BL7">
        <v>2.3961278573824703E-5</v>
      </c>
      <c r="BM7">
        <v>9.0286097666171475E-2</v>
      </c>
      <c r="BN7">
        <v>0.16787271768821585</v>
      </c>
      <c r="BO7">
        <v>8.290602386543347E-3</v>
      </c>
      <c r="BP7">
        <v>9.1292471366272113E-3</v>
      </c>
      <c r="BQ7">
        <v>3.1413236210284183E-2</v>
      </c>
      <c r="BR7">
        <v>0.16466190635932335</v>
      </c>
      <c r="BS7">
        <v>2.2835098480854937E-2</v>
      </c>
      <c r="BT7">
        <v>1.3034935544160639E-2</v>
      </c>
      <c r="BU7">
        <v>2.9855753102985581E-2</v>
      </c>
      <c r="BV7">
        <v>5.8010255427229609E-2</v>
      </c>
      <c r="BW7">
        <v>3.3857286624814305E-2</v>
      </c>
      <c r="BX7">
        <v>5.1995974505199605E-2</v>
      </c>
      <c r="BY7">
        <v>0.16058848900177314</v>
      </c>
      <c r="BZ7">
        <v>1.5071644222935736E-2</v>
      </c>
      <c r="CA7">
        <v>5.436814108400824E-2</v>
      </c>
      <c r="CB7">
        <v>4.6293190204629325E-2</v>
      </c>
      <c r="CC7">
        <v>4173.3999999999996</v>
      </c>
      <c r="CD7">
        <v>3319.8999999999996</v>
      </c>
      <c r="CE7">
        <v>773.09999999999991</v>
      </c>
      <c r="CF7">
        <v>19.500000000000004</v>
      </c>
      <c r="CG7">
        <v>328</v>
      </c>
      <c r="CH7">
        <v>194.80000000000004</v>
      </c>
      <c r="CI7">
        <v>117.69999999999999</v>
      </c>
      <c r="CJ7">
        <v>5.3</v>
      </c>
      <c r="CK7">
        <v>0.79549048737240613</v>
      </c>
      <c r="CL7">
        <v>0.18524464465423873</v>
      </c>
      <c r="CM7">
        <v>4.6724493218958177E-3</v>
      </c>
      <c r="CN7">
        <v>0.59390243902439033</v>
      </c>
      <c r="CO7">
        <v>0.35884146341463413</v>
      </c>
      <c r="CP7">
        <v>1.6158536585365854E-2</v>
      </c>
    </row>
    <row r="8" spans="1:94" x14ac:dyDescent="0.15">
      <c r="A8" t="s">
        <v>428</v>
      </c>
      <c r="B8" t="s">
        <v>431</v>
      </c>
      <c r="C8" t="s">
        <v>433</v>
      </c>
      <c r="D8">
        <v>2099.4</v>
      </c>
      <c r="E8">
        <v>938.7</v>
      </c>
      <c r="F8">
        <v>263.5</v>
      </c>
      <c r="G8">
        <v>370</v>
      </c>
      <c r="H8">
        <v>0.44712775078593886</v>
      </c>
      <c r="I8">
        <v>0.12551205106220825</v>
      </c>
      <c r="J8">
        <v>0.17624083071353719</v>
      </c>
      <c r="K8">
        <v>4412.5</v>
      </c>
      <c r="L8">
        <v>358.00000000000006</v>
      </c>
      <c r="M8">
        <v>1865.1</v>
      </c>
      <c r="N8">
        <v>2108.6</v>
      </c>
      <c r="O8">
        <v>8.1133144475920696E-2</v>
      </c>
      <c r="P8">
        <v>0.42268555240793199</v>
      </c>
      <c r="Q8">
        <v>0.47786968838526911</v>
      </c>
      <c r="R8">
        <v>4412.5</v>
      </c>
      <c r="S8">
        <v>655.4</v>
      </c>
      <c r="T8">
        <v>262.39999999999998</v>
      </c>
      <c r="U8">
        <v>223.4</v>
      </c>
      <c r="V8">
        <v>9.1</v>
      </c>
      <c r="W8">
        <v>1150.3</v>
      </c>
      <c r="X8">
        <v>2036</v>
      </c>
      <c r="Y8">
        <v>283.89999999999998</v>
      </c>
      <c r="Z8">
        <v>118.89999999999999</v>
      </c>
      <c r="AA8">
        <v>132.79999999999998</v>
      </c>
      <c r="AB8">
        <v>3.1</v>
      </c>
      <c r="AC8">
        <v>538.69999999999993</v>
      </c>
      <c r="AD8">
        <v>2376.5</v>
      </c>
      <c r="AE8">
        <v>371.5</v>
      </c>
      <c r="AF8">
        <v>143.5</v>
      </c>
      <c r="AG8">
        <v>90.6</v>
      </c>
      <c r="AH8">
        <v>6</v>
      </c>
      <c r="AI8">
        <v>611.6</v>
      </c>
      <c r="AJ8">
        <v>0.2606912181303116</v>
      </c>
      <c r="AK8">
        <v>0.2281144049378423</v>
      </c>
      <c r="AL8">
        <v>0.19421020603320874</v>
      </c>
      <c r="AM8">
        <v>7.9109797444145008E-3</v>
      </c>
      <c r="AN8">
        <v>0.46831261410066932</v>
      </c>
      <c r="AO8">
        <v>0.53168738589933062</v>
      </c>
      <c r="AP8">
        <v>2194.4</v>
      </c>
      <c r="AQ8">
        <v>40.799999999999997</v>
      </c>
      <c r="AR8">
        <v>6</v>
      </c>
      <c r="AS8">
        <v>0</v>
      </c>
      <c r="AT8">
        <v>181.6</v>
      </c>
      <c r="AU8">
        <v>413.3</v>
      </c>
      <c r="AV8">
        <v>18.5</v>
      </c>
      <c r="AW8">
        <v>14</v>
      </c>
      <c r="AX8">
        <v>76.000000000000014</v>
      </c>
      <c r="AY8">
        <v>351.20000000000005</v>
      </c>
      <c r="AZ8">
        <v>49.199999999999996</v>
      </c>
      <c r="BA8">
        <v>32.799999999999997</v>
      </c>
      <c r="BB8">
        <v>57.2</v>
      </c>
      <c r="BC8">
        <v>145.19999999999999</v>
      </c>
      <c r="BD8">
        <v>93.5</v>
      </c>
      <c r="BE8">
        <v>98.399999999999991</v>
      </c>
      <c r="BF8">
        <v>372.3</v>
      </c>
      <c r="BG8">
        <v>20.9</v>
      </c>
      <c r="BH8">
        <v>113.6</v>
      </c>
      <c r="BI8">
        <v>87.1</v>
      </c>
      <c r="BJ8">
        <v>1.859278162595698E-2</v>
      </c>
      <c r="BK8">
        <v>2.7342325920524969E-3</v>
      </c>
      <c r="BL8">
        <v>0</v>
      </c>
      <c r="BM8">
        <v>8.2756106452788913E-2</v>
      </c>
      <c r="BN8">
        <v>0.1883430550492162</v>
      </c>
      <c r="BO8">
        <v>8.430550492161867E-3</v>
      </c>
      <c r="BP8">
        <v>6.3798760481224934E-3</v>
      </c>
      <c r="BQ8">
        <v>3.4633612832664973E-2</v>
      </c>
      <c r="BR8">
        <v>0.16004374772147287</v>
      </c>
      <c r="BS8">
        <v>2.2420707254830474E-2</v>
      </c>
      <c r="BT8">
        <v>1.4947138169886983E-2</v>
      </c>
      <c r="BU8">
        <v>2.6066350710900472E-2</v>
      </c>
      <c r="BV8">
        <v>6.6168428727670425E-2</v>
      </c>
      <c r="BW8">
        <v>4.2608457892818079E-2</v>
      </c>
      <c r="BX8">
        <v>4.4841414509660948E-2</v>
      </c>
      <c r="BY8">
        <v>0.16965913233685745</v>
      </c>
      <c r="BZ8">
        <v>9.5242435289828644E-3</v>
      </c>
      <c r="CA8">
        <v>5.1768137076193946E-2</v>
      </c>
      <c r="CB8">
        <v>3.9691943127962079E-2</v>
      </c>
      <c r="CC8">
        <v>2194.4</v>
      </c>
      <c r="CD8">
        <v>1815.0000000000002</v>
      </c>
      <c r="CE8">
        <v>348.40000000000003</v>
      </c>
      <c r="CF8">
        <v>4.2</v>
      </c>
      <c r="CG8">
        <v>160.99999999999997</v>
      </c>
      <c r="CH8">
        <v>96.800000000000011</v>
      </c>
      <c r="CI8">
        <v>56.5</v>
      </c>
      <c r="CJ8">
        <v>4.3999999999999995</v>
      </c>
      <c r="CK8">
        <v>0.82710535909588045</v>
      </c>
      <c r="CL8">
        <v>0.15876777251184834</v>
      </c>
      <c r="CM8">
        <v>1.913962814436748E-3</v>
      </c>
      <c r="CN8">
        <v>0.60124223602484494</v>
      </c>
      <c r="CO8">
        <v>0.35093167701863359</v>
      </c>
      <c r="CP8">
        <v>2.7329192546583853E-2</v>
      </c>
    </row>
    <row r="9" spans="1:94" x14ac:dyDescent="0.15">
      <c r="A9" t="s">
        <v>434</v>
      </c>
      <c r="B9" t="s">
        <v>431</v>
      </c>
      <c r="C9" t="s">
        <v>435</v>
      </c>
      <c r="D9">
        <v>3550.6</v>
      </c>
      <c r="E9">
        <v>1648.9</v>
      </c>
      <c r="F9">
        <v>496.8</v>
      </c>
      <c r="G9">
        <v>528.9</v>
      </c>
      <c r="H9">
        <v>0.46440038303385345</v>
      </c>
      <c r="I9">
        <v>0.1399200135188419</v>
      </c>
      <c r="J9">
        <v>0.1489607390300231</v>
      </c>
      <c r="K9">
        <v>8657.2000000000007</v>
      </c>
      <c r="L9">
        <v>737.1</v>
      </c>
      <c r="M9">
        <v>3686.7000000000003</v>
      </c>
      <c r="N9">
        <v>4072.9</v>
      </c>
      <c r="O9">
        <v>8.5143002356420083E-2</v>
      </c>
      <c r="P9">
        <v>0.42585362472854965</v>
      </c>
      <c r="Q9">
        <v>0.47046389132744998</v>
      </c>
      <c r="R9">
        <v>8657.2000000000007</v>
      </c>
      <c r="S9">
        <v>1422.4</v>
      </c>
      <c r="T9">
        <v>469.9</v>
      </c>
      <c r="U9">
        <v>277.39999999999998</v>
      </c>
      <c r="V9">
        <v>12.9</v>
      </c>
      <c r="W9">
        <v>2182.6000000000004</v>
      </c>
      <c r="X9">
        <v>4095.2</v>
      </c>
      <c r="Y9">
        <v>668.3</v>
      </c>
      <c r="Z9">
        <v>216.6</v>
      </c>
      <c r="AA9">
        <v>145.6</v>
      </c>
      <c r="AB9">
        <v>10</v>
      </c>
      <c r="AC9">
        <v>1040.5</v>
      </c>
      <c r="AD9">
        <v>4562</v>
      </c>
      <c r="AE9">
        <v>754.1</v>
      </c>
      <c r="AF9">
        <v>253.3</v>
      </c>
      <c r="AG9">
        <v>131.80000000000001</v>
      </c>
      <c r="AH9">
        <v>2.9</v>
      </c>
      <c r="AI9">
        <v>1142.1000000000001</v>
      </c>
      <c r="AJ9">
        <v>0.2521138474333503</v>
      </c>
      <c r="AK9">
        <v>0.21529368642902955</v>
      </c>
      <c r="AL9">
        <v>0.12709612388893976</v>
      </c>
      <c r="AM9">
        <v>5.910382113076147E-3</v>
      </c>
      <c r="AN9">
        <v>0.47672500687253727</v>
      </c>
      <c r="AO9">
        <v>0.52327499312746262</v>
      </c>
      <c r="AP9">
        <v>4002.1</v>
      </c>
      <c r="AQ9">
        <v>130.9</v>
      </c>
      <c r="AR9">
        <v>4.5</v>
      </c>
      <c r="AS9">
        <v>2.5</v>
      </c>
      <c r="AT9">
        <v>429.7</v>
      </c>
      <c r="AU9">
        <v>750.5</v>
      </c>
      <c r="AV9">
        <v>5.8</v>
      </c>
      <c r="AW9">
        <v>19.899999999999999</v>
      </c>
      <c r="AX9">
        <v>161.4</v>
      </c>
      <c r="AY9">
        <v>580.70000000000005</v>
      </c>
      <c r="AZ9">
        <v>68</v>
      </c>
      <c r="BA9">
        <v>51.7</v>
      </c>
      <c r="BB9">
        <v>74.5</v>
      </c>
      <c r="BC9">
        <v>182.9</v>
      </c>
      <c r="BD9">
        <v>131.6</v>
      </c>
      <c r="BE9">
        <v>178.3</v>
      </c>
      <c r="BF9">
        <v>763</v>
      </c>
      <c r="BG9">
        <v>49.9</v>
      </c>
      <c r="BH9">
        <v>236.8</v>
      </c>
      <c r="BI9">
        <v>127.5</v>
      </c>
      <c r="BJ9">
        <v>3.27078283900952E-2</v>
      </c>
      <c r="BK9">
        <v>1.1244096849154193E-3</v>
      </c>
      <c r="BL9">
        <v>6.2467204717523307E-4</v>
      </c>
      <c r="BM9">
        <v>0.10736863146847905</v>
      </c>
      <c r="BN9">
        <v>0.18752654856200496</v>
      </c>
      <c r="BO9">
        <v>1.4492391494465406E-3</v>
      </c>
      <c r="BP9">
        <v>4.9723894955148546E-3</v>
      </c>
      <c r="BQ9">
        <v>4.0328827365633042E-2</v>
      </c>
      <c r="BR9">
        <v>0.14509882311786312</v>
      </c>
      <c r="BS9">
        <v>1.6991079683166339E-2</v>
      </c>
      <c r="BT9">
        <v>1.291821793558382E-2</v>
      </c>
      <c r="BU9">
        <v>1.8615227005821945E-2</v>
      </c>
      <c r="BV9">
        <v>4.5701006971340045E-2</v>
      </c>
      <c r="BW9">
        <v>3.2882736563304267E-2</v>
      </c>
      <c r="BX9">
        <v>4.4551610404537624E-2</v>
      </c>
      <c r="BY9">
        <v>0.19064990879788113</v>
      </c>
      <c r="BZ9">
        <v>1.2468454061617651E-2</v>
      </c>
      <c r="CA9">
        <v>5.9168936308438072E-2</v>
      </c>
      <c r="CB9">
        <v>3.1858274405936887E-2</v>
      </c>
      <c r="CC9">
        <v>4002.1</v>
      </c>
      <c r="CD9">
        <v>3267.2999999999997</v>
      </c>
      <c r="CE9">
        <v>645.6</v>
      </c>
      <c r="CF9">
        <v>27.3</v>
      </c>
      <c r="CG9">
        <v>292.10000000000002</v>
      </c>
      <c r="CH9">
        <v>179.1</v>
      </c>
      <c r="CI9">
        <v>102</v>
      </c>
      <c r="CJ9">
        <v>4</v>
      </c>
      <c r="CK9">
        <v>0.8163963918942555</v>
      </c>
      <c r="CL9">
        <v>0.16131530946253217</v>
      </c>
      <c r="CM9">
        <v>6.8214187551535448E-3</v>
      </c>
      <c r="CN9">
        <v>0.61314618281410471</v>
      </c>
      <c r="CO9">
        <v>0.34919548099965764</v>
      </c>
      <c r="CP9">
        <v>1.3693940431359122E-2</v>
      </c>
    </row>
    <row r="10" spans="1:94" x14ac:dyDescent="0.15">
      <c r="A10" t="s">
        <v>436</v>
      </c>
      <c r="B10" t="s">
        <v>431</v>
      </c>
      <c r="C10" t="s">
        <v>437</v>
      </c>
      <c r="D10">
        <v>842.1</v>
      </c>
      <c r="E10">
        <v>460.3</v>
      </c>
      <c r="F10">
        <v>128.4</v>
      </c>
      <c r="G10">
        <v>150.1</v>
      </c>
      <c r="H10">
        <v>0.54660966631041441</v>
      </c>
      <c r="I10">
        <v>0.15247595297470609</v>
      </c>
      <c r="J10">
        <v>0.17824486403040019</v>
      </c>
      <c r="K10">
        <v>1971.8</v>
      </c>
      <c r="L10">
        <v>255.9</v>
      </c>
      <c r="M10">
        <v>615.40000000000009</v>
      </c>
      <c r="N10">
        <v>1013.6</v>
      </c>
      <c r="O10">
        <v>0.12977989654123137</v>
      </c>
      <c r="P10">
        <v>0.31210061872400857</v>
      </c>
      <c r="Q10">
        <v>0.51404807789836704</v>
      </c>
      <c r="R10">
        <v>1971.8</v>
      </c>
      <c r="S10">
        <v>259</v>
      </c>
      <c r="T10">
        <v>43.3</v>
      </c>
      <c r="U10">
        <v>54.7</v>
      </c>
      <c r="V10">
        <v>30</v>
      </c>
      <c r="W10">
        <v>387</v>
      </c>
      <c r="X10">
        <v>939.8</v>
      </c>
      <c r="Y10">
        <v>116.7</v>
      </c>
      <c r="Z10">
        <v>18.7</v>
      </c>
      <c r="AA10">
        <v>30.1</v>
      </c>
      <c r="AB10">
        <v>29</v>
      </c>
      <c r="AC10">
        <v>194.5</v>
      </c>
      <c r="AD10">
        <v>1032</v>
      </c>
      <c r="AE10">
        <v>142.30000000000001</v>
      </c>
      <c r="AF10">
        <v>24.6</v>
      </c>
      <c r="AG10">
        <v>24.6</v>
      </c>
      <c r="AH10">
        <v>1</v>
      </c>
      <c r="AI10">
        <v>192.5</v>
      </c>
      <c r="AJ10">
        <v>0.19626736991581298</v>
      </c>
      <c r="AK10">
        <v>0.11188630490956071</v>
      </c>
      <c r="AL10">
        <v>0.14134366925064601</v>
      </c>
      <c r="AM10">
        <v>7.7519379844961239E-2</v>
      </c>
      <c r="AN10">
        <v>0.50258397932816534</v>
      </c>
      <c r="AO10">
        <v>0.4974160206718346</v>
      </c>
      <c r="AP10">
        <v>974.6</v>
      </c>
      <c r="AQ10">
        <v>17</v>
      </c>
      <c r="AR10">
        <v>131.30000000000001</v>
      </c>
      <c r="AS10">
        <v>0</v>
      </c>
      <c r="AT10">
        <v>78.5</v>
      </c>
      <c r="AU10">
        <v>181.5</v>
      </c>
      <c r="AV10">
        <v>1.1000000000000001</v>
      </c>
      <c r="AW10">
        <v>4.5</v>
      </c>
      <c r="AX10">
        <v>59.8</v>
      </c>
      <c r="AY10">
        <v>157.1</v>
      </c>
      <c r="AZ10">
        <v>16.3</v>
      </c>
      <c r="BA10">
        <v>10.4</v>
      </c>
      <c r="BB10">
        <v>22.9</v>
      </c>
      <c r="BC10">
        <v>39.9</v>
      </c>
      <c r="BD10">
        <v>33.299999999999997</v>
      </c>
      <c r="BE10">
        <v>13.6</v>
      </c>
      <c r="BF10">
        <v>115.9</v>
      </c>
      <c r="BG10">
        <v>11.3</v>
      </c>
      <c r="BH10">
        <v>52.9</v>
      </c>
      <c r="BI10">
        <v>12.1</v>
      </c>
      <c r="BJ10">
        <v>1.7443053560435049E-2</v>
      </c>
      <c r="BK10">
        <v>0.13472193720500719</v>
      </c>
      <c r="BL10">
        <v>0</v>
      </c>
      <c r="BM10">
        <v>8.0545864970244199E-2</v>
      </c>
      <c r="BN10">
        <v>0.18623024830699775</v>
      </c>
      <c r="BO10">
        <v>1.1286681715575622E-3</v>
      </c>
      <c r="BP10">
        <v>4.6172788836445723E-3</v>
      </c>
      <c r="BQ10">
        <v>6.1358506053765645E-2</v>
      </c>
      <c r="BR10">
        <v>0.16119433613790271</v>
      </c>
      <c r="BS10">
        <v>1.6724810178534784E-2</v>
      </c>
      <c r="BT10">
        <v>1.0671044531089679E-2</v>
      </c>
      <c r="BU10">
        <v>2.3496819207880153E-2</v>
      </c>
      <c r="BV10">
        <v>4.0939872768315205E-2</v>
      </c>
      <c r="BW10">
        <v>3.4167863738969829E-2</v>
      </c>
      <c r="BX10">
        <v>1.395444284834804E-2</v>
      </c>
      <c r="BY10">
        <v>0.11892058280320132</v>
      </c>
      <c r="BZ10">
        <v>1.1594500307818592E-2</v>
      </c>
      <c r="CA10">
        <v>5.4278678432177298E-2</v>
      </c>
      <c r="CB10">
        <v>1.2415349887133182E-2</v>
      </c>
      <c r="CC10">
        <v>974.6</v>
      </c>
      <c r="CD10">
        <v>805.59999999999991</v>
      </c>
      <c r="CE10">
        <v>145.9</v>
      </c>
      <c r="CF10">
        <v>5.7</v>
      </c>
      <c r="CG10">
        <v>56</v>
      </c>
      <c r="CH10">
        <v>35.299999999999997</v>
      </c>
      <c r="CI10">
        <v>20.5</v>
      </c>
      <c r="CJ10">
        <v>0</v>
      </c>
      <c r="CK10">
        <v>0.82659552636979261</v>
      </c>
      <c r="CL10">
        <v>0.14970244202749847</v>
      </c>
      <c r="CM10">
        <v>5.8485532526164584E-3</v>
      </c>
      <c r="CN10">
        <v>0.63035714285714284</v>
      </c>
      <c r="CO10">
        <v>0.36607142857142855</v>
      </c>
      <c r="CP10">
        <v>0</v>
      </c>
    </row>
    <row r="11" spans="1:94" x14ac:dyDescent="0.15">
      <c r="A11" t="s">
        <v>438</v>
      </c>
      <c r="B11" t="s">
        <v>431</v>
      </c>
      <c r="C11" t="s">
        <v>439</v>
      </c>
      <c r="D11">
        <v>676</v>
      </c>
      <c r="E11">
        <v>451.8</v>
      </c>
      <c r="F11">
        <v>126.4</v>
      </c>
      <c r="G11">
        <v>113</v>
      </c>
      <c r="H11">
        <v>0.66834319526627217</v>
      </c>
      <c r="I11">
        <v>0.18698224852071008</v>
      </c>
      <c r="J11">
        <v>0.16715976331360946</v>
      </c>
      <c r="K11">
        <v>2255.6</v>
      </c>
      <c r="L11">
        <v>352.4</v>
      </c>
      <c r="M11">
        <v>665.40000000000009</v>
      </c>
      <c r="N11">
        <v>1013</v>
      </c>
      <c r="O11">
        <v>0.15623337471182833</v>
      </c>
      <c r="P11">
        <v>0.29499911331796425</v>
      </c>
      <c r="Q11">
        <v>0.44910445114381986</v>
      </c>
      <c r="R11">
        <v>2255.6</v>
      </c>
      <c r="S11">
        <v>353.4</v>
      </c>
      <c r="T11">
        <v>65.599999999999994</v>
      </c>
      <c r="U11">
        <v>19.2</v>
      </c>
      <c r="V11">
        <v>0</v>
      </c>
      <c r="W11">
        <v>438.2</v>
      </c>
      <c r="X11">
        <v>1021.2</v>
      </c>
      <c r="Y11">
        <v>128</v>
      </c>
      <c r="Z11">
        <v>29.2</v>
      </c>
      <c r="AA11">
        <v>8</v>
      </c>
      <c r="AB11">
        <v>0</v>
      </c>
      <c r="AC11">
        <v>165.2</v>
      </c>
      <c r="AD11">
        <v>1234.4000000000001</v>
      </c>
      <c r="AE11">
        <v>225.4</v>
      </c>
      <c r="AF11">
        <v>36.4</v>
      </c>
      <c r="AG11">
        <v>11.2</v>
      </c>
      <c r="AH11">
        <v>0</v>
      </c>
      <c r="AI11">
        <v>273</v>
      </c>
      <c r="AJ11">
        <v>0.19427203404859017</v>
      </c>
      <c r="AK11">
        <v>0.149703331811958</v>
      </c>
      <c r="AL11">
        <v>4.3815609310816975E-2</v>
      </c>
      <c r="AM11">
        <v>0</v>
      </c>
      <c r="AN11">
        <v>0.37699680511182104</v>
      </c>
      <c r="AO11">
        <v>0.6230031948881789</v>
      </c>
      <c r="AP11">
        <v>904.4</v>
      </c>
      <c r="AQ11">
        <v>214</v>
      </c>
      <c r="AR11">
        <v>1</v>
      </c>
      <c r="AS11">
        <v>1</v>
      </c>
      <c r="AT11">
        <v>94.2</v>
      </c>
      <c r="AU11">
        <v>135.19999999999999</v>
      </c>
      <c r="AV11">
        <v>4</v>
      </c>
      <c r="AW11">
        <v>3</v>
      </c>
      <c r="AX11">
        <v>34.200000000000003</v>
      </c>
      <c r="AY11">
        <v>85</v>
      </c>
      <c r="AZ11">
        <v>13.2</v>
      </c>
      <c r="BA11">
        <v>4</v>
      </c>
      <c r="BB11">
        <v>19.399999999999999</v>
      </c>
      <c r="BC11">
        <v>22.8</v>
      </c>
      <c r="BD11">
        <v>16.399999999999999</v>
      </c>
      <c r="BE11">
        <v>15</v>
      </c>
      <c r="BF11">
        <v>155</v>
      </c>
      <c r="BG11">
        <v>9.8000000000000007</v>
      </c>
      <c r="BH11">
        <v>34.799999999999997</v>
      </c>
      <c r="BI11">
        <v>13</v>
      </c>
      <c r="BJ11">
        <v>0.23662096417514375</v>
      </c>
      <c r="BK11">
        <v>1.1057054400707652E-3</v>
      </c>
      <c r="BL11">
        <v>1.1057054400707652E-3</v>
      </c>
      <c r="BM11">
        <v>0.10415745245466608</v>
      </c>
      <c r="BN11">
        <v>0.14949137549756744</v>
      </c>
      <c r="BO11">
        <v>4.4228217602830609E-3</v>
      </c>
      <c r="BP11">
        <v>3.3171163202122956E-3</v>
      </c>
      <c r="BQ11">
        <v>3.7815126050420172E-2</v>
      </c>
      <c r="BR11">
        <v>9.3984962406015046E-2</v>
      </c>
      <c r="BS11">
        <v>1.45953118089341E-2</v>
      </c>
      <c r="BT11">
        <v>4.4228217602830609E-3</v>
      </c>
      <c r="BU11">
        <v>2.1450685537372841E-2</v>
      </c>
      <c r="BV11">
        <v>2.5210084033613446E-2</v>
      </c>
      <c r="BW11">
        <v>1.8133569217160549E-2</v>
      </c>
      <c r="BX11">
        <v>1.6585581601061477E-2</v>
      </c>
      <c r="BY11">
        <v>0.1713843432109686</v>
      </c>
      <c r="BZ11">
        <v>1.0835913312693499E-2</v>
      </c>
      <c r="CA11">
        <v>3.8478549314462623E-2</v>
      </c>
      <c r="CB11">
        <v>1.4374170720919947E-2</v>
      </c>
      <c r="CC11">
        <v>904.4</v>
      </c>
      <c r="CD11">
        <v>771.19999999999993</v>
      </c>
      <c r="CE11">
        <v>110.6</v>
      </c>
      <c r="CF11">
        <v>2</v>
      </c>
      <c r="CG11">
        <v>60.8</v>
      </c>
      <c r="CH11">
        <v>43.6</v>
      </c>
      <c r="CI11">
        <v>15.4</v>
      </c>
      <c r="CJ11">
        <v>1.8</v>
      </c>
      <c r="CK11">
        <v>0.85272003538257402</v>
      </c>
      <c r="CL11">
        <v>0.12229102167182662</v>
      </c>
      <c r="CM11">
        <v>2.2114108801415304E-3</v>
      </c>
      <c r="CN11">
        <v>0.7171052631578948</v>
      </c>
      <c r="CO11">
        <v>0.25328947368421056</v>
      </c>
      <c r="CP11">
        <v>2.9605263157894739E-2</v>
      </c>
    </row>
    <row r="12" spans="1:94" x14ac:dyDescent="0.15">
      <c r="A12" t="s">
        <v>440</v>
      </c>
      <c r="B12" t="s">
        <v>431</v>
      </c>
      <c r="C12" t="s">
        <v>441</v>
      </c>
      <c r="D12">
        <v>854</v>
      </c>
      <c r="E12">
        <v>557</v>
      </c>
      <c r="F12">
        <v>167</v>
      </c>
      <c r="G12">
        <v>145</v>
      </c>
      <c r="H12">
        <v>0.65222482435597184</v>
      </c>
      <c r="I12">
        <v>0.1955503512880562</v>
      </c>
      <c r="J12">
        <v>0.16978922716627634</v>
      </c>
      <c r="K12">
        <v>2211</v>
      </c>
      <c r="L12">
        <v>358</v>
      </c>
      <c r="M12">
        <v>602</v>
      </c>
      <c r="N12">
        <v>1242</v>
      </c>
      <c r="O12">
        <v>0.16191768430574402</v>
      </c>
      <c r="P12">
        <v>0.27227498869289912</v>
      </c>
      <c r="Q12">
        <v>0.56173677069199457</v>
      </c>
      <c r="R12">
        <v>2211</v>
      </c>
      <c r="S12">
        <v>184</v>
      </c>
      <c r="T12">
        <v>52</v>
      </c>
      <c r="U12">
        <v>52</v>
      </c>
      <c r="V12">
        <v>9</v>
      </c>
      <c r="W12">
        <v>297</v>
      </c>
      <c r="X12">
        <v>1052</v>
      </c>
      <c r="Y12">
        <v>73</v>
      </c>
      <c r="Z12">
        <v>27</v>
      </c>
      <c r="AA12">
        <v>23</v>
      </c>
      <c r="AB12">
        <v>5</v>
      </c>
      <c r="AC12">
        <v>128</v>
      </c>
      <c r="AD12">
        <v>1159</v>
      </c>
      <c r="AE12">
        <v>111</v>
      </c>
      <c r="AF12">
        <v>25</v>
      </c>
      <c r="AG12">
        <v>29</v>
      </c>
      <c r="AH12">
        <v>4</v>
      </c>
      <c r="AI12">
        <v>169</v>
      </c>
      <c r="AJ12">
        <v>0.13432835820895522</v>
      </c>
      <c r="AK12">
        <v>0.17508417508417509</v>
      </c>
      <c r="AL12">
        <v>0.17508417508417509</v>
      </c>
      <c r="AM12">
        <v>3.0303030303030304E-2</v>
      </c>
      <c r="AN12">
        <v>0.43097643097643096</v>
      </c>
      <c r="AO12">
        <v>0.56902356902356899</v>
      </c>
      <c r="AP12">
        <v>1018</v>
      </c>
      <c r="AQ12">
        <v>148</v>
      </c>
      <c r="AR12">
        <v>6</v>
      </c>
      <c r="AS12">
        <v>0</v>
      </c>
      <c r="AT12">
        <v>84</v>
      </c>
      <c r="AU12">
        <v>213</v>
      </c>
      <c r="AV12">
        <v>4</v>
      </c>
      <c r="AW12">
        <v>6</v>
      </c>
      <c r="AX12">
        <v>35</v>
      </c>
      <c r="AY12">
        <v>123</v>
      </c>
      <c r="AZ12">
        <v>12</v>
      </c>
      <c r="BA12">
        <v>10</v>
      </c>
      <c r="BB12">
        <v>9</v>
      </c>
      <c r="BC12">
        <v>44</v>
      </c>
      <c r="BD12">
        <v>20</v>
      </c>
      <c r="BE12">
        <v>20</v>
      </c>
      <c r="BF12">
        <v>158</v>
      </c>
      <c r="BG12">
        <v>14</v>
      </c>
      <c r="BH12">
        <v>50</v>
      </c>
      <c r="BI12">
        <v>27</v>
      </c>
      <c r="BJ12">
        <v>0.14538310412573674</v>
      </c>
      <c r="BK12">
        <v>5.893909626719057E-3</v>
      </c>
      <c r="BL12">
        <v>0</v>
      </c>
      <c r="BM12">
        <v>8.2514734774066803E-2</v>
      </c>
      <c r="BN12">
        <v>0.20923379174852652</v>
      </c>
      <c r="BO12">
        <v>3.929273084479371E-3</v>
      </c>
      <c r="BP12">
        <v>5.893909626719057E-3</v>
      </c>
      <c r="BQ12">
        <v>3.4381139489194502E-2</v>
      </c>
      <c r="BR12">
        <v>0.12082514734774066</v>
      </c>
      <c r="BS12">
        <v>1.1787819253438114E-2</v>
      </c>
      <c r="BT12">
        <v>9.823182711198428E-3</v>
      </c>
      <c r="BU12">
        <v>8.840864440078585E-3</v>
      </c>
      <c r="BV12">
        <v>4.3222003929273084E-2</v>
      </c>
      <c r="BW12">
        <v>1.9646365422396856E-2</v>
      </c>
      <c r="BX12">
        <v>1.9646365422396856E-2</v>
      </c>
      <c r="BY12">
        <v>0.15520628683693516</v>
      </c>
      <c r="BZ12">
        <v>1.37524557956778E-2</v>
      </c>
      <c r="CA12">
        <v>4.9115913555992138E-2</v>
      </c>
      <c r="CB12">
        <v>2.6522593320235755E-2</v>
      </c>
      <c r="CC12">
        <v>1018</v>
      </c>
      <c r="CD12">
        <v>827</v>
      </c>
      <c r="CE12">
        <v>152</v>
      </c>
      <c r="CF12">
        <v>7</v>
      </c>
      <c r="CG12">
        <v>107</v>
      </c>
      <c r="CH12">
        <v>62</v>
      </c>
      <c r="CI12">
        <v>41</v>
      </c>
      <c r="CJ12">
        <v>0</v>
      </c>
      <c r="CK12">
        <v>0.81237721021610998</v>
      </c>
      <c r="CL12">
        <v>0.14931237721021612</v>
      </c>
      <c r="CM12">
        <v>6.8762278978389E-3</v>
      </c>
      <c r="CN12">
        <v>0.57943925233644855</v>
      </c>
      <c r="CO12">
        <v>0.38317757009345793</v>
      </c>
      <c r="CP12">
        <v>0</v>
      </c>
    </row>
    <row r="13" spans="1:94" x14ac:dyDescent="0.15">
      <c r="A13" t="s">
        <v>442</v>
      </c>
      <c r="B13" t="s">
        <v>431</v>
      </c>
      <c r="C13" t="s">
        <v>443</v>
      </c>
      <c r="D13">
        <v>856</v>
      </c>
      <c r="E13">
        <v>576.5</v>
      </c>
      <c r="F13">
        <v>161.5</v>
      </c>
      <c r="G13">
        <v>172</v>
      </c>
      <c r="H13">
        <v>0.67348130841121501</v>
      </c>
      <c r="I13">
        <v>0.18866822429906541</v>
      </c>
      <c r="J13">
        <v>0.20093457943925233</v>
      </c>
      <c r="K13">
        <v>1963</v>
      </c>
      <c r="L13">
        <v>282.5</v>
      </c>
      <c r="M13">
        <v>607.5</v>
      </c>
      <c r="N13">
        <v>1057</v>
      </c>
      <c r="O13">
        <v>0.14391237901171677</v>
      </c>
      <c r="P13">
        <v>0.30947529291900155</v>
      </c>
      <c r="Q13">
        <v>0.53846153846153844</v>
      </c>
      <c r="R13">
        <v>1963</v>
      </c>
      <c r="S13">
        <v>241</v>
      </c>
      <c r="T13">
        <v>32</v>
      </c>
      <c r="U13">
        <v>48.5</v>
      </c>
      <c r="V13">
        <v>79</v>
      </c>
      <c r="W13">
        <v>400.5</v>
      </c>
      <c r="X13">
        <v>860</v>
      </c>
      <c r="Y13">
        <v>85</v>
      </c>
      <c r="Z13">
        <v>12.5</v>
      </c>
      <c r="AA13">
        <v>26.5</v>
      </c>
      <c r="AB13">
        <v>0</v>
      </c>
      <c r="AC13">
        <v>124</v>
      </c>
      <c r="AD13">
        <v>1103</v>
      </c>
      <c r="AE13">
        <v>156</v>
      </c>
      <c r="AF13">
        <v>19.5</v>
      </c>
      <c r="AG13">
        <v>22</v>
      </c>
      <c r="AH13">
        <v>79</v>
      </c>
      <c r="AI13">
        <v>276.5</v>
      </c>
      <c r="AJ13">
        <v>0.20402445236882322</v>
      </c>
      <c r="AK13">
        <v>7.990012484394507E-2</v>
      </c>
      <c r="AL13">
        <v>0.12109862671660425</v>
      </c>
      <c r="AM13">
        <v>0.1972534332084894</v>
      </c>
      <c r="AN13">
        <v>0.30961298377028712</v>
      </c>
      <c r="AO13">
        <v>0.69038701622971288</v>
      </c>
      <c r="AP13">
        <v>862.5</v>
      </c>
      <c r="AQ13">
        <v>63</v>
      </c>
      <c r="AR13">
        <v>30</v>
      </c>
      <c r="AS13">
        <v>0</v>
      </c>
      <c r="AT13">
        <v>69</v>
      </c>
      <c r="AU13">
        <v>263.5</v>
      </c>
      <c r="AV13">
        <v>4</v>
      </c>
      <c r="AW13">
        <v>6</v>
      </c>
      <c r="AX13">
        <v>38</v>
      </c>
      <c r="AY13">
        <v>89.5</v>
      </c>
      <c r="AZ13">
        <v>7</v>
      </c>
      <c r="BA13">
        <v>6</v>
      </c>
      <c r="BB13">
        <v>5</v>
      </c>
      <c r="BC13">
        <v>45.5</v>
      </c>
      <c r="BD13">
        <v>28</v>
      </c>
      <c r="BE13">
        <v>18</v>
      </c>
      <c r="BF13">
        <v>102</v>
      </c>
      <c r="BG13">
        <v>9</v>
      </c>
      <c r="BH13">
        <v>40</v>
      </c>
      <c r="BI13">
        <v>24</v>
      </c>
      <c r="BJ13">
        <v>7.3043478260869571E-2</v>
      </c>
      <c r="BK13">
        <v>3.4782608695652174E-2</v>
      </c>
      <c r="BL13">
        <v>0</v>
      </c>
      <c r="BM13">
        <v>0.08</v>
      </c>
      <c r="BN13">
        <v>0.30550724637681159</v>
      </c>
      <c r="BO13">
        <v>4.6376811594202897E-3</v>
      </c>
      <c r="BP13">
        <v>6.956521739130435E-3</v>
      </c>
      <c r="BQ13">
        <v>4.4057971014492756E-2</v>
      </c>
      <c r="BR13">
        <v>0.10376811594202899</v>
      </c>
      <c r="BS13">
        <v>8.1159420289855077E-3</v>
      </c>
      <c r="BT13">
        <v>6.956521739130435E-3</v>
      </c>
      <c r="BU13">
        <v>5.7971014492753624E-3</v>
      </c>
      <c r="BV13">
        <v>5.2753623188405797E-2</v>
      </c>
      <c r="BW13">
        <v>3.2463768115942031E-2</v>
      </c>
      <c r="BX13">
        <v>2.0869565217391306E-2</v>
      </c>
      <c r="BY13">
        <v>0.11826086956521739</v>
      </c>
      <c r="BZ13">
        <v>1.0434782608695653E-2</v>
      </c>
      <c r="CA13">
        <v>4.6376811594202899E-2</v>
      </c>
      <c r="CB13">
        <v>2.782608695652174E-2</v>
      </c>
      <c r="CC13">
        <v>862.5</v>
      </c>
      <c r="CD13">
        <v>710</v>
      </c>
      <c r="CE13">
        <v>134.5</v>
      </c>
      <c r="CF13">
        <v>5</v>
      </c>
      <c r="CG13">
        <v>41</v>
      </c>
      <c r="CH13">
        <v>19</v>
      </c>
      <c r="CI13">
        <v>20</v>
      </c>
      <c r="CJ13">
        <v>0</v>
      </c>
      <c r="CK13">
        <v>0.8231884057971014</v>
      </c>
      <c r="CL13">
        <v>0.15594202898550724</v>
      </c>
      <c r="CM13">
        <v>5.7971014492753624E-3</v>
      </c>
      <c r="CN13">
        <v>0.46341463414634149</v>
      </c>
      <c r="CO13">
        <v>0.48780487804878048</v>
      </c>
      <c r="CP13">
        <v>0</v>
      </c>
    </row>
    <row r="14" spans="1:94" x14ac:dyDescent="0.15">
      <c r="A14" t="s">
        <v>444</v>
      </c>
      <c r="B14" t="s">
        <v>431</v>
      </c>
      <c r="C14" t="s">
        <v>445</v>
      </c>
      <c r="D14">
        <v>4271.5</v>
      </c>
      <c r="E14">
        <v>1701.6000000000001</v>
      </c>
      <c r="F14">
        <v>591.29999999999995</v>
      </c>
      <c r="G14">
        <v>479.79999999999995</v>
      </c>
      <c r="H14">
        <v>0.39836123141753488</v>
      </c>
      <c r="I14">
        <v>0.13842912325880838</v>
      </c>
      <c r="J14">
        <v>0.11232588083811307</v>
      </c>
      <c r="K14">
        <v>10037.700000000001</v>
      </c>
      <c r="L14">
        <v>864.59999999999991</v>
      </c>
      <c r="M14">
        <v>3980.2</v>
      </c>
      <c r="N14">
        <v>4945.8</v>
      </c>
      <c r="O14">
        <v>8.6135270031979419E-2</v>
      </c>
      <c r="P14">
        <v>0.39652510037159905</v>
      </c>
      <c r="Q14">
        <v>0.49272243641471652</v>
      </c>
      <c r="R14">
        <v>10037.700000000001</v>
      </c>
      <c r="S14">
        <v>1323.3</v>
      </c>
      <c r="T14">
        <v>535.70000000000005</v>
      </c>
      <c r="U14">
        <v>434.49999999999994</v>
      </c>
      <c r="V14">
        <v>28.8</v>
      </c>
      <c r="W14">
        <v>2322.3000000000002</v>
      </c>
      <c r="X14">
        <v>4919.5</v>
      </c>
      <c r="Y14">
        <v>622.59999999999991</v>
      </c>
      <c r="Z14">
        <v>293.5</v>
      </c>
      <c r="AA14">
        <v>283.7</v>
      </c>
      <c r="AB14">
        <v>20.8</v>
      </c>
      <c r="AC14">
        <v>1220.5999999999999</v>
      </c>
      <c r="AD14">
        <v>5118.2</v>
      </c>
      <c r="AE14">
        <v>700.7</v>
      </c>
      <c r="AF14">
        <v>242.20000000000002</v>
      </c>
      <c r="AG14">
        <v>150.80000000000001</v>
      </c>
      <c r="AH14">
        <v>8</v>
      </c>
      <c r="AI14">
        <v>1101.7</v>
      </c>
      <c r="AJ14">
        <v>0.23135778116500791</v>
      </c>
      <c r="AK14">
        <v>0.23067648451965725</v>
      </c>
      <c r="AL14">
        <v>0.18709899668432153</v>
      </c>
      <c r="AM14">
        <v>1.2401498514403824E-2</v>
      </c>
      <c r="AN14">
        <v>0.5255996210653231</v>
      </c>
      <c r="AO14">
        <v>0.47440037893467679</v>
      </c>
      <c r="AP14">
        <v>5076.8</v>
      </c>
      <c r="AQ14">
        <v>114</v>
      </c>
      <c r="AR14">
        <v>14</v>
      </c>
      <c r="AS14">
        <v>0.9</v>
      </c>
      <c r="AT14">
        <v>498.4</v>
      </c>
      <c r="AU14">
        <v>895.9</v>
      </c>
      <c r="AV14">
        <v>60.9</v>
      </c>
      <c r="AW14">
        <v>37.9</v>
      </c>
      <c r="AX14">
        <v>239.7</v>
      </c>
      <c r="AY14">
        <v>737.59999999999991</v>
      </c>
      <c r="AZ14">
        <v>67.3</v>
      </c>
      <c r="BA14">
        <v>72.8</v>
      </c>
      <c r="BB14">
        <v>113.8</v>
      </c>
      <c r="BC14">
        <v>239.89999999999998</v>
      </c>
      <c r="BD14">
        <v>153.80000000000001</v>
      </c>
      <c r="BE14">
        <v>278.60000000000002</v>
      </c>
      <c r="BF14">
        <v>897.5</v>
      </c>
      <c r="BG14">
        <v>65.400000000000006</v>
      </c>
      <c r="BH14">
        <v>284.70000000000005</v>
      </c>
      <c r="BI14">
        <v>247.7</v>
      </c>
      <c r="BJ14">
        <v>2.2455089820359281E-2</v>
      </c>
      <c r="BK14">
        <v>2.7576426095178063E-3</v>
      </c>
      <c r="BL14">
        <v>1.7727702489757328E-4</v>
      </c>
      <c r="BM14">
        <v>9.8172076898833907E-2</v>
      </c>
      <c r="BN14">
        <v>0.17646942956192876</v>
      </c>
      <c r="BO14">
        <v>1.1995745351402458E-2</v>
      </c>
      <c r="BP14">
        <v>7.4653324929089184E-3</v>
      </c>
      <c r="BQ14">
        <v>4.7214780964387013E-2</v>
      </c>
      <c r="BR14">
        <v>0.14528837062716671</v>
      </c>
      <c r="BS14">
        <v>1.3256381972896311E-2</v>
      </c>
      <c r="BT14">
        <v>1.4339741569492593E-2</v>
      </c>
      <c r="BU14">
        <v>2.2415694925937597E-2</v>
      </c>
      <c r="BV14">
        <v>4.7254175858808693E-2</v>
      </c>
      <c r="BW14">
        <v>3.0294673810274189E-2</v>
      </c>
      <c r="BX14">
        <v>5.487708792940435E-2</v>
      </c>
      <c r="BY14">
        <v>0.17678458871730224</v>
      </c>
      <c r="BZ14">
        <v>1.2882130475890326E-2</v>
      </c>
      <c r="CA14">
        <v>5.6078632209265684E-2</v>
      </c>
      <c r="CB14">
        <v>4.8790576741254331E-2</v>
      </c>
      <c r="CC14">
        <v>5076.8</v>
      </c>
      <c r="CD14">
        <v>3891.8999999999996</v>
      </c>
      <c r="CE14">
        <v>1082.9000000000001</v>
      </c>
      <c r="CF14">
        <v>34.299999999999997</v>
      </c>
      <c r="CG14">
        <v>414.20000000000005</v>
      </c>
      <c r="CH14">
        <v>217.8</v>
      </c>
      <c r="CI14">
        <v>176.39999999999998</v>
      </c>
      <c r="CJ14">
        <v>5.5</v>
      </c>
      <c r="CK14">
        <v>0.76660494799873924</v>
      </c>
      <c r="CL14">
        <v>0.21330365584620234</v>
      </c>
      <c r="CM14">
        <v>6.756224393318625E-3</v>
      </c>
      <c r="CN14">
        <v>0.52583293095123129</v>
      </c>
      <c r="CO14">
        <v>0.42588121680347646</v>
      </c>
      <c r="CP14">
        <v>1.3278609367455334E-2</v>
      </c>
    </row>
    <row r="15" spans="1:94" x14ac:dyDescent="0.15">
      <c r="A15" t="s">
        <v>446</v>
      </c>
      <c r="B15" t="s">
        <v>431</v>
      </c>
      <c r="C15" t="s">
        <v>447</v>
      </c>
      <c r="D15">
        <v>3606.9</v>
      </c>
      <c r="E15">
        <v>1595.7</v>
      </c>
      <c r="F15">
        <v>495.59999999999997</v>
      </c>
      <c r="G15">
        <v>497.9</v>
      </c>
      <c r="H15">
        <v>0.44240206271313315</v>
      </c>
      <c r="I15">
        <v>0.13740331032188305</v>
      </c>
      <c r="J15">
        <v>0.13804097701627435</v>
      </c>
      <c r="K15">
        <v>8761.2000000000007</v>
      </c>
      <c r="L15">
        <v>826.1</v>
      </c>
      <c r="M15">
        <v>3327.6000000000004</v>
      </c>
      <c r="N15">
        <v>4418.3999999999996</v>
      </c>
      <c r="O15">
        <v>9.4290736428799704E-2</v>
      </c>
      <c r="P15">
        <v>0.37981098479660319</v>
      </c>
      <c r="Q15">
        <v>0.50431447746883984</v>
      </c>
      <c r="R15">
        <v>8761.2000000000007</v>
      </c>
      <c r="S15">
        <v>1280</v>
      </c>
      <c r="T15">
        <v>333.7</v>
      </c>
      <c r="U15">
        <v>268.3</v>
      </c>
      <c r="V15">
        <v>34</v>
      </c>
      <c r="W15">
        <v>1916</v>
      </c>
      <c r="X15">
        <v>4205.2</v>
      </c>
      <c r="Y15">
        <v>613.29999999999995</v>
      </c>
      <c r="Z15">
        <v>160.30000000000001</v>
      </c>
      <c r="AA15">
        <v>142.9</v>
      </c>
      <c r="AB15">
        <v>17</v>
      </c>
      <c r="AC15">
        <v>933.49999999999989</v>
      </c>
      <c r="AD15">
        <v>4555.9999999999991</v>
      </c>
      <c r="AE15">
        <v>666.7</v>
      </c>
      <c r="AF15">
        <v>173.4</v>
      </c>
      <c r="AG15">
        <v>125.39999999999999</v>
      </c>
      <c r="AH15">
        <v>17</v>
      </c>
      <c r="AI15">
        <v>982.5</v>
      </c>
      <c r="AJ15">
        <v>0.21869150344701638</v>
      </c>
      <c r="AK15">
        <v>0.17416492693110647</v>
      </c>
      <c r="AL15">
        <v>0.14003131524008353</v>
      </c>
      <c r="AM15">
        <v>1.7745302713987474E-2</v>
      </c>
      <c r="AN15">
        <v>0.48721294363256779</v>
      </c>
      <c r="AO15">
        <v>0.51278705636743216</v>
      </c>
      <c r="AP15">
        <v>4410.3999999999996</v>
      </c>
      <c r="AQ15">
        <v>121</v>
      </c>
      <c r="AR15">
        <v>33.699999999999996</v>
      </c>
      <c r="AS15">
        <v>2</v>
      </c>
      <c r="AT15">
        <v>536.49999999999989</v>
      </c>
      <c r="AU15">
        <v>820.5</v>
      </c>
      <c r="AV15">
        <v>12.9</v>
      </c>
      <c r="AW15">
        <v>29.5</v>
      </c>
      <c r="AX15">
        <v>236.2</v>
      </c>
      <c r="AY15">
        <v>671.89999999999986</v>
      </c>
      <c r="AZ15">
        <v>88.7</v>
      </c>
      <c r="BA15">
        <v>52.6</v>
      </c>
      <c r="BB15">
        <v>73.100000000000009</v>
      </c>
      <c r="BC15">
        <v>209.1</v>
      </c>
      <c r="BD15">
        <v>152.70000000000002</v>
      </c>
      <c r="BE15">
        <v>172.4</v>
      </c>
      <c r="BF15">
        <v>715.1</v>
      </c>
      <c r="BG15">
        <v>53.699999999999996</v>
      </c>
      <c r="BH15">
        <v>266.10000000000002</v>
      </c>
      <c r="BI15">
        <v>115.9</v>
      </c>
      <c r="BJ15">
        <v>2.743515327407945E-2</v>
      </c>
      <c r="BK15">
        <v>7.6410302920370031E-3</v>
      </c>
      <c r="BL15">
        <v>4.53473607836024E-4</v>
      </c>
      <c r="BM15">
        <v>0.12164429530201341</v>
      </c>
      <c r="BN15">
        <v>0.18603754761472885</v>
      </c>
      <c r="BO15">
        <v>2.9249047705423546E-3</v>
      </c>
      <c r="BP15">
        <v>6.6887357155813541E-3</v>
      </c>
      <c r="BQ15">
        <v>5.3555233085434431E-2</v>
      </c>
      <c r="BR15">
        <v>0.15234445855251222</v>
      </c>
      <c r="BS15">
        <v>2.0111554507527662E-2</v>
      </c>
      <c r="BT15">
        <v>1.192635588608743E-2</v>
      </c>
      <c r="BU15">
        <v>1.6574460366406678E-2</v>
      </c>
      <c r="BV15">
        <v>4.7410665699256303E-2</v>
      </c>
      <c r="BW15">
        <v>3.4622709958280436E-2</v>
      </c>
      <c r="BX15">
        <v>3.908942499546527E-2</v>
      </c>
      <c r="BY15">
        <v>0.16213948848177037</v>
      </c>
      <c r="BZ15">
        <v>1.2175766370397243E-2</v>
      </c>
      <c r="CA15">
        <v>6.0334663522582994E-2</v>
      </c>
      <c r="CB15">
        <v>2.627879557409759E-2</v>
      </c>
      <c r="CC15">
        <v>4410.3999999999996</v>
      </c>
      <c r="CD15">
        <v>3484.4</v>
      </c>
      <c r="CE15">
        <v>819.1</v>
      </c>
      <c r="CF15">
        <v>38.299999999999997</v>
      </c>
      <c r="CG15">
        <v>387.00000000000006</v>
      </c>
      <c r="CH15">
        <v>239.7</v>
      </c>
      <c r="CI15">
        <v>131.5</v>
      </c>
      <c r="CJ15">
        <v>8</v>
      </c>
      <c r="CK15">
        <v>0.79004171957192104</v>
      </c>
      <c r="CL15">
        <v>0.18572011608924363</v>
      </c>
      <c r="CM15">
        <v>8.684019590059858E-3</v>
      </c>
      <c r="CN15">
        <v>0.61937984496124021</v>
      </c>
      <c r="CO15">
        <v>0.33979328165374673</v>
      </c>
      <c r="CP15">
        <v>2.0671834625322995E-2</v>
      </c>
    </row>
    <row r="16" spans="1:94" x14ac:dyDescent="0.15">
      <c r="A16" t="s">
        <v>448</v>
      </c>
      <c r="B16" t="s">
        <v>431</v>
      </c>
      <c r="C16" t="s">
        <v>449</v>
      </c>
      <c r="D16">
        <v>2634.4</v>
      </c>
      <c r="E16">
        <v>1235.0999999999999</v>
      </c>
      <c r="F16">
        <v>366.2</v>
      </c>
      <c r="G16">
        <v>357.1</v>
      </c>
      <c r="H16">
        <v>0.46883540844214994</v>
      </c>
      <c r="I16">
        <v>0.13900698451260249</v>
      </c>
      <c r="J16">
        <v>0.13555268751897967</v>
      </c>
      <c r="K16">
        <v>6544.8</v>
      </c>
      <c r="L16">
        <v>677.9</v>
      </c>
      <c r="M16">
        <v>2626.2999999999997</v>
      </c>
      <c r="N16">
        <v>3132.1</v>
      </c>
      <c r="O16">
        <v>0.10357841339689523</v>
      </c>
      <c r="P16">
        <v>0.40128040581835955</v>
      </c>
      <c r="Q16">
        <v>0.47856313409118689</v>
      </c>
      <c r="R16">
        <v>6544.8</v>
      </c>
      <c r="S16">
        <v>1008.6</v>
      </c>
      <c r="T16">
        <v>289.10000000000002</v>
      </c>
      <c r="U16">
        <v>174.6</v>
      </c>
      <c r="V16">
        <v>11.1</v>
      </c>
      <c r="W16">
        <v>1483.3999999999999</v>
      </c>
      <c r="X16">
        <v>3119.8</v>
      </c>
      <c r="Y16">
        <v>481.7</v>
      </c>
      <c r="Z16">
        <v>148.4</v>
      </c>
      <c r="AA16">
        <v>101.4</v>
      </c>
      <c r="AB16">
        <v>4</v>
      </c>
      <c r="AC16">
        <v>735.5</v>
      </c>
      <c r="AD16">
        <v>3425</v>
      </c>
      <c r="AE16">
        <v>526.9</v>
      </c>
      <c r="AF16">
        <v>140.69999999999999</v>
      </c>
      <c r="AG16">
        <v>73.2</v>
      </c>
      <c r="AH16">
        <v>7.1</v>
      </c>
      <c r="AI16">
        <v>747.9</v>
      </c>
      <c r="AJ16">
        <v>0.22665322087764328</v>
      </c>
      <c r="AK16">
        <v>0.19489011729809899</v>
      </c>
      <c r="AL16">
        <v>0.11770257516516112</v>
      </c>
      <c r="AM16">
        <v>7.4828097613590409E-3</v>
      </c>
      <c r="AN16">
        <v>0.49582041256572745</v>
      </c>
      <c r="AO16">
        <v>0.5041795874342726</v>
      </c>
      <c r="AP16">
        <v>3215.9</v>
      </c>
      <c r="AQ16">
        <v>134.1</v>
      </c>
      <c r="AR16">
        <v>3.5</v>
      </c>
      <c r="AS16">
        <v>0.5</v>
      </c>
      <c r="AT16">
        <v>384.3</v>
      </c>
      <c r="AU16">
        <v>673.5</v>
      </c>
      <c r="AV16">
        <v>12.2</v>
      </c>
      <c r="AW16">
        <v>9.1</v>
      </c>
      <c r="AX16">
        <v>140.6</v>
      </c>
      <c r="AY16">
        <v>456.3</v>
      </c>
      <c r="AZ16">
        <v>43</v>
      </c>
      <c r="BA16">
        <v>39.299999999999997</v>
      </c>
      <c r="BB16">
        <v>39.5</v>
      </c>
      <c r="BC16">
        <v>137.1</v>
      </c>
      <c r="BD16">
        <v>96.4</v>
      </c>
      <c r="BE16">
        <v>115.7</v>
      </c>
      <c r="BF16">
        <v>592</v>
      </c>
      <c r="BG16">
        <v>48.1</v>
      </c>
      <c r="BH16">
        <v>168.2</v>
      </c>
      <c r="BI16">
        <v>85.5</v>
      </c>
      <c r="BJ16">
        <v>4.1699057806523832E-2</v>
      </c>
      <c r="BK16">
        <v>1.0883422992008457E-3</v>
      </c>
      <c r="BL16">
        <v>1.5547747131440653E-4</v>
      </c>
      <c r="BM16">
        <v>0.11949998445225286</v>
      </c>
      <c r="BN16">
        <v>0.20942815386050562</v>
      </c>
      <c r="BO16">
        <v>3.7936503000715193E-3</v>
      </c>
      <c r="BP16">
        <v>2.8296899779221988E-3</v>
      </c>
      <c r="BQ16">
        <v>4.3720264933611114E-2</v>
      </c>
      <c r="BR16">
        <v>0.1418887403215274</v>
      </c>
      <c r="BS16">
        <v>1.3371062533038961E-2</v>
      </c>
      <c r="BT16">
        <v>1.2220529245312353E-2</v>
      </c>
      <c r="BU16">
        <v>1.2282720233838116E-2</v>
      </c>
      <c r="BV16">
        <v>4.263192263441027E-2</v>
      </c>
      <c r="BW16">
        <v>2.9976056469417582E-2</v>
      </c>
      <c r="BX16">
        <v>3.5977486862153671E-2</v>
      </c>
      <c r="BY16">
        <v>0.18408532603625735</v>
      </c>
      <c r="BZ16">
        <v>1.4956932740445909E-2</v>
      </c>
      <c r="CA16">
        <v>5.2302621350166355E-2</v>
      </c>
      <c r="CB16">
        <v>2.6586647594763518E-2</v>
      </c>
      <c r="CC16">
        <v>3215.9</v>
      </c>
      <c r="CD16">
        <v>2593.7000000000003</v>
      </c>
      <c r="CE16">
        <v>552.4</v>
      </c>
      <c r="CF16">
        <v>14.7</v>
      </c>
      <c r="CG16">
        <v>246.9</v>
      </c>
      <c r="CH16">
        <v>165.9</v>
      </c>
      <c r="CI16">
        <v>74</v>
      </c>
      <c r="CJ16">
        <v>4</v>
      </c>
      <c r="CK16">
        <v>0.80652383469635258</v>
      </c>
      <c r="CL16">
        <v>0.17177151030815635</v>
      </c>
      <c r="CM16">
        <v>4.571037656643552E-3</v>
      </c>
      <c r="CN16">
        <v>0.67193195625759417</v>
      </c>
      <c r="CO16">
        <v>0.29971648440664234</v>
      </c>
      <c r="CP16">
        <v>1.6200891049007696E-2</v>
      </c>
    </row>
    <row r="17" spans="1:94" x14ac:dyDescent="0.15">
      <c r="A17" t="s">
        <v>450</v>
      </c>
      <c r="B17" t="s">
        <v>431</v>
      </c>
      <c r="C17" t="s">
        <v>451</v>
      </c>
      <c r="D17">
        <v>977</v>
      </c>
      <c r="E17">
        <v>700.5</v>
      </c>
      <c r="F17">
        <v>203.5</v>
      </c>
      <c r="G17">
        <v>233</v>
      </c>
      <c r="H17">
        <v>0.71699078812691919</v>
      </c>
      <c r="I17">
        <v>0.20829068577277379</v>
      </c>
      <c r="J17">
        <v>0.23848515864892528</v>
      </c>
      <c r="K17">
        <v>2385</v>
      </c>
      <c r="L17">
        <v>378.5</v>
      </c>
      <c r="M17">
        <v>661.5</v>
      </c>
      <c r="N17">
        <v>1329</v>
      </c>
      <c r="O17">
        <v>0.15870020964360587</v>
      </c>
      <c r="P17">
        <v>0.27735849056603773</v>
      </c>
      <c r="Q17">
        <v>0.55723270440251571</v>
      </c>
      <c r="R17">
        <v>2385</v>
      </c>
      <c r="S17">
        <v>251</v>
      </c>
      <c r="T17">
        <v>101</v>
      </c>
      <c r="U17">
        <v>44.5</v>
      </c>
      <c r="V17">
        <v>7</v>
      </c>
      <c r="W17">
        <v>403.5</v>
      </c>
      <c r="X17">
        <v>1106</v>
      </c>
      <c r="Y17">
        <v>99</v>
      </c>
      <c r="Z17">
        <v>43.5</v>
      </c>
      <c r="AA17">
        <v>23.5</v>
      </c>
      <c r="AB17">
        <v>4</v>
      </c>
      <c r="AC17">
        <v>170</v>
      </c>
      <c r="AD17">
        <v>1279</v>
      </c>
      <c r="AE17">
        <v>152</v>
      </c>
      <c r="AF17">
        <v>57.5</v>
      </c>
      <c r="AG17">
        <v>21</v>
      </c>
      <c r="AH17">
        <v>3</v>
      </c>
      <c r="AI17">
        <v>233.5</v>
      </c>
      <c r="AJ17">
        <v>0.16918238993710691</v>
      </c>
      <c r="AK17">
        <v>0.2503097893432466</v>
      </c>
      <c r="AL17">
        <v>0.11028500619578686</v>
      </c>
      <c r="AM17">
        <v>1.7348203221809171E-2</v>
      </c>
      <c r="AN17">
        <v>0.42131350681536556</v>
      </c>
      <c r="AO17">
        <v>0.5786864931846345</v>
      </c>
      <c r="AP17">
        <v>1082.5</v>
      </c>
      <c r="AQ17">
        <v>191</v>
      </c>
      <c r="AR17">
        <v>1</v>
      </c>
      <c r="AS17">
        <v>1</v>
      </c>
      <c r="AT17">
        <v>112</v>
      </c>
      <c r="AU17">
        <v>156.5</v>
      </c>
      <c r="AV17">
        <v>5</v>
      </c>
      <c r="AW17">
        <v>0</v>
      </c>
      <c r="AX17">
        <v>54</v>
      </c>
      <c r="AY17">
        <v>142.5</v>
      </c>
      <c r="AZ17">
        <v>11</v>
      </c>
      <c r="BA17">
        <v>6</v>
      </c>
      <c r="BB17">
        <v>16</v>
      </c>
      <c r="BC17">
        <v>36.5</v>
      </c>
      <c r="BD17">
        <v>28</v>
      </c>
      <c r="BE17">
        <v>20</v>
      </c>
      <c r="BF17">
        <v>168</v>
      </c>
      <c r="BG17">
        <v>16</v>
      </c>
      <c r="BH17">
        <v>57</v>
      </c>
      <c r="BI17">
        <v>48</v>
      </c>
      <c r="BJ17">
        <v>0.17644341801385682</v>
      </c>
      <c r="BK17">
        <v>9.2378752886836026E-4</v>
      </c>
      <c r="BL17">
        <v>9.2378752886836026E-4</v>
      </c>
      <c r="BM17">
        <v>0.10346420323325635</v>
      </c>
      <c r="BN17">
        <v>0.14457274826789837</v>
      </c>
      <c r="BO17">
        <v>4.6189376443418013E-3</v>
      </c>
      <c r="BP17">
        <v>0</v>
      </c>
      <c r="BQ17">
        <v>4.9884526558891452E-2</v>
      </c>
      <c r="BR17">
        <v>0.13163972286374134</v>
      </c>
      <c r="BS17">
        <v>1.0161662817551964E-2</v>
      </c>
      <c r="BT17">
        <v>5.5427251732101616E-3</v>
      </c>
      <c r="BU17">
        <v>1.4780600461893764E-2</v>
      </c>
      <c r="BV17">
        <v>3.3718244803695153E-2</v>
      </c>
      <c r="BW17">
        <v>2.5866050808314087E-2</v>
      </c>
      <c r="BX17">
        <v>1.8475750577367205E-2</v>
      </c>
      <c r="BY17">
        <v>0.15519630484988453</v>
      </c>
      <c r="BZ17">
        <v>1.4780600461893764E-2</v>
      </c>
      <c r="CA17">
        <v>5.2655889145496536E-2</v>
      </c>
      <c r="CB17">
        <v>4.4341801385681293E-2</v>
      </c>
      <c r="CC17">
        <v>1082.5</v>
      </c>
      <c r="CD17">
        <v>921</v>
      </c>
      <c r="CE17">
        <v>136.5</v>
      </c>
      <c r="CF17">
        <v>2</v>
      </c>
      <c r="CG17">
        <v>62</v>
      </c>
      <c r="CH17">
        <v>43</v>
      </c>
      <c r="CI17">
        <v>16</v>
      </c>
      <c r="CJ17">
        <v>0</v>
      </c>
      <c r="CK17">
        <v>0.85080831408775981</v>
      </c>
      <c r="CL17">
        <v>0.12609699769053118</v>
      </c>
      <c r="CM17">
        <v>1.8475750577367205E-3</v>
      </c>
      <c r="CN17">
        <v>0.69354838709677424</v>
      </c>
      <c r="CO17">
        <v>0.25806451612903225</v>
      </c>
      <c r="CP17">
        <v>0</v>
      </c>
    </row>
    <row r="18" spans="1:94" x14ac:dyDescent="0.15">
      <c r="A18" t="s">
        <v>452</v>
      </c>
      <c r="B18" t="s">
        <v>431</v>
      </c>
      <c r="C18" t="s">
        <v>453</v>
      </c>
      <c r="D18">
        <v>264</v>
      </c>
      <c r="E18">
        <v>212</v>
      </c>
      <c r="F18">
        <v>67</v>
      </c>
      <c r="G18">
        <v>74</v>
      </c>
      <c r="H18">
        <v>0.80303030303030298</v>
      </c>
      <c r="I18">
        <v>0.25378787878787878</v>
      </c>
      <c r="J18">
        <v>0.28030303030303028</v>
      </c>
      <c r="K18">
        <v>530</v>
      </c>
      <c r="L18">
        <v>127</v>
      </c>
      <c r="M18">
        <v>88</v>
      </c>
      <c r="N18">
        <v>315</v>
      </c>
      <c r="O18">
        <v>0.23962264150943396</v>
      </c>
      <c r="P18">
        <v>0.16603773584905659</v>
      </c>
      <c r="Q18">
        <v>0.59433962264150941</v>
      </c>
      <c r="R18">
        <v>530</v>
      </c>
      <c r="S18">
        <v>25</v>
      </c>
      <c r="T18">
        <v>5</v>
      </c>
      <c r="U18">
        <v>13</v>
      </c>
      <c r="V18">
        <v>1</v>
      </c>
      <c r="W18">
        <v>44</v>
      </c>
      <c r="X18">
        <v>272</v>
      </c>
      <c r="Y18">
        <v>14</v>
      </c>
      <c r="Z18">
        <v>1</v>
      </c>
      <c r="AA18">
        <v>7</v>
      </c>
      <c r="AB18">
        <v>1</v>
      </c>
      <c r="AC18">
        <v>23</v>
      </c>
      <c r="AD18">
        <v>258</v>
      </c>
      <c r="AE18">
        <v>11</v>
      </c>
      <c r="AF18">
        <v>4</v>
      </c>
      <c r="AG18">
        <v>6</v>
      </c>
      <c r="AH18">
        <v>0</v>
      </c>
      <c r="AI18">
        <v>21</v>
      </c>
      <c r="AJ18">
        <v>8.3018867924528297E-2</v>
      </c>
      <c r="AK18">
        <v>0.11363636363636363</v>
      </c>
      <c r="AL18">
        <v>0.29545454545454547</v>
      </c>
      <c r="AM18">
        <v>2.2727272727272728E-2</v>
      </c>
      <c r="AN18">
        <v>0.52272727272727271</v>
      </c>
      <c r="AO18">
        <v>0.47727272727272729</v>
      </c>
      <c r="AP18">
        <v>282</v>
      </c>
      <c r="AQ18">
        <v>106</v>
      </c>
      <c r="AR18">
        <v>0</v>
      </c>
      <c r="AS18">
        <v>1</v>
      </c>
      <c r="AT18">
        <v>26</v>
      </c>
      <c r="AU18">
        <v>46</v>
      </c>
      <c r="AV18">
        <v>0</v>
      </c>
      <c r="AW18">
        <v>1</v>
      </c>
      <c r="AX18">
        <v>9</v>
      </c>
      <c r="AY18">
        <v>19</v>
      </c>
      <c r="AZ18">
        <v>1</v>
      </c>
      <c r="BA18">
        <v>3</v>
      </c>
      <c r="BB18">
        <v>3</v>
      </c>
      <c r="BC18">
        <v>6</v>
      </c>
      <c r="BD18">
        <v>4</v>
      </c>
      <c r="BE18">
        <v>5</v>
      </c>
      <c r="BF18">
        <v>24</v>
      </c>
      <c r="BG18">
        <v>3</v>
      </c>
      <c r="BH18">
        <v>15</v>
      </c>
      <c r="BI18">
        <v>10</v>
      </c>
      <c r="BJ18">
        <v>0.37588652482269502</v>
      </c>
      <c r="BK18">
        <v>0</v>
      </c>
      <c r="BL18">
        <v>3.5460992907801418E-3</v>
      </c>
      <c r="BM18">
        <v>9.2198581560283682E-2</v>
      </c>
      <c r="BN18">
        <v>0.16312056737588654</v>
      </c>
      <c r="BO18">
        <v>0</v>
      </c>
      <c r="BP18">
        <v>3.5460992907801418E-3</v>
      </c>
      <c r="BQ18">
        <v>3.1914893617021274E-2</v>
      </c>
      <c r="BR18">
        <v>6.7375886524822695E-2</v>
      </c>
      <c r="BS18">
        <v>3.5460992907801418E-3</v>
      </c>
      <c r="BT18">
        <v>1.0638297872340425E-2</v>
      </c>
      <c r="BU18">
        <v>1.0638297872340425E-2</v>
      </c>
      <c r="BV18">
        <v>2.1276595744680851E-2</v>
      </c>
      <c r="BW18">
        <v>1.4184397163120567E-2</v>
      </c>
      <c r="BX18">
        <v>1.7730496453900711E-2</v>
      </c>
      <c r="BY18">
        <v>8.5106382978723402E-2</v>
      </c>
      <c r="BZ18">
        <v>1.0638297872340425E-2</v>
      </c>
      <c r="CA18">
        <v>5.3191489361702128E-2</v>
      </c>
      <c r="CB18">
        <v>3.5460992907801421E-2</v>
      </c>
      <c r="CC18">
        <v>282</v>
      </c>
      <c r="CD18">
        <v>256</v>
      </c>
      <c r="CE18">
        <v>21</v>
      </c>
      <c r="CF18">
        <v>0</v>
      </c>
      <c r="CG18">
        <v>10</v>
      </c>
      <c r="CH18">
        <v>8</v>
      </c>
      <c r="CI18">
        <v>2</v>
      </c>
      <c r="CJ18">
        <v>0</v>
      </c>
      <c r="CK18">
        <v>0.90780141843971629</v>
      </c>
      <c r="CL18">
        <v>7.4468085106382975E-2</v>
      </c>
      <c r="CM18">
        <v>0</v>
      </c>
      <c r="CN18">
        <v>0.8</v>
      </c>
      <c r="CO18">
        <v>0.2</v>
      </c>
      <c r="CP18">
        <v>0</v>
      </c>
    </row>
    <row r="19" spans="1:94" x14ac:dyDescent="0.15">
      <c r="A19" t="s">
        <v>454</v>
      </c>
      <c r="B19" t="s">
        <v>431</v>
      </c>
      <c r="C19" t="s">
        <v>455</v>
      </c>
      <c r="D19">
        <v>455</v>
      </c>
      <c r="E19">
        <v>306</v>
      </c>
      <c r="F19">
        <v>91</v>
      </c>
      <c r="G19">
        <v>63</v>
      </c>
      <c r="H19">
        <v>0.67252747252747258</v>
      </c>
      <c r="I19">
        <v>0.2</v>
      </c>
      <c r="J19">
        <v>0.13846153846153847</v>
      </c>
      <c r="K19">
        <v>1247</v>
      </c>
      <c r="L19">
        <v>266</v>
      </c>
      <c r="M19">
        <v>236</v>
      </c>
      <c r="N19">
        <v>744</v>
      </c>
      <c r="O19">
        <v>0.21331194867682438</v>
      </c>
      <c r="P19">
        <v>0.1892542101042502</v>
      </c>
      <c r="Q19">
        <v>0.59663191659983961</v>
      </c>
      <c r="R19">
        <v>1247</v>
      </c>
      <c r="S19">
        <v>62</v>
      </c>
      <c r="T19">
        <v>31</v>
      </c>
      <c r="U19">
        <v>15</v>
      </c>
      <c r="V19">
        <v>0</v>
      </c>
      <c r="W19">
        <v>108</v>
      </c>
      <c r="X19">
        <v>603</v>
      </c>
      <c r="Y19">
        <v>30</v>
      </c>
      <c r="Z19">
        <v>20</v>
      </c>
      <c r="AA19">
        <v>7</v>
      </c>
      <c r="AB19">
        <v>0</v>
      </c>
      <c r="AC19">
        <v>57</v>
      </c>
      <c r="AD19">
        <v>644</v>
      </c>
      <c r="AE19">
        <v>32</v>
      </c>
      <c r="AF19">
        <v>11</v>
      </c>
      <c r="AG19">
        <v>8</v>
      </c>
      <c r="AH19">
        <v>0</v>
      </c>
      <c r="AI19">
        <v>51</v>
      </c>
      <c r="AJ19">
        <v>8.660785886126704E-2</v>
      </c>
      <c r="AK19">
        <v>0.28703703703703703</v>
      </c>
      <c r="AL19">
        <v>0.1388888888888889</v>
      </c>
      <c r="AM19">
        <v>0</v>
      </c>
      <c r="AN19">
        <v>0.52777777777777779</v>
      </c>
      <c r="AO19">
        <v>0.47222222222222221</v>
      </c>
      <c r="AP19">
        <v>671</v>
      </c>
      <c r="AQ19">
        <v>244</v>
      </c>
      <c r="AR19">
        <v>6</v>
      </c>
      <c r="AS19">
        <v>0</v>
      </c>
      <c r="AT19">
        <v>31</v>
      </c>
      <c r="AU19">
        <v>101</v>
      </c>
      <c r="AV19">
        <v>1</v>
      </c>
      <c r="AW19">
        <v>3</v>
      </c>
      <c r="AX19">
        <v>19</v>
      </c>
      <c r="AY19">
        <v>54</v>
      </c>
      <c r="AZ19">
        <v>6</v>
      </c>
      <c r="BA19">
        <v>1</v>
      </c>
      <c r="BB19">
        <v>5</v>
      </c>
      <c r="BC19">
        <v>5</v>
      </c>
      <c r="BD19">
        <v>23</v>
      </c>
      <c r="BE19">
        <v>9</v>
      </c>
      <c r="BF19">
        <v>95</v>
      </c>
      <c r="BG19">
        <v>14</v>
      </c>
      <c r="BH19">
        <v>24</v>
      </c>
      <c r="BI19">
        <v>11</v>
      </c>
      <c r="BJ19">
        <v>0.36363636363636365</v>
      </c>
      <c r="BK19">
        <v>8.9418777943368107E-3</v>
      </c>
      <c r="BL19">
        <v>0</v>
      </c>
      <c r="BM19">
        <v>4.6199701937406856E-2</v>
      </c>
      <c r="BN19">
        <v>0.15052160953800298</v>
      </c>
      <c r="BO19">
        <v>1.4903129657228018E-3</v>
      </c>
      <c r="BP19">
        <v>4.4709388971684054E-3</v>
      </c>
      <c r="BQ19">
        <v>2.8315946348733235E-2</v>
      </c>
      <c r="BR19">
        <v>8.0476900149031291E-2</v>
      </c>
      <c r="BS19">
        <v>8.9418777943368107E-3</v>
      </c>
      <c r="BT19">
        <v>1.4903129657228018E-3</v>
      </c>
      <c r="BU19">
        <v>7.4515648286140089E-3</v>
      </c>
      <c r="BV19">
        <v>7.4515648286140089E-3</v>
      </c>
      <c r="BW19">
        <v>3.4277198211624442E-2</v>
      </c>
      <c r="BX19">
        <v>1.3412816691505217E-2</v>
      </c>
      <c r="BY19">
        <v>0.14157973174366617</v>
      </c>
      <c r="BZ19">
        <v>2.0864381520119227E-2</v>
      </c>
      <c r="CA19">
        <v>3.5767511177347243E-2</v>
      </c>
      <c r="CB19">
        <v>1.6393442622950821E-2</v>
      </c>
      <c r="CC19">
        <v>671</v>
      </c>
      <c r="CD19">
        <v>529</v>
      </c>
      <c r="CE19">
        <v>117</v>
      </c>
      <c r="CF19">
        <v>2</v>
      </c>
      <c r="CG19">
        <v>40</v>
      </c>
      <c r="CH19">
        <v>19</v>
      </c>
      <c r="CI19">
        <v>19</v>
      </c>
      <c r="CJ19">
        <v>0</v>
      </c>
      <c r="CK19">
        <v>0.7883755588673621</v>
      </c>
      <c r="CL19">
        <v>0.17436661698956782</v>
      </c>
      <c r="CM19">
        <v>2.9806259314456036E-3</v>
      </c>
      <c r="CN19">
        <v>0.47499999999999998</v>
      </c>
      <c r="CO19">
        <v>0.47499999999999998</v>
      </c>
      <c r="CP19">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0" t="str">
        <f>管理者入力シート!B4</f>
        <v>日知屋小学校</v>
      </c>
      <c r="C2" s="250"/>
      <c r="D2" s="250"/>
      <c r="E2" s="249" t="s">
        <v>225</v>
      </c>
      <c r="F2" s="249"/>
      <c r="G2" s="249"/>
      <c r="H2" s="249"/>
      <c r="I2" s="249"/>
    </row>
    <row r="3" spans="1:10" ht="22.5" customHeight="1" x14ac:dyDescent="0.15">
      <c r="B3" s="250"/>
      <c r="C3" s="250"/>
      <c r="D3" s="250"/>
      <c r="E3" s="249"/>
      <c r="F3" s="249"/>
      <c r="G3" s="249"/>
      <c r="H3" s="249"/>
      <c r="I3" s="249"/>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5">
        <f>管理者用グラフシート!E6</f>
        <v>4415</v>
      </c>
      <c r="F6" s="255"/>
      <c r="G6" s="20" t="s">
        <v>54</v>
      </c>
    </row>
    <row r="7" spans="1:10" ht="22.5" customHeight="1" x14ac:dyDescent="0.15">
      <c r="A7" s="248">
        <f>管理者用グラフシート!B4</f>
        <v>2010</v>
      </c>
      <c r="B7" s="248"/>
      <c r="C7" s="82" t="s">
        <v>226</v>
      </c>
      <c r="D7" s="247">
        <f>E6-管理者用グラフシート!E4</f>
        <v>-557</v>
      </c>
      <c r="E7" s="247"/>
      <c r="F7" s="20" t="s">
        <v>356</v>
      </c>
    </row>
    <row r="8" spans="1:10" ht="22.5" customHeight="1" x14ac:dyDescent="0.15">
      <c r="A8" s="256" t="s">
        <v>380</v>
      </c>
      <c r="B8" s="256"/>
      <c r="C8" s="203">
        <f>管理者用グラフシート!C6-管理者用グラフシート!C4</f>
        <v>-263</v>
      </c>
      <c r="D8" s="206" t="s">
        <v>381</v>
      </c>
      <c r="F8" s="203">
        <f>管理者用グラフシート!D6-管理者用グラフシート!D4</f>
        <v>-294</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2">
        <f>管理者用グラフシート!C12</f>
        <v>211</v>
      </c>
      <c r="G36" s="252"/>
      <c r="H36" s="20" t="s">
        <v>54</v>
      </c>
    </row>
    <row r="37" spans="1:9" ht="22.5" customHeight="1" x14ac:dyDescent="0.15">
      <c r="A37" s="20" t="s">
        <v>66</v>
      </c>
      <c r="F37" s="252">
        <f>管理者用グラフシート!C16</f>
        <v>108</v>
      </c>
      <c r="G37" s="252"/>
      <c r="H37" s="20" t="s">
        <v>54</v>
      </c>
    </row>
    <row r="38" spans="1:9" ht="22.5" customHeight="1" x14ac:dyDescent="0.15">
      <c r="D38" s="254"/>
      <c r="E38" s="254"/>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47">
        <f>F36-管理者用グラフシート!C10</f>
        <v>-84</v>
      </c>
      <c r="E40" s="247"/>
      <c r="F40" s="20" t="s">
        <v>60</v>
      </c>
    </row>
    <row r="41" spans="1:9" ht="22.5" customHeight="1" x14ac:dyDescent="0.15">
      <c r="B41" s="20" t="s">
        <v>69</v>
      </c>
      <c r="D41" s="247">
        <f>F37-管理者用グラフシート!C14</f>
        <v>-47</v>
      </c>
      <c r="E41" s="247"/>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2">
        <f>管理者用グラフシート!C22</f>
        <v>1397</v>
      </c>
      <c r="D70" s="252"/>
      <c r="E70" s="20" t="s">
        <v>76</v>
      </c>
      <c r="F70" s="37"/>
      <c r="G70" s="251">
        <f>管理者用グラフシート!C32</f>
        <v>0.32</v>
      </c>
      <c r="H70" s="251"/>
      <c r="I70" s="20" t="s">
        <v>77</v>
      </c>
    </row>
    <row r="71" spans="1:9" ht="22.5" customHeight="1" x14ac:dyDescent="0.15">
      <c r="A71" s="20" t="s">
        <v>78</v>
      </c>
      <c r="C71" s="252">
        <f>管理者用グラフシート!C26</f>
        <v>750</v>
      </c>
      <c r="D71" s="252"/>
      <c r="E71" s="20" t="s">
        <v>76</v>
      </c>
      <c r="F71" s="37"/>
      <c r="G71" s="251">
        <f>管理者用グラフシート!C36</f>
        <v>0.17</v>
      </c>
      <c r="H71" s="251"/>
      <c r="I71" s="20" t="s">
        <v>77</v>
      </c>
    </row>
    <row r="72" spans="1:9" ht="22.5" customHeight="1" x14ac:dyDescent="0.15">
      <c r="D72" s="254"/>
      <c r="E72" s="254"/>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52"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8ポイント上昇</v>
      </c>
      <c r="F74" s="252"/>
      <c r="G74" s="252"/>
      <c r="H74" s="20" t="s">
        <v>82</v>
      </c>
    </row>
    <row r="75" spans="1:9" ht="22.5" customHeight="1" x14ac:dyDescent="0.15">
      <c r="B75" s="20" t="s">
        <v>83</v>
      </c>
      <c r="D75" s="37"/>
      <c r="E75" s="253"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5ポイント上昇</v>
      </c>
      <c r="F75" s="253"/>
      <c r="G75" s="253"/>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-82</v>
      </c>
      <c r="G135" s="207" t="s">
        <v>386</v>
      </c>
      <c r="H135" s="111"/>
    </row>
    <row r="136" spans="1:8" ht="22.5" customHeight="1" x14ac:dyDescent="0.15">
      <c r="A136" s="35" t="s">
        <v>387</v>
      </c>
      <c r="C136" s="205">
        <f>SUM(管理者用グラフシート!B95:C96)-SUM(管理者用グラフシート!B47:C48)</f>
        <v>-200</v>
      </c>
      <c r="D136" s="20" t="s">
        <v>388</v>
      </c>
      <c r="E136" s="34"/>
      <c r="F136" s="205">
        <f>SUM(管理者用グラフシート!B97:C98)-SUM(管理者用グラフシート!B49:C50)</f>
        <v>-12</v>
      </c>
      <c r="G136" s="20" t="s">
        <v>386</v>
      </c>
    </row>
    <row r="137" spans="1:8" ht="18.75" x14ac:dyDescent="0.15">
      <c r="A137" s="20" t="s">
        <v>389</v>
      </c>
      <c r="C137" s="205">
        <f>SUM(管理者用グラフシート!B99:C100)-SUM(管理者用グラフシート!B51:C52)</f>
        <v>-109</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0" t="str">
        <f>管理者入力シート!B4</f>
        <v>日知屋小学校</v>
      </c>
      <c r="B2" s="250"/>
      <c r="C2" s="250"/>
      <c r="D2" s="249" t="s">
        <v>230</v>
      </c>
      <c r="E2" s="249"/>
      <c r="F2" s="249"/>
      <c r="G2" s="249"/>
      <c r="H2" s="249"/>
      <c r="I2" s="249"/>
    </row>
    <row r="3" spans="1:9" ht="27.75" customHeight="1" x14ac:dyDescent="0.15">
      <c r="A3" s="250"/>
      <c r="B3" s="250"/>
      <c r="C3" s="250"/>
      <c r="D3" s="249"/>
      <c r="E3" s="249"/>
      <c r="F3" s="249"/>
      <c r="G3" s="249"/>
      <c r="H3" s="249"/>
      <c r="I3" s="249"/>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52">
        <f>管理者用グラフシート!K8</f>
        <v>3725</v>
      </c>
      <c r="E6" s="252"/>
      <c r="F6" s="20" t="s">
        <v>231</v>
      </c>
      <c r="H6" s="34"/>
      <c r="I6" s="34"/>
    </row>
    <row r="7" spans="1:9" ht="22.5" customHeight="1" x14ac:dyDescent="0.15">
      <c r="A7" s="248">
        <f>管理者入力シート!B5</f>
        <v>2020</v>
      </c>
      <c r="B7" s="248"/>
      <c r="C7" s="195" t="s">
        <v>362</v>
      </c>
      <c r="D7" s="247">
        <f>D6-現況シート!E6</f>
        <v>-690</v>
      </c>
      <c r="E7" s="247"/>
      <c r="F7" s="20" t="s">
        <v>232</v>
      </c>
      <c r="I7" s="34"/>
    </row>
    <row r="8" spans="1:9" ht="22.5" customHeight="1" x14ac:dyDescent="0.15">
      <c r="A8" s="256" t="s">
        <v>397</v>
      </c>
      <c r="B8" s="256"/>
      <c r="C8" s="205">
        <f>管理者用グラフシート!I8-管理者用グラフシート!C6</f>
        <v>-310</v>
      </c>
      <c r="D8" s="206" t="s">
        <v>398</v>
      </c>
      <c r="F8" s="257">
        <f>管理者用グラフシート!J8-管理者用グラフシート!D6</f>
        <v>-380</v>
      </c>
      <c r="G8" s="257"/>
      <c r="H8" s="20" t="s">
        <v>399</v>
      </c>
    </row>
    <row r="10" spans="1:9" ht="22.5" customHeight="1" x14ac:dyDescent="0.15">
      <c r="A10" s="248">
        <f>管理者入力シート!B11</f>
        <v>2040</v>
      </c>
      <c r="B10" s="248"/>
      <c r="C10" s="20" t="s">
        <v>361</v>
      </c>
      <c r="D10" s="252">
        <f>管理者用グラフシート!K10</f>
        <v>3026</v>
      </c>
      <c r="E10" s="252"/>
      <c r="F10" s="20" t="s">
        <v>231</v>
      </c>
      <c r="H10" s="34"/>
    </row>
    <row r="11" spans="1:9" ht="22.5" customHeight="1" x14ac:dyDescent="0.15">
      <c r="A11" s="248">
        <f>管理者入力シート!B5</f>
        <v>2020</v>
      </c>
      <c r="B11" s="248"/>
      <c r="C11" s="195" t="s">
        <v>362</v>
      </c>
      <c r="D11" s="247">
        <f>D10-現況シート!E6</f>
        <v>-1389</v>
      </c>
      <c r="E11" s="247"/>
      <c r="F11" s="20" t="s">
        <v>232</v>
      </c>
      <c r="H11" s="34"/>
    </row>
    <row r="12" spans="1:9" ht="22.5" customHeight="1" x14ac:dyDescent="0.15">
      <c r="A12" s="256" t="s">
        <v>397</v>
      </c>
      <c r="B12" s="256"/>
      <c r="C12" s="205">
        <f>管理者用グラフシート!I10-管理者用グラフシート!C6</f>
        <v>-625</v>
      </c>
      <c r="D12" s="206" t="s">
        <v>398</v>
      </c>
      <c r="F12" s="257">
        <f>管理者用グラフシート!J10-管理者用グラフシート!D6</f>
        <v>-764</v>
      </c>
      <c r="G12" s="257"/>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8" t="s">
        <v>363</v>
      </c>
      <c r="D35" s="258"/>
      <c r="F35" s="36"/>
      <c r="G35" s="36"/>
      <c r="H35" s="255"/>
      <c r="I35" s="254"/>
    </row>
    <row r="36" spans="1:9" ht="22.5" customHeight="1" x14ac:dyDescent="0.15">
      <c r="A36" s="20" t="s">
        <v>237</v>
      </c>
      <c r="F36" s="252">
        <f>管理者用グラフシート!I20</f>
        <v>126</v>
      </c>
      <c r="G36" s="252"/>
      <c r="H36" s="82" t="s">
        <v>233</v>
      </c>
      <c r="I36" s="34"/>
    </row>
    <row r="37" spans="1:9" ht="22.5" customHeight="1" x14ac:dyDescent="0.15">
      <c r="A37" s="20" t="s">
        <v>234</v>
      </c>
      <c r="F37" s="252">
        <f>管理者用グラフシート!I28</f>
        <v>66</v>
      </c>
      <c r="G37" s="252"/>
      <c r="H37" s="109" t="s">
        <v>235</v>
      </c>
      <c r="I37" s="86"/>
    </row>
    <row r="38" spans="1:9" ht="22.5" customHeight="1" x14ac:dyDescent="0.15">
      <c r="D38" s="254"/>
      <c r="E38" s="254"/>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7">
        <f>F36-現況シート!F36</f>
        <v>-85</v>
      </c>
      <c r="G40" s="247"/>
      <c r="H40" s="35" t="s">
        <v>60</v>
      </c>
    </row>
    <row r="41" spans="1:9" ht="22.5" customHeight="1" x14ac:dyDescent="0.15">
      <c r="A41" s="20" t="s">
        <v>69</v>
      </c>
      <c r="C41" s="199">
        <f>管理者入力シート!B5</f>
        <v>2020</v>
      </c>
      <c r="D41" s="20" t="s">
        <v>374</v>
      </c>
      <c r="F41" s="247">
        <f>F37-現況シート!F37</f>
        <v>-42</v>
      </c>
      <c r="G41" s="247"/>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8" t="s">
        <v>363</v>
      </c>
      <c r="D69" s="258"/>
      <c r="F69" s="34"/>
      <c r="G69" s="37"/>
      <c r="H69" s="67"/>
      <c r="I69" s="71"/>
    </row>
    <row r="70" spans="1:9" ht="22.5" customHeight="1" x14ac:dyDescent="0.15">
      <c r="A70" s="20" t="s">
        <v>238</v>
      </c>
      <c r="C70" s="252">
        <f>管理者用グラフシート!I38</f>
        <v>1123</v>
      </c>
      <c r="D70" s="252"/>
      <c r="E70" s="82" t="s">
        <v>239</v>
      </c>
      <c r="F70" s="34"/>
      <c r="G70" s="251">
        <f>管理者用グラフシート!I56</f>
        <v>0.37</v>
      </c>
      <c r="H70" s="251"/>
      <c r="I70" s="110" t="s">
        <v>240</v>
      </c>
    </row>
    <row r="71" spans="1:9" ht="22.5" customHeight="1" x14ac:dyDescent="0.15">
      <c r="A71" s="20" t="s">
        <v>241</v>
      </c>
      <c r="C71" s="252">
        <f>管理者用グラフシート!I46</f>
        <v>647</v>
      </c>
      <c r="D71" s="252"/>
      <c r="E71" s="20" t="s">
        <v>239</v>
      </c>
      <c r="G71" s="259">
        <f>管理者用グラフシート!I64</f>
        <v>0.21</v>
      </c>
      <c r="H71" s="254"/>
      <c r="I71" s="20" t="s">
        <v>242</v>
      </c>
    </row>
    <row r="72" spans="1:9" ht="27.75" customHeight="1" x14ac:dyDescent="0.15">
      <c r="C72" s="81"/>
      <c r="D72" s="81"/>
      <c r="G72" s="260" t="s">
        <v>236</v>
      </c>
      <c r="H72" s="260"/>
      <c r="I72" s="260"/>
    </row>
    <row r="73" spans="1:9" ht="22.5" customHeight="1" x14ac:dyDescent="0.15">
      <c r="A73" s="248">
        <f>管理者入力シート!B5</f>
        <v>2020</v>
      </c>
      <c r="B73" s="248"/>
      <c r="C73" s="20" t="s">
        <v>228</v>
      </c>
      <c r="D73" s="34"/>
      <c r="E73" s="34"/>
      <c r="F73" s="35"/>
    </row>
    <row r="74" spans="1:9" ht="22.5" customHeight="1" x14ac:dyDescent="0.15">
      <c r="B74" s="20" t="s">
        <v>81</v>
      </c>
      <c r="D74" s="37"/>
      <c r="E74" s="252"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5ポイント上昇</v>
      </c>
      <c r="F74" s="252"/>
      <c r="G74" s="252"/>
      <c r="H74" s="20" t="s">
        <v>82</v>
      </c>
    </row>
    <row r="75" spans="1:9" ht="22.5" customHeight="1" x14ac:dyDescent="0.15">
      <c r="B75" s="20" t="s">
        <v>83</v>
      </c>
      <c r="D75" s="37"/>
      <c r="E75" s="253"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4ポイント上昇</v>
      </c>
      <c r="F75" s="253"/>
      <c r="G75" s="253"/>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-118</v>
      </c>
      <c r="H103" s="207" t="s">
        <v>60</v>
      </c>
    </row>
    <row r="104" spans="1:8" ht="22.5" customHeight="1" x14ac:dyDescent="0.15">
      <c r="A104" s="35" t="s">
        <v>387</v>
      </c>
      <c r="C104" s="205">
        <f>SUM(管理者用グラフシート!H99:I100)-SUM(管理者用グラフシート!B95:C96)</f>
        <v>-69</v>
      </c>
      <c r="D104" s="20" t="s">
        <v>423</v>
      </c>
      <c r="E104" s="34"/>
      <c r="G104" s="205">
        <f>SUM(管理者用グラフシート!H101:I102)-SUM(管理者用グラフシート!B97:C98)</f>
        <v>-183</v>
      </c>
      <c r="H104" s="20" t="s">
        <v>60</v>
      </c>
    </row>
    <row r="105" spans="1:8" ht="22.5" customHeight="1" x14ac:dyDescent="0.15">
      <c r="A105" s="20" t="s">
        <v>389</v>
      </c>
      <c r="C105" s="205">
        <f>SUM(管理者用グラフシート!H103:I104)-SUM(管理者用グラフシート!B99:C100)</f>
        <v>-1</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-171</v>
      </c>
      <c r="H137" s="207" t="s">
        <v>60</v>
      </c>
    </row>
    <row r="138" spans="1:8" ht="22.5" customHeight="1" x14ac:dyDescent="0.15">
      <c r="A138" s="35" t="s">
        <v>387</v>
      </c>
      <c r="C138" s="205">
        <f>SUM(管理者用グラフシート!H147:I148)-SUM(管理者用グラフシート!B95:C96)</f>
        <v>-184</v>
      </c>
      <c r="D138" s="20" t="s">
        <v>423</v>
      </c>
      <c r="E138" s="34"/>
      <c r="G138" s="205">
        <f>SUM(管理者用グラフシート!H149:I150)-SUM(管理者用グラフシート!B97:C98)</f>
        <v>-246</v>
      </c>
      <c r="H138" s="20" t="s">
        <v>60</v>
      </c>
    </row>
    <row r="139" spans="1:8" ht="22.5" customHeight="1" x14ac:dyDescent="0.15">
      <c r="A139" s="20" t="s">
        <v>389</v>
      </c>
      <c r="C139" s="205">
        <f>SUM(管理者用グラフシート!H151:I152)-SUM(管理者用グラフシート!B99:C100)</f>
        <v>-177</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1" t="str">
        <f>管理者入力シート!B4</f>
        <v>日知屋小学校</v>
      </c>
      <c r="B2" s="261"/>
      <c r="C2" s="261"/>
      <c r="D2" s="249" t="s">
        <v>249</v>
      </c>
      <c r="E2" s="249"/>
      <c r="F2" s="249"/>
      <c r="G2" s="249"/>
      <c r="H2" s="249"/>
      <c r="I2" s="249"/>
    </row>
    <row r="3" spans="1:9" ht="31.5" customHeight="1" x14ac:dyDescent="0.15">
      <c r="A3" s="261"/>
      <c r="B3" s="261"/>
      <c r="C3" s="261"/>
      <c r="D3" s="249"/>
      <c r="E3" s="249"/>
      <c r="F3" s="249"/>
      <c r="G3" s="249"/>
      <c r="H3" s="249"/>
      <c r="I3" s="249"/>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5" t="s">
        <v>254</v>
      </c>
      <c r="B15" s="265"/>
      <c r="C15" s="265"/>
      <c r="D15" s="266" t="s">
        <v>258</v>
      </c>
      <c r="E15" s="267"/>
      <c r="F15" s="262" t="s">
        <v>257</v>
      </c>
      <c r="G15" s="263"/>
      <c r="H15" s="264"/>
    </row>
    <row r="16" spans="1:9" ht="17.25" customHeight="1" x14ac:dyDescent="0.15">
      <c r="A16" s="124" t="s">
        <v>254</v>
      </c>
      <c r="B16" s="124" t="s">
        <v>21</v>
      </c>
      <c r="C16" s="124" t="s">
        <v>22</v>
      </c>
      <c r="D16" s="266"/>
      <c r="E16" s="267"/>
      <c r="F16" s="126"/>
      <c r="G16" s="127" t="s">
        <v>21</v>
      </c>
      <c r="H16" s="128" t="s">
        <v>22</v>
      </c>
    </row>
    <row r="17" spans="1:9" ht="18.75" customHeight="1" x14ac:dyDescent="0.15">
      <c r="A17" s="125" t="s">
        <v>0</v>
      </c>
      <c r="B17" s="116">
        <v>1</v>
      </c>
      <c r="C17" s="116">
        <v>1</v>
      </c>
      <c r="D17" s="266"/>
      <c r="E17" s="267"/>
      <c r="F17" s="119" t="s">
        <v>0</v>
      </c>
      <c r="G17" s="116">
        <v>1</v>
      </c>
      <c r="H17" s="118">
        <v>1</v>
      </c>
    </row>
    <row r="18" spans="1:9" ht="18.75" customHeight="1" x14ac:dyDescent="0.15">
      <c r="A18" s="125" t="s">
        <v>1</v>
      </c>
      <c r="B18" s="116"/>
      <c r="C18" s="116"/>
      <c r="D18" s="266"/>
      <c r="E18" s="267"/>
      <c r="F18" s="119" t="s">
        <v>1</v>
      </c>
      <c r="G18" s="116"/>
      <c r="H18" s="118"/>
    </row>
    <row r="19" spans="1:9" ht="18.75" customHeight="1" x14ac:dyDescent="0.15">
      <c r="A19" s="125" t="s">
        <v>2</v>
      </c>
      <c r="B19" s="73">
        <v>1</v>
      </c>
      <c r="C19" s="73">
        <v>1</v>
      </c>
      <c r="D19" s="266"/>
      <c r="E19" s="267"/>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76">
        <f>管理者入力シート!B5</f>
        <v>2020</v>
      </c>
      <c r="C31" s="276"/>
      <c r="D31" s="83" t="s">
        <v>412</v>
      </c>
      <c r="E31" s="131"/>
      <c r="F31" s="131"/>
      <c r="G31" s="131"/>
      <c r="H31" s="131"/>
      <c r="I31" s="236"/>
    </row>
    <row r="32" spans="1:9" s="131" customFormat="1" ht="17.25" customHeight="1" x14ac:dyDescent="0.15">
      <c r="A32" s="159" t="s">
        <v>409</v>
      </c>
      <c r="B32" s="275">
        <f>管理者入力シート!B5</f>
        <v>2020</v>
      </c>
      <c r="C32" s="275"/>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2" t="s">
        <v>257</v>
      </c>
      <c r="C35" s="273"/>
      <c r="D35" s="274"/>
      <c r="F35" s="162"/>
      <c r="G35" s="239"/>
      <c r="H35" s="277" t="s">
        <v>410</v>
      </c>
      <c r="I35" s="278"/>
    </row>
    <row r="36" spans="1:9" s="132" customFormat="1" ht="17.25" customHeight="1" x14ac:dyDescent="0.15">
      <c r="A36" s="160"/>
      <c r="B36" s="214"/>
      <c r="C36" s="127" t="s">
        <v>21</v>
      </c>
      <c r="D36" s="215" t="s">
        <v>22</v>
      </c>
      <c r="F36" s="162"/>
      <c r="G36" s="237">
        <f>管理者入力シート!B8</f>
        <v>2025</v>
      </c>
      <c r="H36" s="268">
        <f>管理者用人口入力シート!EU22</f>
        <v>4356</v>
      </c>
      <c r="I36" s="269"/>
    </row>
    <row r="37" spans="1:9" s="130" customFormat="1" ht="17.25" customHeight="1" x14ac:dyDescent="0.15">
      <c r="A37" s="165"/>
      <c r="B37" s="225" t="s">
        <v>5</v>
      </c>
      <c r="C37" s="226">
        <f>管理者用人口入力シート!DX1</f>
        <v>46</v>
      </c>
      <c r="D37" s="227">
        <f>C37</f>
        <v>46</v>
      </c>
      <c r="F37" s="162"/>
      <c r="G37" s="237">
        <f>管理者入力シート!B9</f>
        <v>2030</v>
      </c>
      <c r="H37" s="268">
        <f>管理者用人口入力シート!EU25</f>
        <v>4357</v>
      </c>
      <c r="I37" s="269"/>
    </row>
    <row r="38" spans="1:9" s="132" customFormat="1" ht="17.25" customHeight="1" x14ac:dyDescent="0.15">
      <c r="A38" s="160"/>
      <c r="B38" s="225" t="s">
        <v>6</v>
      </c>
      <c r="C38" s="226">
        <f>C37</f>
        <v>46</v>
      </c>
      <c r="D38" s="227">
        <f>C37</f>
        <v>46</v>
      </c>
      <c r="F38" s="162"/>
      <c r="G38" s="237">
        <f>管理者入力シート!B10</f>
        <v>2035</v>
      </c>
      <c r="H38" s="268">
        <f>管理者用人口入力シート!EU28</f>
        <v>4357</v>
      </c>
      <c r="I38" s="269"/>
    </row>
    <row r="39" spans="1:9" ht="17.25" customHeight="1" thickBot="1" x14ac:dyDescent="0.2">
      <c r="A39" s="166"/>
      <c r="B39" s="228" t="s">
        <v>7</v>
      </c>
      <c r="C39" s="229">
        <f>C37</f>
        <v>46</v>
      </c>
      <c r="D39" s="230">
        <f>C37</f>
        <v>46</v>
      </c>
      <c r="F39" s="162"/>
      <c r="G39" s="238">
        <f>管理者入力シート!B11</f>
        <v>2040</v>
      </c>
      <c r="H39" s="270">
        <f>管理者用人口入力シート!EU31</f>
        <v>4361</v>
      </c>
      <c r="I39" s="271"/>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52">
        <f>管理者用グラフシート!U8</f>
        <v>3744</v>
      </c>
      <c r="E43" s="252"/>
      <c r="F43" s="20" t="s">
        <v>231</v>
      </c>
      <c r="H43" s="34"/>
      <c r="I43" s="34"/>
    </row>
    <row r="44" spans="1:9" ht="22.5" customHeight="1" x14ac:dyDescent="0.15">
      <c r="A44" s="248">
        <f>管理者入力シート!B11</f>
        <v>2040</v>
      </c>
      <c r="B44" s="248"/>
      <c r="C44" s="20" t="s">
        <v>417</v>
      </c>
      <c r="D44" s="252">
        <f>管理者用グラフシート!U10</f>
        <v>3067</v>
      </c>
      <c r="E44" s="252"/>
      <c r="F44" s="20" t="s">
        <v>231</v>
      </c>
      <c r="H44" s="34"/>
      <c r="I44" s="34"/>
    </row>
    <row r="45" spans="1:9" ht="22.5" customHeight="1" x14ac:dyDescent="0.15">
      <c r="A45" s="20" t="s">
        <v>121</v>
      </c>
    </row>
    <row r="46" spans="1:9" ht="22.5" customHeight="1" x14ac:dyDescent="0.15">
      <c r="A46" s="248">
        <f>管理者入力シート!B9</f>
        <v>2030</v>
      </c>
      <c r="B46" s="248"/>
      <c r="C46" s="20" t="s">
        <v>418</v>
      </c>
      <c r="D46" s="255">
        <f>D43-将来予測シート①!D6</f>
        <v>19</v>
      </c>
      <c r="E46" s="255"/>
      <c r="F46" s="20" t="s">
        <v>122</v>
      </c>
    </row>
    <row r="47" spans="1:9" ht="22.5" customHeight="1" x14ac:dyDescent="0.15">
      <c r="A47" s="248">
        <f>管理者入力シート!B11</f>
        <v>2040</v>
      </c>
      <c r="B47" s="248"/>
      <c r="C47" s="20" t="s">
        <v>418</v>
      </c>
      <c r="D47" s="255">
        <f>D44-将来予測シート①!D10</f>
        <v>41</v>
      </c>
      <c r="E47" s="255"/>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52">
        <f>管理者用グラフシート!Q20</f>
        <v>132</v>
      </c>
      <c r="G78" s="252"/>
      <c r="H78" s="82" t="s">
        <v>264</v>
      </c>
      <c r="I78" s="34"/>
    </row>
    <row r="79" spans="1:9" ht="22.5" customHeight="1" x14ac:dyDescent="0.15">
      <c r="A79" s="20" t="s">
        <v>234</v>
      </c>
      <c r="F79" s="252">
        <f>管理者用グラフシート!Q28</f>
        <v>69</v>
      </c>
      <c r="G79" s="252"/>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7">
        <f>F78-将来予測シート①!F36</f>
        <v>6</v>
      </c>
      <c r="D82" s="247"/>
      <c r="E82" s="20" t="s">
        <v>60</v>
      </c>
    </row>
    <row r="83" spans="1:13" ht="22.5" customHeight="1" x14ac:dyDescent="0.15">
      <c r="A83" s="20" t="s">
        <v>69</v>
      </c>
      <c r="C83" s="247">
        <f>F79-将来予測シート①!F37</f>
        <v>3</v>
      </c>
      <c r="D83" s="247"/>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52">
        <f>管理者用グラフシート!Q38</f>
        <v>1123</v>
      </c>
      <c r="D112" s="252"/>
      <c r="E112" s="20" t="s">
        <v>270</v>
      </c>
      <c r="F112" s="36"/>
      <c r="G112" s="111">
        <f>管理者用グラフシート!Q56</f>
        <v>0.37</v>
      </c>
      <c r="H112" s="82" t="s">
        <v>271</v>
      </c>
      <c r="I112" s="34"/>
    </row>
    <row r="113" spans="1:9" ht="22.5" customHeight="1" x14ac:dyDescent="0.15">
      <c r="A113" s="20" t="s">
        <v>268</v>
      </c>
      <c r="C113" s="252">
        <f>管理者用グラフシート!Q46</f>
        <v>647</v>
      </c>
      <c r="D113" s="252"/>
      <c r="E113" s="82" t="s">
        <v>270</v>
      </c>
      <c r="F113" s="34"/>
      <c r="G113" s="111">
        <f>管理者用グラフシート!Q64</f>
        <v>0.21</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2"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2"/>
      <c r="G116" s="252"/>
      <c r="H116" s="20" t="s">
        <v>82</v>
      </c>
    </row>
    <row r="117" spans="1:9" ht="22.5" customHeight="1" x14ac:dyDescent="0.15">
      <c r="B117" s="20" t="s">
        <v>83</v>
      </c>
      <c r="D117" s="37"/>
      <c r="E117" s="253"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3"/>
      <c r="G117" s="253"/>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60"/>
      <c r="F178" s="260"/>
      <c r="G178" s="260"/>
      <c r="H178" s="260"/>
      <c r="I178" s="260"/>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456</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0" t="str">
        <f>管理者入力シート!B4</f>
        <v>日知屋小学校</v>
      </c>
      <c r="B1" s="250"/>
      <c r="C1" s="250"/>
      <c r="D1" s="249" t="s">
        <v>278</v>
      </c>
      <c r="E1" s="249"/>
      <c r="F1" s="249"/>
      <c r="G1" s="249"/>
      <c r="H1" s="249"/>
    </row>
    <row r="2" spans="1:8" ht="22.5" customHeight="1" x14ac:dyDescent="0.15">
      <c r="A2" s="250"/>
      <c r="B2" s="250"/>
      <c r="C2" s="250"/>
      <c r="D2" s="249"/>
      <c r="E2" s="249"/>
      <c r="F2" s="249"/>
      <c r="G2" s="249"/>
      <c r="H2" s="249"/>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0.44712775078593886</v>
      </c>
      <c r="G7" s="279"/>
      <c r="H7" s="20" t="s">
        <v>282</v>
      </c>
    </row>
    <row r="8" spans="1:8" ht="22.5" customHeight="1" x14ac:dyDescent="0.15">
      <c r="A8" s="34" t="str">
        <f>管理者入力シート!B3</f>
        <v>日向市</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低くなっています。</v>
      </c>
    </row>
    <row r="10" spans="1:8" ht="22.5" customHeight="1" x14ac:dyDescent="0.15">
      <c r="A10" s="20" t="s">
        <v>415</v>
      </c>
    </row>
    <row r="11" spans="1:8" ht="22.5" customHeight="1" x14ac:dyDescent="0.15">
      <c r="A11" s="254" t="str">
        <f>地域特徴シート!A1</f>
        <v>日知屋小学校</v>
      </c>
      <c r="B11" s="254"/>
      <c r="C11" s="255">
        <f>管理者用地域特徴シート!D5</f>
        <v>2099.4</v>
      </c>
      <c r="D11" s="254"/>
      <c r="E11" s="20" t="s">
        <v>413</v>
      </c>
    </row>
    <row r="12" spans="1:8" ht="22.5" customHeight="1" x14ac:dyDescent="0.15">
      <c r="A12" s="254" t="str">
        <f>A8</f>
        <v>日向市</v>
      </c>
      <c r="B12" s="254"/>
      <c r="C12" s="255">
        <f>管理者用地域特徴シート!D4</f>
        <v>25009.000000000004</v>
      </c>
      <c r="D12" s="254"/>
      <c r="E12" s="20" t="s">
        <v>413</v>
      </c>
    </row>
    <row r="13" spans="1:8" ht="22.5" customHeight="1" x14ac:dyDescent="0.15">
      <c r="A13" s="254" t="s">
        <v>414</v>
      </c>
      <c r="B13" s="254"/>
      <c r="C13" s="255">
        <f>管理者用地域特徴シート!D3</f>
        <v>468575.00000000006</v>
      </c>
      <c r="D13" s="254"/>
      <c r="E13" s="20" t="s">
        <v>416</v>
      </c>
    </row>
    <row r="23" spans="1:8" ht="22.5" customHeight="1" x14ac:dyDescent="0.15">
      <c r="A23" s="20" t="s">
        <v>285</v>
      </c>
      <c r="G23" s="240">
        <f>管理者用地域特徴シート!J5</f>
        <v>0.17624083071353719</v>
      </c>
      <c r="H23" s="35" t="s">
        <v>286</v>
      </c>
    </row>
    <row r="24" spans="1:8" ht="22.5" customHeight="1" x14ac:dyDescent="0.15">
      <c r="A24" s="34" t="str">
        <f>管理者入力シート!B3</f>
        <v>日向市</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0.42268555240793199</v>
      </c>
      <c r="G37" s="279"/>
      <c r="H37" s="20" t="s">
        <v>286</v>
      </c>
    </row>
    <row r="38" spans="1:8" ht="22.5" customHeight="1" x14ac:dyDescent="0.15">
      <c r="A38" s="34" t="str">
        <f>管理者入力シート!B3</f>
        <v>日向市</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高くなっています。</v>
      </c>
    </row>
    <row r="40" spans="1:8" ht="22.5" customHeight="1" x14ac:dyDescent="0.15">
      <c r="D40" s="34"/>
    </row>
    <row r="41" spans="1:8" ht="22.5" customHeight="1" x14ac:dyDescent="0.15">
      <c r="A41" s="34" t="str">
        <f>管理者入力シート!B3</f>
        <v>日向市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新しい居住者の割合が高い地域です。</v>
      </c>
    </row>
    <row r="69" spans="1:8" s="113" customFormat="1" ht="40.5" customHeight="1" x14ac:dyDescent="0.15">
      <c r="A69" s="108" t="s">
        <v>207</v>
      </c>
    </row>
    <row r="70" spans="1:8" ht="22.5" customHeight="1" x14ac:dyDescent="0.15">
      <c r="A70" s="20" t="s">
        <v>289</v>
      </c>
      <c r="B70" s="34"/>
      <c r="E70" s="280">
        <f>管理者用地域特徴シート!W5</f>
        <v>1150.3</v>
      </c>
      <c r="F70" s="280"/>
      <c r="G70" s="20" t="s">
        <v>290</v>
      </c>
    </row>
    <row r="71" spans="1:8" ht="22.5" customHeight="1" x14ac:dyDescent="0.15">
      <c r="A71" s="20" t="s">
        <v>295</v>
      </c>
      <c r="F71" s="279">
        <f>管理者用地域特徴シート!AK5</f>
        <v>0.2281144049378423</v>
      </c>
      <c r="G71" s="279"/>
      <c r="H71" s="20" t="s">
        <v>271</v>
      </c>
    </row>
    <row r="72" spans="1:8" ht="22.5" customHeight="1" x14ac:dyDescent="0.15">
      <c r="A72" s="20" t="s">
        <v>296</v>
      </c>
      <c r="F72" s="279">
        <f>管理者用地域特徴シート!AL5</f>
        <v>0.19421020603320874</v>
      </c>
      <c r="G72" s="279"/>
      <c r="H72" s="20" t="s">
        <v>297</v>
      </c>
    </row>
    <row r="73" spans="1:8" ht="22.5" customHeight="1" x14ac:dyDescent="0.15">
      <c r="A73" s="20" t="s">
        <v>298</v>
      </c>
      <c r="E73" s="279"/>
      <c r="F73" s="279"/>
    </row>
    <row r="74" spans="1:8" ht="22.5" customHeight="1" x14ac:dyDescent="0.15">
      <c r="A74" s="20" t="s">
        <v>339</v>
      </c>
      <c r="C74" s="177">
        <f>管理者用地域特徴シート!AN5</f>
        <v>0.46831261410066932</v>
      </c>
      <c r="D74" s="156" t="s">
        <v>299</v>
      </c>
      <c r="E74" s="177">
        <f>管理者用地域特徴シート!AO5</f>
        <v>0.53168738589933062</v>
      </c>
      <c r="F74" s="20" t="s">
        <v>291</v>
      </c>
    </row>
    <row r="76" spans="1:8" ht="22.5" customHeight="1" x14ac:dyDescent="0.15">
      <c r="A76" s="34" t="str">
        <f>管理者入力シート!B3</f>
        <v>日向市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平均と同程度の地域です。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0.82710535909588045</v>
      </c>
      <c r="D139" s="279"/>
      <c r="E139" s="20" t="s">
        <v>316</v>
      </c>
      <c r="F139" s="157" t="str">
        <f>管理者入力シート!B3</f>
        <v>日向市</v>
      </c>
      <c r="G139" s="158" t="s">
        <v>317</v>
      </c>
    </row>
    <row r="140" spans="1:8" ht="22.5" customHeight="1" x14ac:dyDescent="0.15">
      <c r="A140" s="20" t="s">
        <v>318</v>
      </c>
    </row>
    <row r="141" spans="1:8" ht="22.5" customHeight="1" x14ac:dyDescent="0.15">
      <c r="C141" s="279">
        <f>管理者用地域特徴シート!CN5</f>
        <v>0.60124223602484494</v>
      </c>
      <c r="D141" s="279"/>
      <c r="E141" s="20" t="s">
        <v>316</v>
      </c>
      <c r="F141" s="157" t="str">
        <f>管理者入力シート!B3</f>
        <v>日向市</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429</v>
      </c>
    </row>
    <row r="3" spans="1:3" x14ac:dyDescent="0.15">
      <c r="A3" s="202" t="s">
        <v>292</v>
      </c>
      <c r="B3" s="32" t="str">
        <f>管理者用地域特徴シート!B5</f>
        <v>日向市</v>
      </c>
    </row>
    <row r="4" spans="1:3" x14ac:dyDescent="0.15">
      <c r="A4" s="153" t="s">
        <v>24</v>
      </c>
      <c r="B4" s="154" t="str">
        <f>管理者用地域特徴シート!C5</f>
        <v>日知屋小学校</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45206_2</v>
      </c>
      <c r="B1" s="24" t="s">
        <v>44</v>
      </c>
      <c r="C1" s="25"/>
      <c r="D1" s="302" t="s">
        <v>0</v>
      </c>
      <c r="E1" s="302" t="s">
        <v>1</v>
      </c>
      <c r="F1" s="302" t="s">
        <v>2</v>
      </c>
      <c r="G1" s="302" t="s">
        <v>3</v>
      </c>
      <c r="H1" s="302" t="s">
        <v>4</v>
      </c>
      <c r="I1" s="302" t="s">
        <v>5</v>
      </c>
      <c r="J1" s="302" t="s">
        <v>6</v>
      </c>
      <c r="K1" s="302" t="s">
        <v>7</v>
      </c>
      <c r="L1" s="302" t="s">
        <v>8</v>
      </c>
      <c r="M1" s="302" t="s">
        <v>9</v>
      </c>
      <c r="N1" s="302" t="s">
        <v>10</v>
      </c>
      <c r="O1" s="302" t="s">
        <v>11</v>
      </c>
      <c r="P1" s="302" t="s">
        <v>12</v>
      </c>
      <c r="Q1" s="302" t="s">
        <v>13</v>
      </c>
      <c r="R1" s="302" t="s">
        <v>14</v>
      </c>
      <c r="S1" s="302" t="s">
        <v>15</v>
      </c>
      <c r="T1" s="302" t="s">
        <v>16</v>
      </c>
      <c r="U1" s="302" t="s">
        <v>17</v>
      </c>
      <c r="V1" s="302" t="s">
        <v>18</v>
      </c>
      <c r="W1" s="302" t="s">
        <v>19</v>
      </c>
      <c r="X1" s="302" t="s">
        <v>20</v>
      </c>
      <c r="Y1" s="302" t="s">
        <v>23</v>
      </c>
      <c r="Z1" s="299" t="s">
        <v>50</v>
      </c>
      <c r="AA1" s="299" t="s">
        <v>51</v>
      </c>
      <c r="AB1" s="300" t="s">
        <v>79</v>
      </c>
      <c r="AC1" s="300" t="s">
        <v>80</v>
      </c>
      <c r="AD1" s="299" t="s">
        <v>48</v>
      </c>
      <c r="AE1" s="299" t="s">
        <v>49</v>
      </c>
      <c r="AF1" s="299" t="s">
        <v>97</v>
      </c>
      <c r="AH1" s="7"/>
      <c r="AI1" s="42" t="s">
        <v>25</v>
      </c>
      <c r="AJ1" s="40" t="s">
        <v>90</v>
      </c>
      <c r="AK1" s="41"/>
      <c r="AL1" s="304" t="s">
        <v>89</v>
      </c>
      <c r="AM1" s="298" t="s">
        <v>27</v>
      </c>
      <c r="AN1" s="298" t="s">
        <v>28</v>
      </c>
      <c r="AO1" s="298" t="s">
        <v>26</v>
      </c>
      <c r="AP1" s="298" t="s">
        <v>29</v>
      </c>
      <c r="AQ1" s="298" t="s">
        <v>30</v>
      </c>
      <c r="AR1" s="298" t="s">
        <v>31</v>
      </c>
      <c r="AS1" s="298" t="s">
        <v>32</v>
      </c>
      <c r="AT1" s="298" t="s">
        <v>33</v>
      </c>
      <c r="AU1" s="298" t="s">
        <v>34</v>
      </c>
      <c r="AV1" s="298" t="s">
        <v>35</v>
      </c>
      <c r="AW1" s="298" t="s">
        <v>36</v>
      </c>
      <c r="AX1" s="298" t="s">
        <v>37</v>
      </c>
      <c r="AY1" s="298" t="s">
        <v>38</v>
      </c>
      <c r="AZ1" s="298" t="s">
        <v>39</v>
      </c>
      <c r="BA1" s="298" t="s">
        <v>40</v>
      </c>
      <c r="BB1" s="298" t="s">
        <v>45</v>
      </c>
      <c r="BC1" s="298" t="s">
        <v>41</v>
      </c>
      <c r="BD1" s="298" t="s">
        <v>42</v>
      </c>
      <c r="BE1" s="298" t="s">
        <v>46</v>
      </c>
      <c r="BF1" s="298" t="s">
        <v>43</v>
      </c>
      <c r="BI1" s="56" t="s">
        <v>44</v>
      </c>
      <c r="BJ1" s="57"/>
      <c r="BK1" s="297" t="s">
        <v>0</v>
      </c>
      <c r="BL1" s="297" t="s">
        <v>1</v>
      </c>
      <c r="BM1" s="297" t="s">
        <v>2</v>
      </c>
      <c r="BN1" s="297" t="s">
        <v>3</v>
      </c>
      <c r="BO1" s="297" t="s">
        <v>4</v>
      </c>
      <c r="BP1" s="297" t="s">
        <v>5</v>
      </c>
      <c r="BQ1" s="297" t="s">
        <v>6</v>
      </c>
      <c r="BR1" s="297" t="s">
        <v>7</v>
      </c>
      <c r="BS1" s="297" t="s">
        <v>8</v>
      </c>
      <c r="BT1" s="297" t="s">
        <v>9</v>
      </c>
      <c r="BU1" s="297" t="s">
        <v>10</v>
      </c>
      <c r="BV1" s="297" t="s">
        <v>11</v>
      </c>
      <c r="BW1" s="297" t="s">
        <v>12</v>
      </c>
      <c r="BX1" s="297" t="s">
        <v>13</v>
      </c>
      <c r="BY1" s="297" t="s">
        <v>14</v>
      </c>
      <c r="BZ1" s="297" t="s">
        <v>15</v>
      </c>
      <c r="CA1" s="297" t="s">
        <v>16</v>
      </c>
      <c r="CB1" s="297" t="s">
        <v>17</v>
      </c>
      <c r="CC1" s="297" t="s">
        <v>18</v>
      </c>
      <c r="CD1" s="297" t="s">
        <v>19</v>
      </c>
      <c r="CE1" s="297" t="s">
        <v>20</v>
      </c>
      <c r="CF1" s="297" t="s">
        <v>23</v>
      </c>
      <c r="CG1" s="294" t="s">
        <v>50</v>
      </c>
      <c r="CH1" s="294" t="s">
        <v>51</v>
      </c>
      <c r="CI1" s="295" t="s">
        <v>79</v>
      </c>
      <c r="CJ1" s="295" t="s">
        <v>80</v>
      </c>
      <c r="CK1" s="294" t="s">
        <v>48</v>
      </c>
      <c r="CL1" s="294" t="s">
        <v>49</v>
      </c>
      <c r="CM1" s="294" t="s">
        <v>97</v>
      </c>
      <c r="CP1" s="74" t="s">
        <v>44</v>
      </c>
      <c r="CQ1" s="75"/>
      <c r="CR1" s="293" t="s">
        <v>0</v>
      </c>
      <c r="CS1" s="293" t="s">
        <v>1</v>
      </c>
      <c r="CT1" s="293" t="s">
        <v>2</v>
      </c>
      <c r="CU1" s="293" t="s">
        <v>3</v>
      </c>
      <c r="CV1" s="293" t="s">
        <v>4</v>
      </c>
      <c r="CW1" s="293" t="s">
        <v>5</v>
      </c>
      <c r="CX1" s="293" t="s">
        <v>6</v>
      </c>
      <c r="CY1" s="293" t="s">
        <v>7</v>
      </c>
      <c r="CZ1" s="293" t="s">
        <v>8</v>
      </c>
      <c r="DA1" s="293" t="s">
        <v>9</v>
      </c>
      <c r="DB1" s="293" t="s">
        <v>10</v>
      </c>
      <c r="DC1" s="293" t="s">
        <v>11</v>
      </c>
      <c r="DD1" s="293" t="s">
        <v>12</v>
      </c>
      <c r="DE1" s="293" t="s">
        <v>13</v>
      </c>
      <c r="DF1" s="293" t="s">
        <v>14</v>
      </c>
      <c r="DG1" s="293" t="s">
        <v>15</v>
      </c>
      <c r="DH1" s="293" t="s">
        <v>16</v>
      </c>
      <c r="DI1" s="293" t="s">
        <v>17</v>
      </c>
      <c r="DJ1" s="293" t="s">
        <v>18</v>
      </c>
      <c r="DK1" s="293" t="s">
        <v>19</v>
      </c>
      <c r="DL1" s="293" t="s">
        <v>20</v>
      </c>
      <c r="DM1" s="293" t="s">
        <v>23</v>
      </c>
      <c r="DN1" s="290" t="s">
        <v>50</v>
      </c>
      <c r="DO1" s="290" t="s">
        <v>51</v>
      </c>
      <c r="DP1" s="291" t="s">
        <v>79</v>
      </c>
      <c r="DQ1" s="291" t="s">
        <v>80</v>
      </c>
      <c r="DR1" s="290" t="s">
        <v>48</v>
      </c>
      <c r="DS1" s="290" t="s">
        <v>49</v>
      </c>
      <c r="DT1" s="290" t="s">
        <v>97</v>
      </c>
      <c r="DV1" s="310" t="s">
        <v>457</v>
      </c>
      <c r="DW1" s="311"/>
      <c r="DX1" s="306">
        <f>DW17</f>
        <v>46</v>
      </c>
      <c r="DY1" s="307"/>
      <c r="DZ1" s="303" t="s">
        <v>0</v>
      </c>
      <c r="EA1" s="303" t="s">
        <v>1</v>
      </c>
      <c r="EB1" s="303" t="s">
        <v>2</v>
      </c>
      <c r="EC1" s="303" t="s">
        <v>3</v>
      </c>
      <c r="ED1" s="303" t="s">
        <v>4</v>
      </c>
      <c r="EE1" s="303" t="s">
        <v>5</v>
      </c>
      <c r="EF1" s="303" t="s">
        <v>6</v>
      </c>
      <c r="EG1" s="303" t="s">
        <v>7</v>
      </c>
      <c r="EH1" s="303" t="s">
        <v>8</v>
      </c>
      <c r="EI1" s="303" t="s">
        <v>9</v>
      </c>
      <c r="EJ1" s="303" t="s">
        <v>10</v>
      </c>
      <c r="EK1" s="303" t="s">
        <v>11</v>
      </c>
      <c r="EL1" s="303" t="s">
        <v>12</v>
      </c>
      <c r="EM1" s="303" t="s">
        <v>13</v>
      </c>
      <c r="EN1" s="303" t="s">
        <v>14</v>
      </c>
      <c r="EO1" s="303" t="s">
        <v>15</v>
      </c>
      <c r="EP1" s="303" t="s">
        <v>16</v>
      </c>
      <c r="EQ1" s="303" t="s">
        <v>17</v>
      </c>
      <c r="ER1" s="303" t="s">
        <v>18</v>
      </c>
      <c r="ES1" s="303" t="s">
        <v>19</v>
      </c>
      <c r="ET1" s="303" t="s">
        <v>20</v>
      </c>
      <c r="EU1" s="303" t="s">
        <v>23</v>
      </c>
      <c r="EV1" s="305" t="s">
        <v>50</v>
      </c>
      <c r="EW1" s="305" t="s">
        <v>51</v>
      </c>
      <c r="EX1" s="312" t="s">
        <v>79</v>
      </c>
      <c r="EY1" s="312" t="s">
        <v>80</v>
      </c>
      <c r="EZ1" s="305" t="s">
        <v>48</v>
      </c>
      <c r="FA1" s="305" t="s">
        <v>49</v>
      </c>
      <c r="FB1" s="305" t="s">
        <v>97</v>
      </c>
    </row>
    <row r="2" spans="1:158" x14ac:dyDescent="0.15">
      <c r="A2" s="7" t="s">
        <v>56</v>
      </c>
      <c r="B2" s="26"/>
      <c r="C2" s="27"/>
      <c r="D2" s="302"/>
      <c r="E2" s="302"/>
      <c r="F2" s="302"/>
      <c r="G2" s="302"/>
      <c r="H2" s="302"/>
      <c r="I2" s="302"/>
      <c r="J2" s="302"/>
      <c r="K2" s="302"/>
      <c r="L2" s="302"/>
      <c r="M2" s="302"/>
      <c r="N2" s="302"/>
      <c r="O2" s="302"/>
      <c r="P2" s="302"/>
      <c r="Q2" s="302"/>
      <c r="R2" s="302"/>
      <c r="S2" s="302"/>
      <c r="T2" s="302"/>
      <c r="U2" s="302"/>
      <c r="V2" s="302"/>
      <c r="W2" s="302"/>
      <c r="X2" s="302"/>
      <c r="Y2" s="302"/>
      <c r="Z2" s="299"/>
      <c r="AA2" s="299"/>
      <c r="AB2" s="301"/>
      <c r="AC2" s="301"/>
      <c r="AD2" s="299"/>
      <c r="AE2" s="299"/>
      <c r="AF2" s="299"/>
      <c r="AI2" s="43"/>
      <c r="AJ2" s="44"/>
      <c r="AK2" s="45"/>
      <c r="AL2" s="304"/>
      <c r="AM2" s="298"/>
      <c r="AN2" s="298"/>
      <c r="AO2" s="298"/>
      <c r="AP2" s="298"/>
      <c r="AQ2" s="298"/>
      <c r="AR2" s="298"/>
      <c r="AS2" s="298"/>
      <c r="AT2" s="298"/>
      <c r="AU2" s="298"/>
      <c r="AV2" s="298"/>
      <c r="AW2" s="298"/>
      <c r="AX2" s="298"/>
      <c r="AY2" s="298"/>
      <c r="AZ2" s="298"/>
      <c r="BA2" s="298"/>
      <c r="BB2" s="298"/>
      <c r="BC2" s="298"/>
      <c r="BD2" s="298"/>
      <c r="BE2" s="298"/>
      <c r="BF2" s="298"/>
      <c r="BH2" s="7" t="s">
        <v>56</v>
      </c>
      <c r="BI2" s="58" t="s">
        <v>116</v>
      </c>
      <c r="BJ2" s="59"/>
      <c r="BK2" s="297"/>
      <c r="BL2" s="297"/>
      <c r="BM2" s="297"/>
      <c r="BN2" s="297"/>
      <c r="BO2" s="297"/>
      <c r="BP2" s="297"/>
      <c r="BQ2" s="297"/>
      <c r="BR2" s="297"/>
      <c r="BS2" s="297"/>
      <c r="BT2" s="297"/>
      <c r="BU2" s="297"/>
      <c r="BV2" s="297"/>
      <c r="BW2" s="297"/>
      <c r="BX2" s="297"/>
      <c r="BY2" s="297"/>
      <c r="BZ2" s="297"/>
      <c r="CA2" s="297"/>
      <c r="CB2" s="297"/>
      <c r="CC2" s="297"/>
      <c r="CD2" s="297"/>
      <c r="CE2" s="297"/>
      <c r="CF2" s="297"/>
      <c r="CG2" s="294"/>
      <c r="CH2" s="294"/>
      <c r="CI2" s="296"/>
      <c r="CJ2" s="296"/>
      <c r="CK2" s="294"/>
      <c r="CL2" s="294"/>
      <c r="CM2" s="294"/>
      <c r="CO2" s="7" t="s">
        <v>56</v>
      </c>
      <c r="CP2" s="76" t="s">
        <v>117</v>
      </c>
      <c r="CQ2" s="77"/>
      <c r="CR2" s="293"/>
      <c r="CS2" s="293"/>
      <c r="CT2" s="293"/>
      <c r="CU2" s="293"/>
      <c r="CV2" s="293"/>
      <c r="CW2" s="293"/>
      <c r="CX2" s="293"/>
      <c r="CY2" s="293"/>
      <c r="CZ2" s="293"/>
      <c r="DA2" s="293"/>
      <c r="DB2" s="293"/>
      <c r="DC2" s="293"/>
      <c r="DD2" s="293"/>
      <c r="DE2" s="293"/>
      <c r="DF2" s="293"/>
      <c r="DG2" s="293"/>
      <c r="DH2" s="293"/>
      <c r="DI2" s="293"/>
      <c r="DJ2" s="293"/>
      <c r="DK2" s="293"/>
      <c r="DL2" s="293"/>
      <c r="DM2" s="293"/>
      <c r="DN2" s="290"/>
      <c r="DO2" s="290"/>
      <c r="DP2" s="292"/>
      <c r="DQ2" s="292"/>
      <c r="DR2" s="290"/>
      <c r="DS2" s="290"/>
      <c r="DT2" s="290"/>
      <c r="DV2" s="310"/>
      <c r="DW2" s="311"/>
      <c r="DX2" s="308"/>
      <c r="DY2" s="309"/>
      <c r="DZ2" s="303"/>
      <c r="EA2" s="303"/>
      <c r="EB2" s="303"/>
      <c r="EC2" s="303"/>
      <c r="ED2" s="303"/>
      <c r="EE2" s="303"/>
      <c r="EF2" s="303"/>
      <c r="EG2" s="303"/>
      <c r="EH2" s="303"/>
      <c r="EI2" s="303"/>
      <c r="EJ2" s="303"/>
      <c r="EK2" s="303"/>
      <c r="EL2" s="303"/>
      <c r="EM2" s="303"/>
      <c r="EN2" s="303"/>
      <c r="EO2" s="303"/>
      <c r="EP2" s="303"/>
      <c r="EQ2" s="303"/>
      <c r="ER2" s="303"/>
      <c r="ES2" s="303"/>
      <c r="ET2" s="303"/>
      <c r="EU2" s="303"/>
      <c r="EV2" s="305"/>
      <c r="EW2" s="305"/>
      <c r="EX2" s="313"/>
      <c r="EY2" s="313"/>
      <c r="EZ2" s="305"/>
      <c r="FA2" s="305"/>
      <c r="FB2" s="305"/>
    </row>
    <row r="3" spans="1:158" x14ac:dyDescent="0.15">
      <c r="A3" s="7" t="str">
        <f>B3&amp;"_"&amp;IF(C3="男性",1,IF(C3="女性",2,IF(C3="合計",3)))</f>
        <v>2005_1</v>
      </c>
      <c r="B3" s="28">
        <v>2005</v>
      </c>
      <c r="C3" s="3" t="s">
        <v>21</v>
      </c>
      <c r="D3" s="184">
        <v>115.61764705882352</v>
      </c>
      <c r="E3" s="9">
        <v>155.20588235294116</v>
      </c>
      <c r="F3" s="9">
        <v>142.70588235294119</v>
      </c>
      <c r="G3" s="9">
        <v>130.50588235294117</v>
      </c>
      <c r="H3" s="9">
        <v>94.923529411764704</v>
      </c>
      <c r="I3" s="9">
        <v>128.92352941176472</v>
      </c>
      <c r="J3" s="9">
        <v>173.51764705882351</v>
      </c>
      <c r="K3" s="9">
        <v>159.2235294117647</v>
      </c>
      <c r="L3" s="9">
        <v>150.63529411764705</v>
      </c>
      <c r="M3" s="9">
        <v>147.11176470588236</v>
      </c>
      <c r="N3" s="9">
        <v>165.52352941176471</v>
      </c>
      <c r="O3" s="9">
        <v>197.52352941176471</v>
      </c>
      <c r="P3" s="9">
        <v>131.11176470588236</v>
      </c>
      <c r="Q3" s="9">
        <v>145.91764705882352</v>
      </c>
      <c r="R3" s="9">
        <v>118.21764705882353</v>
      </c>
      <c r="S3" s="9">
        <v>91.629411764705878</v>
      </c>
      <c r="T3" s="9">
        <v>45.10588235294118</v>
      </c>
      <c r="U3" s="9">
        <v>18</v>
      </c>
      <c r="V3" s="9">
        <v>11.6</v>
      </c>
      <c r="W3" s="9">
        <v>0</v>
      </c>
      <c r="X3" s="9">
        <v>0</v>
      </c>
      <c r="Y3" s="9">
        <f>SUM(D3:X3)</f>
        <v>2322.9999999999991</v>
      </c>
      <c r="Z3" s="9">
        <f>E3*3/5+F3*3/5</f>
        <v>178.74705882352941</v>
      </c>
      <c r="AA3" s="9">
        <f>F3*2/5+G3*1/5</f>
        <v>83.183529411764709</v>
      </c>
      <c r="AB3" s="9">
        <f t="shared" ref="AB3:AB20" si="0">SUM(Q3:X3)</f>
        <v>430.47058823529414</v>
      </c>
      <c r="AC3" s="9">
        <f>SUM(S3:X3)</f>
        <v>166.33529411764707</v>
      </c>
      <c r="AD3" s="13">
        <f>AB3/Y3</f>
        <v>0.18530804487098335</v>
      </c>
      <c r="AE3" s="13">
        <f>AC3/Y3</f>
        <v>7.1603656529335827E-2</v>
      </c>
      <c r="AF3" s="9">
        <f>SUM(H3:K3)</f>
        <v>556.58823529411768</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0.92726222738785913</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0.89465415669771631</v>
      </c>
      <c r="AO3" s="6">
        <f t="shared" si="1"/>
        <v>0.99930008222859512</v>
      </c>
      <c r="AP3" s="6">
        <f t="shared" si="1"/>
        <v>0.64332776233166344</v>
      </c>
      <c r="AQ3" s="6">
        <f t="shared" si="1"/>
        <v>1.4725016058840081</v>
      </c>
      <c r="AR3" s="6">
        <f t="shared" si="1"/>
        <v>1.1295590246617293</v>
      </c>
      <c r="AS3" s="6">
        <f t="shared" si="1"/>
        <v>0.97642308093798913</v>
      </c>
      <c r="AT3" s="6">
        <f t="shared" si="1"/>
        <v>0.95444514673468073</v>
      </c>
      <c r="AU3" s="6">
        <f t="shared" si="1"/>
        <v>1.0363883304997346</v>
      </c>
      <c r="AV3" s="6">
        <f t="shared" si="1"/>
        <v>1.0720932615573331</v>
      </c>
      <c r="AW3" s="6">
        <f t="shared" si="1"/>
        <v>0.89529898895313897</v>
      </c>
      <c r="AX3" s="6">
        <f t="shared" si="1"/>
        <v>0.94458607823303475</v>
      </c>
      <c r="AY3" s="6">
        <f t="shared" si="1"/>
        <v>0.93554221159705331</v>
      </c>
      <c r="AZ3" s="6">
        <f t="shared" si="1"/>
        <v>0.92162284129301542</v>
      </c>
      <c r="BA3" s="6">
        <f t="shared" si="1"/>
        <v>0.88970092692045732</v>
      </c>
      <c r="BB3" s="6">
        <f t="shared" si="1"/>
        <v>0.78470728085364816</v>
      </c>
      <c r="BC3" s="6">
        <f t="shared" si="1"/>
        <v>0.72918297038486468</v>
      </c>
      <c r="BD3" s="6">
        <f t="shared" si="1"/>
        <v>0.55893910704449068</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0.37544721932311809</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1.0052910052910053</v>
      </c>
      <c r="BH3" s="7" t="str">
        <f>BI3&amp;"_"&amp;IF(BJ3="男性",1,IF(BJ3="女性",2,IF(BJ3="合計",3)))</f>
        <v>2025_1</v>
      </c>
      <c r="BI3" s="28">
        <f>管理者入力シート!B8</f>
        <v>2025</v>
      </c>
      <c r="BJ3" s="3" t="s">
        <v>21</v>
      </c>
      <c r="BK3" s="9">
        <f>CM4*AK$13</f>
        <v>75.512244742483063</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79.858018885749104</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67.681938761690006</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79.817297132112685</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66.516364918542934</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103.02672076198579</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110.99257839881525</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101.20753292133496</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103.29177621762248</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122.38168584903512</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158.22905759902139</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146.31609555752271</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116.42139835919632</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122.1906231864921</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125.45654897674302</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135.14334595366444</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75.117083975951587</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58.946583219570869</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32.470976823003063</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5.5988995381999249</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0.19178461813136014</v>
      </c>
      <c r="CF3" s="9">
        <f t="shared" ref="CF3:CF14" si="2">SUM(BK3:CE3)</f>
        <v>1886.3685563968679</v>
      </c>
      <c r="CG3" s="9">
        <f>BL3*3/5+BM3*3/5</f>
        <v>88.52397458846346</v>
      </c>
      <c r="CH3" s="9">
        <f>BM3*2/5+BN3*1/5</f>
        <v>43.036234931098541</v>
      </c>
      <c r="CI3" s="9">
        <f t="shared" ref="CI3:CI14" si="3">SUM(BX3:CE3)</f>
        <v>555.11584629175638</v>
      </c>
      <c r="CJ3" s="9">
        <f>SUM(BZ3:CE3)</f>
        <v>307.46867412852123</v>
      </c>
      <c r="CK3" s="13">
        <f>CI3/CF3</f>
        <v>0.29427751242423017</v>
      </c>
      <c r="CL3" s="13">
        <f>CJ3/CF3</f>
        <v>0.16299501658139054</v>
      </c>
      <c r="CM3" s="9">
        <f>SUM(BO3:BR3)</f>
        <v>381.74319700067895</v>
      </c>
      <c r="CO3" s="7" t="str">
        <f>CP3&amp;"_"&amp;IF(CQ3="男性",1,IF(CQ3="女性",2,IF(CQ3="合計",3)))</f>
        <v>2025_1</v>
      </c>
      <c r="CP3" s="28">
        <f>管理者入力シート!B8</f>
        <v>2025</v>
      </c>
      <c r="CQ3" s="3" t="s">
        <v>21</v>
      </c>
      <c r="CR3" s="9">
        <f>BK3+将来予測シート②!$G17</f>
        <v>76.512244742483063</v>
      </c>
      <c r="CS3" s="9">
        <f>BL3+将来予測シート②!$G18</f>
        <v>79.858018885749104</v>
      </c>
      <c r="CT3" s="9">
        <f>BM3+将来予測シート②!$G19</f>
        <v>68.681938761690006</v>
      </c>
      <c r="CU3" s="9">
        <f>BN3+将来予測シート②!$G20</f>
        <v>79.817297132112685</v>
      </c>
      <c r="CV3" s="9">
        <f>BO3+将来予測シート②!$G21</f>
        <v>66.516364918542934</v>
      </c>
      <c r="CW3" s="9">
        <f>BP3+将来予測シート②!$G22</f>
        <v>105.02672076198579</v>
      </c>
      <c r="CX3" s="9">
        <f>BQ3+将来予測シート②!$G23</f>
        <v>110.99257839881525</v>
      </c>
      <c r="CY3" s="9">
        <f>BR3+将来予測シート②!$G24</f>
        <v>101.20753292133496</v>
      </c>
      <c r="CZ3" s="9">
        <f>BS3+将来予測シート②!$G25</f>
        <v>103.29177621762248</v>
      </c>
      <c r="DA3" s="9">
        <f>BT3+将来予測シート②!$G26</f>
        <v>122.38168584903512</v>
      </c>
      <c r="DB3" s="9">
        <f>BU3+将来予測シート②!$G27</f>
        <v>158.22905759902139</v>
      </c>
      <c r="DC3" s="9">
        <f>BV3+将来予測シート②!$G28</f>
        <v>146.31609555752271</v>
      </c>
      <c r="DD3" s="9">
        <f>BW3+将来予測シート②!$G29</f>
        <v>116.42139835919632</v>
      </c>
      <c r="DE3" s="9">
        <f>BX3</f>
        <v>122.1906231864921</v>
      </c>
      <c r="DF3" s="9">
        <f t="shared" ref="DF3:DL3" si="4">BY3</f>
        <v>125.45654897674302</v>
      </c>
      <c r="DG3" s="9">
        <f t="shared" si="4"/>
        <v>135.14334595366444</v>
      </c>
      <c r="DH3" s="9">
        <f t="shared" si="4"/>
        <v>75.117083975951587</v>
      </c>
      <c r="DI3" s="9">
        <f t="shared" si="4"/>
        <v>58.946583219570869</v>
      </c>
      <c r="DJ3" s="9">
        <f t="shared" si="4"/>
        <v>32.470976823003063</v>
      </c>
      <c r="DK3" s="9">
        <f t="shared" si="4"/>
        <v>5.5988995381999249</v>
      </c>
      <c r="DL3" s="9">
        <f t="shared" si="4"/>
        <v>0.19178461813136014</v>
      </c>
      <c r="DM3" s="9">
        <f t="shared" ref="DM3:DM4" si="5">SUM(CR3:DL3)</f>
        <v>1890.3685563968679</v>
      </c>
      <c r="DN3" s="9">
        <f>CS3*3/5+CT3*3/5</f>
        <v>89.123974588463454</v>
      </c>
      <c r="DO3" s="9">
        <f>CT3*2/5+CU3*1/5</f>
        <v>43.436234931098539</v>
      </c>
      <c r="DP3" s="9">
        <f t="shared" ref="DP3:DP14" si="6">SUM(DE3:DL3)</f>
        <v>555.11584629175638</v>
      </c>
      <c r="DQ3" s="9">
        <f>SUM(DG3:DL3)</f>
        <v>307.46867412852123</v>
      </c>
      <c r="DR3" s="13">
        <f>DP3/DM3</f>
        <v>0.29365482430041762</v>
      </c>
      <c r="DS3" s="13">
        <f>DQ3/DM3</f>
        <v>0.16265012083917174</v>
      </c>
      <c r="DT3" s="9">
        <f>SUM(CV3:CY3)</f>
        <v>383.74319700067895</v>
      </c>
      <c r="DV3" s="310"/>
      <c r="DW3" s="311"/>
      <c r="DX3" s="28">
        <f>管理者入力シート!B8</f>
        <v>2025</v>
      </c>
      <c r="DY3" s="3" t="s">
        <v>21</v>
      </c>
      <c r="DZ3" s="9">
        <f>BK$3</f>
        <v>75.512244742483063</v>
      </c>
      <c r="EA3" s="9">
        <f>BL$3</f>
        <v>79.858018885749104</v>
      </c>
      <c r="EB3" s="9">
        <f t="shared" ref="EB3:ED3" si="7">BM$3</f>
        <v>67.681938761690006</v>
      </c>
      <c r="EC3" s="9">
        <f t="shared" si="7"/>
        <v>79.817297132112685</v>
      </c>
      <c r="ED3" s="9">
        <f t="shared" si="7"/>
        <v>66.516364918542934</v>
      </c>
      <c r="EE3" s="9">
        <f>BP$3+DX1</f>
        <v>149.02672076198579</v>
      </c>
      <c r="EF3" s="9">
        <f>BQ$3+DX1</f>
        <v>156.99257839881525</v>
      </c>
      <c r="EG3" s="9">
        <f>BR$3+DX1</f>
        <v>147.20753292133497</v>
      </c>
      <c r="EH3" s="9">
        <f t="shared" ref="EH3:ET3" si="8">BS$3</f>
        <v>103.29177621762248</v>
      </c>
      <c r="EI3" s="9">
        <f t="shared" si="8"/>
        <v>122.38168584903512</v>
      </c>
      <c r="EJ3" s="9">
        <f t="shared" si="8"/>
        <v>158.22905759902139</v>
      </c>
      <c r="EK3" s="9">
        <f t="shared" si="8"/>
        <v>146.31609555752271</v>
      </c>
      <c r="EL3" s="9">
        <f t="shared" si="8"/>
        <v>116.42139835919632</v>
      </c>
      <c r="EM3" s="9">
        <f t="shared" si="8"/>
        <v>122.1906231864921</v>
      </c>
      <c r="EN3" s="9">
        <f t="shared" si="8"/>
        <v>125.45654897674302</v>
      </c>
      <c r="EO3" s="9">
        <f t="shared" si="8"/>
        <v>135.14334595366444</v>
      </c>
      <c r="EP3" s="9">
        <f t="shared" si="8"/>
        <v>75.117083975951587</v>
      </c>
      <c r="EQ3" s="9">
        <f t="shared" si="8"/>
        <v>58.946583219570869</v>
      </c>
      <c r="ER3" s="9">
        <f t="shared" si="8"/>
        <v>32.470976823003063</v>
      </c>
      <c r="ES3" s="9">
        <f t="shared" si="8"/>
        <v>5.5988995381999249</v>
      </c>
      <c r="ET3" s="9">
        <f t="shared" si="8"/>
        <v>0.19178461813136014</v>
      </c>
      <c r="EU3" s="9">
        <f t="shared" ref="EU3:EU4" si="9">SUM(DZ3:ET3)</f>
        <v>2024.3685563968679</v>
      </c>
      <c r="EV3" s="9">
        <f>EA3*3/5+EB3*3/5</f>
        <v>88.52397458846346</v>
      </c>
      <c r="EW3" s="9">
        <f>EB3*2/5+EC3*1/5</f>
        <v>43.036234931098541</v>
      </c>
      <c r="EX3" s="9">
        <f t="shared" ref="EX3:EX14" si="10">SUM(EM3:ET3)</f>
        <v>555.11584629175638</v>
      </c>
      <c r="EY3" s="9">
        <f>SUM(EO3:ET3)</f>
        <v>307.46867412852123</v>
      </c>
      <c r="EZ3" s="13">
        <f>EX3/EU3</f>
        <v>0.27421678949597778</v>
      </c>
      <c r="FA3" s="13">
        <f>EY3/EU3</f>
        <v>0.15188374328228968</v>
      </c>
      <c r="FB3" s="9">
        <f>SUM(ED3:EG3)</f>
        <v>519.74319700067895</v>
      </c>
    </row>
    <row r="4" spans="1:158" x14ac:dyDescent="0.15">
      <c r="A4" s="7" t="str">
        <f t="shared" ref="A4:A14" si="11">B4&amp;"_"&amp;IF(C4="男性",1,IF(C4="女性",2,IF(C4="合計",3)))</f>
        <v>2005_2</v>
      </c>
      <c r="B4" s="29">
        <v>2005</v>
      </c>
      <c r="C4" s="4" t="s">
        <v>22</v>
      </c>
      <c r="D4" s="10">
        <v>131.5</v>
      </c>
      <c r="E4" s="10">
        <v>135.70000000000002</v>
      </c>
      <c r="F4" s="10">
        <v>131.19999999999999</v>
      </c>
      <c r="G4" s="10">
        <v>128.6</v>
      </c>
      <c r="H4" s="10">
        <v>99.2</v>
      </c>
      <c r="I4" s="10">
        <v>153.19999999999999</v>
      </c>
      <c r="J4" s="10">
        <v>176</v>
      </c>
      <c r="K4" s="10">
        <v>168.2</v>
      </c>
      <c r="L4" s="10">
        <v>156.30000000000001</v>
      </c>
      <c r="M4" s="10">
        <v>182.79999999999998</v>
      </c>
      <c r="N4" s="10">
        <v>195.10000000000002</v>
      </c>
      <c r="O4" s="10">
        <v>215.70000000000002</v>
      </c>
      <c r="P4" s="10">
        <v>174.3</v>
      </c>
      <c r="Q4" s="10">
        <v>186.10000000000002</v>
      </c>
      <c r="R4" s="10">
        <v>154.70000000000002</v>
      </c>
      <c r="S4" s="10">
        <v>143.20000000000002</v>
      </c>
      <c r="T4" s="10">
        <v>81.099999999999994</v>
      </c>
      <c r="U4" s="10">
        <v>40.4</v>
      </c>
      <c r="V4" s="10">
        <v>16.399999999999999</v>
      </c>
      <c r="W4" s="10">
        <v>6.6</v>
      </c>
      <c r="X4" s="10">
        <v>0.3</v>
      </c>
      <c r="Y4" s="10">
        <f>SUM(D4:X4)</f>
        <v>2676.6</v>
      </c>
      <c r="Z4" s="10">
        <f t="shared" ref="Z4:Z11" si="12">E4*3/5+F4*3/5</f>
        <v>160.13999999999999</v>
      </c>
      <c r="AA4" s="10">
        <f t="shared" ref="AA4:AA11" si="13">F4*2/5+G4*1/5</f>
        <v>78.199999999999989</v>
      </c>
      <c r="AB4" s="10">
        <f t="shared" si="0"/>
        <v>628.80000000000007</v>
      </c>
      <c r="AC4" s="10">
        <f t="shared" ref="AC4:AC11" si="14">SUM(S4:X4)</f>
        <v>288</v>
      </c>
      <c r="AD4" s="14">
        <f t="shared" ref="AD4:AD11" si="15">AB4/Y4</f>
        <v>0.23492490472988123</v>
      </c>
      <c r="AE4" s="14">
        <f t="shared" ref="AE4:AE11" si="16">AC4/Y4</f>
        <v>0.10759919300605246</v>
      </c>
      <c r="AF4" s="10">
        <f t="shared" ref="AF4:AF20" si="17">SUM(H4:K4)</f>
        <v>596.59999999999991</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0.86653647739550144</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1.091516558257422</v>
      </c>
      <c r="AO4" s="193">
        <f t="shared" si="18"/>
        <v>0.78483285535199687</v>
      </c>
      <c r="AP4" s="193">
        <f t="shared" si="18"/>
        <v>0.70816452835594224</v>
      </c>
      <c r="AQ4" s="193">
        <f t="shared" si="18"/>
        <v>1.3221437321674661</v>
      </c>
      <c r="AR4" s="193">
        <f t="shared" si="18"/>
        <v>1.0925716190426389</v>
      </c>
      <c r="AS4" s="193">
        <f t="shared" si="18"/>
        <v>0.98919135470563857</v>
      </c>
      <c r="AT4" s="193">
        <f t="shared" si="18"/>
        <v>1.0392498555774456</v>
      </c>
      <c r="AU4" s="193">
        <f t="shared" si="18"/>
        <v>1.1034108123842359</v>
      </c>
      <c r="AV4" s="193">
        <f t="shared" si="18"/>
        <v>0.91739546009898909</v>
      </c>
      <c r="AW4" s="193">
        <f t="shared" si="18"/>
        <v>0.93649275994067915</v>
      </c>
      <c r="AX4" s="193">
        <f t="shared" si="18"/>
        <v>0.89767467667775636</v>
      </c>
      <c r="AY4" s="193">
        <f t="shared" si="18"/>
        <v>0.93048563308737475</v>
      </c>
      <c r="AZ4" s="193">
        <f t="shared" si="18"/>
        <v>0.92280635533067146</v>
      </c>
      <c r="BA4" s="193">
        <f t="shared" si="18"/>
        <v>0.95540197502953272</v>
      </c>
      <c r="BB4" s="193">
        <f t="shared" si="18"/>
        <v>0.84620607066626552</v>
      </c>
      <c r="BC4" s="193">
        <f t="shared" si="18"/>
        <v>0.72561911585777439</v>
      </c>
      <c r="BD4" s="193">
        <f t="shared" si="18"/>
        <v>0.66186969228808068</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0.34070833280457524</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0.72092255446889209</v>
      </c>
      <c r="BH4" s="7" t="str">
        <f t="shared" ref="BH4:BH20" si="19">BI4&amp;"_"&amp;IF(BJ4="男性",1,IF(BJ4="女性",2,IF(BJ4="合計",3)))</f>
        <v>2025_2</v>
      </c>
      <c r="BI4" s="29">
        <f>BI3</f>
        <v>2025</v>
      </c>
      <c r="BJ4" s="4" t="s">
        <v>22</v>
      </c>
      <c r="BK4" s="10">
        <f>CM4*AK$14</f>
        <v>82.266341378295593</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80.001277599193998</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97.239658414610716</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73.152868928901853</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57.889375658346466</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86.771938243635603</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104.90739546593166</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108.9858647424405</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104.64637611341959</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167.15464136333773</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161.85918227721024</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155.86840058558201</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122.42855211251936</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142.87038860796693</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151.42069979236896</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175.24011671394734</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134.85158897408394</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104.03703525856334</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57.853199338026606</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21.204761276504936</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4.543267852981681</v>
      </c>
      <c r="CF4" s="10">
        <f t="shared" si="2"/>
        <v>2195.1929306978691</v>
      </c>
      <c r="CG4" s="10">
        <f t="shared" ref="CG4:CG14" si="20">BL4*3/5+BM4*3/5</f>
        <v>106.34456160828282</v>
      </c>
      <c r="CH4" s="10">
        <f t="shared" ref="CH4:CH14" si="21">BM4*2/5+BN4*1/5</f>
        <v>53.526437151624656</v>
      </c>
      <c r="CI4" s="10">
        <f t="shared" si="3"/>
        <v>792.02105781444368</v>
      </c>
      <c r="CJ4" s="10">
        <f t="shared" ref="CJ4:CJ14" si="22">SUM(BZ4:CE4)</f>
        <v>497.72996941410787</v>
      </c>
      <c r="CK4" s="14">
        <f t="shared" ref="CK4:CK14" si="23">CI4/CF4</f>
        <v>0.36079792656887516</v>
      </c>
      <c r="CL4" s="14">
        <f t="shared" ref="CL4:CL14" si="24">CJ4/CF4</f>
        <v>0.22673632119245007</v>
      </c>
      <c r="CM4" s="10">
        <f t="shared" ref="CM4:CM14" si="25">SUM(BO4:BR4)</f>
        <v>358.55457411035422</v>
      </c>
      <c r="CO4" s="7" t="str">
        <f t="shared" ref="CO4:CO20" si="26">CP4&amp;"_"&amp;IF(CQ4="男性",1,IF(CQ4="女性",2,IF(CQ4="合計",3)))</f>
        <v>2025_2</v>
      </c>
      <c r="CP4" s="29">
        <f>CP3</f>
        <v>2025</v>
      </c>
      <c r="CQ4" s="4" t="s">
        <v>22</v>
      </c>
      <c r="CR4" s="10">
        <f>BK4+将来予測シート②!$H17</f>
        <v>83.266341378295593</v>
      </c>
      <c r="CS4" s="10">
        <f>BL4+将来予測シート②!$H18</f>
        <v>80.001277599193998</v>
      </c>
      <c r="CT4" s="10">
        <f>BM4+将来予測シート②!$H19</f>
        <v>98.239658414610716</v>
      </c>
      <c r="CU4" s="10">
        <f>BN4+将来予測シート②!$H20</f>
        <v>73.152868928901853</v>
      </c>
      <c r="CV4" s="10">
        <f>BO4+将来予測シート②!$H21</f>
        <v>57.889375658346466</v>
      </c>
      <c r="CW4" s="10">
        <f>BP4+将来予測シート②!$H22</f>
        <v>88.771938243635603</v>
      </c>
      <c r="CX4" s="10">
        <f>BQ4+将来予測シート②!$H23</f>
        <v>104.90739546593166</v>
      </c>
      <c r="CY4" s="10">
        <f>BR4+将来予測シート②!$H24</f>
        <v>108.9858647424405</v>
      </c>
      <c r="CZ4" s="10">
        <f>BS4+将来予測シート②!$H25</f>
        <v>105.64637611341959</v>
      </c>
      <c r="DA4" s="10">
        <f>BT4+将来予測シート②!$H26</f>
        <v>167.15464136333773</v>
      </c>
      <c r="DB4" s="10">
        <f>BU4+将来予測シート②!$H27</f>
        <v>161.85918227721024</v>
      </c>
      <c r="DC4" s="10">
        <f>BV4+将来予測シート②!$H28</f>
        <v>155.86840058558201</v>
      </c>
      <c r="DD4" s="10">
        <f>BW4+将来予測シート②!$H29</f>
        <v>122.42855211251936</v>
      </c>
      <c r="DE4" s="10">
        <f>BX4</f>
        <v>142.87038860796693</v>
      </c>
      <c r="DF4" s="10">
        <f t="shared" ref="DF4" si="27">BY4</f>
        <v>151.42069979236896</v>
      </c>
      <c r="DG4" s="10">
        <f t="shared" ref="DG4" si="28">BZ4</f>
        <v>175.24011671394734</v>
      </c>
      <c r="DH4" s="10">
        <f t="shared" ref="DH4" si="29">CA4</f>
        <v>134.85158897408394</v>
      </c>
      <c r="DI4" s="10">
        <f t="shared" ref="DI4" si="30">CB4</f>
        <v>104.03703525856334</v>
      </c>
      <c r="DJ4" s="10">
        <f t="shared" ref="DJ4" si="31">CC4</f>
        <v>57.853199338026606</v>
      </c>
      <c r="DK4" s="10">
        <f t="shared" ref="DK4" si="32">CD4</f>
        <v>21.204761276504936</v>
      </c>
      <c r="DL4" s="10">
        <f t="shared" ref="DL4" si="33">CE4</f>
        <v>4.543267852981681</v>
      </c>
      <c r="DM4" s="10">
        <f t="shared" si="5"/>
        <v>2200.1929306978691</v>
      </c>
      <c r="DN4" s="10">
        <f t="shared" ref="DN4:DN14" si="34">CS4*3/5+CT4*3/5</f>
        <v>106.94456160828283</v>
      </c>
      <c r="DO4" s="10">
        <f t="shared" ref="DO4:DO14" si="35">CT4*2/5+CU4*1/5</f>
        <v>53.926437151624654</v>
      </c>
      <c r="DP4" s="10">
        <f t="shared" si="6"/>
        <v>792.02105781444368</v>
      </c>
      <c r="DQ4" s="10">
        <f t="shared" ref="DQ4:DQ14" si="36">SUM(DG4:DL4)</f>
        <v>497.72996941410787</v>
      </c>
      <c r="DR4" s="14">
        <f t="shared" ref="DR4:DR14" si="37">DP4/DM4</f>
        <v>0.35997800318503259</v>
      </c>
      <c r="DS4" s="14">
        <f t="shared" ref="DS4:DS14" si="38">DQ4/DM4</f>
        <v>0.22622105655808791</v>
      </c>
      <c r="DT4" s="10">
        <f>SUM(CV4:CY4)</f>
        <v>360.55457411035422</v>
      </c>
      <c r="DV4" s="310"/>
      <c r="DW4" s="311"/>
      <c r="DX4" s="29">
        <f>DX3</f>
        <v>2025</v>
      </c>
      <c r="DY4" s="4" t="s">
        <v>22</v>
      </c>
      <c r="DZ4" s="10">
        <f>BK$4</f>
        <v>82.266341378295593</v>
      </c>
      <c r="EA4" s="10">
        <f>BL$4</f>
        <v>80.001277599193998</v>
      </c>
      <c r="EB4" s="10">
        <f t="shared" ref="EB4:ED4" si="39">BM$4</f>
        <v>97.239658414610716</v>
      </c>
      <c r="EC4" s="10">
        <f t="shared" si="39"/>
        <v>73.152868928901853</v>
      </c>
      <c r="ED4" s="10">
        <f t="shared" si="39"/>
        <v>57.889375658346466</v>
      </c>
      <c r="EE4" s="10">
        <f>BP$4+DX1</f>
        <v>132.77193824363559</v>
      </c>
      <c r="EF4" s="10">
        <f>BQ$4+DX1</f>
        <v>150.90739546593164</v>
      </c>
      <c r="EG4" s="10">
        <f>BR$4+DX1</f>
        <v>154.9858647424405</v>
      </c>
      <c r="EH4" s="10">
        <f t="shared" ref="EH4:ET4" si="40">BS$4</f>
        <v>104.64637611341959</v>
      </c>
      <c r="EI4" s="10">
        <f t="shared" si="40"/>
        <v>167.15464136333773</v>
      </c>
      <c r="EJ4" s="10">
        <f t="shared" si="40"/>
        <v>161.85918227721024</v>
      </c>
      <c r="EK4" s="10">
        <f t="shared" si="40"/>
        <v>155.86840058558201</v>
      </c>
      <c r="EL4" s="10">
        <f t="shared" si="40"/>
        <v>122.42855211251936</v>
      </c>
      <c r="EM4" s="10">
        <f t="shared" si="40"/>
        <v>142.87038860796693</v>
      </c>
      <c r="EN4" s="10">
        <f t="shared" si="40"/>
        <v>151.42069979236896</v>
      </c>
      <c r="EO4" s="10">
        <f t="shared" si="40"/>
        <v>175.24011671394734</v>
      </c>
      <c r="EP4" s="10">
        <f t="shared" si="40"/>
        <v>134.85158897408394</v>
      </c>
      <c r="EQ4" s="10">
        <f t="shared" si="40"/>
        <v>104.03703525856334</v>
      </c>
      <c r="ER4" s="10">
        <f t="shared" si="40"/>
        <v>57.853199338026606</v>
      </c>
      <c r="ES4" s="10">
        <f t="shared" si="40"/>
        <v>21.204761276504936</v>
      </c>
      <c r="ET4" s="10">
        <f t="shared" si="40"/>
        <v>4.543267852981681</v>
      </c>
      <c r="EU4" s="10">
        <f t="shared" si="9"/>
        <v>2333.1929306978691</v>
      </c>
      <c r="EV4" s="10">
        <f t="shared" ref="EV4:EV14" si="41">EA4*3/5+EB4*3/5</f>
        <v>106.34456160828282</v>
      </c>
      <c r="EW4" s="10">
        <f t="shared" ref="EW4:EW14" si="42">EB4*2/5+EC4*1/5</f>
        <v>53.526437151624656</v>
      </c>
      <c r="EX4" s="10">
        <f t="shared" si="10"/>
        <v>792.02105781444368</v>
      </c>
      <c r="EY4" s="10">
        <f t="shared" ref="EY4:EY14" si="43">SUM(EO4:ET4)</f>
        <v>497.72996941410787</v>
      </c>
      <c r="EZ4" s="14">
        <f t="shared" ref="EZ4:EZ14" si="44">EX4/EU4</f>
        <v>0.33945802226374244</v>
      </c>
      <c r="FA4" s="14">
        <f t="shared" ref="FA4:FA14" si="45">EY4/EU4</f>
        <v>0.21332568038650557</v>
      </c>
      <c r="FB4" s="10">
        <f>SUM(ED4:EG4)</f>
        <v>496.55457411035422</v>
      </c>
    </row>
    <row r="5" spans="1:158" x14ac:dyDescent="0.15">
      <c r="A5" s="7" t="str">
        <f t="shared" si="11"/>
        <v>2005_3</v>
      </c>
      <c r="B5" s="30">
        <v>2005</v>
      </c>
      <c r="C5" s="5" t="s">
        <v>23</v>
      </c>
      <c r="D5" s="11">
        <v>247.11764705882354</v>
      </c>
      <c r="E5" s="11">
        <v>290.90588235294115</v>
      </c>
      <c r="F5" s="11">
        <v>273.90588235294115</v>
      </c>
      <c r="G5" s="11">
        <v>259.10588235294119</v>
      </c>
      <c r="H5" s="11">
        <v>194.12352941176471</v>
      </c>
      <c r="I5" s="11">
        <v>282.12352941176471</v>
      </c>
      <c r="J5" s="11">
        <v>349.51764705882351</v>
      </c>
      <c r="K5" s="11">
        <v>327.42352941176466</v>
      </c>
      <c r="L5" s="11">
        <v>306.93529411764706</v>
      </c>
      <c r="M5" s="11">
        <v>329.91176470588232</v>
      </c>
      <c r="N5" s="11">
        <v>360.62352941176471</v>
      </c>
      <c r="O5" s="11">
        <v>413.22352941176473</v>
      </c>
      <c r="P5" s="11">
        <v>305.41176470588238</v>
      </c>
      <c r="Q5" s="11">
        <v>332.01764705882351</v>
      </c>
      <c r="R5" s="11">
        <v>272.91764705882355</v>
      </c>
      <c r="S5" s="11">
        <v>234.8294117647059</v>
      </c>
      <c r="T5" s="11">
        <v>126.20588235294117</v>
      </c>
      <c r="U5" s="11">
        <v>58.4</v>
      </c>
      <c r="V5" s="11">
        <v>28</v>
      </c>
      <c r="W5" s="11">
        <v>6.6</v>
      </c>
      <c r="X5" s="11">
        <v>0.3</v>
      </c>
      <c r="Y5" s="11">
        <f>SUM(D5:X5)</f>
        <v>4999.6000000000004</v>
      </c>
      <c r="Z5" s="11">
        <f t="shared" si="12"/>
        <v>338.8870588235294</v>
      </c>
      <c r="AA5" s="11">
        <f t="shared" si="13"/>
        <v>161.3835294117647</v>
      </c>
      <c r="AB5" s="11">
        <f t="shared" si="0"/>
        <v>1059.2705882352941</v>
      </c>
      <c r="AC5" s="11">
        <f t="shared" si="14"/>
        <v>454.33529411764709</v>
      </c>
      <c r="AD5" s="15">
        <f t="shared" si="15"/>
        <v>0.2118710673324454</v>
      </c>
      <c r="AE5" s="15">
        <f t="shared" si="16"/>
        <v>9.0874328769830995E-2</v>
      </c>
      <c r="AF5" s="11">
        <f t="shared" si="17"/>
        <v>1153.1882352941175</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0.9052691005024226</v>
      </c>
      <c r="AN5" s="6">
        <f t="shared" si="1"/>
        <v>0.88127844509475806</v>
      </c>
      <c r="AO5" s="6">
        <f t="shared" si="1"/>
        <v>0.84488503775177803</v>
      </c>
      <c r="AP5" s="6">
        <f t="shared" si="1"/>
        <v>0.6756682187330183</v>
      </c>
      <c r="AQ5" s="6">
        <f t="shared" si="1"/>
        <v>1.1532404659737916</v>
      </c>
      <c r="AR5" s="6">
        <f t="shared" si="1"/>
        <v>0.78949395263923838</v>
      </c>
      <c r="AS5" s="6">
        <f t="shared" si="1"/>
        <v>0.88939266028728892</v>
      </c>
      <c r="AT5" s="6">
        <f t="shared" si="1"/>
        <v>0.96082085379930227</v>
      </c>
      <c r="AU5" s="6">
        <f t="shared" si="1"/>
        <v>0.94928821218231529</v>
      </c>
      <c r="AV5" s="6">
        <f t="shared" si="1"/>
        <v>0.99203371453184119</v>
      </c>
      <c r="AW5" s="6">
        <f t="shared" si="1"/>
        <v>0.93484742147666622</v>
      </c>
      <c r="AX5" s="6">
        <f t="shared" si="1"/>
        <v>0.92839644284409206</v>
      </c>
      <c r="AY5" s="6">
        <f t="shared" si="1"/>
        <v>0.84361810907781876</v>
      </c>
      <c r="AZ5" s="6">
        <f t="shared" si="1"/>
        <v>0.81782552390280894</v>
      </c>
      <c r="BA5" s="6">
        <f t="shared" si="1"/>
        <v>0.8670173492142399</v>
      </c>
      <c r="BB5" s="6">
        <f t="shared" si="1"/>
        <v>0.80005916661974807</v>
      </c>
      <c r="BC5" s="6">
        <f t="shared" si="1"/>
        <v>0.53892534590098617</v>
      </c>
      <c r="BD5" s="6">
        <f t="shared" si="1"/>
        <v>0.58276597126648089</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0.17206697040325131</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157.77858612077864</v>
      </c>
      <c r="BL5" s="16">
        <f t="shared" ref="BL5:CE5" si="46">BL3+BL4</f>
        <v>159.85929648494312</v>
      </c>
      <c r="BM5" s="16">
        <f t="shared" si="46"/>
        <v>164.92159717630074</v>
      </c>
      <c r="BN5" s="16">
        <f t="shared" si="46"/>
        <v>152.97016606101454</v>
      </c>
      <c r="BO5" s="16">
        <f t="shared" si="46"/>
        <v>124.4057405768894</v>
      </c>
      <c r="BP5" s="16">
        <f t="shared" si="46"/>
        <v>189.7986590056214</v>
      </c>
      <c r="BQ5" s="16">
        <f t="shared" si="46"/>
        <v>215.89997386474693</v>
      </c>
      <c r="BR5" s="16">
        <f t="shared" si="46"/>
        <v>210.19339766377544</v>
      </c>
      <c r="BS5" s="16">
        <f t="shared" si="46"/>
        <v>207.93815233104209</v>
      </c>
      <c r="BT5" s="16">
        <f t="shared" si="46"/>
        <v>289.53632721237284</v>
      </c>
      <c r="BU5" s="16">
        <f t="shared" si="46"/>
        <v>320.08823987623163</v>
      </c>
      <c r="BV5" s="16">
        <f t="shared" si="46"/>
        <v>302.18449614310475</v>
      </c>
      <c r="BW5" s="16">
        <f t="shared" si="46"/>
        <v>238.84995047171566</v>
      </c>
      <c r="BX5" s="16">
        <f t="shared" si="46"/>
        <v>265.06101179445903</v>
      </c>
      <c r="BY5" s="16">
        <f t="shared" si="46"/>
        <v>276.87724876911199</v>
      </c>
      <c r="BZ5" s="16">
        <f t="shared" si="46"/>
        <v>310.38346266761175</v>
      </c>
      <c r="CA5" s="16">
        <f t="shared" si="46"/>
        <v>209.96867295003551</v>
      </c>
      <c r="CB5" s="16">
        <f t="shared" si="46"/>
        <v>162.98361847813419</v>
      </c>
      <c r="CC5" s="16">
        <f t="shared" si="46"/>
        <v>90.324176161029669</v>
      </c>
      <c r="CD5" s="16">
        <f t="shared" si="46"/>
        <v>26.803660814704863</v>
      </c>
      <c r="CE5" s="16">
        <f t="shared" si="46"/>
        <v>4.7350524711130415</v>
      </c>
      <c r="CF5" s="11">
        <f>SUM(BK5:CE5)</f>
        <v>4081.5614870947375</v>
      </c>
      <c r="CG5" s="11">
        <f t="shared" si="20"/>
        <v>194.86853619674631</v>
      </c>
      <c r="CH5" s="11">
        <f t="shared" si="21"/>
        <v>96.562672082723196</v>
      </c>
      <c r="CI5" s="11">
        <f t="shared" si="3"/>
        <v>1347.1369041062001</v>
      </c>
      <c r="CJ5" s="11">
        <f t="shared" si="22"/>
        <v>805.19864354262893</v>
      </c>
      <c r="CK5" s="15">
        <f t="shared" si="23"/>
        <v>0.33005429622110005</v>
      </c>
      <c r="CL5" s="15">
        <f t="shared" si="24"/>
        <v>0.19727710732486617</v>
      </c>
      <c r="CM5" s="11">
        <f t="shared" si="25"/>
        <v>740.29777111103317</v>
      </c>
      <c r="CO5" s="7" t="str">
        <f t="shared" si="26"/>
        <v>2025_3</v>
      </c>
      <c r="CP5" s="30">
        <f>CP4</f>
        <v>2025</v>
      </c>
      <c r="CQ5" s="5" t="s">
        <v>23</v>
      </c>
      <c r="CR5" s="16">
        <f>CR3+CR4</f>
        <v>159.77858612077864</v>
      </c>
      <c r="CS5" s="16">
        <f t="shared" ref="CS5" si="47">CS3+CS4</f>
        <v>159.85929648494312</v>
      </c>
      <c r="CT5" s="16">
        <f t="shared" ref="CT5" si="48">CT3+CT4</f>
        <v>166.92159717630074</v>
      </c>
      <c r="CU5" s="16">
        <f t="shared" ref="CU5" si="49">CU3+CU4</f>
        <v>152.97016606101454</v>
      </c>
      <c r="CV5" s="16">
        <f t="shared" ref="CV5" si="50">CV3+CV4</f>
        <v>124.4057405768894</v>
      </c>
      <c r="CW5" s="16">
        <f t="shared" ref="CW5" si="51">CW3+CW4</f>
        <v>193.7986590056214</v>
      </c>
      <c r="CX5" s="16">
        <f t="shared" ref="CX5" si="52">CX3+CX4</f>
        <v>215.89997386474693</v>
      </c>
      <c r="CY5" s="16">
        <f t="shared" ref="CY5" si="53">CY3+CY4</f>
        <v>210.19339766377544</v>
      </c>
      <c r="CZ5" s="16">
        <f t="shared" ref="CZ5" si="54">CZ3+CZ4</f>
        <v>208.93815233104209</v>
      </c>
      <c r="DA5" s="16">
        <f t="shared" ref="DA5" si="55">DA3+DA4</f>
        <v>289.53632721237284</v>
      </c>
      <c r="DB5" s="16">
        <f t="shared" ref="DB5" si="56">DB3+DB4</f>
        <v>320.08823987623163</v>
      </c>
      <c r="DC5" s="16">
        <f t="shared" ref="DC5" si="57">DC3+DC4</f>
        <v>302.18449614310475</v>
      </c>
      <c r="DD5" s="16">
        <f t="shared" ref="DD5" si="58">DD3+DD4</f>
        <v>238.84995047171566</v>
      </c>
      <c r="DE5" s="16">
        <f t="shared" ref="DE5" si="59">DE3+DE4</f>
        <v>265.06101179445903</v>
      </c>
      <c r="DF5" s="16">
        <f t="shared" ref="DF5" si="60">DF3+DF4</f>
        <v>276.87724876911199</v>
      </c>
      <c r="DG5" s="16">
        <f t="shared" ref="DG5" si="61">DG3+DG4</f>
        <v>310.38346266761175</v>
      </c>
      <c r="DH5" s="16">
        <f t="shared" ref="DH5" si="62">DH3+DH4</f>
        <v>209.96867295003551</v>
      </c>
      <c r="DI5" s="16">
        <f t="shared" ref="DI5" si="63">DI3+DI4</f>
        <v>162.98361847813419</v>
      </c>
      <c r="DJ5" s="16">
        <f t="shared" ref="DJ5" si="64">DJ3+DJ4</f>
        <v>90.324176161029669</v>
      </c>
      <c r="DK5" s="16">
        <f t="shared" ref="DK5" si="65">DK3+DK4</f>
        <v>26.803660814704863</v>
      </c>
      <c r="DL5" s="16">
        <f t="shared" ref="DL5" si="66">DL3+DL4</f>
        <v>4.7350524711130415</v>
      </c>
      <c r="DM5" s="11">
        <f>SUM(CR5:DL5)</f>
        <v>4090.5614870947375</v>
      </c>
      <c r="DN5" s="11">
        <f t="shared" si="34"/>
        <v>196.06853619674632</v>
      </c>
      <c r="DO5" s="11">
        <f t="shared" si="35"/>
        <v>97.362672082723208</v>
      </c>
      <c r="DP5" s="11">
        <f t="shared" si="6"/>
        <v>1347.1369041062001</v>
      </c>
      <c r="DQ5" s="11">
        <f t="shared" si="36"/>
        <v>805.19864354262893</v>
      </c>
      <c r="DR5" s="15">
        <f t="shared" si="37"/>
        <v>0.32932811506593063</v>
      </c>
      <c r="DS5" s="15">
        <f t="shared" si="38"/>
        <v>0.19684306080789649</v>
      </c>
      <c r="DT5" s="11">
        <f>SUM(CV5:CY5)</f>
        <v>744.29777111103317</v>
      </c>
      <c r="DV5" s="310"/>
      <c r="DW5" s="311"/>
      <c r="DX5" s="30">
        <f>DX4</f>
        <v>2025</v>
      </c>
      <c r="DY5" s="5" t="s">
        <v>23</v>
      </c>
      <c r="DZ5" s="16">
        <f>DZ3+DZ4</f>
        <v>157.77858612077864</v>
      </c>
      <c r="EA5" s="16">
        <f t="shared" ref="EA5:ET5" si="67">EA3+EA4</f>
        <v>159.85929648494312</v>
      </c>
      <c r="EB5" s="16">
        <f t="shared" si="67"/>
        <v>164.92159717630074</v>
      </c>
      <c r="EC5" s="16">
        <f t="shared" si="67"/>
        <v>152.97016606101454</v>
      </c>
      <c r="ED5" s="16">
        <f t="shared" si="67"/>
        <v>124.4057405768894</v>
      </c>
      <c r="EE5" s="16">
        <f t="shared" si="67"/>
        <v>281.7986590056214</v>
      </c>
      <c r="EF5" s="16">
        <f t="shared" si="67"/>
        <v>307.89997386474693</v>
      </c>
      <c r="EG5" s="16">
        <f t="shared" si="67"/>
        <v>302.1933976637755</v>
      </c>
      <c r="EH5" s="16">
        <f t="shared" si="67"/>
        <v>207.93815233104209</v>
      </c>
      <c r="EI5" s="16">
        <f t="shared" si="67"/>
        <v>289.53632721237284</v>
      </c>
      <c r="EJ5" s="16">
        <f t="shared" si="67"/>
        <v>320.08823987623163</v>
      </c>
      <c r="EK5" s="16">
        <f t="shared" si="67"/>
        <v>302.18449614310475</v>
      </c>
      <c r="EL5" s="16">
        <f t="shared" si="67"/>
        <v>238.84995047171566</v>
      </c>
      <c r="EM5" s="16">
        <f t="shared" si="67"/>
        <v>265.06101179445903</v>
      </c>
      <c r="EN5" s="16">
        <f t="shared" si="67"/>
        <v>276.87724876911199</v>
      </c>
      <c r="EO5" s="16">
        <f t="shared" si="67"/>
        <v>310.38346266761175</v>
      </c>
      <c r="EP5" s="16">
        <f t="shared" si="67"/>
        <v>209.96867295003551</v>
      </c>
      <c r="EQ5" s="16">
        <f t="shared" si="67"/>
        <v>162.98361847813419</v>
      </c>
      <c r="ER5" s="16">
        <f t="shared" si="67"/>
        <v>90.324176161029669</v>
      </c>
      <c r="ES5" s="16">
        <f t="shared" si="67"/>
        <v>26.803660814704863</v>
      </c>
      <c r="ET5" s="16">
        <f t="shared" si="67"/>
        <v>4.7350524711130415</v>
      </c>
      <c r="EU5" s="11">
        <f>SUM(DZ5:ET5)</f>
        <v>4357.5614870947365</v>
      </c>
      <c r="EV5" s="11">
        <f t="shared" si="41"/>
        <v>194.86853619674631</v>
      </c>
      <c r="EW5" s="11">
        <f t="shared" si="42"/>
        <v>96.562672082723196</v>
      </c>
      <c r="EX5" s="11">
        <f t="shared" si="10"/>
        <v>1347.1369041062001</v>
      </c>
      <c r="EY5" s="11">
        <f t="shared" si="43"/>
        <v>805.19864354262893</v>
      </c>
      <c r="EZ5" s="15">
        <f t="shared" si="44"/>
        <v>0.30914925884484995</v>
      </c>
      <c r="FA5" s="15">
        <f t="shared" si="45"/>
        <v>0.18478193501739185</v>
      </c>
      <c r="FB5" s="11">
        <f>SUM(ED5:EG5)</f>
        <v>1016.2977711110333</v>
      </c>
    </row>
    <row r="6" spans="1:158" x14ac:dyDescent="0.15">
      <c r="A6" s="7" t="str">
        <f t="shared" si="11"/>
        <v>2010_1</v>
      </c>
      <c r="B6" s="28">
        <v>2010</v>
      </c>
      <c r="C6" s="3" t="s">
        <v>21</v>
      </c>
      <c r="D6" s="9">
        <v>107.25495499984243</v>
      </c>
      <c r="E6" s="9">
        <v>114.56093343899678</v>
      </c>
      <c r="F6" s="9">
        <v>145.45616707193241</v>
      </c>
      <c r="G6" s="9">
        <v>118.13424305856809</v>
      </c>
      <c r="H6" s="9">
        <v>83.371621234403662</v>
      </c>
      <c r="I6" s="9">
        <v>139.92077561154463</v>
      </c>
      <c r="J6" s="9">
        <v>145.34885510312344</v>
      </c>
      <c r="K6" s="9">
        <v>154.07841687327743</v>
      </c>
      <c r="L6" s="9">
        <v>157.14734022536518</v>
      </c>
      <c r="M6" s="9">
        <v>139.97509830904076</v>
      </c>
      <c r="N6" s="9">
        <v>155.7582159566752</v>
      </c>
      <c r="O6" s="9">
        <v>166.3755623554656</v>
      </c>
      <c r="P6" s="9">
        <v>197.90630407623527</v>
      </c>
      <c r="Q6" s="9">
        <v>130.29241172716328</v>
      </c>
      <c r="R6" s="9">
        <v>138.21036163640284</v>
      </c>
      <c r="S6" s="9">
        <v>97.52307579233694</v>
      </c>
      <c r="T6" s="9">
        <v>73.128449750357916</v>
      </c>
      <c r="U6" s="9">
        <v>27.64552214708911</v>
      </c>
      <c r="V6" s="9">
        <v>5.811690632179018</v>
      </c>
      <c r="W6" s="9">
        <v>3</v>
      </c>
      <c r="X6" s="9">
        <v>0</v>
      </c>
      <c r="Y6" s="9">
        <f t="shared" ref="Y6:Y11" si="68">SUM(D6:X6)</f>
        <v>2300.9</v>
      </c>
      <c r="Z6" s="9">
        <f t="shared" si="12"/>
        <v>156.01026030655748</v>
      </c>
      <c r="AA6" s="9">
        <f t="shared" si="13"/>
        <v>81.809315440486586</v>
      </c>
      <c r="AB6" s="9">
        <f t="shared" si="0"/>
        <v>475.61151168552914</v>
      </c>
      <c r="AC6" s="9">
        <f t="shared" si="14"/>
        <v>207.10873832196299</v>
      </c>
      <c r="AD6" s="13">
        <f t="shared" si="15"/>
        <v>0.20670672853471647</v>
      </c>
      <c r="AE6" s="13">
        <f t="shared" si="16"/>
        <v>9.0012055422644607E-2</v>
      </c>
      <c r="AF6" s="9">
        <f t="shared" si="17"/>
        <v>522.71966882234915</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0.81910691464270557</v>
      </c>
      <c r="AN6" s="193">
        <f t="shared" si="18"/>
        <v>0.93885237607309746</v>
      </c>
      <c r="AO6" s="193">
        <f t="shared" si="18"/>
        <v>0.79689423140989091</v>
      </c>
      <c r="AP6" s="193">
        <f t="shared" si="18"/>
        <v>0.75971797774636884</v>
      </c>
      <c r="AQ6" s="193">
        <f t="shared" si="18"/>
        <v>1.1678405396790172</v>
      </c>
      <c r="AR6" s="193">
        <f t="shared" si="18"/>
        <v>0.73340905086261421</v>
      </c>
      <c r="AS6" s="193">
        <f t="shared" si="18"/>
        <v>0.85775245906782005</v>
      </c>
      <c r="AT6" s="193">
        <f t="shared" si="18"/>
        <v>0.89461605404676448</v>
      </c>
      <c r="AU6" s="193">
        <f t="shared" si="18"/>
        <v>1.0716797395568483</v>
      </c>
      <c r="AV6" s="193">
        <f t="shared" si="18"/>
        <v>0.97610592539346874</v>
      </c>
      <c r="AW6" s="193">
        <f t="shared" si="18"/>
        <v>0.96809986469856235</v>
      </c>
      <c r="AX6" s="193">
        <f t="shared" si="18"/>
        <v>0.90029198712715586</v>
      </c>
      <c r="AY6" s="193">
        <f t="shared" si="18"/>
        <v>0.93890195878468974</v>
      </c>
      <c r="AZ6" s="193">
        <f t="shared" si="18"/>
        <v>0.92691061173022882</v>
      </c>
      <c r="BA6" s="193">
        <f t="shared" si="18"/>
        <v>0.95111894454486223</v>
      </c>
      <c r="BB6" s="193">
        <f t="shared" si="18"/>
        <v>0.84337489030416624</v>
      </c>
      <c r="BC6" s="193">
        <f t="shared" si="18"/>
        <v>0.73145909034063061</v>
      </c>
      <c r="BD6" s="193">
        <f t="shared" si="18"/>
        <v>0.60543370410142783</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0.38100084450348193</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0.15854194714722258</v>
      </c>
      <c r="BH6" s="7" t="str">
        <f t="shared" si="19"/>
        <v>2030_1</v>
      </c>
      <c r="BI6" s="28">
        <f>管理者入力シート!B9</f>
        <v>2030</v>
      </c>
      <c r="BJ6" s="3" t="s">
        <v>21</v>
      </c>
      <c r="BK6" s="9">
        <f>CM7*$AK$13</f>
        <v>63.159019000331185</v>
      </c>
      <c r="BL6" s="9">
        <f>IF(管理者入力シート!$B$14=1,BK3*管理者用人口入力シート!AM$3,IF(管理者入力シート!$B$14=2,BK3*管理者用人口入力シート!AM$7))</f>
        <v>69.184294011108491</v>
      </c>
      <c r="BM6" s="9">
        <f>IF(管理者入力シート!$B$14=1,BL3*管理者用人口入力シート!AN$3,IF(管理者入力シート!$B$14=2,BL3*管理者用人口入力シート!AN$7))</f>
        <v>70.9092183493009</v>
      </c>
      <c r="BN6" s="9">
        <f>IF(管理者入力シート!$B$14=1,BM3*管理者用人口入力シート!AO$3,IF(管理者入力シート!$B$14=2,BM3*管理者用人口入力シート!AO$7))</f>
        <v>62.189857518183373</v>
      </c>
      <c r="BO6" s="9">
        <f>IF(管理者入力シート!$B$14=1,BN3*管理者用人口入力シート!AP$3,IF(管理者入力シート!$B$14=2,BN3*管理者用人口入力シート!AP$7))</f>
        <v>52.623521798301937</v>
      </c>
      <c r="BP6" s="9">
        <f>IF(管理者入力シート!$B$14=1,BO3*管理者用人口入力シート!AQ$3,IF(管理者入力シート!$B$14=2,BO3*管理者用人口入力シート!AQ$7))</f>
        <v>86.679486981286942</v>
      </c>
      <c r="BQ6" s="9">
        <f>IF(管理者入力シート!$B$14=1,BP3*管理者用人口入力シート!AR$3,IF(管理者入力シート!$B$14=2,BP3*管理者用人口入力シート!AR$7))</f>
        <v>97.292361684490785</v>
      </c>
      <c r="BR6" s="9">
        <f>IF(管理者入力シート!$B$14=1,BQ3*管理者用人口入力シート!AS$3,IF(管理者入力シート!$B$14=2,BQ3*管理者用人口入力シート!AS$7))</f>
        <v>103.4331448126925</v>
      </c>
      <c r="BS6" s="9">
        <f>IF(管理者入力シート!$B$14=1,BR3*管理者用人口入力シート!AT$3,IF(管理者入力シート!$B$14=2,BR3*管理者用人口入力シート!AT$7))</f>
        <v>96.91913639195883</v>
      </c>
      <c r="BT6" s="9">
        <f>IF(管理者入力シート!$B$14=1,BS3*管理者用人口入力シート!AU$3,IF(管理者入力シート!$B$14=2,BS3*管理者用人口入力シート!AU$7))</f>
        <v>102.45332248908963</v>
      </c>
      <c r="BU6" s="9">
        <f>IF(管理者入力シート!$B$14=1,BT3*管理者用人口入力シート!AV$3,IF(管理者入力シート!$B$14=2,BT3*管理者用人口入力シート!AV$7))</f>
        <v>126.21062885090426</v>
      </c>
      <c r="BV6" s="9">
        <f>IF(管理者入力シート!$B$14=1,BU3*管理者用人口入力シート!AW$3,IF(管理者入力シート!$B$14=2,BU3*管理者用人口入力シート!AW$7))</f>
        <v>144.7573605445798</v>
      </c>
      <c r="BW6" s="9">
        <f>IF(管理者入力シート!$B$14=1,BV3*管理者用人口入力シート!AX$3,IF(管理者入力シート!$B$14=2,BV3*管理者用人口入力シート!AX$7))</f>
        <v>137.01862581871089</v>
      </c>
      <c r="BX6" s="9">
        <f>IF(管理者入力シート!$B$14=1,BW3*管理者用人口入力シート!AY$3,IF(管理者入力シート!$B$14=2,BW3*管理者用人口入力シート!AY$7))</f>
        <v>103.42783931417361</v>
      </c>
      <c r="BY6" s="9">
        <f>IF(管理者入力シート!$B$14=1,BX3*管理者用人口入力シート!AZ$3,IF(管理者入力シート!$B$14=2,BX3*管理者用人口入力シート!AZ$7))</f>
        <v>106.08276352559851</v>
      </c>
      <c r="BZ6" s="9">
        <f>IF(管理者入力シート!$B$14=1,BY3*管理者用人口入力シート!BA$3,IF(管理者入力シート!$B$14=2,BY3*管理者用人口入力シート!BA$7))</f>
        <v>110.18671925118014</v>
      </c>
      <c r="CA6" s="9">
        <f>IF(管理者入力シート!$B$14=1,BZ3*管理者用人口入力シート!BB$3,IF(管理者入力シート!$B$14=2,BZ3*管理者用人口入力シート!BB$7))</f>
        <v>107.08029551524058</v>
      </c>
      <c r="CB6" s="9">
        <f>IF(管理者入力シート!$B$14=1,CA3*管理者用人口入力シート!BC$3,IF(管理者入力シート!$B$14=2,CA3*管理者用人口入力シート!BC$7))</f>
        <v>47.089196900741804</v>
      </c>
      <c r="CC6" s="9">
        <f>IF(管理者入力シート!$B$14=1,CB3*管理者用人口入力シート!BD$3,IF(管理者入力シート!$B$14=2,CB3*管理者用人口入力シート!BD$7))</f>
        <v>33.64247802494009</v>
      </c>
      <c r="CD6" s="9">
        <f>IF(管理者入力シート!$B$14=1,CC3*管理者用人口入力シート!BE$3,IF(管理者入力シート!$B$14=2,CC3*管理者用人口入力シート!BE$7))</f>
        <v>8.2531275262257342</v>
      </c>
      <c r="CE6" s="9">
        <f>IF(管理者入力シート!$B$14=1,CD3*管理者用人口入力シート!BF$3,IF(管理者入力シート!$B$14=2,CD3*管理者用人口入力シート!BF$7))</f>
        <v>0.17752052489398976</v>
      </c>
      <c r="CF6" s="9">
        <f t="shared" si="2"/>
        <v>1728.7699188339338</v>
      </c>
      <c r="CG6" s="9">
        <f t="shared" si="20"/>
        <v>84.056107416245638</v>
      </c>
      <c r="CH6" s="9">
        <f t="shared" si="21"/>
        <v>40.801658843357032</v>
      </c>
      <c r="CI6" s="9">
        <f t="shared" si="3"/>
        <v>515.9399405829945</v>
      </c>
      <c r="CJ6" s="9">
        <f t="shared" si="22"/>
        <v>306.42933774322233</v>
      </c>
      <c r="CK6" s="13">
        <f t="shared" si="23"/>
        <v>0.29844338159874928</v>
      </c>
      <c r="CL6" s="13">
        <f t="shared" si="24"/>
        <v>0.17725281681781624</v>
      </c>
      <c r="CM6" s="9">
        <f t="shared" si="25"/>
        <v>340.02851527677217</v>
      </c>
      <c r="CO6" s="7" t="str">
        <f t="shared" si="26"/>
        <v>2030_1</v>
      </c>
      <c r="CP6" s="28">
        <f>管理者入力シート!B9</f>
        <v>2030</v>
      </c>
      <c r="CQ6" s="3" t="s">
        <v>21</v>
      </c>
      <c r="CR6" s="9">
        <f>DT7*$AK$13+将来予測シート②!$G17</f>
        <v>64.95726504097496</v>
      </c>
      <c r="CS6" s="9">
        <f>IF(管理者入力シート!$B$14=1,CR3*管理者用人口入力シート!AM$3,IF(管理者入力シート!$B$14=2,CR3*管理者用人口入力シート!AM$7))+将来予測シート②!$G18</f>
        <v>70.100493685042778</v>
      </c>
      <c r="CT6" s="9">
        <f>IF(管理者入力シート!$B$14=1,CS3*管理者用人口入力シート!AN$3,IF(管理者入力シート!$B$14=2,CS3*管理者用人口入力シート!AN$7))+将来予測シート②!$G19</f>
        <v>71.9092183493009</v>
      </c>
      <c r="CU6" s="9">
        <f>IF(管理者入力シート!$B$14=1,CT3*管理者用人口入力シート!AO$3,IF(管理者入力シート!$B$14=2,CT3*管理者用人口入力シート!AO$7))+将来予測シート②!$G20</f>
        <v>63.108712070165929</v>
      </c>
      <c r="CV6" s="9">
        <f>IF(管理者入力シート!$B$14=1,CU3*管理者用人口入力シート!AP$3,IF(管理者入力シート!$B$14=2,CU3*管理者用人口入力シート!AP$7))+将来予測シート②!$G21</f>
        <v>52.623521798301937</v>
      </c>
      <c r="CW6" s="9">
        <f>IF(管理者入力シート!$B$14=1,CV3*管理者用人口入力シート!AQ$3,IF(管理者入力シート!$B$14=2,CV3*管理者用人口入力シート!AQ$7))+将来予測シート②!$G22</f>
        <v>88.679486981286942</v>
      </c>
      <c r="CX6" s="9">
        <f>IF(管理者入力シート!$B$14=1,CW3*管理者用人口入力シート!AR$3,IF(管理者入力シート!$B$14=2,CW3*管理者用人口入力シート!AR$7))+将来予測シート②!$G23</f>
        <v>99.181043784919027</v>
      </c>
      <c r="CY6" s="9">
        <f>IF(管理者入力シート!$B$14=1,CX3*管理者用人口入力シート!AS$3,IF(管理者入力シート!$B$14=2,CX3*管理者用人口入力シート!AS$7))+将来予測シート②!$G24</f>
        <v>103.4331448126925</v>
      </c>
      <c r="CZ6" s="9">
        <f>IF(管理者入力シート!$B$14=1,CY3*管理者用人口入力シート!AT$3,IF(管理者入力シート!$B$14=2,CY3*管理者用人口入力シート!AT$7))+将来予測シート②!$G25</f>
        <v>96.91913639195883</v>
      </c>
      <c r="DA6" s="9">
        <f>IF(管理者入力シート!$B$14=1,CZ3*管理者用人口入力シート!AU$3,IF(管理者入力シート!$B$14=2,CZ3*管理者用人口入力シート!AU$7))+将来予測シート②!$G26</f>
        <v>102.45332248908963</v>
      </c>
      <c r="DB6" s="9">
        <f>IF(管理者入力シート!$B$14=1,DA3*管理者用人口入力シート!AV$3,IF(管理者入力シート!$B$14=2,DA3*管理者用人口入力シート!AV$7))+将来予測シート②!$G27</f>
        <v>126.21062885090426</v>
      </c>
      <c r="DC6" s="9">
        <f>IF(管理者入力シート!$B$14=1,DB3*管理者用人口入力シート!AW$3,IF(管理者入力シート!$B$14=2,DB3*管理者用人口入力シート!AW$7))+将来予測シート②!$G28</f>
        <v>144.7573605445798</v>
      </c>
      <c r="DD6" s="9">
        <f>IF(管理者入力シート!$B$14=1,DC3*管理者用人口入力シート!AX$3,IF(管理者入力シート!$B$14=2,DC3*管理者用人口入力シート!AX$7))+将来予測シート②!$G29</f>
        <v>137.01862581871089</v>
      </c>
      <c r="DE6" s="9">
        <f>IF(管理者入力シート!$B$14=1,DD3*管理者用人口入力シート!AY$3,IF(管理者入力シート!$B$14=2,DD3*管理者用人口入力シート!AY$7))</f>
        <v>103.42783931417361</v>
      </c>
      <c r="DF6" s="9">
        <f>IF(管理者入力シート!$B$14=1,DE3*管理者用人口入力シート!AZ$3,IF(管理者入力シート!$B$14=2,DE3*管理者用人口入力シート!AZ$7))</f>
        <v>106.08276352559851</v>
      </c>
      <c r="DG6" s="9">
        <f>IF(管理者入力シート!$B$14=1,DF3*管理者用人口入力シート!BA$3,IF(管理者入力シート!$B$14=2,DF3*管理者用人口入力シート!BA$7))</f>
        <v>110.18671925118014</v>
      </c>
      <c r="DH6" s="9">
        <f>IF(管理者入力シート!$B$14=1,DG3*管理者用人口入力シート!BB$3,IF(管理者入力シート!$B$14=2,DG3*管理者用人口入力シート!BB$7))</f>
        <v>107.08029551524058</v>
      </c>
      <c r="DI6" s="9">
        <f>IF(管理者入力シート!$B$14=1,DH3*管理者用人口入力シート!BC$3,IF(管理者入力シート!$B$14=2,DH3*管理者用人口入力シート!BC$7))</f>
        <v>47.089196900741804</v>
      </c>
      <c r="DJ6" s="9">
        <f>IF(管理者入力シート!$B$14=1,DI3*管理者用人口入力シート!BD$3,IF(管理者入力シート!$B$14=2,DI3*管理者用人口入力シート!BD$7))</f>
        <v>33.64247802494009</v>
      </c>
      <c r="DK6" s="9">
        <f>IF(管理者入力シート!$B$14=1,DJ3*管理者用人口入力シート!BE$3,IF(管理者入力シート!$B$14=2,DJ3*管理者用人口入力シート!BE$7))</f>
        <v>8.2531275262257342</v>
      </c>
      <c r="DL6" s="9">
        <f>IF(管理者入力シート!$B$14=1,DK3*管理者用人口入力シート!BF$3,IF(管理者入力シート!$B$14=2,DK3*管理者用人口入力シート!BF$7))</f>
        <v>0.17752052489398976</v>
      </c>
      <c r="DM6" s="9">
        <f t="shared" ref="DM6:DM14" si="69">SUM(CR6:DL6)</f>
        <v>1737.2919012009227</v>
      </c>
      <c r="DN6" s="9">
        <f t="shared" si="34"/>
        <v>85.20582722060621</v>
      </c>
      <c r="DO6" s="9">
        <f t="shared" si="35"/>
        <v>41.385429753753542</v>
      </c>
      <c r="DP6" s="9">
        <f t="shared" si="6"/>
        <v>515.9399405829945</v>
      </c>
      <c r="DQ6" s="9">
        <f t="shared" si="36"/>
        <v>306.42933774322233</v>
      </c>
      <c r="DR6" s="13">
        <f t="shared" si="37"/>
        <v>0.29697941965097818</v>
      </c>
      <c r="DS6" s="13">
        <f t="shared" si="38"/>
        <v>0.17638333404501547</v>
      </c>
      <c r="DT6" s="9">
        <f t="shared" ref="DT6:DT14" si="70">SUM(CV6:CY6)</f>
        <v>343.91719737720041</v>
      </c>
      <c r="DV6" s="7" t="s">
        <v>400</v>
      </c>
      <c r="DX6" s="28">
        <f>管理者入力シート!B9</f>
        <v>2030</v>
      </c>
      <c r="DY6" s="3" t="s">
        <v>21</v>
      </c>
      <c r="DZ6" s="9">
        <f>FB7*$AK$13</f>
        <v>109.81766547265408</v>
      </c>
      <c r="EA6" s="129">
        <f>IF(管理者入力シート!$B$14=1,DZ3*管理者用人口入力シート!AM$3,IF(管理者入力シート!$B$14=2,DZ3*管理者用人口入力シート!AM$7))</f>
        <v>69.184294011108491</v>
      </c>
      <c r="EB6" s="9">
        <f>IF(管理者入力シート!$B$14=1,EA3*管理者用人口入力シート!AN$3,IF(管理者入力シート!$B$14=2,EA3*管理者用人口入力シート!AN$7))</f>
        <v>70.9092183493009</v>
      </c>
      <c r="EC6" s="9">
        <f>IF(管理者入力シート!$B$14=1,EB3*管理者用人口入力シート!AO$3,IF(管理者入力シート!$B$14=2,EB3*管理者用人口入力シート!AO$7))</f>
        <v>62.189857518183373</v>
      </c>
      <c r="ED6" s="9">
        <f>IF(管理者入力シート!$B$14=1,EC3*管理者用人口入力シート!AP$3,IF(管理者入力シート!$B$14=2,EC3*管理者用人口入力シート!AP$7))</f>
        <v>52.623521798301937</v>
      </c>
      <c r="EE6" s="9">
        <f>IF(管理者入力シート!$B$14=1,ED3*管理者用人口入力シート!AQ$3,IF(管理者入力シート!$B$14=2,ED3*管理者用人口入力シート!AQ$7))+DX1</f>
        <v>132.67948698128694</v>
      </c>
      <c r="EF6" s="9">
        <f>IF(管理者入力シート!$B$14=1,EE3*管理者用人口入力シート!AR$3,IF(管理者入力シート!$B$14=2,EE3*管理者用人口入力シート!AR$7))+DX1</f>
        <v>186.73204999434043</v>
      </c>
      <c r="EG6" s="9">
        <f>IF(管理者入力シート!$B$14=1,EF3*管理者用人口入力シート!AS$3,IF(管理者入力シート!$B$14=2,EF3*管理者用人口入力シート!AS$7))+DX1</f>
        <v>192.30019709692561</v>
      </c>
      <c r="EH6" s="9">
        <f>IF(管理者入力シート!$B$14=1,EG3*管理者用人口入力シート!AT$3,IF(管理者入力シート!$B$14=2,EG3*管理者用人口入力シート!AT$7))</f>
        <v>140.97001032735423</v>
      </c>
      <c r="EI6" s="9">
        <f>IF(管理者入力シート!$B$14=1,EH3*管理者用人口入力シート!AU$3,IF(管理者入力シート!$B$14=2,EH3*管理者用人口入力シート!AU$7))</f>
        <v>102.45332248908963</v>
      </c>
      <c r="EJ6" s="9">
        <f>IF(管理者入力シート!$B$14=1,EI3*管理者用人口入力シート!AV$3,IF(管理者入力シート!$B$14=2,EI3*管理者用人口入力シート!AV$7))</f>
        <v>126.21062885090426</v>
      </c>
      <c r="EK6" s="9">
        <f>IF(管理者入力シート!$B$14=1,EJ3*管理者用人口入力シート!AW$3,IF(管理者入力シート!$B$14=2,EJ3*管理者用人口入力シート!AW$7))</f>
        <v>144.7573605445798</v>
      </c>
      <c r="EL6" s="9">
        <f>IF(管理者入力シート!$B$14=1,EK3*管理者用人口入力シート!AX$3,IF(管理者入力シート!$B$14=2,EK3*管理者用人口入力シート!AX$7))</f>
        <v>137.01862581871089</v>
      </c>
      <c r="EM6" s="9">
        <f>IF(管理者入力シート!$B$14=1,EL3*管理者用人口入力シート!AY$3,IF(管理者入力シート!$B$14=2,EL3*管理者用人口入力シート!AY$7))</f>
        <v>103.42783931417361</v>
      </c>
      <c r="EN6" s="9">
        <f>IF(管理者入力シート!$B$14=1,EM3*管理者用人口入力シート!AZ$3,IF(管理者入力シート!$B$14=2,EM3*管理者用人口入力シート!AZ$7))</f>
        <v>106.08276352559851</v>
      </c>
      <c r="EO6" s="9">
        <f>IF(管理者入力シート!$B$14=1,EN3*管理者用人口入力シート!BA$3,IF(管理者入力シート!$B$14=2,EN3*管理者用人口入力シート!BA$7))</f>
        <v>110.18671925118014</v>
      </c>
      <c r="EP6" s="9">
        <f>IF(管理者入力シート!$B$14=1,EO3*管理者用人口入力シート!BB$3,IF(管理者入力シート!$B$14=2,EO3*管理者用人口入力シート!BB$7))</f>
        <v>107.08029551524058</v>
      </c>
      <c r="EQ6" s="9">
        <f>IF(管理者入力シート!$B$14=1,EP3*管理者用人口入力シート!BC$3,IF(管理者入力シート!$B$14=2,EP3*管理者用人口入力シート!BC$7))</f>
        <v>47.089196900741804</v>
      </c>
      <c r="ER6" s="9">
        <f>IF(管理者入力シート!$B$14=1,EQ3*管理者用人口入力シート!BD$3,IF(管理者入力シート!$B$14=2,EQ3*管理者用人口入力シート!BD$7))</f>
        <v>33.64247802494009</v>
      </c>
      <c r="ES6" s="9">
        <f>IF(管理者入力シート!$B$14=1,ER3*管理者用人口入力シート!BE$3,IF(管理者入力シート!$B$14=2,ER3*管理者用人口入力シート!BE$7))</f>
        <v>8.2531275262257342</v>
      </c>
      <c r="ET6" s="9">
        <f>IF(管理者入力シート!$B$14=1,ES3*管理者用人口入力シート!BF$3,IF(管理者入力シート!$B$14=2,ES3*管理者用人口入力シート!BF$7))</f>
        <v>0.17752052489398976</v>
      </c>
      <c r="EU6" s="9">
        <f t="shared" ref="EU6:EU14" si="71">SUM(DZ6:ET6)</f>
        <v>2043.7861798357349</v>
      </c>
      <c r="EV6" s="9">
        <f t="shared" si="41"/>
        <v>84.056107416245638</v>
      </c>
      <c r="EW6" s="9">
        <f t="shared" si="42"/>
        <v>40.801658843357032</v>
      </c>
      <c r="EX6" s="9">
        <f t="shared" si="10"/>
        <v>515.9399405829945</v>
      </c>
      <c r="EY6" s="9">
        <f t="shared" si="43"/>
        <v>306.42933774322233</v>
      </c>
      <c r="EZ6" s="13">
        <f t="shared" si="44"/>
        <v>0.25244320843018037</v>
      </c>
      <c r="FA6" s="13">
        <f t="shared" si="45"/>
        <v>0.14993218995533622</v>
      </c>
      <c r="FB6" s="9">
        <f t="shared" ref="FB6:FB14" si="72">SUM(ED6:EG6)</f>
        <v>564.33525587085501</v>
      </c>
    </row>
    <row r="7" spans="1:158" x14ac:dyDescent="0.15">
      <c r="A7" s="7" t="str">
        <f t="shared" si="11"/>
        <v>2010_2</v>
      </c>
      <c r="B7" s="29">
        <v>2010</v>
      </c>
      <c r="C7" s="4" t="s">
        <v>22</v>
      </c>
      <c r="D7" s="10">
        <v>103.459771124131</v>
      </c>
      <c r="E7" s="10">
        <v>107.11026503710305</v>
      </c>
      <c r="F7" s="10">
        <v>123.74091906348252</v>
      </c>
      <c r="G7" s="10">
        <v>116.67476660800246</v>
      </c>
      <c r="H7" s="10">
        <v>92.728998761720646</v>
      </c>
      <c r="I7" s="10">
        <v>149.59576052485966</v>
      </c>
      <c r="J7" s="10">
        <v>172.43894918119392</v>
      </c>
      <c r="K7" s="10">
        <v>173.27529678766678</v>
      </c>
      <c r="L7" s="10">
        <v>166.50381177334765</v>
      </c>
      <c r="M7" s="10">
        <v>148.98075151639208</v>
      </c>
      <c r="N7" s="10">
        <v>175.88877901562267</v>
      </c>
      <c r="O7" s="10">
        <v>195.44203532482351</v>
      </c>
      <c r="P7" s="10">
        <v>212.17403147463318</v>
      </c>
      <c r="Q7" s="10">
        <v>180.25348811634129</v>
      </c>
      <c r="R7" s="10">
        <v>177.4302320082856</v>
      </c>
      <c r="S7" s="10">
        <v>149.34079343701492</v>
      </c>
      <c r="T7" s="10">
        <v>121.56722532879569</v>
      </c>
      <c r="U7" s="10">
        <v>65.148225656686719</v>
      </c>
      <c r="V7" s="10">
        <v>32.829836583102903</v>
      </c>
      <c r="W7" s="10">
        <v>6.3074789858068074</v>
      </c>
      <c r="X7" s="10">
        <v>2.0085836909871242</v>
      </c>
      <c r="Y7" s="10">
        <f t="shared" si="68"/>
        <v>2672.9000000000005</v>
      </c>
      <c r="Z7" s="10">
        <f t="shared" si="12"/>
        <v>138.51071046035133</v>
      </c>
      <c r="AA7" s="10">
        <f t="shared" si="13"/>
        <v>72.8313209469935</v>
      </c>
      <c r="AB7" s="10">
        <f t="shared" si="0"/>
        <v>734.885863807021</v>
      </c>
      <c r="AC7" s="10">
        <f t="shared" si="14"/>
        <v>377.20214368239419</v>
      </c>
      <c r="AD7" s="14">
        <f t="shared" si="15"/>
        <v>0.2749395277814437</v>
      </c>
      <c r="AE7" s="14">
        <f t="shared" si="16"/>
        <v>0.14112093369837783</v>
      </c>
      <c r="AF7" s="10">
        <f t="shared" si="17"/>
        <v>588.039005255441</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0.91619967393427948</v>
      </c>
      <c r="AN7" s="48">
        <f t="shared" si="73"/>
        <v>0.88794111522787667</v>
      </c>
      <c r="AO7" s="48">
        <f t="shared" si="73"/>
        <v>0.91885455198255472</v>
      </c>
      <c r="AP7" s="48">
        <f t="shared" si="73"/>
        <v>0.65929972185352359</v>
      </c>
      <c r="AQ7" s="48">
        <f t="shared" si="73"/>
        <v>1.3031302460294711</v>
      </c>
      <c r="AR7" s="48">
        <f t="shared" si="73"/>
        <v>0.9443410502141224</v>
      </c>
      <c r="AS7" s="48">
        <f t="shared" si="73"/>
        <v>0.93189244096158919</v>
      </c>
      <c r="AT7" s="48">
        <f t="shared" si="73"/>
        <v>0.95762769424772609</v>
      </c>
      <c r="AU7" s="48">
        <f t="shared" si="73"/>
        <v>0.99188266714703077</v>
      </c>
      <c r="AV7" s="48">
        <f t="shared" si="73"/>
        <v>1.0312868953823071</v>
      </c>
      <c r="AW7" s="48">
        <f t="shared" si="73"/>
        <v>0.91485952543191473</v>
      </c>
      <c r="AX7" s="48">
        <f t="shared" si="73"/>
        <v>0.93645627500252282</v>
      </c>
      <c r="AY7" s="48">
        <f t="shared" si="73"/>
        <v>0.88839200329020673</v>
      </c>
      <c r="AZ7" s="48">
        <f t="shared" si="73"/>
        <v>0.86817433907093544</v>
      </c>
      <c r="BA7" s="48">
        <f t="shared" si="73"/>
        <v>0.8782859097423954</v>
      </c>
      <c r="BB7" s="48">
        <f t="shared" si="73"/>
        <v>0.79234604382190132</v>
      </c>
      <c r="BC7" s="48">
        <f t="shared" si="73"/>
        <v>0.62687732814305208</v>
      </c>
      <c r="BD7" s="48">
        <f t="shared" si="73"/>
        <v>0.57072821166961962</v>
      </c>
      <c r="BE7" s="48">
        <f t="shared" si="73"/>
        <v>0.25416936395886497</v>
      </c>
      <c r="BF7" s="48">
        <f t="shared" si="73"/>
        <v>3.1706324373711396E-2</v>
      </c>
      <c r="BH7" s="7" t="str">
        <f t="shared" si="19"/>
        <v>2030_2</v>
      </c>
      <c r="BI7" s="29">
        <f>BI6</f>
        <v>2030</v>
      </c>
      <c r="BJ7" s="4" t="s">
        <v>22</v>
      </c>
      <c r="BK7" s="10">
        <f>CM7*$AK$14</f>
        <v>68.808197080073299</v>
      </c>
      <c r="BL7" s="10">
        <f>IF(管理者入力シート!$B$14=1,BK4*管理者用人口入力シート!AM$4,IF(管理者入力シート!$B$14=2,BK4*管理者用人口入力シート!AM$8))</f>
        <v>69.308404940592027</v>
      </c>
      <c r="BM7" s="10">
        <f>IF(管理者入力シート!$B$14=1,BL4*管理者用人口入力シート!AN$4,IF(管理者入力シート!$B$14=2,BL4*管理者用人口入力シート!AN$8))</f>
        <v>80.986147782670116</v>
      </c>
      <c r="BN7" s="10">
        <f>IF(管理者入力シート!$B$14=1,BM4*管理者用人口入力シート!AO$4,IF(管理者入力シート!$B$14=2,BM4*管理者用人口入力シート!AO$8))</f>
        <v>76.901064913322372</v>
      </c>
      <c r="BO7" s="10">
        <f>IF(管理者入力シート!$B$14=1,BN4*管理者用人口入力シート!AP$4,IF(管理者入力シート!$B$14=2,BN4*管理者用人口入力シート!AP$8))</f>
        <v>53.656785296971755</v>
      </c>
      <c r="BP7" s="10">
        <f>IF(管理者入力シート!$B$14=1,BO4*管理者用人口入力シート!AQ$4,IF(管理者入力シート!$B$14=2,BO4*管理者用人口入力シート!AQ$8))</f>
        <v>71.933298354101964</v>
      </c>
      <c r="BQ7" s="10">
        <f>IF(管理者入力シート!$B$14=1,BP4*管理者用人口入力シート!AR$4,IF(管理者入力シート!$B$14=2,BP4*管理者用人口入力シート!AR$8))</f>
        <v>77.674307241325977</v>
      </c>
      <c r="BR7" s="10">
        <f>IF(管理者入力シート!$B$14=1,BQ4*管理者用人口入力シート!AS$4,IF(管理者入力シート!$B$14=2,BQ4*管理者用人口入力シート!AS$8))</f>
        <v>96.633397024252474</v>
      </c>
      <c r="BS7" s="10">
        <f>IF(管理者入力シート!$B$14=1,BR4*管理者用人口入力シート!AT$4,IF(管理者入力シート!$B$14=2,BR4*管理者用人口入力シート!AT$8))</f>
        <v>105.08688154788651</v>
      </c>
      <c r="BT7" s="10">
        <f>IF(管理者入力シート!$B$14=1,BS4*管理者用人口入力シート!AU$4,IF(管理者入力シート!$B$14=2,BS4*管理者用人口入力シート!AU$8))</f>
        <v>113.79556100419036</v>
      </c>
      <c r="BU7" s="10">
        <f>IF(管理者入力シート!$B$14=1,BT4*管理者用人口入力シート!AV$4,IF(管理者入力シート!$B$14=2,BT4*管理者用人口入力シート!AV$8))</f>
        <v>158.17768238361953</v>
      </c>
      <c r="BV7" s="10">
        <f>IF(管理者入力シート!$B$14=1,BU4*管理者用人口入力シート!AW$4,IF(管理者入力シート!$B$14=2,BU4*管理者用人口入力シート!AW$8))</f>
        <v>154.116676083459</v>
      </c>
      <c r="BW7" s="10">
        <f>IF(管理者入力シート!$B$14=1,BV4*管理者用人口入力シート!AX$4,IF(管理者入力シート!$B$14=2,BV4*管理者用人口入力シート!AX$8))</f>
        <v>140.12294563068102</v>
      </c>
      <c r="BX7" s="10">
        <f>IF(管理者入力シート!$B$14=1,BW4*管理者用人口入力シート!AY$4,IF(管理者入力シート!$B$14=2,BW4*管理者用人口入力シート!AY$8))</f>
        <v>114.43204833830454</v>
      </c>
      <c r="BY7" s="10">
        <f>IF(管理者入力シート!$B$14=1,BX4*管理者用人口入力シート!AZ$4,IF(管理者入力シート!$B$14=2,BX4*管理者用人口入力シート!AZ$8))</f>
        <v>132.13456567753741</v>
      </c>
      <c r="BZ7" s="10">
        <f>IF(管理者入力シート!$B$14=1,BY4*管理者用人口入力シート!BA$4,IF(管理者入力シート!$B$14=2,BY4*管理者用人口入力シート!BA$8))</f>
        <v>144.343001666275</v>
      </c>
      <c r="CA7" s="10">
        <f>IF(管理者入力シート!$B$14=1,BZ4*管理者用人口入力シート!BB$4,IF(管理者入力シート!$B$14=2,BZ4*管理者用人口入力シート!BB$8))</f>
        <v>148.04097455868711</v>
      </c>
      <c r="CB7" s="10">
        <f>IF(管理者入力シート!$B$14=1,CA4*管理者用人口入力シート!BC$4,IF(管理者入力シート!$B$14=2,CA4*管理者用人口入力シート!BC$8))</f>
        <v>98.243866573934085</v>
      </c>
      <c r="CC7" s="10">
        <f>IF(管理者入力シート!$B$14=1,CB4*管理者用人口入力シート!BD$4,IF(管理者入力シート!$B$14=2,CB4*管理者用人口入力シート!BD$8))</f>
        <v>65.857844462362451</v>
      </c>
      <c r="CD7" s="10">
        <f>IF(管理者入力シート!$B$14=1,CC4*管理者用人口入力シート!BE$4,IF(管理者入力シート!$B$14=2,CC4*管理者用人口入力シート!BE$8))</f>
        <v>20.844031830374391</v>
      </c>
      <c r="CE7" s="10">
        <f>IF(管理者入力シート!$B$14=1,CD4*管理者用人口入力シート!BF$4,IF(管理者入力シート!$B$14=2,CD4*管理者用人口入力シート!BF$8))</f>
        <v>7.1688548607101437</v>
      </c>
      <c r="CF7" s="10">
        <f t="shared" si="2"/>
        <v>1998.2665372513318</v>
      </c>
      <c r="CG7" s="10">
        <f t="shared" si="20"/>
        <v>90.176731633957289</v>
      </c>
      <c r="CH7" s="10">
        <f t="shared" si="21"/>
        <v>47.774672095732519</v>
      </c>
      <c r="CI7" s="10">
        <f t="shared" si="3"/>
        <v>731.06518796818511</v>
      </c>
      <c r="CJ7" s="10">
        <f t="shared" si="22"/>
        <v>484.49857395234318</v>
      </c>
      <c r="CK7" s="14">
        <f t="shared" si="23"/>
        <v>0.36584968738644069</v>
      </c>
      <c r="CL7" s="14">
        <f t="shared" si="24"/>
        <v>0.24245943417477417</v>
      </c>
      <c r="CM7" s="10">
        <f t="shared" si="25"/>
        <v>299.89778791665219</v>
      </c>
      <c r="CO7" s="7" t="str">
        <f t="shared" si="26"/>
        <v>2030_2</v>
      </c>
      <c r="CP7" s="29">
        <f>CP6</f>
        <v>2030</v>
      </c>
      <c r="CQ7" s="4" t="s">
        <v>22</v>
      </c>
      <c r="CR7" s="10">
        <f>DT7*$AK$14+将来予測シート②!$H17</f>
        <v>70.677841221992551</v>
      </c>
      <c r="CS7" s="10">
        <f>IF(管理者入力シート!$B$14=1,CR4*管理者用人口入力シート!AM$4,IF(管理者入力シート!$B$14=2,CR4*管理者用人口入力シート!AM$8))+将来予測シート②!$H18</f>
        <v>70.150892934823872</v>
      </c>
      <c r="CT7" s="10">
        <f>IF(管理者入力シート!$B$14=1,CS4*管理者用人口入力シート!AN$4,IF(管理者入力シート!$B$14=2,CS4*管理者用人口入力シート!AN$8))+将来予測シート②!$H19</f>
        <v>81.986147782670116</v>
      </c>
      <c r="CU7" s="10">
        <f>IF(管理者入力シート!$B$14=1,CT4*管理者用人口入力シート!AO$4,IF(管理者入力シート!$B$14=2,CT4*管理者用人口入力シート!AO$8))+将来予測シート②!$H20</f>
        <v>77.691905463023119</v>
      </c>
      <c r="CV7" s="10">
        <f>IF(管理者入力シート!$B$14=1,CU4*管理者用人口入力シート!AP$4,IF(管理者入力シート!$B$14=2,CU4*管理者用人口入力シート!AP$8))+将来予測シート②!$H21</f>
        <v>53.656785296971755</v>
      </c>
      <c r="CW7" s="10">
        <f>IF(管理者入力シート!$B$14=1,CV4*管理者用人口入力シート!AQ$4,IF(管理者入力シート!$B$14=2,CV4*管理者用人口入力シート!AQ$8))+将来予測シート②!$H22</f>
        <v>73.933298354101964</v>
      </c>
      <c r="CX7" s="10">
        <f>IF(管理者入力シート!$B$14=1,CW4*管理者用人口入力シート!AR$4,IF(管理者入力シート!$B$14=2,CW4*管理者用人口入力シート!AR$8))+将来予測シート②!$H23</f>
        <v>79.464616615843681</v>
      </c>
      <c r="CY7" s="10">
        <f>IF(管理者入力シート!$B$14=1,CX4*管理者用人口入力シート!AS$4,IF(管理者入力シート!$B$14=2,CX4*管理者用人口入力シート!AS$8))+将来予測シート②!$H24</f>
        <v>96.633397024252474</v>
      </c>
      <c r="CZ7" s="10">
        <f>IF(管理者入力シート!$B$14=1,CY4*管理者用人口入力シート!AT$4,IF(管理者入力シート!$B$14=2,CY4*管理者用人口入力シート!AT$8))+将来予測シート②!$H25</f>
        <v>106.08688154788651</v>
      </c>
      <c r="DA7" s="10">
        <f>IF(管理者入力シート!$B$14=1,CZ4*管理者用人口入力シート!AU$4,IF(管理者入力シート!$B$14=2,CZ4*管理者用人口入力シート!AU$8))+将来予測シート②!$H26</f>
        <v>114.8829905476736</v>
      </c>
      <c r="DB7" s="10">
        <f>IF(管理者入力シート!$B$14=1,DA4*管理者用人口入力シート!AV$4,IF(管理者入力シート!$B$14=2,DA4*管理者用人口入力シート!AV$8))+将来予測シート②!$H27</f>
        <v>158.17768238361953</v>
      </c>
      <c r="DC7" s="10">
        <f>IF(管理者入力シート!$B$14=1,DB4*管理者用人口入力シート!AW$4,IF(管理者入力シート!$B$14=2,DB4*管理者用人口入力シート!AW$8))+将来予測シート②!$H28</f>
        <v>154.116676083459</v>
      </c>
      <c r="DD7" s="10">
        <f>IF(管理者入力シート!$B$14=1,DC4*管理者用人口入力シート!AX$4,IF(管理者入力シート!$B$14=2,DC4*管理者用人口入力シート!AX$8))+将来予測シート②!$H29</f>
        <v>140.12294563068102</v>
      </c>
      <c r="DE7" s="10">
        <f>IF(管理者入力シート!$B$14=1,DD4*管理者用人口入力シート!AY$4,IF(管理者入力シート!$B$14=2,DD4*管理者用人口入力シート!AY$8))</f>
        <v>114.43204833830454</v>
      </c>
      <c r="DF7" s="10">
        <f>IF(管理者入力シート!$B$14=1,DE4*管理者用人口入力シート!AZ$4,IF(管理者入力シート!$B$14=2,DE4*管理者用人口入力シート!AZ$8))</f>
        <v>132.13456567753741</v>
      </c>
      <c r="DG7" s="10">
        <f>IF(管理者入力シート!$B$14=1,DF4*管理者用人口入力シート!BA$4,IF(管理者入力シート!$B$14=2,DF4*管理者用人口入力シート!BA$8))</f>
        <v>144.343001666275</v>
      </c>
      <c r="DH7" s="10">
        <f>IF(管理者入力シート!$B$14=1,DG4*管理者用人口入力シート!BB$4,IF(管理者入力シート!$B$14=2,DG4*管理者用人口入力シート!BB$8))</f>
        <v>148.04097455868711</v>
      </c>
      <c r="DI7" s="10">
        <f>IF(管理者入力シート!$B$14=1,DH4*管理者用人口入力シート!BC$4,IF(管理者入力シート!$B$14=2,DH4*管理者用人口入力シート!BC$8))</f>
        <v>98.243866573934085</v>
      </c>
      <c r="DJ7" s="10">
        <f>IF(管理者入力シート!$B$14=1,DI4*管理者用人口入力シート!BD$4,IF(管理者入力シート!$B$14=2,DI4*管理者用人口入力シート!BD$8))</f>
        <v>65.857844462362451</v>
      </c>
      <c r="DK7" s="10">
        <f>IF(管理者入力シート!$B$14=1,DJ4*管理者用人口入力シート!BE$4,IF(管理者入力シート!$B$14=2,DJ4*管理者用人口入力シート!BE$8))</f>
        <v>20.844031830374391</v>
      </c>
      <c r="DL7" s="10">
        <f>IF(管理者入力シート!$B$14=1,DK4*管理者用人口入力シート!BF$4,IF(管理者入力シート!$B$14=2,DK4*管理者用人口入力シート!BF$8))</f>
        <v>7.1688548607101437</v>
      </c>
      <c r="DM7" s="10">
        <f t="shared" si="69"/>
        <v>2008.6472488551847</v>
      </c>
      <c r="DN7" s="10">
        <f t="shared" si="34"/>
        <v>91.282224430496399</v>
      </c>
      <c r="DO7" s="10">
        <f t="shared" si="35"/>
        <v>48.332840205672667</v>
      </c>
      <c r="DP7" s="10">
        <f t="shared" si="6"/>
        <v>731.06518796818511</v>
      </c>
      <c r="DQ7" s="10">
        <f t="shared" si="36"/>
        <v>484.49857395234318</v>
      </c>
      <c r="DR7" s="14">
        <f t="shared" si="37"/>
        <v>0.36395897208175848</v>
      </c>
      <c r="DS7" s="14">
        <f t="shared" si="38"/>
        <v>0.24120640108833444</v>
      </c>
      <c r="DT7" s="10">
        <f t="shared" si="70"/>
        <v>303.68809729116987</v>
      </c>
      <c r="DV7" s="7" t="s">
        <v>401</v>
      </c>
      <c r="DW7" s="209">
        <f>(SUM(BK12:BW12)-SUM(D12:P12))/4</f>
        <v>-132.21499983713767</v>
      </c>
      <c r="DX7" s="29">
        <f>DX6</f>
        <v>2030</v>
      </c>
      <c r="DY7" s="4" t="s">
        <v>22</v>
      </c>
      <c r="DZ7" s="10">
        <f>FB7*$AK$14</f>
        <v>119.64016680937237</v>
      </c>
      <c r="EA7" s="10">
        <f>IF(管理者入力シート!$B$14=1,DZ4*管理者用人口入力シート!AM$4,IF(管理者入力シート!$B$14=2,DZ4*管理者用人口入力シート!AM$8))</f>
        <v>69.308404940592027</v>
      </c>
      <c r="EB7" s="10">
        <f>IF(管理者入力シート!$B$14=1,EA4*管理者用人口入力シート!AN$4,IF(管理者入力シート!$B$14=2,EA4*管理者用人口入力シート!AN$8))</f>
        <v>80.986147782670116</v>
      </c>
      <c r="EC7" s="10">
        <f>IF(管理者入力シート!$B$14=1,EB4*管理者用人口入力シート!AO$4,IF(管理者入力シート!$B$14=2,EB4*管理者用人口入力シート!AO$8))</f>
        <v>76.901064913322372</v>
      </c>
      <c r="ED7" s="10">
        <f>IF(管理者入力シート!$B$14=1,EC4*管理者用人口入力シート!AP$4,IF(管理者入力シート!$B$14=2,EC4*管理者用人口入力シート!AP$8))</f>
        <v>53.656785296971755</v>
      </c>
      <c r="EE7" s="10">
        <f>IF(管理者入力シート!$B$14=1,ED4*管理者用人口入力シート!AQ$4,IF(管理者入力シート!$B$14=2,ED4*管理者用人口入力シート!AQ$8))+DX1</f>
        <v>117.93329835410196</v>
      </c>
      <c r="EF7" s="10">
        <f>IF(管理者入力シート!$B$14=1,EE4*管理者用人口入力シート!AR$4,IF(管理者入力シート!$B$14=2,EE4*管理者用人口入力シート!AR$8))+DX1</f>
        <v>164.85142285523312</v>
      </c>
      <c r="EG7" s="10">
        <f>IF(管理者入力シート!$B$14=1,EF4*管理者用人口入力シート!AS$4,IF(管理者入力シート!$B$14=2,EF4*管理者用人口入力シート!AS$8))+DX1</f>
        <v>185.0053980006675</v>
      </c>
      <c r="EH7" s="10">
        <f>IF(管理者入力シート!$B$14=1,EG4*管理者用人口入力シート!AT$4,IF(管理者入力シート!$B$14=2,EG4*管理者用人口入力シート!AT$8))</f>
        <v>149.44122568807992</v>
      </c>
      <c r="EI7" s="10">
        <f>IF(管理者入力シート!$B$14=1,EH4*管理者用人口入力シート!AU$4,IF(管理者入力シート!$B$14=2,EH4*管理者用人口入力シート!AU$8))</f>
        <v>113.79556100419036</v>
      </c>
      <c r="EJ7" s="10">
        <f>IF(管理者入力シート!$B$14=1,EI4*管理者用人口入力シート!AV$4,IF(管理者入力シート!$B$14=2,EI4*管理者用人口入力シート!AV$8))</f>
        <v>158.17768238361953</v>
      </c>
      <c r="EK7" s="10">
        <f>IF(管理者入力シート!$B$14=1,EJ4*管理者用人口入力シート!AW$4,IF(管理者入力シート!$B$14=2,EJ4*管理者用人口入力シート!AW$8))</f>
        <v>154.116676083459</v>
      </c>
      <c r="EL7" s="10">
        <f>IF(管理者入力シート!$B$14=1,EK4*管理者用人口入力シート!AX$4,IF(管理者入力シート!$B$14=2,EK4*管理者用人口入力シート!AX$8))</f>
        <v>140.12294563068102</v>
      </c>
      <c r="EM7" s="10">
        <f>IF(管理者入力シート!$B$14=1,EL4*管理者用人口入力シート!AY$4,IF(管理者入力シート!$B$14=2,EL4*管理者用人口入力シート!AY$8))</f>
        <v>114.43204833830454</v>
      </c>
      <c r="EN7" s="10">
        <f>IF(管理者入力シート!$B$14=1,EM4*管理者用人口入力シート!AZ$4,IF(管理者入力シート!$B$14=2,EM4*管理者用人口入力シート!AZ$8))</f>
        <v>132.13456567753741</v>
      </c>
      <c r="EO7" s="10">
        <f>IF(管理者入力シート!$B$14=1,EN4*管理者用人口入力シート!BA$4,IF(管理者入力シート!$B$14=2,EN4*管理者用人口入力シート!BA$8))</f>
        <v>144.343001666275</v>
      </c>
      <c r="EP7" s="10">
        <f>IF(管理者入力シート!$B$14=1,EO4*管理者用人口入力シート!BB$4,IF(管理者入力シート!$B$14=2,EO4*管理者用人口入力シート!BB$8))</f>
        <v>148.04097455868711</v>
      </c>
      <c r="EQ7" s="10">
        <f>IF(管理者入力シート!$B$14=1,EP4*管理者用人口入力シート!BC$4,IF(管理者入力シート!$B$14=2,EP4*管理者用人口入力シート!BC$8))</f>
        <v>98.243866573934085</v>
      </c>
      <c r="ER7" s="10">
        <f>IF(管理者入力シート!$B$14=1,EQ4*管理者用人口入力シート!BD$4,IF(管理者入力シート!$B$14=2,EQ4*管理者用人口入力シート!BD$8))</f>
        <v>65.857844462362451</v>
      </c>
      <c r="ES7" s="10">
        <f>IF(管理者入力シート!$B$14=1,ER4*管理者用人口入力シート!BE$4,IF(管理者入力シート!$B$14=2,ER4*管理者用人口入力シート!BE$8))</f>
        <v>20.844031830374391</v>
      </c>
      <c r="ET7" s="10">
        <f>IF(管理者入力シート!$B$14=1,ES4*管理者用人口入力シート!BF$4,IF(管理者入力シート!$B$14=2,ES4*管理者用人口入力シート!BF$8))</f>
        <v>7.1688548607101437</v>
      </c>
      <c r="EU7" s="10">
        <f t="shared" si="71"/>
        <v>2315.0019677111463</v>
      </c>
      <c r="EV7" s="10">
        <f t="shared" si="41"/>
        <v>90.176731633957289</v>
      </c>
      <c r="EW7" s="10">
        <f t="shared" si="42"/>
        <v>47.774672095732519</v>
      </c>
      <c r="EX7" s="10">
        <f t="shared" si="10"/>
        <v>731.06518796818511</v>
      </c>
      <c r="EY7" s="10">
        <f t="shared" si="43"/>
        <v>484.49857395234318</v>
      </c>
      <c r="EZ7" s="14">
        <f t="shared" si="44"/>
        <v>0.31579462919031243</v>
      </c>
      <c r="FA7" s="14">
        <f t="shared" si="45"/>
        <v>0.20928646312614985</v>
      </c>
      <c r="FB7" s="10">
        <f t="shared" si="72"/>
        <v>521.44690450697431</v>
      </c>
    </row>
    <row r="8" spans="1:158" x14ac:dyDescent="0.15">
      <c r="A8" s="7" t="str">
        <f t="shared" si="11"/>
        <v>2010_3</v>
      </c>
      <c r="B8" s="30">
        <v>2010</v>
      </c>
      <c r="C8" s="5" t="s">
        <v>23</v>
      </c>
      <c r="D8" s="11">
        <v>210.71472612397343</v>
      </c>
      <c r="E8" s="11">
        <v>221.67119847609985</v>
      </c>
      <c r="F8" s="11">
        <v>269.19708613541491</v>
      </c>
      <c r="G8" s="11">
        <v>234.80900966657055</v>
      </c>
      <c r="H8" s="11">
        <v>176.10061999612429</v>
      </c>
      <c r="I8" s="11">
        <v>289.51653613640428</v>
      </c>
      <c r="J8" s="11">
        <v>317.78780428431736</v>
      </c>
      <c r="K8" s="11">
        <v>327.35371366094421</v>
      </c>
      <c r="L8" s="11">
        <v>323.65115199871286</v>
      </c>
      <c r="M8" s="11">
        <v>288.95584982543284</v>
      </c>
      <c r="N8" s="11">
        <v>331.64699497229788</v>
      </c>
      <c r="O8" s="11">
        <v>361.81759768028911</v>
      </c>
      <c r="P8" s="11">
        <v>410.08033555086843</v>
      </c>
      <c r="Q8" s="11">
        <v>310.54589984350457</v>
      </c>
      <c r="R8" s="11">
        <v>315.64059364468847</v>
      </c>
      <c r="S8" s="11">
        <v>246.86386922935185</v>
      </c>
      <c r="T8" s="11">
        <v>194.6956750791536</v>
      </c>
      <c r="U8" s="11">
        <v>92.79374780377583</v>
      </c>
      <c r="V8" s="11">
        <v>38.641527215281918</v>
      </c>
      <c r="W8" s="11">
        <v>9.3074789858068065</v>
      </c>
      <c r="X8" s="11">
        <v>2.0085836909871242</v>
      </c>
      <c r="Y8" s="11">
        <f t="shared" si="68"/>
        <v>4973.7999999999993</v>
      </c>
      <c r="Z8" s="11">
        <f t="shared" si="12"/>
        <v>294.52097076690887</v>
      </c>
      <c r="AA8" s="11">
        <f t="shared" si="13"/>
        <v>154.64063638748007</v>
      </c>
      <c r="AB8" s="11">
        <f t="shared" si="0"/>
        <v>1210.4973754925502</v>
      </c>
      <c r="AC8" s="11">
        <f t="shared" si="14"/>
        <v>584.31088200435715</v>
      </c>
      <c r="AD8" s="15">
        <f t="shared" si="15"/>
        <v>0.24337475883480444</v>
      </c>
      <c r="AE8" s="15">
        <f t="shared" si="16"/>
        <v>0.11747775986255121</v>
      </c>
      <c r="AF8" s="11">
        <f t="shared" si="17"/>
        <v>1110.7586740777901</v>
      </c>
      <c r="AH8" s="7"/>
      <c r="AI8" s="30" t="s">
        <v>88</v>
      </c>
      <c r="AJ8" s="5">
        <f>AJ7</f>
        <v>2010</v>
      </c>
      <c r="AK8" s="5">
        <f>AK7</f>
        <v>2020</v>
      </c>
      <c r="AL8" s="33" t="s">
        <v>22</v>
      </c>
      <c r="AM8" s="47">
        <f t="shared" si="73"/>
        <v>0.8424879942318394</v>
      </c>
      <c r="AN8" s="47">
        <f t="shared" si="73"/>
        <v>1.0123106806920048</v>
      </c>
      <c r="AO8" s="47">
        <f t="shared" si="73"/>
        <v>0.79084054970073436</v>
      </c>
      <c r="AP8" s="47">
        <f t="shared" si="73"/>
        <v>0.73348846166404524</v>
      </c>
      <c r="AQ8" s="47">
        <f t="shared" si="73"/>
        <v>1.2425993118087921</v>
      </c>
      <c r="AR8" s="47">
        <f t="shared" si="73"/>
        <v>0.89515468725885117</v>
      </c>
      <c r="AS8" s="47">
        <f t="shared" si="73"/>
        <v>0.92113045600902244</v>
      </c>
      <c r="AT8" s="47">
        <f t="shared" si="73"/>
        <v>0.96422487261290057</v>
      </c>
      <c r="AU8" s="47">
        <f t="shared" si="73"/>
        <v>1.0874295434832311</v>
      </c>
      <c r="AV8" s="47">
        <f t="shared" si="73"/>
        <v>0.94629548478881098</v>
      </c>
      <c r="AW8" s="47">
        <f t="shared" si="73"/>
        <v>0.9521651716954127</v>
      </c>
      <c r="AX8" s="47">
        <f t="shared" si="73"/>
        <v>0.89898237939346981</v>
      </c>
      <c r="AY8" s="47">
        <f t="shared" si="73"/>
        <v>0.93468432292766535</v>
      </c>
      <c r="AZ8" s="47">
        <f t="shared" si="73"/>
        <v>0.92485620683871472</v>
      </c>
      <c r="BA8" s="47">
        <f t="shared" si="73"/>
        <v>0.95325805430962185</v>
      </c>
      <c r="BB8" s="47">
        <f t="shared" si="73"/>
        <v>0.84478929445328632</v>
      </c>
      <c r="BC8" s="47">
        <f t="shared" si="73"/>
        <v>0.7285332514162276</v>
      </c>
      <c r="BD8" s="47">
        <f t="shared" si="73"/>
        <v>0.63302307970124194</v>
      </c>
      <c r="BE8" s="47">
        <f t="shared" si="73"/>
        <v>0.36029177416077174</v>
      </c>
      <c r="BF8" s="47">
        <f t="shared" si="73"/>
        <v>0.33807760281900928</v>
      </c>
      <c r="BH8" s="7" t="str">
        <f t="shared" si="19"/>
        <v>2030_3</v>
      </c>
      <c r="BI8" s="30">
        <f>BI7</f>
        <v>2030</v>
      </c>
      <c r="BJ8" s="5" t="s">
        <v>23</v>
      </c>
      <c r="BK8" s="16">
        <f>BK6+BK7</f>
        <v>131.96721608040448</v>
      </c>
      <c r="BL8" s="16">
        <f t="shared" ref="BL8" si="74">BL6+BL7</f>
        <v>138.4926989517005</v>
      </c>
      <c r="BM8" s="16">
        <f t="shared" ref="BM8" si="75">BM6+BM7</f>
        <v>151.895366131971</v>
      </c>
      <c r="BN8" s="16">
        <f t="shared" ref="BN8" si="76">BN6+BN7</f>
        <v>139.09092243150576</v>
      </c>
      <c r="BO8" s="16">
        <f t="shared" ref="BO8" si="77">BO6+BO7</f>
        <v>106.28030709527368</v>
      </c>
      <c r="BP8" s="16">
        <f t="shared" ref="BP8" si="78">BP6+BP7</f>
        <v>158.61278533538891</v>
      </c>
      <c r="BQ8" s="16">
        <f t="shared" ref="BQ8" si="79">BQ6+BQ7</f>
        <v>174.96666892581675</v>
      </c>
      <c r="BR8" s="16">
        <f t="shared" ref="BR8" si="80">BR6+BR7</f>
        <v>200.06654183694496</v>
      </c>
      <c r="BS8" s="16">
        <f t="shared" ref="BS8" si="81">BS6+BS7</f>
        <v>202.00601793984532</v>
      </c>
      <c r="BT8" s="16">
        <f t="shared" ref="BT8" si="82">BT6+BT7</f>
        <v>216.24888349328</v>
      </c>
      <c r="BU8" s="16">
        <f t="shared" ref="BU8" si="83">BU6+BU7</f>
        <v>284.38831123452377</v>
      </c>
      <c r="BV8" s="16">
        <f t="shared" ref="BV8" si="84">BV6+BV7</f>
        <v>298.87403662803877</v>
      </c>
      <c r="BW8" s="16">
        <f t="shared" ref="BW8" si="85">BW6+BW7</f>
        <v>277.1415714493919</v>
      </c>
      <c r="BX8" s="16">
        <f t="shared" ref="BX8" si="86">BX6+BX7</f>
        <v>217.85988765247816</v>
      </c>
      <c r="BY8" s="16">
        <f t="shared" ref="BY8" si="87">BY6+BY7</f>
        <v>238.21732920313593</v>
      </c>
      <c r="BZ8" s="16">
        <f t="shared" ref="BZ8" si="88">BZ6+BZ7</f>
        <v>254.52972091745514</v>
      </c>
      <c r="CA8" s="16">
        <f t="shared" ref="CA8" si="89">CA6+CA7</f>
        <v>255.12127007392769</v>
      </c>
      <c r="CB8" s="16">
        <f t="shared" ref="CB8" si="90">CB6+CB7</f>
        <v>145.3330634746759</v>
      </c>
      <c r="CC8" s="16">
        <f t="shared" ref="CC8" si="91">CC6+CC7</f>
        <v>99.50032248730254</v>
      </c>
      <c r="CD8" s="16">
        <f t="shared" ref="CD8" si="92">CD6+CD7</f>
        <v>29.097159356600123</v>
      </c>
      <c r="CE8" s="16">
        <f t="shared" ref="CE8" si="93">CE6+CE7</f>
        <v>7.3463753856041336</v>
      </c>
      <c r="CF8" s="11">
        <f t="shared" si="2"/>
        <v>3727.0364560852645</v>
      </c>
      <c r="CG8" s="11">
        <f t="shared" si="20"/>
        <v>174.23283905020293</v>
      </c>
      <c r="CH8" s="11">
        <f t="shared" si="21"/>
        <v>88.576330939089559</v>
      </c>
      <c r="CI8" s="11">
        <f t="shared" si="3"/>
        <v>1247.0051285511797</v>
      </c>
      <c r="CJ8" s="11">
        <f t="shared" si="22"/>
        <v>790.92791169556563</v>
      </c>
      <c r="CK8" s="15">
        <f t="shared" si="23"/>
        <v>0.33458356075781076</v>
      </c>
      <c r="CL8" s="15">
        <f t="shared" si="24"/>
        <v>0.21221362361620844</v>
      </c>
      <c r="CM8" s="11">
        <f t="shared" si="25"/>
        <v>639.92630319342425</v>
      </c>
      <c r="CO8" s="7" t="str">
        <f t="shared" si="26"/>
        <v>2030_3</v>
      </c>
      <c r="CP8" s="30">
        <f>CP7</f>
        <v>2030</v>
      </c>
      <c r="CQ8" s="5" t="s">
        <v>23</v>
      </c>
      <c r="CR8" s="16">
        <f>CR6+CR7</f>
        <v>135.6351062629675</v>
      </c>
      <c r="CS8" s="16">
        <f t="shared" ref="CS8" si="94">CS6+CS7</f>
        <v>140.25138661986665</v>
      </c>
      <c r="CT8" s="16">
        <f t="shared" ref="CT8" si="95">CT6+CT7</f>
        <v>153.895366131971</v>
      </c>
      <c r="CU8" s="16">
        <f t="shared" ref="CU8" si="96">CU6+CU7</f>
        <v>140.80061753318904</v>
      </c>
      <c r="CV8" s="16">
        <f t="shared" ref="CV8" si="97">CV6+CV7</f>
        <v>106.28030709527368</v>
      </c>
      <c r="CW8" s="16">
        <f t="shared" ref="CW8" si="98">CW6+CW7</f>
        <v>162.61278533538891</v>
      </c>
      <c r="CX8" s="16">
        <f t="shared" ref="CX8" si="99">CX6+CX7</f>
        <v>178.64566040076272</v>
      </c>
      <c r="CY8" s="16">
        <f t="shared" ref="CY8" si="100">CY6+CY7</f>
        <v>200.06654183694496</v>
      </c>
      <c r="CZ8" s="16">
        <f t="shared" ref="CZ8" si="101">CZ6+CZ7</f>
        <v>203.00601793984532</v>
      </c>
      <c r="DA8" s="16">
        <f t="shared" ref="DA8" si="102">DA6+DA7</f>
        <v>217.33631303676322</v>
      </c>
      <c r="DB8" s="16">
        <f t="shared" ref="DB8" si="103">DB6+DB7</f>
        <v>284.38831123452377</v>
      </c>
      <c r="DC8" s="16">
        <f t="shared" ref="DC8" si="104">DC6+DC7</f>
        <v>298.87403662803877</v>
      </c>
      <c r="DD8" s="16">
        <f t="shared" ref="DD8" si="105">DD6+DD7</f>
        <v>277.1415714493919</v>
      </c>
      <c r="DE8" s="16">
        <f t="shared" ref="DE8" si="106">DE6+DE7</f>
        <v>217.85988765247816</v>
      </c>
      <c r="DF8" s="16">
        <f t="shared" ref="DF8" si="107">DF6+DF7</f>
        <v>238.21732920313593</v>
      </c>
      <c r="DG8" s="16">
        <f t="shared" ref="DG8" si="108">DG6+DG7</f>
        <v>254.52972091745514</v>
      </c>
      <c r="DH8" s="16">
        <f t="shared" ref="DH8" si="109">DH6+DH7</f>
        <v>255.12127007392769</v>
      </c>
      <c r="DI8" s="16">
        <f t="shared" ref="DI8" si="110">DI6+DI7</f>
        <v>145.3330634746759</v>
      </c>
      <c r="DJ8" s="16">
        <f t="shared" ref="DJ8" si="111">DJ6+DJ7</f>
        <v>99.50032248730254</v>
      </c>
      <c r="DK8" s="16">
        <f t="shared" ref="DK8" si="112">DK6+DK7</f>
        <v>29.097159356600123</v>
      </c>
      <c r="DL8" s="16">
        <f t="shared" ref="DL8" si="113">DL6+DL7</f>
        <v>7.3463753856041336</v>
      </c>
      <c r="DM8" s="11">
        <f t="shared" si="69"/>
        <v>3745.9391500561064</v>
      </c>
      <c r="DN8" s="11">
        <f t="shared" si="34"/>
        <v>176.48805165110258</v>
      </c>
      <c r="DO8" s="11">
        <f t="shared" si="35"/>
        <v>89.718269959426209</v>
      </c>
      <c r="DP8" s="11">
        <f t="shared" si="6"/>
        <v>1247.0051285511797</v>
      </c>
      <c r="DQ8" s="11">
        <f t="shared" si="36"/>
        <v>790.92791169556563</v>
      </c>
      <c r="DR8" s="15">
        <f t="shared" si="37"/>
        <v>0.33289519092495196</v>
      </c>
      <c r="DS8" s="15">
        <f t="shared" si="38"/>
        <v>0.2111427548639489</v>
      </c>
      <c r="DT8" s="11">
        <f t="shared" si="70"/>
        <v>647.60529466837033</v>
      </c>
      <c r="DV8" s="7" t="s">
        <v>402</v>
      </c>
      <c r="DW8" s="209">
        <f>(SUM(BK13:BW13)-SUM(D13:P13))/4</f>
        <v>-145.74158386016916</v>
      </c>
      <c r="DX8" s="30">
        <f>DX7</f>
        <v>2030</v>
      </c>
      <c r="DY8" s="5" t="s">
        <v>23</v>
      </c>
      <c r="DZ8" s="16">
        <f>DZ6+DZ7</f>
        <v>229.45783228202646</v>
      </c>
      <c r="EA8" s="16">
        <f t="shared" ref="EA8:ET8" si="114">EA6+EA7</f>
        <v>138.4926989517005</v>
      </c>
      <c r="EB8" s="16">
        <f t="shared" si="114"/>
        <v>151.895366131971</v>
      </c>
      <c r="EC8" s="16">
        <f t="shared" si="114"/>
        <v>139.09092243150576</v>
      </c>
      <c r="ED8" s="16">
        <f t="shared" si="114"/>
        <v>106.28030709527368</v>
      </c>
      <c r="EE8" s="16">
        <f t="shared" si="114"/>
        <v>250.61278533538891</v>
      </c>
      <c r="EF8" s="16">
        <f t="shared" si="114"/>
        <v>351.58347284957358</v>
      </c>
      <c r="EG8" s="16">
        <f t="shared" si="114"/>
        <v>377.30559509759314</v>
      </c>
      <c r="EH8" s="16">
        <f t="shared" si="114"/>
        <v>290.41123601543416</v>
      </c>
      <c r="EI8" s="16">
        <f t="shared" si="114"/>
        <v>216.24888349328</v>
      </c>
      <c r="EJ8" s="16">
        <f t="shared" si="114"/>
        <v>284.38831123452377</v>
      </c>
      <c r="EK8" s="16">
        <f t="shared" si="114"/>
        <v>298.87403662803877</v>
      </c>
      <c r="EL8" s="16">
        <f t="shared" si="114"/>
        <v>277.1415714493919</v>
      </c>
      <c r="EM8" s="16">
        <f t="shared" si="114"/>
        <v>217.85988765247816</v>
      </c>
      <c r="EN8" s="16">
        <f t="shared" si="114"/>
        <v>238.21732920313593</v>
      </c>
      <c r="EO8" s="16">
        <f t="shared" si="114"/>
        <v>254.52972091745514</v>
      </c>
      <c r="EP8" s="16">
        <f t="shared" si="114"/>
        <v>255.12127007392769</v>
      </c>
      <c r="EQ8" s="16">
        <f t="shared" si="114"/>
        <v>145.3330634746759</v>
      </c>
      <c r="ER8" s="16">
        <f t="shared" si="114"/>
        <v>99.50032248730254</v>
      </c>
      <c r="ES8" s="16">
        <f t="shared" si="114"/>
        <v>29.097159356600123</v>
      </c>
      <c r="ET8" s="16">
        <f t="shared" si="114"/>
        <v>7.3463753856041336</v>
      </c>
      <c r="EU8" s="11">
        <f t="shared" si="71"/>
        <v>4358.7881475468812</v>
      </c>
      <c r="EV8" s="11">
        <f t="shared" si="41"/>
        <v>174.23283905020293</v>
      </c>
      <c r="EW8" s="11">
        <f t="shared" si="42"/>
        <v>88.576330939089559</v>
      </c>
      <c r="EX8" s="11">
        <f t="shared" si="10"/>
        <v>1247.0051285511797</v>
      </c>
      <c r="EY8" s="11">
        <f t="shared" si="43"/>
        <v>790.92791169556563</v>
      </c>
      <c r="EZ8" s="15">
        <f t="shared" si="44"/>
        <v>0.28608986863768365</v>
      </c>
      <c r="FA8" s="15">
        <f t="shared" si="45"/>
        <v>0.18145591960937549</v>
      </c>
      <c r="FB8" s="11">
        <f t="shared" si="72"/>
        <v>1085.7821603778293</v>
      </c>
    </row>
    <row r="9" spans="1:158" x14ac:dyDescent="0.15">
      <c r="A9" s="7" t="str">
        <f t="shared" si="11"/>
        <v>2015_1</v>
      </c>
      <c r="B9" s="28">
        <v>2015</v>
      </c>
      <c r="C9" s="3" t="s">
        <v>21</v>
      </c>
      <c r="D9" s="9">
        <v>82.20269494471691</v>
      </c>
      <c r="E9" s="9">
        <v>97.094596637135169</v>
      </c>
      <c r="F9" s="9">
        <v>100.96008128972316</v>
      </c>
      <c r="G9" s="9">
        <v>122.89373920779855</v>
      </c>
      <c r="H9" s="9">
        <v>79.819553578756128</v>
      </c>
      <c r="I9" s="9">
        <v>96.147527321354133</v>
      </c>
      <c r="J9" s="9">
        <v>110.46660619390632</v>
      </c>
      <c r="K9" s="9">
        <v>129.27220490987864</v>
      </c>
      <c r="L9" s="9">
        <v>148.04175605222724</v>
      </c>
      <c r="M9" s="9">
        <v>149.17811765174295</v>
      </c>
      <c r="N9" s="9">
        <v>138.86001671747735</v>
      </c>
      <c r="O9" s="9">
        <v>145.61016656090354</v>
      </c>
      <c r="P9" s="9">
        <v>154.46248026699971</v>
      </c>
      <c r="Q9" s="9">
        <v>166.95734201937341</v>
      </c>
      <c r="R9" s="9">
        <v>106.5564598813278</v>
      </c>
      <c r="S9" s="9">
        <v>119.83078137993546</v>
      </c>
      <c r="T9" s="9">
        <v>78.024230744611614</v>
      </c>
      <c r="U9" s="9">
        <v>39.410775076914526</v>
      </c>
      <c r="V9" s="9">
        <v>16.110869565217392</v>
      </c>
      <c r="W9" s="9">
        <v>1</v>
      </c>
      <c r="X9" s="9">
        <v>0</v>
      </c>
      <c r="Y9" s="9">
        <f t="shared" si="68"/>
        <v>2082.9</v>
      </c>
      <c r="Z9" s="9">
        <f t="shared" si="12"/>
        <v>118.83280675611499</v>
      </c>
      <c r="AA9" s="9">
        <f t="shared" si="13"/>
        <v>64.962780357448977</v>
      </c>
      <c r="AB9" s="9">
        <f t="shared" si="0"/>
        <v>527.89045866738013</v>
      </c>
      <c r="AC9" s="9">
        <f t="shared" si="14"/>
        <v>254.37665676667899</v>
      </c>
      <c r="AD9" s="13">
        <f t="shared" si="15"/>
        <v>0.25344013570856982</v>
      </c>
      <c r="AE9" s="13">
        <f t="shared" si="16"/>
        <v>0.12212619749708531</v>
      </c>
      <c r="AF9" s="9">
        <f t="shared" si="17"/>
        <v>415.7058920038952</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54.54998309350151</v>
      </c>
      <c r="BL9" s="9">
        <f>IF(管理者入力シート!$B$14=1,BK6*管理者用人口入力シート!AM$3,IF(管理者入力シート!$B$14=2,BK6*管理者用人口入力シート!AM$7))</f>
        <v>57.866272614112397</v>
      </c>
      <c r="BM9" s="9">
        <f>IF(管理者入力シート!$B$14=1,BL6*管理者用人口入力シート!AN$3,IF(管理者入力シート!$B$14=2,BL6*管理者用人口入力シート!AN$7))</f>
        <v>61.43157918047698</v>
      </c>
      <c r="BN9" s="9">
        <f>IF(管理者入力シート!$B$14=1,BM6*管理者用人口入力シート!AO$3,IF(管理者入力シート!$B$14=2,BM6*管理者用人口入力シート!AO$7))</f>
        <v>65.155258057780031</v>
      </c>
      <c r="BO9" s="9">
        <f>IF(管理者入力シート!$B$14=1,BN6*管理者用人口入力シート!AP$3,IF(管理者入力シート!$B$14=2,BN6*管理者用人口入力シート!AP$7))</f>
        <v>41.001755763848564</v>
      </c>
      <c r="BP9" s="9">
        <f>IF(管理者入力シート!$B$14=1,BO6*管理者用人口入力シート!AQ$3,IF(管理者入力シート!$B$14=2,BO6*管理者用人口入力シート!AQ$7))</f>
        <v>68.575302907958445</v>
      </c>
      <c r="BQ9" s="9">
        <f>IF(管理者入力シート!$B$14=1,BP6*管理者用人口入力シート!AR$3,IF(管理者入力シート!$B$14=2,BP6*管理者用人口入力シート!AR$7))</f>
        <v>81.854997767929859</v>
      </c>
      <c r="BR9" s="9">
        <f>IF(管理者入力シート!$B$14=1,BQ6*管理者用人口入力シート!AS$3,IF(管理者入力シート!$B$14=2,BQ6*管理者用人口入力シート!AS$7))</f>
        <v>90.666016417077913</v>
      </c>
      <c r="BS9" s="9">
        <f>IF(管理者入力シート!$B$14=1,BR6*管理者用人口入力シート!AT$3,IF(管理者入力シート!$B$14=2,BR6*管理者用人口入力シート!AT$7))</f>
        <v>99.050443975769866</v>
      </c>
      <c r="BT9" s="9">
        <f>IF(管理者入力シート!$B$14=1,BS6*管理者用人口入力シート!AU$3,IF(管理者入力シート!$B$14=2,BS6*管理者用人口入力シート!AU$7))</f>
        <v>96.13241150204297</v>
      </c>
      <c r="BU9" s="9">
        <f>IF(管理者入力シート!$B$14=1,BT6*管理者用人口入力シート!AV$3,IF(管理者入力シート!$B$14=2,BT6*管理者用人口入力シート!AV$7))</f>
        <v>105.65876887137554</v>
      </c>
      <c r="BV9" s="9">
        <f>IF(管理者入力シート!$B$14=1,BU6*管理者用人口入力シート!AW$3,IF(管理者入力シート!$B$14=2,BU6*管理者用人口入力シート!AW$7))</f>
        <v>115.46499601500179</v>
      </c>
      <c r="BW9" s="9">
        <f>IF(管理者入力シート!$B$14=1,BV6*管理者用人口入力シート!AX$3,IF(管理者入力シート!$B$14=2,BV6*管理者用人口入力シート!AX$7))</f>
        <v>135.55893863477436</v>
      </c>
      <c r="BX9" s="9">
        <f>IF(管理者入力シート!$B$14=1,BW6*管理者用人口入力シート!AY$3,IF(管理者入力シート!$B$14=2,BW6*管理者用人口入力シート!AY$7))</f>
        <v>121.72625147915581</v>
      </c>
      <c r="BY9" s="9">
        <f>IF(管理者入力シート!$B$14=1,BX6*管理者用人口入力シート!AZ$3,IF(管理者入力シート!$B$14=2,BX6*管理者用人口入力シート!AZ$7))</f>
        <v>89.793396038117592</v>
      </c>
      <c r="BZ9" s="9">
        <f>IF(管理者入力シート!$B$14=1,BY6*管理者用人口入力シート!BA$3,IF(管理者入力シート!$B$14=2,BY6*管理者用人口入力シート!BA$7))</f>
        <v>93.170996471067681</v>
      </c>
      <c r="CA9" s="9">
        <f>IF(管理者入力シート!$B$14=1,BZ6*管理者用人口入力シート!BB$3,IF(管理者入力シート!$B$14=2,BZ6*管理者用人口入力シート!BB$7))</f>
        <v>87.306011080387108</v>
      </c>
      <c r="CB9" s="9">
        <f>IF(管理者入力シート!$B$14=1,CA6*管理者用人口入力シート!BC$3,IF(管理者入力シート!$B$14=2,CA6*管理者用人口入力シート!BC$7))</f>
        <v>67.126209549362457</v>
      </c>
      <c r="CC9" s="9">
        <f>IF(管理者入力シート!$B$14=1,CB6*管理者用人口入力シート!BD$3,IF(管理者入力シート!$B$14=2,CB6*管理者用人口入力シート!BD$7))</f>
        <v>26.875133136118965</v>
      </c>
      <c r="CD9" s="9">
        <f>IF(管理者入力シート!$B$14=1,CC6*管理者用人口入力シート!BE$3,IF(管理者入力シート!$B$14=2,CC6*管理者用人口入力シート!BE$7))</f>
        <v>8.5508872415991135</v>
      </c>
      <c r="CE9" s="9">
        <f>IF(管理者入力シート!$B$14=1,CD6*管理者用人口入力シート!BF$3,IF(管理者入力シート!$B$14=2,CD6*管理者用人口入力シート!BF$7))</f>
        <v>0.26167633844411942</v>
      </c>
      <c r="CF9" s="9">
        <f t="shared" si="2"/>
        <v>1567.7772861359033</v>
      </c>
      <c r="CG9" s="9">
        <f t="shared" si="20"/>
        <v>71.578711076753621</v>
      </c>
      <c r="CH9" s="9">
        <f t="shared" si="21"/>
        <v>37.603683283746797</v>
      </c>
      <c r="CI9" s="9">
        <f t="shared" si="3"/>
        <v>494.8105613342529</v>
      </c>
      <c r="CJ9" s="9">
        <f t="shared" si="22"/>
        <v>283.29091381697947</v>
      </c>
      <c r="CK9" s="13">
        <f t="shared" si="23"/>
        <v>0.31561278869769266</v>
      </c>
      <c r="CL9" s="13">
        <f t="shared" si="24"/>
        <v>0.18069589113336745</v>
      </c>
      <c r="CM9" s="9">
        <f t="shared" si="25"/>
        <v>282.09807285681478</v>
      </c>
      <c r="CO9" s="7" t="str">
        <f t="shared" si="26"/>
        <v>2035_1</v>
      </c>
      <c r="CP9" s="28">
        <f>管理者入力シート!B10</f>
        <v>2035</v>
      </c>
      <c r="CQ9" s="3" t="s">
        <v>21</v>
      </c>
      <c r="CR9" s="9">
        <f>DT10*$AK$13+将来予測シート②!$G17</f>
        <v>56.817698683587928</v>
      </c>
      <c r="CS9" s="9">
        <f>IF(管理者入力シート!$B$14=1,CR6*管理者用人口入力シート!AM$3,IF(管理者入力シート!$B$14=2,CR6*管理者用人口入力シート!AM$7))+将来予測シート②!$G18</f>
        <v>59.513825050203828</v>
      </c>
      <c r="CT9" s="9">
        <f>IF(管理者入力シート!$B$14=1,CS6*管理者用人口入力シート!AN$3,IF(管理者入力シート!$B$14=2,CS6*管理者用人口入力シート!AN$7))+将来予測シート②!$G19</f>
        <v>63.245110540721612</v>
      </c>
      <c r="CU9" s="9">
        <f>IF(管理者入力シート!$B$14=1,CT6*管理者用人口入力シート!AO$3,IF(管理者入力シート!$B$14=2,CT6*管理者用人口入力シート!AO$7))+将来予測シート②!$G20</f>
        <v>66.074112609762579</v>
      </c>
      <c r="CV9" s="9">
        <f>IF(管理者入力シート!$B$14=1,CU6*管理者用人口入力シート!AP$3,IF(管理者入力シート!$B$14=2,CU6*管理者用人口入力シート!AP$7))+将来予測シート②!$G21</f>
        <v>41.6075563143945</v>
      </c>
      <c r="CW9" s="9">
        <f>IF(管理者入力シート!$B$14=1,CV6*管理者用人口入力シート!AQ$3,IF(管理者入力シート!$B$14=2,CV6*管理者用人口入力シート!AQ$7))+将来予測シート②!$G22</f>
        <v>70.575302907958445</v>
      </c>
      <c r="CX9" s="9">
        <f>IF(管理者入力シート!$B$14=1,CW6*管理者用人口入力シート!AR$3,IF(管理者入力シート!$B$14=2,CW6*管理者用人口入力シート!AR$7))+将来予測シート②!$G23</f>
        <v>83.7436798683581</v>
      </c>
      <c r="CY9" s="9">
        <f>IF(管理者入力シート!$B$14=1,CX6*管理者用人口入力シート!AS$3,IF(管理者入力シート!$B$14=2,CX6*管理者用人口入力シート!AS$7))+将来予測シート②!$G24</f>
        <v>92.426064989846452</v>
      </c>
      <c r="CZ9" s="9">
        <f>IF(管理者入力シート!$B$14=1,CY6*管理者用人口入力シート!AT$3,IF(管理者入力シート!$B$14=2,CY6*管理者用人口入力シート!AT$7))+将来予測シート②!$G25</f>
        <v>99.050443975769866</v>
      </c>
      <c r="DA9" s="9">
        <f>IF(管理者入力シート!$B$14=1,CZ6*管理者用人口入力シート!AU$3,IF(管理者入力シート!$B$14=2,CZ6*管理者用人口入力シート!AU$7))+将来予測シート②!$G26</f>
        <v>96.13241150204297</v>
      </c>
      <c r="DB9" s="9">
        <f>IF(管理者入力シート!$B$14=1,DA6*管理者用人口入力シート!AV$3,IF(管理者入力シート!$B$14=2,DA6*管理者用人口入力シート!AV$7))+将来予測シート②!$G27</f>
        <v>105.65876887137554</v>
      </c>
      <c r="DC9" s="9">
        <f>IF(管理者入力シート!$B$14=1,DB6*管理者用人口入力シート!AW$3,IF(管理者入力シート!$B$14=2,DB6*管理者用人口入力シート!AW$7))+将来予測シート②!$G28</f>
        <v>115.46499601500179</v>
      </c>
      <c r="DD9" s="9">
        <f>IF(管理者入力シート!$B$14=1,DC6*管理者用人口入力シート!AX$3,IF(管理者入力シート!$B$14=2,DC6*管理者用人口入力シート!AX$7))+将来予測シート②!$G29</f>
        <v>135.55893863477436</v>
      </c>
      <c r="DE9" s="9">
        <f>IF(管理者入力シート!$B$14=1,DD6*管理者用人口入力シート!AY$3,IF(管理者入力シート!$B$14=2,DD6*管理者用人口入力シート!AY$7))</f>
        <v>121.72625147915581</v>
      </c>
      <c r="DF9" s="9">
        <f>IF(管理者入力シート!$B$14=1,DE6*管理者用人口入力シート!AZ$3,IF(管理者入力シート!$B$14=2,DE6*管理者用人口入力シート!AZ$7))</f>
        <v>89.793396038117592</v>
      </c>
      <c r="DG9" s="9">
        <f>IF(管理者入力シート!$B$14=1,DF6*管理者用人口入力シート!BA$3,IF(管理者入力シート!$B$14=2,DF6*管理者用人口入力シート!BA$7))</f>
        <v>93.170996471067681</v>
      </c>
      <c r="DH9" s="9">
        <f>IF(管理者入力シート!$B$14=1,DG6*管理者用人口入力シート!BB$3,IF(管理者入力シート!$B$14=2,DG6*管理者用人口入力シート!BB$7))</f>
        <v>87.306011080387108</v>
      </c>
      <c r="DI9" s="9">
        <f>IF(管理者入力シート!$B$14=1,DH6*管理者用人口入力シート!BC$3,IF(管理者入力シート!$B$14=2,DH6*管理者用人口入力シート!BC$7))</f>
        <v>67.126209549362457</v>
      </c>
      <c r="DJ9" s="9">
        <f>IF(管理者入力シート!$B$14=1,DI6*管理者用人口入力シート!BD$3,IF(管理者入力シート!$B$14=2,DI6*管理者用人口入力シート!BD$7))</f>
        <v>26.875133136118965</v>
      </c>
      <c r="DK9" s="9">
        <f>IF(管理者入力シート!$B$14=1,DJ6*管理者用人口入力シート!BE$3,IF(管理者入力シート!$B$14=2,DJ6*管理者用人口入力シート!BE$7))</f>
        <v>8.5508872415991135</v>
      </c>
      <c r="DL9" s="9">
        <f>IF(管理者入力シート!$B$14=1,DK6*管理者用人口入力シート!BF$3,IF(管理者入力シート!$B$14=2,DK6*管理者用人口入力シート!BF$7))</f>
        <v>0.26167633844411942</v>
      </c>
      <c r="DM9" s="9">
        <f t="shared" si="69"/>
        <v>1580.6794712980511</v>
      </c>
      <c r="DN9" s="9">
        <f t="shared" si="34"/>
        <v>73.655361354555268</v>
      </c>
      <c r="DO9" s="9">
        <f t="shared" si="35"/>
        <v>38.512866738241158</v>
      </c>
      <c r="DP9" s="9">
        <f t="shared" si="6"/>
        <v>494.8105613342529</v>
      </c>
      <c r="DQ9" s="9">
        <f t="shared" si="36"/>
        <v>283.29091381697947</v>
      </c>
      <c r="DR9" s="13">
        <f t="shared" si="37"/>
        <v>0.31303662147767086</v>
      </c>
      <c r="DS9" s="13">
        <f t="shared" si="38"/>
        <v>0.1792209736135445</v>
      </c>
      <c r="DT9" s="9">
        <f t="shared" si="70"/>
        <v>288.35260408055751</v>
      </c>
      <c r="DV9" s="7" t="s">
        <v>403</v>
      </c>
      <c r="DW9" s="209">
        <f>DW7+DW8</f>
        <v>-277.95658369730683</v>
      </c>
      <c r="DX9" s="28">
        <f>管理者入力シート!B10</f>
        <v>2035</v>
      </c>
      <c r="DY9" s="3" t="s">
        <v>21</v>
      </c>
      <c r="DZ9" s="9">
        <f>FB10*$AK$13</f>
        <v>109.19665018400543</v>
      </c>
      <c r="EA9" s="129">
        <f>IF(管理者入力シート!$B$14=1,DZ6*管理者用人口入力シート!AM$3,IF(管理者入力シート!$B$14=2,DZ6*管理者用人口入力シート!AM$7))</f>
        <v>100.61490929826945</v>
      </c>
      <c r="EB9" s="9">
        <f>IF(管理者入力シート!$B$14=1,EA6*管理者用人口入力シート!AN$3,IF(管理者入力シート!$B$14=2,EA6*管理者用人口入力シート!AN$7))</f>
        <v>61.43157918047698</v>
      </c>
      <c r="EC9" s="9">
        <f>IF(管理者入力シート!$B$14=1,EB6*管理者用人口入力シート!AO$3,IF(管理者入力シート!$B$14=2,EB6*管理者用人口入力シート!AO$7))</f>
        <v>65.155258057780031</v>
      </c>
      <c r="ED9" s="9">
        <f>IF(管理者入力シート!$B$14=1,EC6*管理者用人口入力シート!AP$3,IF(管理者入力シート!$B$14=2,EC6*管理者用人口入力シート!AP$7))</f>
        <v>41.001755763848564</v>
      </c>
      <c r="EE9" s="9">
        <f>IF(管理者入力シート!$B$14=1,ED6*管理者用人口入力シート!AQ$3,IF(管理者入力シート!$B$14=2,ED6*管理者用人口入力シート!AQ$7))+DX1</f>
        <v>114.57530290795845</v>
      </c>
      <c r="EF9" s="9">
        <f>IF(管理者入力シート!$B$14=1,EE6*管理者用人口入力シート!AR$3,IF(管理者入力シート!$B$14=2,EE6*管理者用人口入力シート!AR$7))+DX1</f>
        <v>171.29468607777949</v>
      </c>
      <c r="EG9" s="9">
        <f>IF(管理者入力シート!$B$14=1,EF6*管理者用人口入力シート!AS$3,IF(管理者入力シート!$B$14=2,EF6*管理者用人口入力シート!AS$7))+DX1</f>
        <v>220.01418587498742</v>
      </c>
      <c r="EH9" s="9">
        <f>IF(管理者入力シート!$B$14=1,EG6*管理者用人口入力シート!AT$3,IF(管理者入力シート!$B$14=2,EG6*管理者用人口入力シート!AT$7))</f>
        <v>184.15199434931213</v>
      </c>
      <c r="EI9" s="9">
        <f>IF(管理者入力シート!$B$14=1,EH6*管理者用人口入力シート!AU$3,IF(管理者入力シート!$B$14=2,EH6*管理者用人口入力シート!AU$7))</f>
        <v>139.82570983124057</v>
      </c>
      <c r="EJ9" s="9">
        <f>IF(管理者入力シート!$B$14=1,EI6*管理者用人口入力シート!AV$3,IF(管理者入力シート!$B$14=2,EI6*管理者用人口入力シート!AV$7))</f>
        <v>105.65876887137554</v>
      </c>
      <c r="EK9" s="9">
        <f>IF(管理者入力シート!$B$14=1,EJ6*管理者用人口入力シート!AW$3,IF(管理者入力シート!$B$14=2,EJ6*管理者用人口入力シート!AW$7))</f>
        <v>115.46499601500179</v>
      </c>
      <c r="EL9" s="9">
        <f>IF(管理者入力シート!$B$14=1,EK6*管理者用人口入力シート!AX$3,IF(管理者入力シート!$B$14=2,EK6*管理者用人口入力シート!AX$7))</f>
        <v>135.55893863477436</v>
      </c>
      <c r="EM9" s="9">
        <f>IF(管理者入力シート!$B$14=1,EL6*管理者用人口入力シート!AY$3,IF(管理者入力シート!$B$14=2,EL6*管理者用人口入力シート!AY$7))</f>
        <v>121.72625147915581</v>
      </c>
      <c r="EN9" s="9">
        <f>IF(管理者入力シート!$B$14=1,EM6*管理者用人口入力シート!AZ$3,IF(管理者入力シート!$B$14=2,EM6*管理者用人口入力シート!AZ$7))</f>
        <v>89.793396038117592</v>
      </c>
      <c r="EO9" s="9">
        <f>IF(管理者入力シート!$B$14=1,EN6*管理者用人口入力シート!BA$3,IF(管理者入力シート!$B$14=2,EN6*管理者用人口入力シート!BA$7))</f>
        <v>93.170996471067681</v>
      </c>
      <c r="EP9" s="9">
        <f>IF(管理者入力シート!$B$14=1,EO6*管理者用人口入力シート!BB$3,IF(管理者入力シート!$B$14=2,EO6*管理者用人口入力シート!BB$7))</f>
        <v>87.306011080387108</v>
      </c>
      <c r="EQ9" s="9">
        <f>IF(管理者入力シート!$B$14=1,EP6*管理者用人口入力シート!BC$3,IF(管理者入力シート!$B$14=2,EP6*管理者用人口入力シート!BC$7))</f>
        <v>67.126209549362457</v>
      </c>
      <c r="ER9" s="9">
        <f>IF(管理者入力シート!$B$14=1,EQ6*管理者用人口入力シート!BD$3,IF(管理者入力シート!$B$14=2,EQ6*管理者用人口入力シート!BD$7))</f>
        <v>26.875133136118965</v>
      </c>
      <c r="ES9" s="9">
        <f>IF(管理者入力シート!$B$14=1,ER6*管理者用人口入力シート!BE$3,IF(管理者入力シート!$B$14=2,ER6*管理者用人口入力シート!BE$7))</f>
        <v>8.5508872415991135</v>
      </c>
      <c r="ET9" s="9">
        <f>IF(管理者入力シート!$B$14=1,ES6*管理者用人口入力シート!BF$3,IF(管理者入力シート!$B$14=2,ES6*管理者用人口入力シート!BF$7))</f>
        <v>0.26167633844411942</v>
      </c>
      <c r="EU9" s="9">
        <f t="shared" si="71"/>
        <v>2058.7552963810631</v>
      </c>
      <c r="EV9" s="9">
        <f t="shared" si="41"/>
        <v>97.22789308724785</v>
      </c>
      <c r="EW9" s="9">
        <f t="shared" si="42"/>
        <v>37.603683283746797</v>
      </c>
      <c r="EX9" s="9">
        <f t="shared" si="10"/>
        <v>494.8105613342529</v>
      </c>
      <c r="EY9" s="9">
        <f t="shared" si="43"/>
        <v>283.29091381697947</v>
      </c>
      <c r="EZ9" s="13">
        <f t="shared" si="44"/>
        <v>0.24034452380234045</v>
      </c>
      <c r="FA9" s="13">
        <f t="shared" si="45"/>
        <v>0.13760300425939695</v>
      </c>
      <c r="FB9" s="9">
        <f t="shared" si="72"/>
        <v>546.88593062457392</v>
      </c>
    </row>
    <row r="10" spans="1:158" x14ac:dyDescent="0.15">
      <c r="A10" s="7" t="str">
        <f t="shared" si="11"/>
        <v>2015_2</v>
      </c>
      <c r="B10" s="29">
        <v>2015</v>
      </c>
      <c r="C10" s="4" t="s">
        <v>22</v>
      </c>
      <c r="D10" s="10">
        <v>110.85180170445287</v>
      </c>
      <c r="E10" s="10">
        <v>84.744613915127417</v>
      </c>
      <c r="F10" s="10">
        <v>100.56072683190341</v>
      </c>
      <c r="G10" s="10">
        <v>98.608424591047424</v>
      </c>
      <c r="H10" s="10">
        <v>88.63991774146119</v>
      </c>
      <c r="I10" s="10">
        <v>108.29268395778277</v>
      </c>
      <c r="J10" s="10">
        <v>109.71488473960825</v>
      </c>
      <c r="K10" s="10">
        <v>147.90993269923993</v>
      </c>
      <c r="L10" s="10">
        <v>155.01486227596445</v>
      </c>
      <c r="M10" s="10">
        <v>178.43876163648369</v>
      </c>
      <c r="N10" s="10">
        <v>145.4209943247223</v>
      </c>
      <c r="O10" s="10">
        <v>170.27790316701964</v>
      </c>
      <c r="P10" s="10">
        <v>175.95489835076114</v>
      </c>
      <c r="Q10" s="10">
        <v>199.21061375477751</v>
      </c>
      <c r="R10" s="10">
        <v>167.07887093642543</v>
      </c>
      <c r="S10" s="10">
        <v>168.75725499807064</v>
      </c>
      <c r="T10" s="10">
        <v>125.95027528287962</v>
      </c>
      <c r="U10" s="10">
        <v>88.92145205423536</v>
      </c>
      <c r="V10" s="10">
        <v>39.442931574963517</v>
      </c>
      <c r="W10" s="10">
        <v>12.508195463073511</v>
      </c>
      <c r="X10" s="10">
        <v>1</v>
      </c>
      <c r="Y10" s="10">
        <f t="shared" si="68"/>
        <v>2477.3000000000006</v>
      </c>
      <c r="Z10" s="10">
        <f t="shared" si="12"/>
        <v>111.18320444821849</v>
      </c>
      <c r="AA10" s="10">
        <f t="shared" si="13"/>
        <v>59.945975650970844</v>
      </c>
      <c r="AB10" s="10">
        <f t="shared" si="0"/>
        <v>802.86959406442554</v>
      </c>
      <c r="AC10" s="10">
        <f t="shared" si="14"/>
        <v>436.58010937322263</v>
      </c>
      <c r="AD10" s="14">
        <f t="shared" si="15"/>
        <v>0.32409058009301472</v>
      </c>
      <c r="AE10" s="14">
        <f t="shared" si="16"/>
        <v>0.17623223241965952</v>
      </c>
      <c r="AF10" s="10">
        <f t="shared" si="17"/>
        <v>454.55741913809209</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59.429136912222084</v>
      </c>
      <c r="BL10" s="10">
        <f>IF(管理者入力シート!$B$14=1,BK7*管理者用人口入力シート!AM$4,IF(管理者入力シート!$B$14=2,BK7*管理者用人口入力シート!AM$8))</f>
        <v>57.970079944700061</v>
      </c>
      <c r="BM10" s="10">
        <f>IF(管理者入力シート!$B$14=1,BL7*管理者用人口入力シート!AN$4,IF(管理者入力シート!$B$14=2,BL7*管理者用人口入力シート!AN$8))</f>
        <v>70.161638583087822</v>
      </c>
      <c r="BN10" s="10">
        <f>IF(管理者入力シート!$B$14=1,BM7*管理者用人口入力シート!AO$4,IF(管理者入力シート!$B$14=2,BM7*管理者用人口入力シート!AO$8))</f>
        <v>64.047129630591741</v>
      </c>
      <c r="BO10" s="10">
        <f>IF(管理者入力シート!$B$14=1,BN7*管理者用人口入力シート!AP$4,IF(管理者入力シート!$B$14=2,BN7*管理者用人口入力シート!AP$8))</f>
        <v>56.406043803599715</v>
      </c>
      <c r="BP10" s="10">
        <f>IF(管理者入力シート!$B$14=1,BO7*管理者用人口入力シート!AQ$4,IF(管理者入力シート!$B$14=2,BO7*管理者用人口入力シート!AQ$8))</f>
        <v>66.673884483889225</v>
      </c>
      <c r="BQ10" s="10">
        <f>IF(管理者入力シート!$B$14=1,BP7*管理者用人口入力シート!AR$4,IF(管理者入力シート!$B$14=2,BP7*管理者用人口入力シート!AR$8))</f>
        <v>64.391429191663775</v>
      </c>
      <c r="BR10" s="10">
        <f>IF(管理者入力シート!$B$14=1,BQ7*管理者用人口入力シート!AS$4,IF(管理者入力シート!$B$14=2,BQ7*管理者用人口入力シート!AS$8))</f>
        <v>71.548170049387508</v>
      </c>
      <c r="BS10" s="10">
        <f>IF(管理者入力シート!$B$14=1,BR7*管理者用人口入力シート!AT$4,IF(管理者入力シート!$B$14=2,BR7*管理者用人口入力シート!AT$8))</f>
        <v>93.176324935861686</v>
      </c>
      <c r="BT10" s="10">
        <f>IF(管理者入力シート!$B$14=1,BS7*管理者用人口入力シート!AU$4,IF(管理者入力シート!$B$14=2,BS7*管理者用人口入力シート!AU$8))</f>
        <v>114.27457962769461</v>
      </c>
      <c r="BU10" s="10">
        <f>IF(管理者入力シート!$B$14=1,BT7*管理者用人口入力シート!AV$4,IF(管理者入力シート!$B$14=2,BT7*管理者用人口入力シート!AV$8))</f>
        <v>107.68422556727504</v>
      </c>
      <c r="BV10" s="10">
        <f>IF(管理者入力シート!$B$14=1,BU7*管理者用人口入力シート!AW$4,IF(管理者入力シート!$B$14=2,BU7*管理者用人口入力シート!AW$8))</f>
        <v>150.61128010518155</v>
      </c>
      <c r="BW10" s="10">
        <f>IF(管理者入力シート!$B$14=1,BV7*管理者用人口入力シート!AX$4,IF(管理者入力シート!$B$14=2,BV7*管理者用人口入力シート!AX$8))</f>
        <v>138.54817616972062</v>
      </c>
      <c r="BX10" s="10">
        <f>IF(管理者入力シート!$B$14=1,BW7*管理者用人口入力シート!AY$4,IF(管理者入力シート!$B$14=2,BW7*管理者用人口入力シート!AY$8))</f>
        <v>130.97072056344314</v>
      </c>
      <c r="BY10" s="10">
        <f>IF(管理者入力シート!$B$14=1,BX7*管理者用人口入力シート!AZ$4,IF(管理者入力シート!$B$14=2,BX7*管理者用人口入力シート!AZ$8))</f>
        <v>105.83319016694878</v>
      </c>
      <c r="BZ10" s="10">
        <f>IF(管理者入力シート!$B$14=1,BY7*管理者用人口入力シート!BA$4,IF(管理者入力シート!$B$14=2,BY7*管理者用人口入力シート!BA$8))</f>
        <v>125.95833898481625</v>
      </c>
      <c r="CA10" s="10">
        <f>IF(管理者入力シート!$B$14=1,BZ7*管理者用人口入力シート!BB$4,IF(管理者入力シート!$B$14=2,BZ7*管理者用人口入力シート!BB$8))</f>
        <v>121.939422536922</v>
      </c>
      <c r="CB10" s="10">
        <f>IF(管理者入力シート!$B$14=1,CA7*管理者用人口入力シート!BC$4,IF(管理者入力シート!$B$14=2,CA7*管理者用人口入力シート!BC$8))</f>
        <v>107.85277253806736</v>
      </c>
      <c r="CC10" s="10">
        <f>IF(管理者入力シート!$B$14=1,CB7*管理者用人口入力シート!BD$4,IF(管理者入力シート!$B$14=2,CB7*管理者用人口入力シート!BD$8))</f>
        <v>62.190634980389653</v>
      </c>
      <c r="CD10" s="10">
        <f>IF(管理者入力シート!$B$14=1,CC7*管理者用人口入力シート!BE$4,IF(管理者入力シート!$B$14=2,CC7*管理者用人口入力シート!BE$8))</f>
        <v>23.728039623748725</v>
      </c>
      <c r="CE10" s="10">
        <f>IF(管理者入力シート!$B$14=1,CD7*管理者用人口入力シート!BF$4,IF(管理者入力シート!$B$14=2,CD7*管理者用人口入力シート!BF$8))</f>
        <v>7.0469003142961002</v>
      </c>
      <c r="CF10" s="10">
        <f t="shared" si="2"/>
        <v>1800.4421187135074</v>
      </c>
      <c r="CG10" s="10">
        <f t="shared" si="20"/>
        <v>76.879031116672735</v>
      </c>
      <c r="CH10" s="10">
        <f t="shared" si="21"/>
        <v>40.874081359353475</v>
      </c>
      <c r="CI10" s="10">
        <f t="shared" si="3"/>
        <v>685.52001970863193</v>
      </c>
      <c r="CJ10" s="10">
        <f t="shared" si="22"/>
        <v>448.71610897824007</v>
      </c>
      <c r="CK10" s="14">
        <f t="shared" si="23"/>
        <v>0.38075093477510136</v>
      </c>
      <c r="CL10" s="14">
        <f t="shared" si="24"/>
        <v>0.24922551206415169</v>
      </c>
      <c r="CM10" s="10">
        <f t="shared" si="25"/>
        <v>259.01952752854021</v>
      </c>
      <c r="CO10" s="7" t="str">
        <f t="shared" si="26"/>
        <v>2035_2</v>
      </c>
      <c r="CP10" s="29">
        <f>CP9</f>
        <v>2035</v>
      </c>
      <c r="CQ10" s="4" t="s">
        <v>22</v>
      </c>
      <c r="CR10" s="10">
        <f>DT10*$AK$14+将来予測シート②!$H17</f>
        <v>61.810241709997527</v>
      </c>
      <c r="CS10" s="10">
        <f>IF(管理者入力シート!$B$14=1,CR7*管理者用人口入力シート!AM$4,IF(管理者入力シート!$B$14=2,CR7*管理者用人口入力シート!AM$8))+将来予測シート②!$H18</f>
        <v>59.545232687752922</v>
      </c>
      <c r="CT10" s="10">
        <f>IF(管理者入力シート!$B$14=1,CS7*管理者用人口入力シート!AN$4,IF(管理者入力シート!$B$14=2,CS7*管理者用人口入力シート!AN$8))+将来予測シート②!$H19</f>
        <v>72.014498178003507</v>
      </c>
      <c r="CU10" s="10">
        <f>IF(管理者入力シート!$B$14=1,CT7*管理者用人口入力シート!AO$4,IF(管理者入力シート!$B$14=2,CT7*管理者用人口入力シート!AO$8))+将来予測シート②!$H20</f>
        <v>64.837970180292473</v>
      </c>
      <c r="CV10" s="10">
        <f>IF(管理者入力シート!$B$14=1,CU7*管理者用人口入力シート!AP$4,IF(管理者入力シート!$B$14=2,CU7*管理者用人口入力シート!AP$8))+将来予測シート②!$H21</f>
        <v>56.986116221821263</v>
      </c>
      <c r="CW10" s="10">
        <f>IF(管理者入力シート!$B$14=1,CV7*管理者用人口入力シート!AQ$4,IF(管理者入力シート!$B$14=2,CV7*管理者用人口入力シート!AQ$8))+将来予測シート②!$H22</f>
        <v>68.673884483889225</v>
      </c>
      <c r="CX10" s="10">
        <f>IF(管理者入力シート!$B$14=1,CW7*管理者用人口入力シート!AR$4,IF(管理者入力シート!$B$14=2,CW7*管理者用人口入力シート!AR$8))+将来予測シート②!$H23</f>
        <v>66.18173856618148</v>
      </c>
      <c r="CY10" s="10">
        <f>IF(管理者入力シート!$B$14=1,CX7*管理者用人口入力シート!AS$4,IF(管理者入力シート!$B$14=2,CX7*管理者用人口入力シート!AS$8))+将来予測シート②!$H24</f>
        <v>73.197278539934231</v>
      </c>
      <c r="CZ10" s="10">
        <f>IF(管理者入力シート!$B$14=1,CY7*管理者用人口入力シート!AT$4,IF(管理者入力シート!$B$14=2,CY7*管理者用人口入力シート!AT$8))+将来予測シート②!$H25</f>
        <v>94.176324935861686</v>
      </c>
      <c r="DA10" s="10">
        <f>IF(管理者入力シート!$B$14=1,CZ7*管理者用人口入力シート!AU$4,IF(管理者入力シート!$B$14=2,CZ7*管理者用人口入力シート!AU$8))+将来予測シート②!$H26</f>
        <v>115.36200917117783</v>
      </c>
      <c r="DB10" s="10">
        <f>IF(管理者入力シート!$B$14=1,DA7*管理者用人口入力シート!AV$4,IF(管理者入力シート!$B$14=2,DA7*管理者用人口入力シート!AV$8))+将来予測シート②!$H27</f>
        <v>108.71325523429918</v>
      </c>
      <c r="DC10" s="10">
        <f>IF(管理者入力シート!$B$14=1,DB7*管理者用人口入力シート!AW$4,IF(管理者入力シート!$B$14=2,DB7*管理者用人口入力シート!AW$8))+将来予測シート②!$H28</f>
        <v>150.61128010518155</v>
      </c>
      <c r="DD10" s="10">
        <f>IF(管理者入力シート!$B$14=1,DC7*管理者用人口入力シート!AX$4,IF(管理者入力シート!$B$14=2,DC7*管理者用人口入力シート!AX$8))+将来予測シート②!$H29</f>
        <v>138.54817616972062</v>
      </c>
      <c r="DE10" s="10">
        <f>IF(管理者入力シート!$B$14=1,DD7*管理者用人口入力シート!AY$4,IF(管理者入力シート!$B$14=2,DD7*管理者用人口入力シート!AY$8))</f>
        <v>130.97072056344314</v>
      </c>
      <c r="DF10" s="10">
        <f>IF(管理者入力シート!$B$14=1,DE7*管理者用人口入力シート!AZ$4,IF(管理者入力シート!$B$14=2,DE7*管理者用人口入力シート!AZ$8))</f>
        <v>105.83319016694878</v>
      </c>
      <c r="DG10" s="10">
        <f>IF(管理者入力シート!$B$14=1,DF7*管理者用人口入力シート!BA$4,IF(管理者入力シート!$B$14=2,DF7*管理者用人口入力シート!BA$8))</f>
        <v>125.95833898481625</v>
      </c>
      <c r="DH10" s="10">
        <f>IF(管理者入力シート!$B$14=1,DG7*管理者用人口入力シート!BB$4,IF(管理者入力シート!$B$14=2,DG7*管理者用人口入力シート!BB$8))</f>
        <v>121.939422536922</v>
      </c>
      <c r="DI10" s="10">
        <f>IF(管理者入力シート!$B$14=1,DH7*管理者用人口入力シート!BC$4,IF(管理者入力シート!$B$14=2,DH7*管理者用人口入力シート!BC$8))</f>
        <v>107.85277253806736</v>
      </c>
      <c r="DJ10" s="10">
        <f>IF(管理者入力シート!$B$14=1,DI7*管理者用人口入力シート!BD$4,IF(管理者入力シート!$B$14=2,DI7*管理者用人口入力シート!BD$8))</f>
        <v>62.190634980389653</v>
      </c>
      <c r="DK10" s="10">
        <f>IF(管理者入力シート!$B$14=1,DJ7*管理者用人口入力シート!BE$4,IF(管理者入力シート!$B$14=2,DJ7*管理者用人口入力シート!BE$8))</f>
        <v>23.728039623748725</v>
      </c>
      <c r="DL10" s="10">
        <f>IF(管理者入力シート!$B$14=1,DK7*管理者用人口入力シート!BF$4,IF(管理者入力シート!$B$14=2,DK7*管理者用人口入力シート!BF$8))</f>
        <v>7.0469003142961002</v>
      </c>
      <c r="DM10" s="10">
        <f t="shared" si="69"/>
        <v>1816.1780258927454</v>
      </c>
      <c r="DN10" s="10">
        <f t="shared" si="34"/>
        <v>78.935838519453853</v>
      </c>
      <c r="DO10" s="10">
        <f t="shared" si="35"/>
        <v>41.773393307259894</v>
      </c>
      <c r="DP10" s="10">
        <f t="shared" si="6"/>
        <v>685.52001970863193</v>
      </c>
      <c r="DQ10" s="10">
        <f t="shared" si="36"/>
        <v>448.71610897824007</v>
      </c>
      <c r="DR10" s="14">
        <f t="shared" si="37"/>
        <v>0.37745199530847939</v>
      </c>
      <c r="DS10" s="14">
        <f t="shared" si="38"/>
        <v>0.24706614802129484</v>
      </c>
      <c r="DT10" s="10">
        <f t="shared" si="70"/>
        <v>265.03901781182623</v>
      </c>
      <c r="DV10" s="62" t="s">
        <v>405</v>
      </c>
      <c r="DW10" s="209">
        <f>((SUM(BL12:BL13)*3/5+SUM(BM12:BM13)+SUM(BN12:BN13)*1/5)-(SUM(E12:E13)*3/5+SUM(F12:F13)+SUM(G12:G13)*1/5))/4</f>
        <v>-31.554172164658631</v>
      </c>
      <c r="DX10" s="29">
        <f>DX9</f>
        <v>2035</v>
      </c>
      <c r="DY10" s="4" t="s">
        <v>22</v>
      </c>
      <c r="DZ10" s="10">
        <f>FB10*$AK$14</f>
        <v>118.9636055985206</v>
      </c>
      <c r="EA10" s="10">
        <f>IF(管理者入力シート!$B$14=1,DZ7*管理者用人口入力シート!AM$4,IF(管理者入力シート!$B$14=2,DZ7*管理者用人口入力シート!AM$8))</f>
        <v>100.79540416479081</v>
      </c>
      <c r="EB10" s="10">
        <f>IF(管理者入力シート!$B$14=1,EA7*管理者用人口入力シート!AN$4,IF(管理者入力シート!$B$14=2,EA7*管理者用人口入力シート!AN$8))</f>
        <v>70.161638583087822</v>
      </c>
      <c r="EC10" s="10">
        <f>IF(管理者入力シート!$B$14=1,EB7*管理者用人口入力シート!AO$4,IF(管理者入力シート!$B$14=2,EB7*管理者用人口入力シート!AO$8))</f>
        <v>64.047129630591741</v>
      </c>
      <c r="ED10" s="10">
        <f>IF(管理者入力シート!$B$14=1,EC7*管理者用人口入力シート!AP$4,IF(管理者入力シート!$B$14=2,EC7*管理者用人口入力シート!AP$8))</f>
        <v>56.406043803599715</v>
      </c>
      <c r="EE10" s="10">
        <f>IF(管理者入力シート!$B$14=1,ED7*管理者用人口入力シート!AQ$4,IF(管理者入力シート!$B$14=2,ED7*管理者用人口入力シート!AQ$8))+DX1</f>
        <v>112.67388448388922</v>
      </c>
      <c r="EF10" s="10">
        <f>IF(管理者入力シート!$B$14=1,EE7*管理者用人口入力シート!AR$4,IF(管理者入力シート!$B$14=2,EE7*管理者用人口入力シート!AR$8))+DX1</f>
        <v>151.56854480557092</v>
      </c>
      <c r="EG10" s="10">
        <f>IF(管理者入力シート!$B$14=1,EF7*管理者用人口入力シート!AS$4,IF(管理者入力シート!$B$14=2,EF7*管理者用人口入力シート!AS$8))+DX1</f>
        <v>197.84966630837707</v>
      </c>
      <c r="EH10" s="10">
        <f>IF(管理者入力シート!$B$14=1,EG7*管理者用人口入力シート!AT$4,IF(管理者入力シート!$B$14=2,EG7*管理者用人口入力シート!AT$8))</f>
        <v>178.3868063198926</v>
      </c>
      <c r="EI10" s="10">
        <f>IF(管理者入力シート!$B$14=1,EH7*管理者用人口入力シート!AU$4,IF(管理者入力シート!$B$14=2,EH7*管理者用人口入力シート!AU$8))</f>
        <v>162.50680382756326</v>
      </c>
      <c r="EJ10" s="10">
        <f>IF(管理者入力シート!$B$14=1,EI7*管理者用人口入力シート!AV$4,IF(管理者入力シート!$B$14=2,EI7*管理者用人口入力シート!AV$8))</f>
        <v>107.68422556727504</v>
      </c>
      <c r="EK10" s="10">
        <f>IF(管理者入力シート!$B$14=1,EJ7*管理者用人口入力シート!AW$4,IF(管理者入力シート!$B$14=2,EJ7*管理者用人口入力シート!AW$8))</f>
        <v>150.61128010518155</v>
      </c>
      <c r="EL10" s="10">
        <f>IF(管理者入力シート!$B$14=1,EK7*管理者用人口入力シート!AX$4,IF(管理者入力シート!$B$14=2,EK7*管理者用人口入力シート!AX$8))</f>
        <v>138.54817616972062</v>
      </c>
      <c r="EM10" s="10">
        <f>IF(管理者入力シート!$B$14=1,EL7*管理者用人口入力シート!AY$4,IF(管理者入力シート!$B$14=2,EL7*管理者用人口入力シート!AY$8))</f>
        <v>130.97072056344314</v>
      </c>
      <c r="EN10" s="10">
        <f>IF(管理者入力シート!$B$14=1,EM7*管理者用人口入力シート!AZ$4,IF(管理者入力シート!$B$14=2,EM7*管理者用人口入力シート!AZ$8))</f>
        <v>105.83319016694878</v>
      </c>
      <c r="EO10" s="10">
        <f>IF(管理者入力シート!$B$14=1,EN7*管理者用人口入力シート!BA$4,IF(管理者入力シート!$B$14=2,EN7*管理者用人口入力シート!BA$8))</f>
        <v>125.95833898481625</v>
      </c>
      <c r="EP10" s="10">
        <f>IF(管理者入力シート!$B$14=1,EO7*管理者用人口入力シート!BB$4,IF(管理者入力シート!$B$14=2,EO7*管理者用人口入力シート!BB$8))</f>
        <v>121.939422536922</v>
      </c>
      <c r="EQ10" s="10">
        <f>IF(管理者入力シート!$B$14=1,EP7*管理者用人口入力シート!BC$4,IF(管理者入力シート!$B$14=2,EP7*管理者用人口入力シート!BC$8))</f>
        <v>107.85277253806736</v>
      </c>
      <c r="ER10" s="10">
        <f>IF(管理者入力シート!$B$14=1,EQ7*管理者用人口入力シート!BD$4,IF(管理者入力シート!$B$14=2,EQ7*管理者用人口入力シート!BD$8))</f>
        <v>62.190634980389653</v>
      </c>
      <c r="ES10" s="10">
        <f>IF(管理者入力シート!$B$14=1,ER7*管理者用人口入力シート!BE$4,IF(管理者入力シート!$B$14=2,ER7*管理者用人口入力シート!BE$8))</f>
        <v>23.728039623748725</v>
      </c>
      <c r="ET10" s="10">
        <f>IF(管理者入力シート!$B$14=1,ES7*管理者用人口入力シート!BF$4,IF(管理者入力シート!$B$14=2,ES7*管理者用人口入力シート!BF$8))</f>
        <v>7.0469003142961002</v>
      </c>
      <c r="EU10" s="10">
        <f t="shared" si="71"/>
        <v>2295.7232290766933</v>
      </c>
      <c r="EV10" s="10">
        <f t="shared" si="41"/>
        <v>102.57422564872718</v>
      </c>
      <c r="EW10" s="10">
        <f t="shared" si="42"/>
        <v>40.874081359353475</v>
      </c>
      <c r="EX10" s="10">
        <f t="shared" si="10"/>
        <v>685.52001970863193</v>
      </c>
      <c r="EY10" s="10">
        <f t="shared" si="43"/>
        <v>448.71610897824007</v>
      </c>
      <c r="EZ10" s="14">
        <f t="shared" si="44"/>
        <v>0.29860743273671458</v>
      </c>
      <c r="FA10" s="14">
        <f t="shared" si="45"/>
        <v>0.19545740675312467</v>
      </c>
      <c r="FB10" s="10">
        <f t="shared" si="72"/>
        <v>518.4981394014369</v>
      </c>
    </row>
    <row r="11" spans="1:158" x14ac:dyDescent="0.15">
      <c r="A11" s="7" t="str">
        <f t="shared" si="11"/>
        <v>2015_3</v>
      </c>
      <c r="B11" s="30">
        <v>2015</v>
      </c>
      <c r="C11" s="5" t="s">
        <v>23</v>
      </c>
      <c r="D11" s="11">
        <v>193.05449664916978</v>
      </c>
      <c r="E11" s="11">
        <v>181.83921055226259</v>
      </c>
      <c r="F11" s="11">
        <v>201.52080812162657</v>
      </c>
      <c r="G11" s="11">
        <v>221.50216379884597</v>
      </c>
      <c r="H11" s="11">
        <v>168.45947132021732</v>
      </c>
      <c r="I11" s="11">
        <v>204.44021127913692</v>
      </c>
      <c r="J11" s="11">
        <v>220.18149093351457</v>
      </c>
      <c r="K11" s="11">
        <v>277.18213760911857</v>
      </c>
      <c r="L11" s="11">
        <v>303.05661832819169</v>
      </c>
      <c r="M11" s="11">
        <v>327.61687928822664</v>
      </c>
      <c r="N11" s="11">
        <v>284.28101104219968</v>
      </c>
      <c r="O11" s="11">
        <v>315.88806972792315</v>
      </c>
      <c r="P11" s="11">
        <v>330.41737861776085</v>
      </c>
      <c r="Q11" s="11">
        <v>366.16795577415093</v>
      </c>
      <c r="R11" s="11">
        <v>273.63533081775324</v>
      </c>
      <c r="S11" s="11">
        <v>288.58803637800611</v>
      </c>
      <c r="T11" s="11">
        <v>203.97450602749123</v>
      </c>
      <c r="U11" s="11">
        <v>128.33222713114989</v>
      </c>
      <c r="V11" s="11">
        <v>55.553801140180909</v>
      </c>
      <c r="W11" s="11">
        <v>13.508195463073511</v>
      </c>
      <c r="X11" s="11">
        <v>1</v>
      </c>
      <c r="Y11" s="11">
        <f t="shared" si="68"/>
        <v>4560.2</v>
      </c>
      <c r="Z11" s="11">
        <f t="shared" si="12"/>
        <v>230.01601120433349</v>
      </c>
      <c r="AA11" s="11">
        <f t="shared" si="13"/>
        <v>124.90875600841983</v>
      </c>
      <c r="AB11" s="11">
        <f t="shared" si="0"/>
        <v>1330.7600527318059</v>
      </c>
      <c r="AC11" s="11">
        <f t="shared" si="14"/>
        <v>690.95676613990167</v>
      </c>
      <c r="AD11" s="15">
        <f t="shared" si="15"/>
        <v>0.29182054575058242</v>
      </c>
      <c r="AE11" s="15">
        <f t="shared" si="16"/>
        <v>0.15151896104116086</v>
      </c>
      <c r="AF11" s="11">
        <f t="shared" si="17"/>
        <v>870.26331114198751</v>
      </c>
      <c r="BH11" s="7" t="str">
        <f t="shared" si="19"/>
        <v>2035_3</v>
      </c>
      <c r="BI11" s="30">
        <f>BI10</f>
        <v>2035</v>
      </c>
      <c r="BJ11" s="5" t="s">
        <v>23</v>
      </c>
      <c r="BK11" s="16">
        <f>BK9+BK10</f>
        <v>113.97912000572359</v>
      </c>
      <c r="BL11" s="16">
        <f t="shared" ref="BL11" si="117">BL9+BL10</f>
        <v>115.83635255881245</v>
      </c>
      <c r="BM11" s="16">
        <f t="shared" ref="BM11" si="118">BM9+BM10</f>
        <v>131.59321776356481</v>
      </c>
      <c r="BN11" s="16">
        <f t="shared" ref="BN11" si="119">BN9+BN10</f>
        <v>129.20238768837177</v>
      </c>
      <c r="BO11" s="16">
        <f t="shared" ref="BO11" si="120">BO9+BO10</f>
        <v>97.407799567448279</v>
      </c>
      <c r="BP11" s="16">
        <f t="shared" ref="BP11" si="121">BP9+BP10</f>
        <v>135.24918739184767</v>
      </c>
      <c r="BQ11" s="16">
        <f t="shared" ref="BQ11" si="122">BQ9+BQ10</f>
        <v>146.24642695959363</v>
      </c>
      <c r="BR11" s="16">
        <f t="shared" ref="BR11" si="123">BR9+BR10</f>
        <v>162.21418646646543</v>
      </c>
      <c r="BS11" s="16">
        <f t="shared" ref="BS11" si="124">BS9+BS10</f>
        <v>192.22676891163155</v>
      </c>
      <c r="BT11" s="16">
        <f t="shared" ref="BT11" si="125">BT9+BT10</f>
        <v>210.40699112973758</v>
      </c>
      <c r="BU11" s="16">
        <f t="shared" ref="BU11" si="126">BU9+BU10</f>
        <v>213.34299443865058</v>
      </c>
      <c r="BV11" s="16">
        <f t="shared" ref="BV11" si="127">BV9+BV10</f>
        <v>266.07627612018337</v>
      </c>
      <c r="BW11" s="16">
        <f t="shared" ref="BW11" si="128">BW9+BW10</f>
        <v>274.10711480449498</v>
      </c>
      <c r="BX11" s="16">
        <f t="shared" ref="BX11" si="129">BX9+BX10</f>
        <v>252.69697204259893</v>
      </c>
      <c r="BY11" s="16">
        <f t="shared" ref="BY11" si="130">BY9+BY10</f>
        <v>195.62658620506636</v>
      </c>
      <c r="BZ11" s="16">
        <f t="shared" ref="BZ11" si="131">BZ9+BZ10</f>
        <v>219.12933545588393</v>
      </c>
      <c r="CA11" s="16">
        <f t="shared" ref="CA11" si="132">CA9+CA10</f>
        <v>209.24543361730912</v>
      </c>
      <c r="CB11" s="16">
        <f t="shared" ref="CB11" si="133">CB9+CB10</f>
        <v>174.97898208742981</v>
      </c>
      <c r="CC11" s="16">
        <f t="shared" ref="CC11" si="134">CC9+CC10</f>
        <v>89.065768116508622</v>
      </c>
      <c r="CD11" s="16">
        <f t="shared" ref="CD11" si="135">CD9+CD10</f>
        <v>32.278926865347842</v>
      </c>
      <c r="CE11" s="16">
        <f t="shared" ref="CE11" si="136">CE9+CE10</f>
        <v>7.3085766527402196</v>
      </c>
      <c r="CF11" s="11">
        <f t="shared" si="2"/>
        <v>3368.2194048494102</v>
      </c>
      <c r="CG11" s="11">
        <f t="shared" si="20"/>
        <v>148.45774219342638</v>
      </c>
      <c r="CH11" s="11">
        <f t="shared" si="21"/>
        <v>78.477764643100272</v>
      </c>
      <c r="CI11" s="11">
        <f t="shared" si="3"/>
        <v>1180.3305810428849</v>
      </c>
      <c r="CJ11" s="11">
        <f t="shared" si="22"/>
        <v>732.00702279521954</v>
      </c>
      <c r="CK11" s="15">
        <f t="shared" si="23"/>
        <v>0.35043161955052521</v>
      </c>
      <c r="CL11" s="15">
        <f t="shared" si="24"/>
        <v>0.21732759503175739</v>
      </c>
      <c r="CM11" s="11">
        <f t="shared" si="25"/>
        <v>541.11760038535499</v>
      </c>
      <c r="CO11" s="7" t="str">
        <f t="shared" si="26"/>
        <v>2035_3</v>
      </c>
      <c r="CP11" s="30">
        <f>CP10</f>
        <v>2035</v>
      </c>
      <c r="CQ11" s="5" t="s">
        <v>23</v>
      </c>
      <c r="CR11" s="16">
        <f>CR9+CR10</f>
        <v>118.62794039358545</v>
      </c>
      <c r="CS11" s="16">
        <f t="shared" ref="CS11" si="137">CS9+CS10</f>
        <v>119.05905773795675</v>
      </c>
      <c r="CT11" s="16">
        <f t="shared" ref="CT11" si="138">CT9+CT10</f>
        <v>135.25960871872513</v>
      </c>
      <c r="CU11" s="16">
        <f t="shared" ref="CU11" si="139">CU9+CU10</f>
        <v>130.91208279005505</v>
      </c>
      <c r="CV11" s="16">
        <f t="shared" ref="CV11" si="140">CV9+CV10</f>
        <v>98.593672536215763</v>
      </c>
      <c r="CW11" s="16">
        <f t="shared" ref="CW11" si="141">CW9+CW10</f>
        <v>139.24918739184767</v>
      </c>
      <c r="CX11" s="16">
        <f t="shared" ref="CX11" si="142">CX9+CX10</f>
        <v>149.92541843453958</v>
      </c>
      <c r="CY11" s="16">
        <f t="shared" ref="CY11" si="143">CY9+CY10</f>
        <v>165.6233435297807</v>
      </c>
      <c r="CZ11" s="16">
        <f t="shared" ref="CZ11" si="144">CZ9+CZ10</f>
        <v>193.22676891163155</v>
      </c>
      <c r="DA11" s="16">
        <f t="shared" ref="DA11" si="145">DA9+DA10</f>
        <v>211.49442067322082</v>
      </c>
      <c r="DB11" s="16">
        <f t="shared" ref="DB11" si="146">DB9+DB10</f>
        <v>214.37202410567471</v>
      </c>
      <c r="DC11" s="16">
        <f t="shared" ref="DC11" si="147">DC9+DC10</f>
        <v>266.07627612018337</v>
      </c>
      <c r="DD11" s="16">
        <f t="shared" ref="DD11" si="148">DD9+DD10</f>
        <v>274.10711480449498</v>
      </c>
      <c r="DE11" s="16">
        <f t="shared" ref="DE11" si="149">DE9+DE10</f>
        <v>252.69697204259893</v>
      </c>
      <c r="DF11" s="16">
        <f t="shared" ref="DF11" si="150">DF9+DF10</f>
        <v>195.62658620506636</v>
      </c>
      <c r="DG11" s="16">
        <f t="shared" ref="DG11" si="151">DG9+DG10</f>
        <v>219.12933545588393</v>
      </c>
      <c r="DH11" s="16">
        <f t="shared" ref="DH11" si="152">DH9+DH10</f>
        <v>209.24543361730912</v>
      </c>
      <c r="DI11" s="16">
        <f t="shared" ref="DI11" si="153">DI9+DI10</f>
        <v>174.97898208742981</v>
      </c>
      <c r="DJ11" s="16">
        <f t="shared" ref="DJ11" si="154">DJ9+DJ10</f>
        <v>89.065768116508622</v>
      </c>
      <c r="DK11" s="16">
        <f t="shared" ref="DK11" si="155">DK9+DK10</f>
        <v>32.278926865347842</v>
      </c>
      <c r="DL11" s="16">
        <f t="shared" ref="DL11" si="156">DL9+DL10</f>
        <v>7.3085766527402196</v>
      </c>
      <c r="DM11" s="11">
        <f t="shared" si="69"/>
        <v>3396.857497190796</v>
      </c>
      <c r="DN11" s="11">
        <f t="shared" si="34"/>
        <v>152.59119987400913</v>
      </c>
      <c r="DO11" s="11">
        <f t="shared" si="35"/>
        <v>80.286260045501066</v>
      </c>
      <c r="DP11" s="11">
        <f t="shared" si="6"/>
        <v>1180.3305810428849</v>
      </c>
      <c r="DQ11" s="11">
        <f t="shared" si="36"/>
        <v>732.00702279521954</v>
      </c>
      <c r="DR11" s="15">
        <f t="shared" si="37"/>
        <v>0.34747721446042973</v>
      </c>
      <c r="DS11" s="15">
        <f t="shared" si="38"/>
        <v>0.21549535810689438</v>
      </c>
      <c r="DT11" s="11">
        <f t="shared" si="70"/>
        <v>553.39162189238368</v>
      </c>
      <c r="DW11" s="210"/>
      <c r="DX11" s="30">
        <f>DX10</f>
        <v>2035</v>
      </c>
      <c r="DY11" s="5" t="s">
        <v>23</v>
      </c>
      <c r="DZ11" s="16">
        <f>DZ9+DZ10</f>
        <v>228.16025578252604</v>
      </c>
      <c r="EA11" s="16">
        <f t="shared" ref="EA11" si="157">EA9+EA10</f>
        <v>201.41031346306028</v>
      </c>
      <c r="EB11" s="16">
        <f t="shared" ref="EB11" si="158">EB9+EB10</f>
        <v>131.59321776356481</v>
      </c>
      <c r="EC11" s="16">
        <f t="shared" ref="EC11" si="159">EC9+EC10</f>
        <v>129.20238768837177</v>
      </c>
      <c r="ED11" s="16">
        <f t="shared" ref="ED11" si="160">ED9+ED10</f>
        <v>97.407799567448279</v>
      </c>
      <c r="EE11" s="16">
        <f t="shared" ref="EE11" si="161">EE9+EE10</f>
        <v>227.24918739184767</v>
      </c>
      <c r="EF11" s="16">
        <f t="shared" ref="EF11" si="162">EF9+EF10</f>
        <v>322.86323088335041</v>
      </c>
      <c r="EG11" s="16">
        <f t="shared" ref="EG11" si="163">EG9+EG10</f>
        <v>417.86385218336449</v>
      </c>
      <c r="EH11" s="16">
        <f t="shared" ref="EH11" si="164">EH9+EH10</f>
        <v>362.53880066920476</v>
      </c>
      <c r="EI11" s="16">
        <f t="shared" ref="EI11" si="165">EI9+EI10</f>
        <v>302.3325136588038</v>
      </c>
      <c r="EJ11" s="16">
        <f t="shared" ref="EJ11" si="166">EJ9+EJ10</f>
        <v>213.34299443865058</v>
      </c>
      <c r="EK11" s="16">
        <f t="shared" ref="EK11" si="167">EK9+EK10</f>
        <v>266.07627612018337</v>
      </c>
      <c r="EL11" s="16">
        <f t="shared" ref="EL11" si="168">EL9+EL10</f>
        <v>274.10711480449498</v>
      </c>
      <c r="EM11" s="16">
        <f t="shared" ref="EM11" si="169">EM9+EM10</f>
        <v>252.69697204259893</v>
      </c>
      <c r="EN11" s="16">
        <f t="shared" ref="EN11" si="170">EN9+EN10</f>
        <v>195.62658620506636</v>
      </c>
      <c r="EO11" s="16">
        <f t="shared" ref="EO11" si="171">EO9+EO10</f>
        <v>219.12933545588393</v>
      </c>
      <c r="EP11" s="16">
        <f t="shared" ref="EP11" si="172">EP9+EP10</f>
        <v>209.24543361730912</v>
      </c>
      <c r="EQ11" s="16">
        <f t="shared" ref="EQ11" si="173">EQ9+EQ10</f>
        <v>174.97898208742981</v>
      </c>
      <c r="ER11" s="16">
        <f t="shared" ref="ER11" si="174">ER9+ER10</f>
        <v>89.065768116508622</v>
      </c>
      <c r="ES11" s="16">
        <f t="shared" ref="ES11" si="175">ES9+ES10</f>
        <v>32.278926865347842</v>
      </c>
      <c r="ET11" s="16">
        <f t="shared" ref="ET11" si="176">ET9+ET10</f>
        <v>7.3085766527402196</v>
      </c>
      <c r="EU11" s="11">
        <f t="shared" si="71"/>
        <v>4354.4785254577555</v>
      </c>
      <c r="EV11" s="11">
        <f t="shared" si="41"/>
        <v>199.80211873597506</v>
      </c>
      <c r="EW11" s="11">
        <f t="shared" si="42"/>
        <v>78.477764643100272</v>
      </c>
      <c r="EX11" s="11">
        <f t="shared" si="10"/>
        <v>1180.3305810428849</v>
      </c>
      <c r="EY11" s="11">
        <f t="shared" si="43"/>
        <v>732.00702279521954</v>
      </c>
      <c r="EZ11" s="15">
        <f t="shared" si="44"/>
        <v>0.27106129336550239</v>
      </c>
      <c r="FA11" s="15">
        <f t="shared" si="45"/>
        <v>0.16810440527279183</v>
      </c>
      <c r="FB11" s="11">
        <f t="shared" si="72"/>
        <v>1065.3840700260109</v>
      </c>
    </row>
    <row r="12" spans="1:158" x14ac:dyDescent="0.15">
      <c r="A12" s="7" t="str">
        <f t="shared" si="11"/>
        <v>2020_1</v>
      </c>
      <c r="B12" s="28">
        <v>2020</v>
      </c>
      <c r="C12" s="3" t="s">
        <v>21</v>
      </c>
      <c r="D12" s="9">
        <v>87.162243294443101</v>
      </c>
      <c r="E12" s="9">
        <v>76.223454011722907</v>
      </c>
      <c r="F12" s="9">
        <v>86.86608447430109</v>
      </c>
      <c r="G12" s="9">
        <v>100.88941753462601</v>
      </c>
      <c r="H12" s="9">
        <v>79.060954249124052</v>
      </c>
      <c r="I12" s="9">
        <v>117.53442082566303</v>
      </c>
      <c r="J12" s="9">
        <v>108.60430718474574</v>
      </c>
      <c r="K12" s="9">
        <v>107.86214396061756</v>
      </c>
      <c r="L12" s="9">
        <v>123.38322858392483</v>
      </c>
      <c r="M12" s="9">
        <v>153.42874839921677</v>
      </c>
      <c r="N12" s="9">
        <v>159.93285470624068</v>
      </c>
      <c r="O12" s="9">
        <v>124.32123257317345</v>
      </c>
      <c r="P12" s="9">
        <v>137.54133618262284</v>
      </c>
      <c r="Q12" s="9">
        <v>144.50617039775511</v>
      </c>
      <c r="R12" s="9">
        <v>153.87169992662467</v>
      </c>
      <c r="S12" s="9">
        <v>94.803381125779865</v>
      </c>
      <c r="T12" s="9">
        <v>94.032086619217125</v>
      </c>
      <c r="U12" s="9">
        <v>56.893940336349978</v>
      </c>
      <c r="V12" s="9">
        <v>22.028223429421875</v>
      </c>
      <c r="W12" s="9">
        <v>6.0487811791383219</v>
      </c>
      <c r="X12" s="9">
        <v>1.0052910052910053</v>
      </c>
      <c r="Y12" s="9">
        <f t="shared" ref="Y12:Y14" si="177">SUM(D12:X12)</f>
        <v>2035.9999999999998</v>
      </c>
      <c r="Z12" s="9">
        <f>E12*3/5+F12*3/5</f>
        <v>97.853723091614398</v>
      </c>
      <c r="AA12" s="9">
        <f>F12*2/5+G12*1/5</f>
        <v>54.92431729664564</v>
      </c>
      <c r="AB12" s="9">
        <f t="shared" ref="AB12:AB14" si="178">SUM(Q12:X12)</f>
        <v>573.18957401957812</v>
      </c>
      <c r="AC12" s="9">
        <f>SUM(S12:X12)</f>
        <v>274.81170369519816</v>
      </c>
      <c r="AD12" s="13">
        <f>AB12/Y12</f>
        <v>0.28152729568741564</v>
      </c>
      <c r="AE12" s="13">
        <f>AC12/Y12</f>
        <v>0.13497627882868279</v>
      </c>
      <c r="AF12" s="9">
        <f>SUM(H12:K12)</f>
        <v>413.06182622015041</v>
      </c>
      <c r="AK12" s="61">
        <f>管理者入力シート!B5</f>
        <v>2020</v>
      </c>
      <c r="AL12" s="62"/>
      <c r="BH12" s="7" t="str">
        <f t="shared" si="19"/>
        <v>2040_1</v>
      </c>
      <c r="BI12" s="28">
        <f>管理者入力シート!B11</f>
        <v>2040</v>
      </c>
      <c r="BJ12" s="3" t="s">
        <v>21</v>
      </c>
      <c r="BK12" s="9">
        <f>CM13*$AK$13</f>
        <v>49.715568058053684</v>
      </c>
      <c r="BL12" s="9">
        <f>IF(管理者入力シート!$B$14=1,BK9*管理者用人口入力シート!AM$3,IF(管理者入力シート!$B$14=2,BK9*管理者用人口入力シート!AM$7))</f>
        <v>49.978676723386542</v>
      </c>
      <c r="BM12" s="9">
        <f>IF(管理者入力シート!$B$14=1,BL9*管理者用人口入力シート!AN$3,IF(管理者入力シート!$B$14=2,BL9*管理者用人口入力シート!AN$7))</f>
        <v>51.3818426390553</v>
      </c>
      <c r="BN12" s="9">
        <f>IF(管理者入力シート!$B$14=1,BM9*管理者用人口入力シート!AO$3,IF(管理者入力シート!$B$14=2,BM9*管理者用人口入力シート!AO$7))</f>
        <v>56.446686165458011</v>
      </c>
      <c r="BO12" s="9">
        <f>IF(管理者入力シート!$B$14=1,BN9*管理者用人口入力シート!AP$3,IF(管理者入力シート!$B$14=2,BN9*管理者用人口入力シート!AP$7))</f>
        <v>42.956843514788929</v>
      </c>
      <c r="BP12" s="9">
        <f>IF(管理者入力シート!$B$14=1,BO9*管理者用人口入力シート!AQ$3,IF(管理者入力シート!$B$14=2,BO9*管理者用人口入力シート!AQ$7))</f>
        <v>53.430628076184263</v>
      </c>
      <c r="BQ12" s="9">
        <f>IF(管理者入力シート!$B$14=1,BP9*管理者用人口入力シート!AR$3,IF(管理者入力シート!$B$14=2,BP9*管理者用人口入力シート!AR$7))</f>
        <v>64.758473566853041</v>
      </c>
      <c r="BR12" s="9">
        <f>IF(管理者入力シート!$B$14=1,BQ9*管理者用人口入力シート!AS$3,IF(管理者入力シート!$B$14=2,BQ9*管理者用人口入力シート!AS$7))</f>
        <v>76.280053674861591</v>
      </c>
      <c r="BS12" s="9">
        <f>IF(管理者入力シート!$B$14=1,BR9*管理者用人口入力シート!AT$3,IF(管理者入力シート!$B$14=2,BR9*管理者用人口入力シート!AT$7))</f>
        <v>86.824288248112808</v>
      </c>
      <c r="BT12" s="9">
        <f>IF(管理者入力シート!$B$14=1,BS9*管理者用人口入力シート!AU$3,IF(管理者入力シート!$B$14=2,BS9*管理者用人口入力シート!AU$7))</f>
        <v>98.246418552784164</v>
      </c>
      <c r="BU12" s="9">
        <f>IF(管理者入力シート!$B$14=1,BT9*管理者用人口入力シート!AV$3,IF(管理者入力シート!$B$14=2,BT9*管理者用人口入力シート!AV$7))</f>
        <v>99.140096203556283</v>
      </c>
      <c r="BV12" s="9">
        <f>IF(管理者入力シート!$B$14=1,BU9*管理者用人口入力シート!AW$3,IF(管理者入力シート!$B$14=2,BU9*管理者用人口入力シート!AW$7))</f>
        <v>96.662931147386999</v>
      </c>
      <c r="BW12" s="9">
        <f>IF(管理者入力シート!$B$14=1,BV9*管理者用人口入力シート!AX$3,IF(管理者入力シート!$B$14=2,BV9*管理者用人口入力シート!AX$7))</f>
        <v>108.12792006138972</v>
      </c>
      <c r="BX12" s="9">
        <f>IF(管理者入力シート!$B$14=1,BW9*管理者用人口入力シート!AY$3,IF(管理者入力シート!$B$14=2,BW9*管理者用人口入力シート!AY$7))</f>
        <v>120.42947705764139</v>
      </c>
      <c r="BY12" s="9">
        <f>IF(管理者入力シート!$B$14=1,BX9*管理者用人口入力シート!AZ$3,IF(管理者入力シート!$B$14=2,BX9*管理者用人口入力シート!AZ$7))</f>
        <v>105.67960792549857</v>
      </c>
      <c r="BZ12" s="9">
        <f>IF(管理者入力シート!$B$14=1,BY9*管理者用人口入力シート!BA$3,IF(管理者入力シート!$B$14=2,BY9*管理者用人口入力シート!BA$7))</f>
        <v>78.864274528197313</v>
      </c>
      <c r="CA12" s="9">
        <f>IF(管理者入力シート!$B$14=1,BZ9*管理者用人口入力シート!BB$3,IF(管理者入力シート!$B$14=2,BZ9*管理者用人口入力シート!BB$7))</f>
        <v>73.823670452794801</v>
      </c>
      <c r="CB12" s="9">
        <f>IF(管理者入力シート!$B$14=1,CA9*管理者用人口入力シート!BC$3,IF(管理者入力シート!$B$14=2,CA9*管理者用人口入力シート!BC$7))</f>
        <v>54.730158956900773</v>
      </c>
      <c r="CC12" s="9">
        <f>IF(管理者入力シート!$B$14=1,CB9*管理者用人口入力シート!BD$3,IF(管理者入力シート!$B$14=2,CB9*管理者用人口入力シート!BD$7))</f>
        <v>38.310821532267781</v>
      </c>
      <c r="CD12" s="9">
        <f>IF(管理者入力シート!$B$14=1,CC9*管理者用人口入力シート!BE$3,IF(管理者入力シート!$B$14=2,CC9*管理者用人口入力シート!BE$7))</f>
        <v>6.8308354955171735</v>
      </c>
      <c r="CE12" s="9">
        <f>IF(管理者入力シート!$B$14=1,CD9*管理者用人口入力シート!BF$3,IF(管理者入力シート!$B$14=2,CD9*管理者用人口入力シート!BF$7))</f>
        <v>0.2711172045651718</v>
      </c>
      <c r="CF12" s="9">
        <f t="shared" si="2"/>
        <v>1412.8903897852545</v>
      </c>
      <c r="CG12" s="9">
        <f t="shared" si="20"/>
        <v>60.816311617465104</v>
      </c>
      <c r="CH12" s="9">
        <f t="shared" si="21"/>
        <v>31.842074288713725</v>
      </c>
      <c r="CI12" s="9">
        <f t="shared" si="3"/>
        <v>478.93996315338296</v>
      </c>
      <c r="CJ12" s="9">
        <f t="shared" si="22"/>
        <v>252.83087817024301</v>
      </c>
      <c r="CK12" s="13">
        <f t="shared" si="23"/>
        <v>0.33897885258188865</v>
      </c>
      <c r="CL12" s="13">
        <f t="shared" si="24"/>
        <v>0.17894585453912729</v>
      </c>
      <c r="CM12" s="9">
        <f t="shared" si="25"/>
        <v>237.42599883268784</v>
      </c>
      <c r="CO12" s="7" t="str">
        <f t="shared" si="26"/>
        <v>2040_1</v>
      </c>
      <c r="CP12" s="28">
        <f>管理者入力シート!B11</f>
        <v>2040</v>
      </c>
      <c r="CQ12" s="3" t="s">
        <v>21</v>
      </c>
      <c r="CR12" s="9">
        <f>DT13*$AK$13+将来予測シート②!$G17</f>
        <v>52.135084929676765</v>
      </c>
      <c r="CS12" s="9">
        <f>IF(管理者入力シート!$B$14=1,CR9*管理者用人口入力シート!AM$3,IF(管理者入力シート!$B$14=2,CR9*管理者用人口入力シート!AM$7))+将来予測シート②!$G18</f>
        <v>52.056357007599402</v>
      </c>
      <c r="CT12" s="9">
        <f>IF(管理者入力シート!$B$14=1,CS9*管理者用人口入力シート!AN$3,IF(管理者入力シート!$B$14=2,CS9*管理者用人口入力シート!AN$7))+将来予測シート②!$G19</f>
        <v>53.844772186554728</v>
      </c>
      <c r="CU12" s="9">
        <f>IF(管理者入力シート!$B$14=1,CT9*管理者用人口入力シート!AO$3,IF(管理者入力シート!$B$14=2,CT9*管理者用人口入力シート!AO$7))+将来予測シート②!$G20</f>
        <v>58.113057710981906</v>
      </c>
      <c r="CV12" s="9">
        <f>IF(管理者入力シート!$B$14=1,CU9*管理者用人口入力シート!AP$3,IF(管理者入力シート!$B$14=2,CU9*管理者用人口入力シート!AP$7))+将来予測シート②!$G21</f>
        <v>43.562644065334865</v>
      </c>
      <c r="CW12" s="9">
        <f>IF(管理者入力シート!$B$14=1,CV9*管理者用人口入力シート!AQ$3,IF(管理者入力シート!$B$14=2,CV9*管理者用人口入力シート!AQ$7))+将来予測シート②!$G22</f>
        <v>56.220065096661983</v>
      </c>
      <c r="CX12" s="9">
        <f>IF(管理者入力シート!$B$14=1,CW9*管理者用人口入力シート!AR$3,IF(管理者入力シート!$B$14=2,CW9*管理者用人口入力シート!AR$7))+将来予測シート②!$G23</f>
        <v>66.647155667281282</v>
      </c>
      <c r="CY12" s="9">
        <f>IF(管理者入力シート!$B$14=1,CX9*管理者用人口入力シート!AS$3,IF(管理者入力シート!$B$14=2,CX9*管理者用人口入力シート!AS$7))+将来予測シート②!$G24</f>
        <v>78.040102247630131</v>
      </c>
      <c r="CZ12" s="9">
        <f>IF(管理者入力シート!$B$14=1,CY9*管理者用人口入力シート!AT$3,IF(管理者入力シート!$B$14=2,CY9*管理者用人口入力シート!AT$7))+将来予測シート②!$G25</f>
        <v>88.509759504617136</v>
      </c>
      <c r="DA12" s="9">
        <f>IF(管理者入力シート!$B$14=1,CZ9*管理者用人口入力シート!AU$3,IF(管理者入力シート!$B$14=2,CZ9*管理者用人口入力シート!AU$7))+将来予測シート②!$G26</f>
        <v>98.246418552784164</v>
      </c>
      <c r="DB12" s="9">
        <f>IF(管理者入力シート!$B$14=1,DA9*管理者用人口入力シート!AV$3,IF(管理者入力シート!$B$14=2,DA9*管理者用人口入力シート!AV$7))+将来予測シート②!$G27</f>
        <v>99.140096203556283</v>
      </c>
      <c r="DC12" s="9">
        <f>IF(管理者入力シート!$B$14=1,DB9*管理者用人口入力シート!AW$3,IF(管理者入力シート!$B$14=2,DB9*管理者用人口入力シート!AW$7))+将来予測シート②!$G28</f>
        <v>96.662931147386999</v>
      </c>
      <c r="DD12" s="9">
        <f>IF(管理者入力シート!$B$14=1,DC9*管理者用人口入力シート!AX$3,IF(管理者入力シート!$B$14=2,DC9*管理者用人口入力シート!AX$7))+将来予測シート②!$G29</f>
        <v>108.12792006138972</v>
      </c>
      <c r="DE12" s="9">
        <f>IF(管理者入力シート!$B$14=1,DD9*管理者用人口入力シート!AY$3,IF(管理者入力シート!$B$14=2,DD9*管理者用人口入力シート!AY$7))</f>
        <v>120.42947705764139</v>
      </c>
      <c r="DF12" s="9">
        <f>IF(管理者入力シート!$B$14=1,DE9*管理者用人口入力シート!AZ$3,IF(管理者入力シート!$B$14=2,DE9*管理者用人口入力シート!AZ$7))</f>
        <v>105.67960792549857</v>
      </c>
      <c r="DG12" s="9">
        <f>IF(管理者入力シート!$B$14=1,DF9*管理者用人口入力シート!BA$3,IF(管理者入力シート!$B$14=2,DF9*管理者用人口入力シート!BA$7))</f>
        <v>78.864274528197313</v>
      </c>
      <c r="DH12" s="9">
        <f>IF(管理者入力シート!$B$14=1,DG9*管理者用人口入力シート!BB$3,IF(管理者入力シート!$B$14=2,DG9*管理者用人口入力シート!BB$7))</f>
        <v>73.823670452794801</v>
      </c>
      <c r="DI12" s="9">
        <f>IF(管理者入力シート!$B$14=1,DH9*管理者用人口入力シート!BC$3,IF(管理者入力シート!$B$14=2,DH9*管理者用人口入力シート!BC$7))</f>
        <v>54.730158956900773</v>
      </c>
      <c r="DJ12" s="9">
        <f>IF(管理者入力シート!$B$14=1,DI9*管理者用人口入力シート!BD$3,IF(管理者入力シート!$B$14=2,DI9*管理者用人口入力シート!BD$7))</f>
        <v>38.310821532267781</v>
      </c>
      <c r="DK12" s="9">
        <f>IF(管理者入力シート!$B$14=1,DJ9*管理者用人口入力シート!BE$3,IF(管理者入力シート!$B$14=2,DJ9*管理者用人口入力シート!BE$7))</f>
        <v>6.8308354955171735</v>
      </c>
      <c r="DL12" s="9">
        <f>IF(管理者入力シート!$B$14=1,DK9*管理者用人口入力シート!BF$3,IF(管理者入力シート!$B$14=2,DK9*管理者用人口入力シート!BF$7))</f>
        <v>0.2711172045651718</v>
      </c>
      <c r="DM12" s="9">
        <f t="shared" si="69"/>
        <v>1430.2463275348384</v>
      </c>
      <c r="DN12" s="9">
        <f t="shared" si="34"/>
        <v>63.54067751649248</v>
      </c>
      <c r="DO12" s="9">
        <f t="shared" si="35"/>
        <v>33.160520416818272</v>
      </c>
      <c r="DP12" s="9">
        <f t="shared" si="6"/>
        <v>478.93996315338296</v>
      </c>
      <c r="DQ12" s="9">
        <f t="shared" si="36"/>
        <v>252.83087817024301</v>
      </c>
      <c r="DR12" s="13">
        <f t="shared" si="37"/>
        <v>0.33486536824665736</v>
      </c>
      <c r="DS12" s="13">
        <f t="shared" si="38"/>
        <v>0.17677435928538293</v>
      </c>
      <c r="DT12" s="9">
        <f t="shared" si="70"/>
        <v>244.46996707690826</v>
      </c>
      <c r="DV12" s="211"/>
      <c r="DX12" s="28">
        <f>管理者入力シート!B11</f>
        <v>2040</v>
      </c>
      <c r="DY12" s="3" t="s">
        <v>21</v>
      </c>
      <c r="DZ12" s="9">
        <f>FB13*$AK$13</f>
        <v>104.36223514855763</v>
      </c>
      <c r="EA12" s="129">
        <f>IF(管理者入力シート!$B$14=1,DZ9*管理者用人口入力シート!AM$3,IF(管理者入力シート!$B$14=2,DZ9*管理者用人口入力シート!AM$7))</f>
        <v>100.04593529330135</v>
      </c>
      <c r="EB12" s="9">
        <f>IF(管理者入力シート!$B$14=1,EA9*管理者用人口入力シート!AN$3,IF(管理者入力シート!$B$14=2,EA9*管理者用人口入力シート!AN$7))</f>
        <v>89.340114770857042</v>
      </c>
      <c r="EC12" s="9">
        <f>IF(管理者入力シート!$B$14=1,EB9*管理者用人口入力シート!AO$3,IF(管理者入力シート!$B$14=2,EB9*管理者用人口入力シート!AO$7))</f>
        <v>56.446686165458011</v>
      </c>
      <c r="ED12" s="9">
        <f>IF(管理者入力シート!$B$14=1,EC9*管理者用人口入力シート!AP$3,IF(管理者入力シート!$B$14=2,EC9*管理者用人口入力シート!AP$7))</f>
        <v>42.956843514788929</v>
      </c>
      <c r="EE12" s="9">
        <f>IF(管理者入力シート!$B$14=1,ED9*管理者用人口入力シート!AQ$3,IF(管理者入力シート!$B$14=2,ED9*管理者用人口入力シート!AQ$7))+DX1</f>
        <v>99.430628076184263</v>
      </c>
      <c r="EF12" s="9">
        <f>IF(管理者入力シート!$B$14=1,EE9*管理者用人口入力シート!AR$3,IF(管理者入力シート!$B$14=2,EE9*管理者用人口入力シート!AR$7))+DX1</f>
        <v>154.19816187670267</v>
      </c>
      <c r="EG12" s="9">
        <f>IF(管理者入力シート!$B$14=1,EF9*管理者用人口入力シート!AS$3,IF(管理者入力シート!$B$14=2,EF9*管理者用人口入力シート!AS$7))+DX1</f>
        <v>205.62822313277107</v>
      </c>
      <c r="EH12" s="9">
        <f>IF(管理者入力シート!$B$14=1,EG9*管理者用人口入力シート!AT$3,IF(管理者入力シート!$B$14=2,EG9*管理者用人口入力シート!AT$7))</f>
        <v>210.69167752125483</v>
      </c>
      <c r="EI12" s="9">
        <f>IF(管理者入力シート!$B$14=1,EH9*管理者用人口入力シート!AU$3,IF(管理者入力シート!$B$14=2,EH9*管理者用人口入力シート!AU$7))</f>
        <v>182.65717131564065</v>
      </c>
      <c r="EJ12" s="9">
        <f>IF(管理者入力シート!$B$14=1,EI9*管理者用人口入力シート!AV$3,IF(管理者入力シート!$B$14=2,EI9*管理者用人口入力シート!AV$7))</f>
        <v>144.20042218648743</v>
      </c>
      <c r="EK12" s="9">
        <f>IF(管理者入力シート!$B$14=1,EJ9*管理者用人口入力シート!AW$3,IF(管理者入力シート!$B$14=2,EJ9*管理者用人口入力シート!AW$7))</f>
        <v>96.662931147386999</v>
      </c>
      <c r="EL12" s="9">
        <f>IF(管理者入力シート!$B$14=1,EK9*管理者用人口入力シート!AX$3,IF(管理者入力シート!$B$14=2,EK9*管理者用人口入力シート!AX$7))</f>
        <v>108.12792006138972</v>
      </c>
      <c r="EM12" s="9">
        <f>IF(管理者入力シート!$B$14=1,EL9*管理者用人口入力シート!AY$3,IF(管理者入力シート!$B$14=2,EL9*管理者用人口入力シート!AY$7))</f>
        <v>120.42947705764139</v>
      </c>
      <c r="EN12" s="9">
        <f>IF(管理者入力シート!$B$14=1,EM9*管理者用人口入力シート!AZ$3,IF(管理者入力シート!$B$14=2,EM9*管理者用人口入力シート!AZ$7))</f>
        <v>105.67960792549857</v>
      </c>
      <c r="EO12" s="9">
        <f>IF(管理者入力シート!$B$14=1,EN9*管理者用人口入力シート!BA$3,IF(管理者入力シート!$B$14=2,EN9*管理者用人口入力シート!BA$7))</f>
        <v>78.864274528197313</v>
      </c>
      <c r="EP12" s="9">
        <f>IF(管理者入力シート!$B$14=1,EO9*管理者用人口入力シート!BB$3,IF(管理者入力シート!$B$14=2,EO9*管理者用人口入力シート!BB$7))</f>
        <v>73.823670452794801</v>
      </c>
      <c r="EQ12" s="9">
        <f>IF(管理者入力シート!$B$14=1,EP9*管理者用人口入力シート!BC$3,IF(管理者入力シート!$B$14=2,EP9*管理者用人口入力シート!BC$7))</f>
        <v>54.730158956900773</v>
      </c>
      <c r="ER12" s="9">
        <f>IF(管理者入力シート!$B$14=1,EQ9*管理者用人口入力シート!BD$3,IF(管理者入力シート!$B$14=2,EQ9*管理者用人口入力シート!BD$7))</f>
        <v>38.310821532267781</v>
      </c>
      <c r="ES12" s="9">
        <f>IF(管理者入力シート!$B$14=1,ER9*管理者用人口入力シート!BE$3,IF(管理者入力シート!$B$14=2,ER9*管理者用人口入力シート!BE$7))</f>
        <v>6.8308354955171735</v>
      </c>
      <c r="ET12" s="9">
        <f>IF(管理者入力シート!$B$14=1,ES9*管理者用人口入力シート!BF$3,IF(管理者入力シート!$B$14=2,ES9*管理者用人口入力シート!BF$7))</f>
        <v>0.2711172045651718</v>
      </c>
      <c r="EU12" s="9">
        <f t="shared" si="71"/>
        <v>2073.6889133641635</v>
      </c>
      <c r="EV12" s="9">
        <f t="shared" si="41"/>
        <v>113.63163003849505</v>
      </c>
      <c r="EW12" s="9">
        <f t="shared" si="42"/>
        <v>47.025383141434418</v>
      </c>
      <c r="EX12" s="9">
        <f t="shared" si="10"/>
        <v>478.93996315338296</v>
      </c>
      <c r="EY12" s="9">
        <f t="shared" si="43"/>
        <v>252.83087817024301</v>
      </c>
      <c r="EZ12" s="13">
        <f t="shared" si="44"/>
        <v>0.2309603721497428</v>
      </c>
      <c r="FA12" s="13">
        <f t="shared" si="45"/>
        <v>0.12192324342423826</v>
      </c>
      <c r="FB12" s="9">
        <f t="shared" si="72"/>
        <v>502.21385660044689</v>
      </c>
    </row>
    <row r="13" spans="1:158" x14ac:dyDescent="0.15">
      <c r="A13" s="7" t="str">
        <f t="shared" si="11"/>
        <v>2020_2</v>
      </c>
      <c r="B13" s="29">
        <v>2020</v>
      </c>
      <c r="C13" s="4" t="s">
        <v>22</v>
      </c>
      <c r="D13" s="10">
        <v>94.958359225210401</v>
      </c>
      <c r="E13" s="10">
        <v>96.057129761921232</v>
      </c>
      <c r="F13" s="10">
        <v>92.500149311493914</v>
      </c>
      <c r="G13" s="10">
        <v>78.92336237575492</v>
      </c>
      <c r="H13" s="10">
        <v>69.830988492441591</v>
      </c>
      <c r="I13" s="10">
        <v>117.19471166171269</v>
      </c>
      <c r="J13" s="10">
        <v>118.31751304222752</v>
      </c>
      <c r="K13" s="10">
        <v>108.52901546694608</v>
      </c>
      <c r="L13" s="10">
        <v>153.71537619615481</v>
      </c>
      <c r="M13" s="10">
        <v>171.04507511555238</v>
      </c>
      <c r="N13" s="10">
        <v>163.6989098309958</v>
      </c>
      <c r="O13" s="10">
        <v>136.18570832847703</v>
      </c>
      <c r="P13" s="10">
        <v>152.85416167082067</v>
      </c>
      <c r="Q13" s="10">
        <v>163.72350498673265</v>
      </c>
      <c r="R13" s="10">
        <v>183.83282042223237</v>
      </c>
      <c r="S13" s="10">
        <v>159.62748327836525</v>
      </c>
      <c r="T13" s="10">
        <v>142.80341364834234</v>
      </c>
      <c r="U13" s="10">
        <v>91.391927392806409</v>
      </c>
      <c r="V13" s="10">
        <v>58.854414108946074</v>
      </c>
      <c r="W13" s="10">
        <v>13.43853545783076</v>
      </c>
      <c r="X13" s="10">
        <v>9.0174402250351626</v>
      </c>
      <c r="Y13" s="10">
        <f t="shared" si="177"/>
        <v>2376.4999999999995</v>
      </c>
      <c r="Z13" s="10">
        <f t="shared" ref="Z13:Z14" si="179">E13*3/5+F13*3/5</f>
        <v>113.13436744404908</v>
      </c>
      <c r="AA13" s="10">
        <f t="shared" ref="AA13:AA14" si="180">F13*2/5+G13*1/5</f>
        <v>52.784732199748547</v>
      </c>
      <c r="AB13" s="10">
        <f t="shared" si="178"/>
        <v>822.68953952029119</v>
      </c>
      <c r="AC13" s="10">
        <f t="shared" ref="AC13:AC14" si="181">SUM(S13:X13)</f>
        <v>475.13321411132597</v>
      </c>
      <c r="AD13" s="14">
        <f t="shared" ref="AD13:AD14" si="182">AB13/Y13</f>
        <v>0.3461769575090643</v>
      </c>
      <c r="AE13" s="14">
        <f t="shared" ref="AE13:AE14" si="183">AC13/Y13</f>
        <v>0.19992981868770296</v>
      </c>
      <c r="AF13" s="10">
        <f t="shared" ref="AF13:AF14" si="184">SUM(H13:K13)</f>
        <v>413.87222866332786</v>
      </c>
      <c r="AI13" s="60" t="s">
        <v>47</v>
      </c>
      <c r="AJ13" s="1" t="s">
        <v>21</v>
      </c>
      <c r="AK13" s="8">
        <f>VLOOKUP(AK12&amp;"_1",A:D,4,FALSE)/VLOOKUP(AK12&amp;"_2",A:AF,32,FALSE)</f>
        <v>0.21060181683595608</v>
      </c>
      <c r="AL13" s="63"/>
      <c r="BH13" s="7" t="str">
        <f t="shared" si="19"/>
        <v>2040_2</v>
      </c>
      <c r="BI13" s="29">
        <f>BI12</f>
        <v>2040</v>
      </c>
      <c r="BJ13" s="4" t="s">
        <v>22</v>
      </c>
      <c r="BK13" s="10">
        <f>CM13*$AK$14</f>
        <v>54.162313776096127</v>
      </c>
      <c r="BL13" s="10">
        <f>IF(管理者入力シート!$B$14=1,BK10*管理者用人口入力シート!AM$4,IF(管理者入力シート!$B$14=2,BK10*管理者用人口入力シート!AM$8))</f>
        <v>50.06833435610735</v>
      </c>
      <c r="BM13" s="10">
        <f>IF(管理者入力シート!$B$14=1,BL10*管理者用人口入力シート!AN$4,IF(管理者入力シート!$B$14=2,BL10*管理者用人口入力シート!AN$8))</f>
        <v>58.683731088589255</v>
      </c>
      <c r="BN13" s="10">
        <f>IF(管理者入力シート!$B$14=1,BM10*管理者用人口入力シート!AO$4,IF(管理者入力シート!$B$14=2,BM10*管理者用人口入力シート!AO$8))</f>
        <v>55.486668824953426</v>
      </c>
      <c r="BO13" s="10">
        <f>IF(管理者入力シート!$B$14=1,BN10*管理者用人口入力シート!AP$4,IF(管理者入力シート!$B$14=2,BN10*管理者用人口入力シート!AP$8))</f>
        <v>46.977830586740424</v>
      </c>
      <c r="BP13" s="10">
        <f>IF(管理者入力シート!$B$14=1,BO10*管理者用人口入力シート!AQ$4,IF(管理者入力シート!$B$14=2,BO10*管理者用人口入力シート!AQ$8))</f>
        <v>70.090111212209592</v>
      </c>
      <c r="BQ13" s="10">
        <f>IF(管理者入力シート!$B$14=1,BP10*管理者用人口入力シート!AR$4,IF(管理者入力シート!$B$14=2,BP10*管理者用人口入力シート!AR$8))</f>
        <v>59.683440213508625</v>
      </c>
      <c r="BR13" s="10">
        <f>IF(管理者入力シート!$B$14=1,BQ10*管理者用人口入力シート!AS$4,IF(管理者入力シート!$B$14=2,BQ10*管理者用人口入力シート!AS$8))</f>
        <v>59.312906534389931</v>
      </c>
      <c r="BS13" s="10">
        <f>IF(管理者入力シート!$B$14=1,BR10*管理者用人口入力シート!AT$4,IF(管理者入力シート!$B$14=2,BR10*管理者用人口入力シート!AT$8))</f>
        <v>68.988525151556814</v>
      </c>
      <c r="BT13" s="10">
        <f>IF(管理者入力シート!$B$14=1,BS10*管理者用人口入力シート!AU$4,IF(管理者入力シート!$B$14=2,BS10*管理者用人口入力シート!AU$8))</f>
        <v>101.32268848844927</v>
      </c>
      <c r="BU13" s="10">
        <f>IF(管理者入力シート!$B$14=1,BT10*管理者用人口入力シート!AV$4,IF(管理者入力シート!$B$14=2,BT10*管理者用人口入力シート!AV$8))</f>
        <v>108.13751872782684</v>
      </c>
      <c r="BV13" s="10">
        <f>IF(管理者入力シート!$B$14=1,BU10*管理者用人口入力シート!AW$4,IF(管理者入力シート!$B$14=2,BU10*管理者用人口入力シート!AW$8))</f>
        <v>102.53316912615199</v>
      </c>
      <c r="BW13" s="10">
        <f>IF(管理者入力シート!$B$14=1,BV10*管理者用人口入力シート!AX$4,IF(管理者入力シート!$B$14=2,BV10*管理者用人口入力シート!AX$8))</f>
        <v>135.39688695245246</v>
      </c>
      <c r="BX13" s="10">
        <f>IF(管理者入力シート!$B$14=1,BW10*管理者用人口入力シート!AY$4,IF(管理者入力シート!$B$14=2,BW10*管理者用人口入力シート!AY$8))</f>
        <v>129.49880823605821</v>
      </c>
      <c r="BY13" s="10">
        <f>IF(管理者入力シート!$B$14=1,BX10*管理者用人口入力シート!AZ$4,IF(管理者入力シート!$B$14=2,BX10*管理者用人口入力シート!AZ$8))</f>
        <v>121.12908382723927</v>
      </c>
      <c r="BZ13" s="10">
        <f>IF(管理者入力シート!$B$14=1,BY10*管理者用人口入力シート!BA$4,IF(管理者入力シート!$B$14=2,BY10*管理者用人口入力シート!BA$8))</f>
        <v>100.8863409399258</v>
      </c>
      <c r="CA13" s="10">
        <f>IF(管理者入力シート!$B$14=1,BZ10*管理者用人口入力シート!BB$4,IF(管理者入力シート!$B$14=2,BZ10*管理者用人口入力シート!BB$8))</f>
        <v>106.4082563214908</v>
      </c>
      <c r="CB13" s="10">
        <f>IF(管理者入力シート!$B$14=1,CA10*管理者用人口入力シート!BC$4,IF(管理者入力シート!$B$14=2,CA10*管理者用人口入力シート!BC$8))</f>
        <v>88.836923976641003</v>
      </c>
      <c r="CC13" s="10">
        <f>IF(管理者入力シート!$B$14=1,CB10*管理者用人口入力シート!BD$4,IF(管理者入力シート!$B$14=2,CB10*管理者用人口入力シート!BD$8))</f>
        <v>68.273294226364925</v>
      </c>
      <c r="CD13" s="10">
        <f>IF(管理者入力シート!$B$14=1,CC10*管理者用人口入力シート!BE$4,IF(管理者入力シート!$B$14=2,CC10*管理者用人口入力シート!BE$8))</f>
        <v>22.406774213269539</v>
      </c>
      <c r="CE13" s="10">
        <f>IF(管理者入力シート!$B$14=1,CD10*管理者用人口入力シート!BF$4,IF(管理者入力シート!$B$14=2,CD10*管理者用人口入力シート!BF$8))</f>
        <v>8.021918755591436</v>
      </c>
      <c r="CF13" s="10">
        <f t="shared" si="2"/>
        <v>1616.3055255356132</v>
      </c>
      <c r="CG13" s="10">
        <f t="shared" si="20"/>
        <v>65.251239266817961</v>
      </c>
      <c r="CH13" s="10">
        <f t="shared" si="21"/>
        <v>34.570826200426389</v>
      </c>
      <c r="CI13" s="10">
        <f t="shared" si="3"/>
        <v>645.46140049658095</v>
      </c>
      <c r="CJ13" s="10">
        <f t="shared" si="22"/>
        <v>394.83350843328355</v>
      </c>
      <c r="CK13" s="14">
        <f t="shared" si="23"/>
        <v>0.39934368242828794</v>
      </c>
      <c r="CL13" s="14">
        <f t="shared" si="24"/>
        <v>0.24428148156113191</v>
      </c>
      <c r="CM13" s="10">
        <f t="shared" si="25"/>
        <v>236.06428854684856</v>
      </c>
      <c r="CO13" s="7" t="str">
        <f t="shared" si="26"/>
        <v>2040_2</v>
      </c>
      <c r="CP13" s="29">
        <f>CP12</f>
        <v>2040</v>
      </c>
      <c r="CQ13" s="4" t="s">
        <v>22</v>
      </c>
      <c r="CR13" s="10">
        <f>DT13*$AK$14+将来予測シート②!$H17</f>
        <v>56.70879752785639</v>
      </c>
      <c r="CS13" s="10">
        <f>IF(管理者入力シート!$B$14=1,CR10*管理者用人口入力シート!AM$4,IF(管理者入力シート!$B$14=2,CR10*管理者用人口入力シート!AM$8))+将来予測シート②!$H18</f>
        <v>52.074386561240999</v>
      </c>
      <c r="CT13" s="10">
        <f>IF(管理者入力シート!$B$14=1,CS10*管理者用人口入力シート!AN$4,IF(管理者入力シート!$B$14=2,CS10*管理者用人口入力シート!AN$8))+将来予測シート②!$H19</f>
        <v>61.278275034102975</v>
      </c>
      <c r="CU13" s="10">
        <f>IF(管理者入力シート!$B$14=1,CT10*管理者用人口入力シート!AO$4,IF(管理者入力シート!$B$14=2,CT10*管理者用人口入力シート!AO$8))+将来予測シート②!$H20</f>
        <v>56.951985325514826</v>
      </c>
      <c r="CV13" s="10">
        <f>IF(管理者入力シート!$B$14=1,CU10*管理者用人口入力シート!AP$4,IF(管理者入力シート!$B$14=2,CU10*管理者用人口入力シート!AP$8))+将来予測シート②!$H21</f>
        <v>47.557903004961965</v>
      </c>
      <c r="CW13" s="10">
        <f>IF(管理者入力シート!$B$14=1,CV10*管理者用人口入力シート!AQ$4,IF(管理者入力シート!$B$14=2,CV10*管理者用人口入力シート!AQ$8))+将来予測シート②!$H22</f>
        <v>72.810908799890953</v>
      </c>
      <c r="CX13" s="10">
        <f>IF(管理者入力シート!$B$14=1,CW10*管理者用人口入力シート!AR$4,IF(管理者入力シート!$B$14=2,CW10*管理者用人口入力シート!AR$8))+将来予測シート②!$H23</f>
        <v>61.47374958802633</v>
      </c>
      <c r="CY13" s="10">
        <f>IF(管理者入力シート!$B$14=1,CX10*管理者用人口入力シート!AS$4,IF(管理者入力シート!$B$14=2,CX10*管理者用人口入力シート!AS$8))+将来予測シート②!$H24</f>
        <v>60.962015024936655</v>
      </c>
      <c r="CZ13" s="10">
        <f>IF(管理者入力シート!$B$14=1,CY10*管理者用人口入力シート!AT$4,IF(管理者入力シート!$B$14=2,CY10*管理者用人口入力シート!AT$8))+将来予測シート②!$H25</f>
        <v>71.578636575779086</v>
      </c>
      <c r="DA13" s="10">
        <f>IF(管理者入力シート!$B$14=1,CZ10*管理者用人口入力シート!AU$4,IF(管理者入力シート!$B$14=2,CZ10*管理者用人口入力シート!AU$8))+将来予測シート②!$H26</f>
        <v>102.4101180319325</v>
      </c>
      <c r="DB13" s="10">
        <f>IF(管理者入力シート!$B$14=1,DA10*管理者用人口入力シート!AV$4,IF(管理者入力シート!$B$14=2,DA10*管理者用人口入力シート!AV$8))+将来予測シート②!$H27</f>
        <v>109.16654839485099</v>
      </c>
      <c r="DC13" s="10">
        <f>IF(管理者入力シート!$B$14=1,DB10*管理者用人口入力シート!AW$4,IF(管理者入力シート!$B$14=2,DB10*管理者用人口入力シート!AW$8))+将来予測シート②!$H28</f>
        <v>103.5129753357337</v>
      </c>
      <c r="DD13" s="10">
        <f>IF(管理者入力シート!$B$14=1,DC10*管理者用人口入力シート!AX$4,IF(管理者入力シート!$B$14=2,DC10*管理者用人口入力シート!AX$8))+将来予測シート②!$H29</f>
        <v>135.39688695245246</v>
      </c>
      <c r="DE13" s="10">
        <f>IF(管理者入力シート!$B$14=1,DD10*管理者用人口入力シート!AY$4,IF(管理者入力シート!$B$14=2,DD10*管理者用人口入力シート!AY$8))</f>
        <v>129.49880823605821</v>
      </c>
      <c r="DF13" s="10">
        <f>IF(管理者入力シート!$B$14=1,DE10*管理者用人口入力シート!AZ$4,IF(管理者入力シート!$B$14=2,DE10*管理者用人口入力シート!AZ$8))</f>
        <v>121.12908382723927</v>
      </c>
      <c r="DG13" s="10">
        <f>IF(管理者入力シート!$B$14=1,DF10*管理者用人口入力シート!BA$4,IF(管理者入力シート!$B$14=2,DF10*管理者用人口入力シート!BA$8))</f>
        <v>100.8863409399258</v>
      </c>
      <c r="DH13" s="10">
        <f>IF(管理者入力シート!$B$14=1,DG10*管理者用人口入力シート!BB$4,IF(管理者入力シート!$B$14=2,DG10*管理者用人口入力シート!BB$8))</f>
        <v>106.4082563214908</v>
      </c>
      <c r="DI13" s="10">
        <f>IF(管理者入力シート!$B$14=1,DH10*管理者用人口入力シート!BC$4,IF(管理者入力シート!$B$14=2,DH10*管理者用人口入力シート!BC$8))</f>
        <v>88.836923976641003</v>
      </c>
      <c r="DJ13" s="10">
        <f>IF(管理者入力シート!$B$14=1,DI10*管理者用人口入力シート!BD$4,IF(管理者入力シート!$B$14=2,DI10*管理者用人口入力シート!BD$8))</f>
        <v>68.273294226364925</v>
      </c>
      <c r="DK13" s="10">
        <f>IF(管理者入力シート!$B$14=1,DJ10*管理者用人口入力シート!BE$4,IF(管理者入力シート!$B$14=2,DJ10*管理者用人口入力シート!BE$8))</f>
        <v>22.406774213269539</v>
      </c>
      <c r="DL13" s="10">
        <f>IF(管理者入力シート!$B$14=1,DK10*管理者用人口入力シート!BF$4,IF(管理者入力シート!$B$14=2,DK10*管理者用人口入力シート!BF$8))</f>
        <v>8.021918755591436</v>
      </c>
      <c r="DM13" s="10">
        <f t="shared" si="69"/>
        <v>1637.3445866538609</v>
      </c>
      <c r="DN13" s="10">
        <f t="shared" si="34"/>
        <v>68.011596957206379</v>
      </c>
      <c r="DO13" s="10">
        <f t="shared" si="35"/>
        <v>35.901707078744153</v>
      </c>
      <c r="DP13" s="10">
        <f t="shared" si="6"/>
        <v>645.46140049658095</v>
      </c>
      <c r="DQ13" s="10">
        <f t="shared" si="36"/>
        <v>394.83350843328355</v>
      </c>
      <c r="DR13" s="14">
        <f t="shared" si="37"/>
        <v>0.39421231532921863</v>
      </c>
      <c r="DS13" s="14">
        <f t="shared" si="38"/>
        <v>0.24114258638749964</v>
      </c>
      <c r="DT13" s="10">
        <f t="shared" si="70"/>
        <v>242.80457641781589</v>
      </c>
      <c r="DV13" s="62"/>
      <c r="DX13" s="29">
        <f>DX12</f>
        <v>2040</v>
      </c>
      <c r="DY13" s="4" t="s">
        <v>22</v>
      </c>
      <c r="DZ13" s="10">
        <f>FB13*$AK$14</f>
        <v>113.69678246239465</v>
      </c>
      <c r="EA13" s="10">
        <f>IF(管理者入力シート!$B$14=1,DZ10*管理者用人口入力シート!AM$4,IF(管理者入力シート!$B$14=2,DZ10*管理者用人口入力シート!AM$8))</f>
        <v>100.22540946728525</v>
      </c>
      <c r="EB13" s="10">
        <f>IF(管理者入力シート!$B$14=1,EA10*管理者用人口入力シート!AN$4,IF(管理者入力シート!$B$14=2,EA10*管理者用人口入力シート!AN$8))</f>
        <v>102.03626420068512</v>
      </c>
      <c r="EC13" s="10">
        <f>IF(管理者入力シート!$B$14=1,EB10*管理者用人口入力シート!AO$4,IF(管理者入力シート!$B$14=2,EB10*管理者用人口入力シート!AO$8))</f>
        <v>55.486668824953426</v>
      </c>
      <c r="ED13" s="10">
        <f>IF(管理者入力シート!$B$14=1,EC10*管理者用人口入力シート!AP$4,IF(管理者入力シート!$B$14=2,EC10*管理者用人口入力シート!AP$8))</f>
        <v>46.977830586740424</v>
      </c>
      <c r="EE13" s="10">
        <f>IF(管理者入力シート!$B$14=1,ED10*管理者用人口入力シート!AQ$4,IF(管理者入力シート!$B$14=2,ED10*管理者用人口入力シート!AQ$8))+DX1</f>
        <v>116.09011121220959</v>
      </c>
      <c r="EF13" s="10">
        <f>IF(管理者入力シート!$B$14=1,EE10*管理者用人口入力シート!AR$4,IF(管理者入力シート!$B$14=2,EE10*管理者用人口入力シート!AR$8))+DX1</f>
        <v>146.86055582741579</v>
      </c>
      <c r="EG13" s="10">
        <f>IF(管理者入力シート!$B$14=1,EF10*管理者用人口入力シート!AS$4,IF(管理者入力シート!$B$14=2,EF10*管理者用人口入力シート!AS$8))+DX1</f>
        <v>185.6144027933795</v>
      </c>
      <c r="EH13" s="10">
        <f>IF(管理者入力シート!$B$14=1,EG10*管理者用人口入力シート!AT$4,IF(管理者入力シート!$B$14=2,EG10*管理者用人口入力シート!AT$8))</f>
        <v>190.77156929269975</v>
      </c>
      <c r="EI13" s="10">
        <f>IF(管理者入力シート!$B$14=1,EH10*管理者用人口入力シート!AU$4,IF(管理者入力シート!$B$14=2,EH10*管理者用人口入力シート!AU$8))</f>
        <v>193.98308335987238</v>
      </c>
      <c r="EJ13" s="10">
        <f>IF(管理者入力シート!$B$14=1,EI10*管理者用人口入力シート!AV$4,IF(管理者入力シート!$B$14=2,EI10*管理者用人口入力シート!AV$8))</f>
        <v>153.77945470948418</v>
      </c>
      <c r="EK13" s="10">
        <f>IF(管理者入力シート!$B$14=1,EJ10*管理者用人口入力シート!AW$4,IF(管理者入力シート!$B$14=2,EJ10*管理者用人口入力シート!AW$8))</f>
        <v>102.53316912615199</v>
      </c>
      <c r="EL13" s="10">
        <f>IF(管理者入力シート!$B$14=1,EK10*管理者用人口入力シート!AX$4,IF(管理者入力シート!$B$14=2,EK10*管理者用人口入力シート!AX$8))</f>
        <v>135.39688695245246</v>
      </c>
      <c r="EM13" s="10">
        <f>IF(管理者入力シート!$B$14=1,EL10*管理者用人口入力シート!AY$4,IF(管理者入力シート!$B$14=2,EL10*管理者用人口入力シート!AY$8))</f>
        <v>129.49880823605821</v>
      </c>
      <c r="EN13" s="10">
        <f>IF(管理者入力シート!$B$14=1,EM10*管理者用人口入力シート!AZ$4,IF(管理者入力シート!$B$14=2,EM10*管理者用人口入力シート!AZ$8))</f>
        <v>121.12908382723927</v>
      </c>
      <c r="EO13" s="10">
        <f>IF(管理者入力シート!$B$14=1,EN10*管理者用人口入力シート!BA$4,IF(管理者入力シート!$B$14=2,EN10*管理者用人口入力シート!BA$8))</f>
        <v>100.8863409399258</v>
      </c>
      <c r="EP13" s="10">
        <f>IF(管理者入力シート!$B$14=1,EO10*管理者用人口入力シート!BB$4,IF(管理者入力シート!$B$14=2,EO10*管理者用人口入力シート!BB$8))</f>
        <v>106.4082563214908</v>
      </c>
      <c r="EQ13" s="10">
        <f>IF(管理者入力シート!$B$14=1,EP10*管理者用人口入力シート!BC$4,IF(管理者入力シート!$B$14=2,EP10*管理者用人口入力シート!BC$8))</f>
        <v>88.836923976641003</v>
      </c>
      <c r="ER13" s="10">
        <f>IF(管理者入力シート!$B$14=1,EQ10*管理者用人口入力シート!BD$4,IF(管理者入力シート!$B$14=2,EQ10*管理者用人口入力シート!BD$8))</f>
        <v>68.273294226364925</v>
      </c>
      <c r="ES13" s="10">
        <f>IF(管理者入力シート!$B$14=1,ER10*管理者用人口入力シート!BE$4,IF(管理者入力シート!$B$14=2,ER10*管理者用人口入力シート!BE$8))</f>
        <v>22.406774213269539</v>
      </c>
      <c r="ET13" s="10">
        <f>IF(管理者入力シート!$B$14=1,ES10*管理者用人口入力シート!BF$4,IF(管理者入力シート!$B$14=2,ES10*管理者用人口入力シート!BF$8))</f>
        <v>8.021918755591436</v>
      </c>
      <c r="EU13" s="10">
        <f t="shared" si="71"/>
        <v>2288.9135893123057</v>
      </c>
      <c r="EV13" s="10">
        <f t="shared" si="41"/>
        <v>121.35700420078221</v>
      </c>
      <c r="EW13" s="10">
        <f t="shared" si="42"/>
        <v>51.911839445264739</v>
      </c>
      <c r="EX13" s="10">
        <f t="shared" si="10"/>
        <v>645.46140049658095</v>
      </c>
      <c r="EY13" s="10">
        <f t="shared" si="43"/>
        <v>394.83350843328355</v>
      </c>
      <c r="EZ13" s="14">
        <f t="shared" si="44"/>
        <v>0.28199465611565838</v>
      </c>
      <c r="FA13" s="14">
        <f t="shared" si="45"/>
        <v>0.17249821499461218</v>
      </c>
      <c r="FB13" s="10">
        <f t="shared" si="72"/>
        <v>495.54290041974531</v>
      </c>
    </row>
    <row r="14" spans="1:158" x14ac:dyDescent="0.15">
      <c r="A14" s="7" t="str">
        <f t="shared" si="11"/>
        <v>2020_3</v>
      </c>
      <c r="B14" s="30">
        <v>2020</v>
      </c>
      <c r="C14" s="5" t="s">
        <v>23</v>
      </c>
      <c r="D14" s="11">
        <v>182.12060251965352</v>
      </c>
      <c r="E14" s="11">
        <v>172.28058377364414</v>
      </c>
      <c r="F14" s="11">
        <v>179.366233785795</v>
      </c>
      <c r="G14" s="11">
        <v>179.81277991038093</v>
      </c>
      <c r="H14" s="11">
        <v>148.89194274156563</v>
      </c>
      <c r="I14" s="11">
        <v>234.72913248737572</v>
      </c>
      <c r="J14" s="11">
        <v>226.92182022697324</v>
      </c>
      <c r="K14" s="11">
        <v>216.39115942756365</v>
      </c>
      <c r="L14" s="11">
        <v>277.09860478007965</v>
      </c>
      <c r="M14" s="11">
        <v>324.47382351476915</v>
      </c>
      <c r="N14" s="11">
        <v>323.63176453723645</v>
      </c>
      <c r="O14" s="11">
        <v>260.50694090165047</v>
      </c>
      <c r="P14" s="11">
        <v>290.39549785344354</v>
      </c>
      <c r="Q14" s="11">
        <v>308.22967538448779</v>
      </c>
      <c r="R14" s="11">
        <v>337.70452034885705</v>
      </c>
      <c r="S14" s="11">
        <v>254.4308644041451</v>
      </c>
      <c r="T14" s="11">
        <v>236.83550026755947</v>
      </c>
      <c r="U14" s="11">
        <v>148.28586772915639</v>
      </c>
      <c r="V14" s="11">
        <v>80.882637538367945</v>
      </c>
      <c r="W14" s="11">
        <v>19.487316636969084</v>
      </c>
      <c r="X14" s="11">
        <v>10.022731230326167</v>
      </c>
      <c r="Y14" s="11">
        <f t="shared" si="177"/>
        <v>4412.4999999999991</v>
      </c>
      <c r="Z14" s="11">
        <f t="shared" si="179"/>
        <v>210.9880905356635</v>
      </c>
      <c r="AA14" s="11">
        <f t="shared" si="180"/>
        <v>107.70904949639419</v>
      </c>
      <c r="AB14" s="11">
        <f t="shared" si="178"/>
        <v>1395.879113539869</v>
      </c>
      <c r="AC14" s="11">
        <f t="shared" si="181"/>
        <v>749.94491780652413</v>
      </c>
      <c r="AD14" s="15">
        <f t="shared" si="182"/>
        <v>0.31634654131215167</v>
      </c>
      <c r="AE14" s="15">
        <f t="shared" si="183"/>
        <v>0.16995918817145025</v>
      </c>
      <c r="AF14" s="11">
        <f t="shared" si="184"/>
        <v>826.93405488347821</v>
      </c>
      <c r="AI14" s="43"/>
      <c r="AJ14" s="1" t="s">
        <v>22</v>
      </c>
      <c r="AK14" s="8">
        <f>VLOOKUP(AK12&amp;"_2",A:D,4,FALSE)/VLOOKUP(AK12&amp;"_2",A:AF,32,FALSE)</f>
        <v>0.2294388283357279</v>
      </c>
      <c r="AL14" s="63"/>
      <c r="BH14" s="7" t="str">
        <f t="shared" si="19"/>
        <v>2040_3</v>
      </c>
      <c r="BI14" s="30">
        <f>BI13</f>
        <v>2040</v>
      </c>
      <c r="BJ14" s="5" t="s">
        <v>23</v>
      </c>
      <c r="BK14" s="16">
        <f>BK12+BK13</f>
        <v>103.8778818341498</v>
      </c>
      <c r="BL14" s="16">
        <f t="shared" ref="BL14" si="185">BL12+BL13</f>
        <v>100.0470110794939</v>
      </c>
      <c r="BM14" s="16">
        <f t="shared" ref="BM14" si="186">BM12+BM13</f>
        <v>110.06557372764456</v>
      </c>
      <c r="BN14" s="16">
        <f t="shared" ref="BN14" si="187">BN12+BN13</f>
        <v>111.93335499041143</v>
      </c>
      <c r="BO14" s="16">
        <f t="shared" ref="BO14" si="188">BO12+BO13</f>
        <v>89.934674101529353</v>
      </c>
      <c r="BP14" s="16">
        <f t="shared" ref="BP14" si="189">BP12+BP13</f>
        <v>123.52073928839386</v>
      </c>
      <c r="BQ14" s="16">
        <f t="shared" ref="BQ14" si="190">BQ12+BQ13</f>
        <v>124.44191378036166</v>
      </c>
      <c r="BR14" s="16">
        <f t="shared" ref="BR14" si="191">BR12+BR13</f>
        <v>135.59296020925152</v>
      </c>
      <c r="BS14" s="16">
        <f t="shared" ref="BS14" si="192">BS12+BS13</f>
        <v>155.81281339966961</v>
      </c>
      <c r="BT14" s="16">
        <f t="shared" ref="BT14" si="193">BT12+BT13</f>
        <v>199.56910704123345</v>
      </c>
      <c r="BU14" s="16">
        <f t="shared" ref="BU14" si="194">BU12+BU13</f>
        <v>207.27761493138314</v>
      </c>
      <c r="BV14" s="16">
        <f t="shared" ref="BV14" si="195">BV12+BV13</f>
        <v>199.196100273539</v>
      </c>
      <c r="BW14" s="16">
        <f t="shared" ref="BW14" si="196">BW12+BW13</f>
        <v>243.52480701384218</v>
      </c>
      <c r="BX14" s="16">
        <f t="shared" ref="BX14" si="197">BX12+BX13</f>
        <v>249.92828529369962</v>
      </c>
      <c r="BY14" s="16">
        <f t="shared" ref="BY14" si="198">BY12+BY13</f>
        <v>226.80869175273784</v>
      </c>
      <c r="BZ14" s="16">
        <f t="shared" ref="BZ14" si="199">BZ12+BZ13</f>
        <v>179.7506154681231</v>
      </c>
      <c r="CA14" s="16">
        <f t="shared" ref="CA14" si="200">CA12+CA13</f>
        <v>180.2319267742856</v>
      </c>
      <c r="CB14" s="16">
        <f t="shared" ref="CB14" si="201">CB12+CB13</f>
        <v>143.56708293354177</v>
      </c>
      <c r="CC14" s="16">
        <f t="shared" ref="CC14" si="202">CC12+CC13</f>
        <v>106.58411575863271</v>
      </c>
      <c r="CD14" s="16">
        <f t="shared" ref="CD14" si="203">CD12+CD13</f>
        <v>29.237609708786714</v>
      </c>
      <c r="CE14" s="16">
        <f t="shared" ref="CE14" si="204">CE12+CE13</f>
        <v>8.2930359601566082</v>
      </c>
      <c r="CF14" s="11">
        <f t="shared" si="2"/>
        <v>3029.1959153208672</v>
      </c>
      <c r="CG14" s="11">
        <f t="shared" si="20"/>
        <v>126.06755088428308</v>
      </c>
      <c r="CH14" s="11">
        <f t="shared" si="21"/>
        <v>66.412900489140114</v>
      </c>
      <c r="CI14" s="11">
        <f t="shared" si="3"/>
        <v>1124.401363649964</v>
      </c>
      <c r="CJ14" s="11">
        <f t="shared" si="22"/>
        <v>647.66438660352662</v>
      </c>
      <c r="CK14" s="15">
        <f t="shared" si="23"/>
        <v>0.37118806280011174</v>
      </c>
      <c r="CL14" s="15">
        <f t="shared" si="24"/>
        <v>0.21380736165918238</v>
      </c>
      <c r="CM14" s="11">
        <f t="shared" si="25"/>
        <v>473.49028737953631</v>
      </c>
      <c r="CO14" s="7" t="str">
        <f t="shared" si="26"/>
        <v>2040_3</v>
      </c>
      <c r="CP14" s="30">
        <f>CP13</f>
        <v>2040</v>
      </c>
      <c r="CQ14" s="5" t="s">
        <v>23</v>
      </c>
      <c r="CR14" s="16">
        <f>CR12+CR13</f>
        <v>108.84388245753316</v>
      </c>
      <c r="CS14" s="16">
        <f t="shared" ref="CS14" si="205">CS12+CS13</f>
        <v>104.1307435688404</v>
      </c>
      <c r="CT14" s="16">
        <f t="shared" ref="CT14" si="206">CT12+CT13</f>
        <v>115.1230472206577</v>
      </c>
      <c r="CU14" s="16">
        <f t="shared" ref="CU14" si="207">CU12+CU13</f>
        <v>115.06504303649673</v>
      </c>
      <c r="CV14" s="16">
        <f t="shared" ref="CV14" si="208">CV12+CV13</f>
        <v>91.120547070296823</v>
      </c>
      <c r="CW14" s="16">
        <f t="shared" ref="CW14" si="209">CW12+CW13</f>
        <v>129.03097389655295</v>
      </c>
      <c r="CX14" s="16">
        <f t="shared" ref="CX14" si="210">CX12+CX13</f>
        <v>128.1209052553076</v>
      </c>
      <c r="CY14" s="16">
        <f t="shared" ref="CY14" si="211">CY12+CY13</f>
        <v>139.00211727256678</v>
      </c>
      <c r="CZ14" s="16">
        <f t="shared" ref="CZ14" si="212">CZ12+CZ13</f>
        <v>160.08839608039622</v>
      </c>
      <c r="DA14" s="16">
        <f t="shared" ref="DA14" si="213">DA12+DA13</f>
        <v>200.65653658471666</v>
      </c>
      <c r="DB14" s="16">
        <f t="shared" ref="DB14" si="214">DB12+DB13</f>
        <v>208.30664459840727</v>
      </c>
      <c r="DC14" s="16">
        <f t="shared" ref="DC14" si="215">DC12+DC13</f>
        <v>200.17590648312068</v>
      </c>
      <c r="DD14" s="16">
        <f t="shared" ref="DD14" si="216">DD12+DD13</f>
        <v>243.52480701384218</v>
      </c>
      <c r="DE14" s="16">
        <f t="shared" ref="DE14" si="217">DE12+DE13</f>
        <v>249.92828529369962</v>
      </c>
      <c r="DF14" s="16">
        <f t="shared" ref="DF14" si="218">DF12+DF13</f>
        <v>226.80869175273784</v>
      </c>
      <c r="DG14" s="16">
        <f t="shared" ref="DG14" si="219">DG12+DG13</f>
        <v>179.7506154681231</v>
      </c>
      <c r="DH14" s="16">
        <f t="shared" ref="DH14" si="220">DH12+DH13</f>
        <v>180.2319267742856</v>
      </c>
      <c r="DI14" s="16">
        <f t="shared" ref="DI14" si="221">DI12+DI13</f>
        <v>143.56708293354177</v>
      </c>
      <c r="DJ14" s="16">
        <f t="shared" ref="DJ14" si="222">DJ12+DJ13</f>
        <v>106.58411575863271</v>
      </c>
      <c r="DK14" s="16">
        <f t="shared" ref="DK14" si="223">DK12+DK13</f>
        <v>29.237609708786714</v>
      </c>
      <c r="DL14" s="16">
        <f t="shared" ref="DL14" si="224">DL12+DL13</f>
        <v>8.2930359601566082</v>
      </c>
      <c r="DM14" s="11">
        <f t="shared" si="69"/>
        <v>3067.5909141886991</v>
      </c>
      <c r="DN14" s="11">
        <f t="shared" si="34"/>
        <v>131.55227447369887</v>
      </c>
      <c r="DO14" s="11">
        <f t="shared" si="35"/>
        <v>69.062227495562425</v>
      </c>
      <c r="DP14" s="11">
        <f t="shared" si="6"/>
        <v>1124.401363649964</v>
      </c>
      <c r="DQ14" s="11">
        <f t="shared" si="36"/>
        <v>647.66438660352662</v>
      </c>
      <c r="DR14" s="15">
        <f t="shared" si="37"/>
        <v>0.36654214825360437</v>
      </c>
      <c r="DS14" s="15">
        <f t="shared" si="38"/>
        <v>0.21113127686219452</v>
      </c>
      <c r="DT14" s="11">
        <f t="shared" si="70"/>
        <v>487.27454349472418</v>
      </c>
      <c r="DX14" s="30">
        <f>DX13</f>
        <v>2040</v>
      </c>
      <c r="DY14" s="5" t="s">
        <v>23</v>
      </c>
      <c r="DZ14" s="16">
        <f>DZ12+DZ13</f>
        <v>218.05901761095228</v>
      </c>
      <c r="EA14" s="16">
        <f t="shared" ref="EA14" si="225">EA12+EA13</f>
        <v>200.2713447605866</v>
      </c>
      <c r="EB14" s="16">
        <f t="shared" ref="EB14" si="226">EB12+EB13</f>
        <v>191.37637897154218</v>
      </c>
      <c r="EC14" s="16">
        <f t="shared" ref="EC14" si="227">EC12+EC13</f>
        <v>111.93335499041143</v>
      </c>
      <c r="ED14" s="16">
        <f t="shared" ref="ED14" si="228">ED12+ED13</f>
        <v>89.934674101529353</v>
      </c>
      <c r="EE14" s="16">
        <f t="shared" ref="EE14" si="229">EE12+EE13</f>
        <v>215.52073928839386</v>
      </c>
      <c r="EF14" s="16">
        <f t="shared" ref="EF14" si="230">EF12+EF13</f>
        <v>301.05871770411846</v>
      </c>
      <c r="EG14" s="16">
        <f t="shared" ref="EG14" si="231">EG12+EG13</f>
        <v>391.24262592615059</v>
      </c>
      <c r="EH14" s="16">
        <f t="shared" ref="EH14" si="232">EH12+EH13</f>
        <v>401.46324681395458</v>
      </c>
      <c r="EI14" s="16">
        <f t="shared" ref="EI14" si="233">EI12+EI13</f>
        <v>376.64025467551301</v>
      </c>
      <c r="EJ14" s="16">
        <f t="shared" ref="EJ14" si="234">EJ12+EJ13</f>
        <v>297.97987689597164</v>
      </c>
      <c r="EK14" s="16">
        <f t="shared" ref="EK14" si="235">EK12+EK13</f>
        <v>199.196100273539</v>
      </c>
      <c r="EL14" s="16">
        <f t="shared" ref="EL14" si="236">EL12+EL13</f>
        <v>243.52480701384218</v>
      </c>
      <c r="EM14" s="16">
        <f t="shared" ref="EM14" si="237">EM12+EM13</f>
        <v>249.92828529369962</v>
      </c>
      <c r="EN14" s="16">
        <f t="shared" ref="EN14" si="238">EN12+EN13</f>
        <v>226.80869175273784</v>
      </c>
      <c r="EO14" s="16">
        <f t="shared" ref="EO14" si="239">EO12+EO13</f>
        <v>179.7506154681231</v>
      </c>
      <c r="EP14" s="16">
        <f t="shared" ref="EP14" si="240">EP12+EP13</f>
        <v>180.2319267742856</v>
      </c>
      <c r="EQ14" s="16">
        <f t="shared" ref="EQ14" si="241">EQ12+EQ13</f>
        <v>143.56708293354177</v>
      </c>
      <c r="ER14" s="16">
        <f t="shared" ref="ER14" si="242">ER12+ER13</f>
        <v>106.58411575863271</v>
      </c>
      <c r="ES14" s="16">
        <f t="shared" ref="ES14" si="243">ES12+ES13</f>
        <v>29.237609708786714</v>
      </c>
      <c r="ET14" s="16">
        <f t="shared" ref="ET14" si="244">ET12+ET13</f>
        <v>8.2930359601566082</v>
      </c>
      <c r="EU14" s="11">
        <f t="shared" si="71"/>
        <v>4362.6025026764692</v>
      </c>
      <c r="EV14" s="11">
        <f t="shared" si="41"/>
        <v>234.9886342392773</v>
      </c>
      <c r="EW14" s="11">
        <f t="shared" si="42"/>
        <v>98.937222586699164</v>
      </c>
      <c r="EX14" s="11">
        <f t="shared" si="10"/>
        <v>1124.401363649964</v>
      </c>
      <c r="EY14" s="11">
        <f t="shared" si="43"/>
        <v>647.66438660352662</v>
      </c>
      <c r="EZ14" s="15">
        <f t="shared" si="44"/>
        <v>0.25773637707312103</v>
      </c>
      <c r="FA14" s="15">
        <f t="shared" si="45"/>
        <v>0.14845826228866432</v>
      </c>
      <c r="FB14" s="11">
        <f t="shared" si="72"/>
        <v>997.75675702019225</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45.656615834191463</v>
      </c>
      <c r="BL15" s="9">
        <f>IF(管理者入力シート!$B$14=1,BK12*管理者用人口入力シート!AM$3,IF(管理者入力シート!$B$14=2,BK12*管理者用人口入力シート!AM$7))</f>
        <v>45.549387244246262</v>
      </c>
      <c r="BM15" s="9">
        <f>IF(管理者入力シート!$B$14=1,BL12*管理者用人口入力シート!AN$3,IF(管理者入力シート!$B$14=2,BL12*管理者用人口入力シート!AN$7))</f>
        <v>44.378121947377366</v>
      </c>
      <c r="BN15" s="9">
        <f>IF(管理者入力シート!$B$14=1,BM12*管理者用人口入力シート!AO$3,IF(管理者入力シート!$B$14=2,BM12*管理者用人口入力シート!AO$7))</f>
        <v>47.212439998147282</v>
      </c>
      <c r="BO15" s="9">
        <f>IF(管理者入力シート!$B$14=1,BN12*管理者用人口入力シート!AP$3,IF(管理者入力シート!$B$14=2,BN12*管理者用人口入力シート!AP$7))</f>
        <v>37.215284488439607</v>
      </c>
      <c r="BP15" s="9">
        <f>IF(管理者入力シート!$B$14=1,BO12*管理者用人口入力シート!AQ$3,IF(管理者入力シート!$B$14=2,BO12*管理者用人口入力シート!AQ$7))</f>
        <v>55.978362058076385</v>
      </c>
      <c r="BQ15" s="9">
        <f>IF(管理者入力シート!$B$14=1,BP12*管理者用人口入力シート!AR$3,IF(管理者入力シート!$B$14=2,BP12*管理者用人口入力シート!AR$7))</f>
        <v>50.456735431064018</v>
      </c>
      <c r="BR15" s="9">
        <f>IF(管理者入力シート!$B$14=1,BQ12*管理者用人口入力シート!AS$3,IF(管理者入力シート!$B$14=2,BQ12*管理者用人口入力シート!AS$7))</f>
        <v>60.347932005161233</v>
      </c>
      <c r="BS15" s="9">
        <f>IF(管理者入力シート!$B$14=1,BR12*管理者用人口入力シート!AT$3,IF(管理者入力シート!$B$14=2,BR12*管理者用人口入力シート!AT$7))</f>
        <v>73.047891917750491</v>
      </c>
      <c r="BT15" s="9">
        <f>IF(管理者入力シート!$B$14=1,BS12*管理者用人口入力シート!AU$3,IF(管理者入力シート!$B$14=2,BS12*管理者用人口入力シート!AU$7))</f>
        <v>86.119506600680737</v>
      </c>
      <c r="BU15" s="9">
        <f>IF(管理者入力シート!$B$14=1,BT12*管理者用人口入力シート!AV$3,IF(管理者入力シート!$B$14=2,BT12*管理者用人口入力シート!AV$7))</f>
        <v>101.32024397173147</v>
      </c>
      <c r="BV15" s="9">
        <f>IF(管理者入力シート!$B$14=1,BU12*管理者用人口入力シート!AW$3,IF(管理者入力シート!$B$14=2,BU12*管理者用人口入力シート!AW$7))</f>
        <v>90.699261364059879</v>
      </c>
      <c r="BW15" s="9">
        <f>IF(管理者入力シート!$B$14=1,BV12*管理者用人口入力シート!AX$3,IF(管理者入力シート!$B$14=2,BV12*管理者用人口入力シート!AX$7))</f>
        <v>90.52060843310737</v>
      </c>
      <c r="BX15" s="9">
        <f>IF(管理者入力シート!$B$14=1,BW12*管理者用人口入力シート!AY$3,IF(管理者入力シート!$B$14=2,BW12*管理者用人口入力シート!AY$7))</f>
        <v>96.059979514941347</v>
      </c>
      <c r="BY15" s="9">
        <f>IF(管理者入力シート!$B$14=1,BX12*管理者用人口入力シート!AZ$3,IF(管理者入力シート!$B$14=2,BX12*管理者用人口入力シート!AZ$7))</f>
        <v>104.5537816491762</v>
      </c>
      <c r="BZ15" s="9">
        <f>IF(管理者入力シート!$B$14=1,BY12*管理者用人口入力シート!BA$3,IF(管理者入力シート!$B$14=2,BY12*管理者用人口入力シート!BA$7))</f>
        <v>92.816910588066179</v>
      </c>
      <c r="CA15" s="9">
        <f>IF(管理者入力シート!$B$14=1,BZ12*管理者用人口入力シート!BB$3,IF(管理者入力シート!$B$14=2,BZ12*管理者用人口入力シート!BB$7))</f>
        <v>62.487795921301483</v>
      </c>
      <c r="CB15" s="9">
        <f>IF(管理者入力シート!$B$14=1,CA12*管理者用人口入力シート!BC$3,IF(管理者入力シート!$B$14=2,CA12*管理者用人口入力シート!BC$7))</f>
        <v>46.278385287161186</v>
      </c>
      <c r="CC15" s="9">
        <f>IF(管理者入力シート!$B$14=1,CB12*管理者用人口入力シート!BD$3,IF(管理者入力シート!$B$14=2,CB12*管理者用人口入力シート!BD$7))</f>
        <v>31.236045745865994</v>
      </c>
      <c r="CD15" s="9">
        <f>IF(管理者入力シート!$B$14=1,CC12*管理者用人口入力シート!BE$3,IF(管理者入力シート!$B$14=2,CC12*管理者用人口入力シート!BE$7))</f>
        <v>9.7374371415980896</v>
      </c>
      <c r="CE15" s="9">
        <f>IF(管理者入力シート!$B$14=1,CD12*管理者用人口入力シート!BF$3,IF(管理者入力シート!$B$14=2,CD12*管理者用人口入力シート!BF$7))</f>
        <v>0.21658068596432911</v>
      </c>
      <c r="CF15" s="9">
        <f t="shared" ref="CF15:CF20" si="252">SUM(BK15:CE15)</f>
        <v>1271.8893078281085</v>
      </c>
      <c r="CG15" s="9">
        <f t="shared" ref="CG15:CG20" si="253">BL15*3/5+BM15*3/5</f>
        <v>53.956505514974182</v>
      </c>
      <c r="CH15" s="9">
        <f t="shared" ref="CH15:CH20" si="254">BM15*2/5+BN15*1/5</f>
        <v>27.193736778580401</v>
      </c>
      <c r="CI15" s="9">
        <f t="shared" ref="CI15:CI20" si="255">SUM(BX15:CE15)</f>
        <v>443.38691653407477</v>
      </c>
      <c r="CJ15" s="9">
        <f t="shared" ref="CJ15:CJ20" si="256">SUM(BZ15:CE15)</f>
        <v>242.77315536995724</v>
      </c>
      <c r="CK15" s="13">
        <f t="shared" ref="CK15:CK20" si="257">CI15/CF15</f>
        <v>0.34860495626872351</v>
      </c>
      <c r="CL15" s="13">
        <f t="shared" ref="CL15:CL20" si="258">CJ15/CF15</f>
        <v>0.19087600931603019</v>
      </c>
      <c r="CM15" s="9">
        <f t="shared" ref="CM15:CM20" si="259">SUM(BO15:BR15)</f>
        <v>203.99831398274125</v>
      </c>
      <c r="CO15" s="7" t="str">
        <f t="shared" si="26"/>
        <v>2045_1</v>
      </c>
      <c r="CP15" s="28">
        <f>管理者入力シート!B12</f>
        <v>2045</v>
      </c>
      <c r="CQ15" s="3" t="s">
        <v>21</v>
      </c>
      <c r="CR15" s="9">
        <f>DT16*$AK$13+将来予測シート②!$G17</f>
        <v>48.31620733433774</v>
      </c>
      <c r="CS15" s="9">
        <f>IF(管理者入力シート!$B$14=1,CR12*管理者用人口入力シート!AM$3,IF(管理者入力シート!$B$14=2,CR12*管理者用人口入力シート!AM$7))+将来予測シート②!$G18</f>
        <v>47.766147813105817</v>
      </c>
      <c r="CT15" s="9">
        <f>IF(管理者入力シート!$B$14=1,CS12*管理者用人口入力シート!AN$3,IF(管理者入力シート!$B$14=2,CS12*管理者用人口入力シート!AN$7))+将来予測シート②!$G19</f>
        <v>47.222979696028304</v>
      </c>
      <c r="CU15" s="9">
        <f>IF(管理者入力シート!$B$14=1,CT12*管理者用人口入力シート!AO$3,IF(管理者入力シート!$B$14=2,CT12*管理者用人口入力シート!AO$7))+将来予測シート②!$G20</f>
        <v>49.475514024079466</v>
      </c>
      <c r="CV15" s="9">
        <f>IF(管理者入力シート!$B$14=1,CU12*管理者用人口入力シート!AP$3,IF(管理者入力シート!$B$14=2,CU12*管理者用人口入力シート!AP$7))+将来予測シート②!$G21</f>
        <v>38.313922784908137</v>
      </c>
      <c r="CW15" s="9">
        <f>IF(管理者入力シート!$B$14=1,CV12*管理者用人口入力シート!AQ$3,IF(管理者入力シート!$B$14=2,CV12*管理者用人口入力シート!AQ$7))+将来予測シート②!$G22</f>
        <v>58.767799078554106</v>
      </c>
      <c r="CX15" s="9">
        <f>IF(管理者入力シート!$B$14=1,CW12*管理者用人口入力シート!AR$3,IF(管理者入力シート!$B$14=2,CW12*管理者用人口入力シート!AR$7))+将来予測シート②!$G23</f>
        <v>53.090915316488108</v>
      </c>
      <c r="CY15" s="9">
        <f>IF(管理者入力シート!$B$14=1,CX12*管理者用人口入力シート!AS$3,IF(管理者入力シート!$B$14=2,CX12*管理者用人口入力シート!AS$7))+将来予測シート②!$G24</f>
        <v>62.107980577929766</v>
      </c>
      <c r="CZ15" s="9">
        <f>IF(管理者入力シート!$B$14=1,CY12*管理者用人口入力シート!AT$3,IF(管理者入力シート!$B$14=2,CY12*管理者用人口入力シート!AT$7))+将来予測シート②!$G25</f>
        <v>74.733363174254833</v>
      </c>
      <c r="DA15" s="9">
        <f>IF(管理者入力シート!$B$14=1,CZ12*管理者用人口入力シート!AU$3,IF(管理者入力シート!$B$14=2,CZ12*管理者用人口入力シート!AU$7))+将来予測シート②!$G26</f>
        <v>87.791296325981904</v>
      </c>
      <c r="DB15" s="9">
        <f>IF(管理者入力シート!$B$14=1,DA12*管理者用人口入力シート!AV$3,IF(管理者入力シート!$B$14=2,DA12*管理者用人口入力シート!AV$7))+将来予測シート②!$G27</f>
        <v>101.32024397173147</v>
      </c>
      <c r="DC15" s="9">
        <f>IF(管理者入力シート!$B$14=1,DB12*管理者用人口入力シート!AW$3,IF(管理者入力シート!$B$14=2,DB12*管理者用人口入力シート!AW$7))+将来予測シート②!$G28</f>
        <v>90.699261364059879</v>
      </c>
      <c r="DD15" s="9">
        <f>IF(管理者入力シート!$B$14=1,DC12*管理者用人口入力シート!AX$3,IF(管理者入力シート!$B$14=2,DC12*管理者用人口入力シート!AX$7))+将来予測シート②!$G29</f>
        <v>90.52060843310737</v>
      </c>
      <c r="DE15" s="9">
        <f>IF(管理者入力シート!$B$14=1,DD12*管理者用人口入力シート!AY$3,IF(管理者入力シート!$B$14=2,DD12*管理者用人口入力シート!AY$7))</f>
        <v>96.059979514941347</v>
      </c>
      <c r="DF15" s="9">
        <f>IF(管理者入力シート!$B$14=1,DE12*管理者用人口入力シート!AZ$3,IF(管理者入力シート!$B$14=2,DE12*管理者用人口入力シート!AZ$7))</f>
        <v>104.5537816491762</v>
      </c>
      <c r="DG15" s="9">
        <f>IF(管理者入力シート!$B$14=1,DF12*管理者用人口入力シート!BA$3,IF(管理者入力シート!$B$14=2,DF12*管理者用人口入力シート!BA$7))</f>
        <v>92.816910588066179</v>
      </c>
      <c r="DH15" s="9">
        <f>IF(管理者入力シート!$B$14=1,DG12*管理者用人口入力シート!BB$3,IF(管理者入力シート!$B$14=2,DG12*管理者用人口入力シート!BB$7))</f>
        <v>62.487795921301483</v>
      </c>
      <c r="DI15" s="9">
        <f>IF(管理者入力シート!$B$14=1,DH12*管理者用人口入力シート!BC$3,IF(管理者入力シート!$B$14=2,DH12*管理者用人口入力シート!BC$7))</f>
        <v>46.278385287161186</v>
      </c>
      <c r="DJ15" s="9">
        <f>IF(管理者入力シート!$B$14=1,DI12*管理者用人口入力シート!BD$3,IF(管理者入力シート!$B$14=2,DI12*管理者用人口入力シート!BD$7))</f>
        <v>31.236045745865994</v>
      </c>
      <c r="DK15" s="9">
        <f>IF(管理者入力シート!$B$14=1,DJ12*管理者用人口入力シート!BE$3,IF(管理者入力シート!$B$14=2,DJ12*管理者用人口入力シート!BE$7))</f>
        <v>9.7374371415980896</v>
      </c>
      <c r="DL15" s="9">
        <f>IF(管理者入力シート!$B$14=1,DK12*管理者用人口入力シート!BF$3,IF(管理者入力シート!$B$14=2,DK12*管理者用人口入力シート!BF$7))</f>
        <v>0.21658068596432911</v>
      </c>
      <c r="DM15" s="9">
        <f t="shared" ref="DM15:DM20" si="260">SUM(CR15:DL15)</f>
        <v>1293.5131564286417</v>
      </c>
      <c r="DN15" s="9">
        <f t="shared" ref="DN15:DN20" si="261">CS15*3/5+CT15*3/5</f>
        <v>56.993476505480473</v>
      </c>
      <c r="DO15" s="9">
        <f t="shared" ref="DO15:DO20" si="262">CT15*2/5+CU15*1/5</f>
        <v>28.784294683227216</v>
      </c>
      <c r="DP15" s="9">
        <f t="shared" ref="DP15:DP20" si="263">SUM(DE15:DL15)</f>
        <v>443.38691653407477</v>
      </c>
      <c r="DQ15" s="9">
        <f t="shared" ref="DQ15:DQ20" si="264">SUM(DG15:DL15)</f>
        <v>242.77315536995724</v>
      </c>
      <c r="DR15" s="13">
        <f t="shared" ref="DR15:DR20" si="265">DP15/DM15</f>
        <v>0.34277727623448012</v>
      </c>
      <c r="DS15" s="13">
        <f t="shared" ref="DS15:DS20" si="266">DQ15/DM15</f>
        <v>0.18768510715441658</v>
      </c>
      <c r="DT15" s="9">
        <f t="shared" ref="DT15:DT20" si="267">SUM(CV15:CY15)</f>
        <v>212.28061775788012</v>
      </c>
      <c r="DV15" s="62" t="s">
        <v>404</v>
      </c>
      <c r="DW15" s="210">
        <f>AK13+AK14</f>
        <v>0.44004064517168395</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49.740313735901566</v>
      </c>
      <c r="BL16" s="10">
        <f>IF(管理者入力シート!$B$14=1,BK13*管理者用人口入力シート!AM$4,IF(管理者入力シート!$B$14=2,BK13*管理者用人口入力シート!AM$8))</f>
        <v>45.631099096178751</v>
      </c>
      <c r="BM16" s="10">
        <f>IF(管理者入力シート!$B$14=1,BL13*管理者用人口入力シート!AN$4,IF(管理者入力シート!$B$14=2,BL13*管理者用人口入力シート!AN$8))</f>
        <v>50.684709633145921</v>
      </c>
      <c r="BN16" s="10">
        <f>IF(管理者入力シート!$B$14=1,BM13*管理者用人口入力シート!AO$4,IF(管理者入力シート!$B$14=2,BM13*管理者用人口入力シート!AO$8))</f>
        <v>46.409474152590001</v>
      </c>
      <c r="BO16" s="10">
        <f>IF(管理者入力シート!$B$14=1,BN13*管理者用人口入力シート!AP$4,IF(管理者入力シート!$B$14=2,BN13*管理者用人口入力シート!AP$8))</f>
        <v>40.698831359277428</v>
      </c>
      <c r="BP16" s="10">
        <f>IF(管理者入力シート!$B$14=1,BO13*管理者用人口入力シート!AQ$4,IF(管理者入力シート!$B$14=2,BO13*管理者用人口入力シート!AQ$8))</f>
        <v>58.37461995735368</v>
      </c>
      <c r="BQ16" s="10">
        <f>IF(管理者入力シート!$B$14=1,BP13*管理者用人口入力シート!AR$4,IF(管理者入力シート!$B$14=2,BP13*管理者用人口入力シート!AR$8))</f>
        <v>62.741491582103578</v>
      </c>
      <c r="BR16" s="10">
        <f>IF(管理者入力シート!$B$14=1,BQ13*管理者用人口入力シート!AS$4,IF(管理者入力シート!$B$14=2,BQ13*管理者用人口入力シート!AS$8))</f>
        <v>54.976234500056428</v>
      </c>
      <c r="BS16" s="10">
        <f>IF(管理者入力シート!$B$14=1,BR13*管理者用人口入力シート!AT$4,IF(管理者入力シート!$B$14=2,BR13*管理者用人口入力シート!AT$8))</f>
        <v>57.190979747423007</v>
      </c>
      <c r="BT16" s="10">
        <f>IF(管理者入力シート!$B$14=1,BS13*管理者用人口入力シート!AU$4,IF(管理者入力シート!$B$14=2,BS13*管理者用人口入力シート!AU$8))</f>
        <v>75.020160411138832</v>
      </c>
      <c r="BU16" s="10">
        <f>IF(管理者入力シート!$B$14=1,BT13*管理者用人口入力シート!AV$4,IF(管理者入力シート!$B$14=2,BT13*管理者用人口入力シート!AV$8))</f>
        <v>95.881202623282789</v>
      </c>
      <c r="BV16" s="10">
        <f>IF(管理者入力シート!$B$14=1,BU13*管理者用人口入力シート!AW$4,IF(管理者入力シート!$B$14=2,BU13*管理者用人口入力シート!AW$8))</f>
        <v>102.96477908619715</v>
      </c>
      <c r="BW16" s="10">
        <f>IF(管理者入力シート!$B$14=1,BV13*管理者用人口入力シート!AX$4,IF(管理者入力シート!$B$14=2,BV13*管理者用人口入力シート!AX$8))</f>
        <v>92.175512347781179</v>
      </c>
      <c r="BX16" s="10">
        <f>IF(管理者入力シート!$B$14=1,BW13*管理者用人口入力シート!AY$4,IF(管理者入力シート!$B$14=2,BW13*管理者用人口入力シート!AY$8))</f>
        <v>126.55334760766668</v>
      </c>
      <c r="BY16" s="10">
        <f>IF(管理者入力シート!$B$14=1,BX13*管理者用人口入力シート!AZ$4,IF(管理者入力シート!$B$14=2,BX13*管理者用人口入力シート!AZ$8))</f>
        <v>119.76777657533491</v>
      </c>
      <c r="BZ16" s="10">
        <f>IF(管理者入力シート!$B$14=1,BY13*管理者用人口入力シート!BA$4,IF(管理者入力シート!$B$14=2,BY13*管理者用人口入力シート!BA$8))</f>
        <v>115.46727476946118</v>
      </c>
      <c r="CA16" s="10">
        <f>IF(管理者入力シート!$B$14=1,BZ13*管理者用人口入力シート!BB$4,IF(管理者入力シート!$B$14=2,BZ13*管理者用人口入力シート!BB$8))</f>
        <v>85.22770078261361</v>
      </c>
      <c r="CB16" s="10">
        <f>IF(管理者入力シート!$B$14=1,CA13*管理者用人口入力シート!BC$4,IF(管理者入力シート!$B$14=2,CA13*管理者用人口入力シート!BC$8))</f>
        <v>77.521952955427039</v>
      </c>
      <c r="CC16" s="10">
        <f>IF(管理者入力シート!$B$14=1,CB13*管理者用人口入力シート!BD$4,IF(管理者入力シート!$B$14=2,CB13*管理者用人口入力シート!BD$8))</f>
        <v>56.235823206878386</v>
      </c>
      <c r="CD16" s="10">
        <f>IF(管理者入力シート!$B$14=1,CC13*管理者用人口入力シート!BE$4,IF(管理者入力シート!$B$14=2,CC13*管理者用人口入力シート!BE$8))</f>
        <v>24.598306304617392</v>
      </c>
      <c r="CE16" s="10">
        <f>IF(管理者入力シート!$B$14=1,CD13*管理者用人口入力シート!BF$4,IF(管理者入力シート!$B$14=2,CD13*管理者用人口入力シート!BF$8))</f>
        <v>7.5752285129289589</v>
      </c>
      <c r="CF16" s="10">
        <f t="shared" si="252"/>
        <v>1445.4368189473585</v>
      </c>
      <c r="CG16" s="10">
        <f t="shared" si="253"/>
        <v>57.789485237594803</v>
      </c>
      <c r="CH16" s="10">
        <f t="shared" si="254"/>
        <v>29.555778683776367</v>
      </c>
      <c r="CI16" s="10">
        <f t="shared" si="255"/>
        <v>612.94741071492831</v>
      </c>
      <c r="CJ16" s="10">
        <f t="shared" si="256"/>
        <v>366.62628653192655</v>
      </c>
      <c r="CK16" s="14">
        <f t="shared" si="257"/>
        <v>0.42405686826305433</v>
      </c>
      <c r="CL16" s="14">
        <f t="shared" si="258"/>
        <v>0.25364393775365618</v>
      </c>
      <c r="CM16" s="10">
        <f t="shared" si="259"/>
        <v>216.79117739879109</v>
      </c>
      <c r="CO16" s="7" t="str">
        <f t="shared" si="26"/>
        <v>2045_2</v>
      </c>
      <c r="CP16" s="29">
        <f>CP15</f>
        <v>2045</v>
      </c>
      <c r="CQ16" s="4" t="s">
        <v>22</v>
      </c>
      <c r="CR16" s="10">
        <f>DT16*$AK$14+将来予測シート②!$H17</f>
        <v>52.548345285819728</v>
      </c>
      <c r="CS16" s="10">
        <f>IF(管理者入力シート!$B$14=1,CR13*管理者用人口入力シート!AM$4,IF(管理者入力シート!$B$14=2,CR13*管理者用人口入力シート!AM$8))+将来予測シート②!$H18</f>
        <v>47.776481084543221</v>
      </c>
      <c r="CT16" s="10">
        <f>IF(管理者入力シート!$B$14=1,CS13*管理者用人口入力シート!AN$4,IF(管理者入力シート!$B$14=2,CS13*管理者用人口入力シート!AN$8))+将来予測シート②!$H19</f>
        <v>53.715457706428467</v>
      </c>
      <c r="CU16" s="10">
        <f>IF(管理者入力シート!$B$14=1,CT13*管理者用人口入力シート!AO$4,IF(管理者入力シート!$B$14=2,CT13*管理者用人口入力シート!AO$8))+将来予測シート②!$H20</f>
        <v>48.461344712682781</v>
      </c>
      <c r="CV16" s="10">
        <f>IF(管理者入力シート!$B$14=1,CU13*管理者用人口入力シート!AP$4,IF(管理者入力シート!$B$14=2,CU13*管理者用人口入力シート!AP$8))+将来予測シート②!$H21</f>
        <v>41.773624105125151</v>
      </c>
      <c r="CW16" s="10">
        <f>IF(管理者入力シート!$B$14=1,CV13*管理者用人口入力シート!AQ$4,IF(管理者入力シート!$B$14=2,CV13*管理者用人口入力シート!AQ$8))+将来予測シート②!$H22</f>
        <v>61.095417545035026</v>
      </c>
      <c r="CX16" s="10">
        <f>IF(管理者入力シート!$B$14=1,CW13*管理者用人口入力シート!AR$4,IF(管理者入力シート!$B$14=2,CW13*管理者用人口入力シート!AR$8))+将来予測シート②!$H23</f>
        <v>65.177026295799124</v>
      </c>
      <c r="CY16" s="10">
        <f>IF(管理者入力シート!$B$14=1,CX13*管理者用人口入力シート!AS$4,IF(管理者入力シート!$B$14=2,CX13*管理者用人口入力シート!AS$8))+将来予測シート②!$H24</f>
        <v>56.625342990603151</v>
      </c>
      <c r="CZ16" s="10">
        <f>IF(管理者入力シート!$B$14=1,CY13*管理者用人口入力シート!AT$4,IF(管理者入力シート!$B$14=2,CY13*管理者用人口入力シート!AT$8))+将来予測シート②!$H25</f>
        <v>59.781091171645279</v>
      </c>
      <c r="DA16" s="10">
        <f>IF(管理者入力シート!$B$14=1,CZ13*管理者用人口入力シート!AU$4,IF(管理者入力シート!$B$14=2,CZ13*管理者用人口入力シート!AU$8))+将来予測シート②!$H26</f>
        <v>77.83672409475156</v>
      </c>
      <c r="DB16" s="10">
        <f>IF(管理者入力シート!$B$14=1,DA13*管理者用人口入力シート!AV$4,IF(管理者入力シート!$B$14=2,DA13*管理者用人口入力シート!AV$8))+将来予測シート②!$H27</f>
        <v>96.910232290306922</v>
      </c>
      <c r="DC16" s="10">
        <f>IF(管理者入力シート!$B$14=1,DB13*管理者用人口入力シート!AW$4,IF(管理者入力シート!$B$14=2,DB13*管理者用人口入力シート!AW$8))+将来予測シート②!$H28</f>
        <v>103.94458529577888</v>
      </c>
      <c r="DD16" s="10">
        <f>IF(管理者入力シート!$B$14=1,DC13*管理者用人口入力シート!AX$4,IF(管理者入力シート!$B$14=2,DC13*管理者用人口入力シート!AX$8))+将来予測シート②!$H29</f>
        <v>93.056340865415436</v>
      </c>
      <c r="DE16" s="10">
        <f>IF(管理者入力シート!$B$14=1,DD13*管理者用人口入力シート!AY$4,IF(管理者入力シート!$B$14=2,DD13*管理者用人口入力シート!AY$8))</f>
        <v>126.55334760766668</v>
      </c>
      <c r="DF16" s="10">
        <f>IF(管理者入力シート!$B$14=1,DE13*管理者用人口入力シート!AZ$4,IF(管理者入力シート!$B$14=2,DE13*管理者用人口入力シート!AZ$8))</f>
        <v>119.76777657533491</v>
      </c>
      <c r="DG16" s="10">
        <f>IF(管理者入力シート!$B$14=1,DF13*管理者用人口入力シート!BA$4,IF(管理者入力シート!$B$14=2,DF13*管理者用人口入力シート!BA$8))</f>
        <v>115.46727476946118</v>
      </c>
      <c r="DH16" s="10">
        <f>IF(管理者入力シート!$B$14=1,DG13*管理者用人口入力シート!BB$4,IF(管理者入力シート!$B$14=2,DG13*管理者用人口入力シート!BB$8))</f>
        <v>85.22770078261361</v>
      </c>
      <c r="DI16" s="10">
        <f>IF(管理者入力シート!$B$14=1,DH13*管理者用人口入力シート!BC$4,IF(管理者入力シート!$B$14=2,DH13*管理者用人口入力シート!BC$8))</f>
        <v>77.521952955427039</v>
      </c>
      <c r="DJ16" s="10">
        <f>IF(管理者入力シート!$B$14=1,DI13*管理者用人口入力シート!BD$4,IF(管理者入力シート!$B$14=2,DI13*管理者用人口入力シート!BD$8))</f>
        <v>56.235823206878386</v>
      </c>
      <c r="DK16" s="10">
        <f>IF(管理者入力シート!$B$14=1,DJ13*管理者用人口入力シート!BE$4,IF(管理者入力シート!$B$14=2,DJ13*管理者用人口入力シート!BE$8))</f>
        <v>24.598306304617392</v>
      </c>
      <c r="DL16" s="10">
        <f>IF(管理者入力シート!$B$14=1,DK13*管理者用人口入力シート!BF$4,IF(管理者入力シート!$B$14=2,DK13*管理者用人口入力シート!BF$8))</f>
        <v>7.5752285129289589</v>
      </c>
      <c r="DM16" s="10">
        <f t="shared" si="260"/>
        <v>1471.6494241588628</v>
      </c>
      <c r="DN16" s="10">
        <f t="shared" si="261"/>
        <v>60.895163274583012</v>
      </c>
      <c r="DO16" s="10">
        <f t="shared" si="262"/>
        <v>31.178452025107944</v>
      </c>
      <c r="DP16" s="10">
        <f t="shared" si="263"/>
        <v>612.94741071492831</v>
      </c>
      <c r="DQ16" s="10">
        <f t="shared" si="264"/>
        <v>366.62628653192655</v>
      </c>
      <c r="DR16" s="14">
        <f t="shared" si="265"/>
        <v>0.41650368671551313</v>
      </c>
      <c r="DS16" s="14">
        <f t="shared" si="266"/>
        <v>0.24912610334589422</v>
      </c>
      <c r="DT16" s="10">
        <f t="shared" si="267"/>
        <v>224.67141093656244</v>
      </c>
      <c r="DV16" s="211" t="s">
        <v>406</v>
      </c>
      <c r="DW16" s="7">
        <f>IF(DW10&lt;0,ABS(DW10)/DW15,0)</f>
        <v>71.707403647559929</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95.396929570093022</v>
      </c>
      <c r="BL17" s="16">
        <f t="shared" ref="BL17:CE17" si="268">BL15+BL16</f>
        <v>91.180486340425006</v>
      </c>
      <c r="BM17" s="16">
        <f t="shared" si="268"/>
        <v>95.062831580523294</v>
      </c>
      <c r="BN17" s="16">
        <f t="shared" si="268"/>
        <v>93.621914150737283</v>
      </c>
      <c r="BO17" s="16">
        <f t="shared" si="268"/>
        <v>77.914115847717028</v>
      </c>
      <c r="BP17" s="16">
        <f t="shared" si="268"/>
        <v>114.35298201543006</v>
      </c>
      <c r="BQ17" s="16">
        <f t="shared" si="268"/>
        <v>113.1982270131676</v>
      </c>
      <c r="BR17" s="16">
        <f t="shared" si="268"/>
        <v>115.32416650521766</v>
      </c>
      <c r="BS17" s="16">
        <f t="shared" si="268"/>
        <v>130.23887166517349</v>
      </c>
      <c r="BT17" s="16">
        <f t="shared" si="268"/>
        <v>161.13966701181957</v>
      </c>
      <c r="BU17" s="16">
        <f t="shared" si="268"/>
        <v>197.20144659501426</v>
      </c>
      <c r="BV17" s="16">
        <f t="shared" si="268"/>
        <v>193.66404045025703</v>
      </c>
      <c r="BW17" s="16">
        <f t="shared" si="268"/>
        <v>182.69612078088855</v>
      </c>
      <c r="BX17" s="16">
        <f t="shared" si="268"/>
        <v>222.61332712260804</v>
      </c>
      <c r="BY17" s="16">
        <f t="shared" si="268"/>
        <v>224.32155822451111</v>
      </c>
      <c r="BZ17" s="16">
        <f t="shared" si="268"/>
        <v>208.28418535752735</v>
      </c>
      <c r="CA17" s="16">
        <f t="shared" si="268"/>
        <v>147.71549670391511</v>
      </c>
      <c r="CB17" s="16">
        <f t="shared" si="268"/>
        <v>123.80033824258823</v>
      </c>
      <c r="CC17" s="16">
        <f t="shared" si="268"/>
        <v>87.471868952744387</v>
      </c>
      <c r="CD17" s="16">
        <f t="shared" si="268"/>
        <v>34.335743446215481</v>
      </c>
      <c r="CE17" s="16">
        <f t="shared" si="268"/>
        <v>7.7918091988932883</v>
      </c>
      <c r="CF17" s="11">
        <f t="shared" si="252"/>
        <v>2717.3261267754665</v>
      </c>
      <c r="CG17" s="11">
        <f t="shared" si="253"/>
        <v>111.74599075256899</v>
      </c>
      <c r="CH17" s="11">
        <f t="shared" si="254"/>
        <v>56.749515462356776</v>
      </c>
      <c r="CI17" s="11">
        <f t="shared" si="255"/>
        <v>1056.3343272490031</v>
      </c>
      <c r="CJ17" s="11">
        <f t="shared" si="256"/>
        <v>609.39944190188373</v>
      </c>
      <c r="CK17" s="15">
        <f t="shared" si="257"/>
        <v>0.38874035649983218</v>
      </c>
      <c r="CL17" s="15">
        <f t="shared" si="258"/>
        <v>0.22426437367863228</v>
      </c>
      <c r="CM17" s="11">
        <f t="shared" si="259"/>
        <v>420.78949138153234</v>
      </c>
      <c r="CO17" s="7" t="str">
        <f t="shared" si="26"/>
        <v>2045_3</v>
      </c>
      <c r="CP17" s="30">
        <f>CP16</f>
        <v>2045</v>
      </c>
      <c r="CQ17" s="5" t="s">
        <v>23</v>
      </c>
      <c r="CR17" s="16">
        <f>CR15+CR16</f>
        <v>100.86455262015747</v>
      </c>
      <c r="CS17" s="16">
        <f>CS15+CS16</f>
        <v>95.542628897649038</v>
      </c>
      <c r="CT17" s="16">
        <f t="shared" ref="CT17:DL17" si="269">CT15+CT16</f>
        <v>100.93843740245677</v>
      </c>
      <c r="CU17" s="16">
        <f t="shared" si="269"/>
        <v>97.936858736762247</v>
      </c>
      <c r="CV17" s="16">
        <f t="shared" si="269"/>
        <v>80.087546890033281</v>
      </c>
      <c r="CW17" s="16">
        <f t="shared" si="269"/>
        <v>119.86321662358912</v>
      </c>
      <c r="CX17" s="16">
        <f t="shared" si="269"/>
        <v>118.26794161228723</v>
      </c>
      <c r="CY17" s="16">
        <f t="shared" si="269"/>
        <v>118.73332356853291</v>
      </c>
      <c r="CZ17" s="16">
        <f t="shared" si="269"/>
        <v>134.51445434590011</v>
      </c>
      <c r="DA17" s="16">
        <f t="shared" si="269"/>
        <v>165.62802042073346</v>
      </c>
      <c r="DB17" s="16">
        <f t="shared" si="269"/>
        <v>198.23047626203839</v>
      </c>
      <c r="DC17" s="16">
        <f t="shared" si="269"/>
        <v>194.64384665983874</v>
      </c>
      <c r="DD17" s="16">
        <f t="shared" si="269"/>
        <v>183.57694929852281</v>
      </c>
      <c r="DE17" s="16">
        <f t="shared" si="269"/>
        <v>222.61332712260804</v>
      </c>
      <c r="DF17" s="16">
        <f t="shared" si="269"/>
        <v>224.32155822451111</v>
      </c>
      <c r="DG17" s="16">
        <f t="shared" si="269"/>
        <v>208.28418535752735</v>
      </c>
      <c r="DH17" s="16">
        <f t="shared" si="269"/>
        <v>147.71549670391511</v>
      </c>
      <c r="DI17" s="16">
        <f t="shared" si="269"/>
        <v>123.80033824258823</v>
      </c>
      <c r="DJ17" s="16">
        <f t="shared" si="269"/>
        <v>87.471868952744387</v>
      </c>
      <c r="DK17" s="16">
        <f t="shared" si="269"/>
        <v>34.335743446215481</v>
      </c>
      <c r="DL17" s="16">
        <f t="shared" si="269"/>
        <v>7.7918091988932883</v>
      </c>
      <c r="DM17" s="11">
        <f t="shared" si="260"/>
        <v>2765.1625805875042</v>
      </c>
      <c r="DN17" s="11">
        <f t="shared" si="261"/>
        <v>117.88863978006349</v>
      </c>
      <c r="DO17" s="11">
        <f t="shared" si="262"/>
        <v>59.96274670833516</v>
      </c>
      <c r="DP17" s="11">
        <f t="shared" si="263"/>
        <v>1056.3343272490031</v>
      </c>
      <c r="DQ17" s="11">
        <f t="shared" si="264"/>
        <v>609.39944190188373</v>
      </c>
      <c r="DR17" s="15">
        <f t="shared" si="265"/>
        <v>0.38201526907129185</v>
      </c>
      <c r="DS17" s="15">
        <f t="shared" si="266"/>
        <v>0.22038466966828649</v>
      </c>
      <c r="DT17" s="11">
        <f t="shared" si="267"/>
        <v>436.95202869444256</v>
      </c>
      <c r="DV17" s="62" t="s">
        <v>407</v>
      </c>
      <c r="DW17" s="7">
        <f>IF(DW9&gt;=0,0,IF(AND(DW10&lt;=0,DW9&lt;=0,DW16*2&gt;=ABS(DW9)),ROUND(DW16/3,0),ROUND(ABS(DW9)/6,0)))</f>
        <v>46</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40.995869090157875</v>
      </c>
      <c r="BL18" s="9">
        <f>IF(管理者入力シート!$B$14=1,BK15*管理者用人口入力シート!AM$3,IF(管理者入力シート!$B$14=2,BK15*管理者用人口入力シート!AM$7))</f>
        <v>41.830576540228883</v>
      </c>
      <c r="BM18" s="9">
        <f>IF(管理者入力シート!$B$14=1,BL15*管理者用人口入力シート!AN$3,IF(管理者入力シート!$B$14=2,BL15*管理者用人口入力シート!AN$7))</f>
        <v>40.445173707602443</v>
      </c>
      <c r="BN18" s="9">
        <f>IF(管理者入力シート!$B$14=1,BM15*管理者用人口入力シート!AO$3,IF(管理者入力シート!$B$14=2,BM15*管理者用人口入力シート!AO$7))</f>
        <v>40.777039359784609</v>
      </c>
      <c r="BO18" s="9">
        <f>IF(管理者入力シート!$B$14=1,BN15*管理者用人口入力シート!AP$3,IF(管理者入力シート!$B$14=2,BN15*管理者用人口入力シート!AP$7))</f>
        <v>31.127148558804674</v>
      </c>
      <c r="BP18" s="9">
        <f>IF(管理者入力シート!$B$14=1,BO15*管理者用人口入力シート!AQ$3,IF(管理者入力シート!$B$14=2,BO15*管理者用人口入力シート!AQ$7))</f>
        <v>48.496362831477065</v>
      </c>
      <c r="BQ18" s="9">
        <f>IF(管理者入力シート!$B$14=1,BP15*管理者用人口入力シート!AR$3,IF(管理者入力シート!$B$14=2,BP15*管理者用人口入力シート!AR$7))</f>
        <v>52.862665215190233</v>
      </c>
      <c r="BR18" s="9">
        <f>IF(管理者入力シート!$B$14=1,BQ15*管理者用人口入力シート!AS$3,IF(管理者入力シート!$B$14=2,BQ15*管理者用人口入力シート!AS$7))</f>
        <v>47.020250343807348</v>
      </c>
      <c r="BS18" s="9">
        <f>IF(管理者入力シート!$B$14=1,BR15*管理者用人口入力シート!AT$3,IF(管理者入力シート!$B$14=2,BR15*管理者用人口入力シート!AT$7))</f>
        <v>57.790850978721103</v>
      </c>
      <c r="BT18" s="9">
        <f>IF(管理者入力シート!$B$14=1,BS15*管理者用人口入力シート!AU$3,IF(管理者入力シート!$B$14=2,BS15*管理者用人口入力シート!AU$7))</f>
        <v>72.454937864846386</v>
      </c>
      <c r="BU18" s="9">
        <f>IF(管理者入力シート!$B$14=1,BT15*管理者用人口入力シート!AV$3,IF(管理者入力シート!$B$14=2,BT15*管理者用人口入力シート!AV$7))</f>
        <v>88.813918594072135</v>
      </c>
      <c r="BV18" s="9">
        <f>IF(管理者入力シート!$B$14=1,BU15*管理者用人口入力シート!AW$3,IF(管理者入力シート!$B$14=2,BU15*管理者用人口入力シート!AW$7))</f>
        <v>92.693790316624074</v>
      </c>
      <c r="BW18" s="9">
        <f>IF(管理者入力シート!$B$14=1,BV15*管理者用人口入力シート!AX$3,IF(管理者入力シート!$B$14=2,BV15*管理者用人口入力シート!AX$7))</f>
        <v>84.935892442467747</v>
      </c>
      <c r="BX18" s="9">
        <f>IF(管理者入力シート!$B$14=1,BW15*管理者用人口入力シート!AY$3,IF(管理者入力シート!$B$14=2,BW15*管理者用人口入力シート!AY$7))</f>
        <v>80.417784664936633</v>
      </c>
      <c r="BY18" s="9">
        <f>IF(管理者入力シート!$B$14=1,BX15*管理者用人口入力シート!AZ$3,IF(管理者入力シート!$B$14=2,BX15*管理者用人口入力シート!AZ$7))</f>
        <v>83.396809226551795</v>
      </c>
      <c r="BZ18" s="9">
        <f>IF(管理者入力シート!$B$14=1,BY15*管理者用人口入力シート!BA$3,IF(管理者入力シート!$B$14=2,BY15*管理者用人口入力シート!BA$7))</f>
        <v>91.82811323275449</v>
      </c>
      <c r="CA18" s="9">
        <f>IF(管理者入力シート!$B$14=1,BZ15*管理者用人口入力シート!BB$3,IF(管理者入力シート!$B$14=2,BZ15*管理者用人口入力シート!BB$7))</f>
        <v>73.543111904225384</v>
      </c>
      <c r="CB18" s="9">
        <f>IF(管理者入力シート!$B$14=1,CA15*管理者用人口入力シート!BC$3,IF(管理者入力シート!$B$14=2,CA15*管理者用人口入力シート!BC$7))</f>
        <v>39.172182548693783</v>
      </c>
      <c r="CC18" s="9">
        <f>IF(管理者入力シート!$B$14=1,CB15*管理者用人口入力シート!BD$3,IF(管理者入力シート!$B$14=2,CB15*管理者用人口入力シート!BD$7))</f>
        <v>26.41238007389914</v>
      </c>
      <c r="CD18" s="9">
        <f>IF(管理者入力シート!$B$14=1,CC15*管理者用人口入力シート!BE$3,IF(管理者入力シート!$B$14=2,CC15*管理者用人口入力シート!BE$7))</f>
        <v>7.9392458798167693</v>
      </c>
      <c r="CE18" s="9">
        <f>IF(管理者入力シート!$B$14=1,CD15*管理者用人口入力シート!BF$3,IF(管理者入力シート!$B$14=2,CD15*管理者用人口入力シート!BF$7))</f>
        <v>0.30873834058013416</v>
      </c>
      <c r="CF18" s="9">
        <f t="shared" si="252"/>
        <v>1143.2628417152428</v>
      </c>
      <c r="CG18" s="9">
        <f t="shared" si="253"/>
        <v>49.365450148698798</v>
      </c>
      <c r="CH18" s="9">
        <f t="shared" si="254"/>
        <v>24.3334773549979</v>
      </c>
      <c r="CI18" s="9">
        <f t="shared" si="255"/>
        <v>403.01836587145817</v>
      </c>
      <c r="CJ18" s="9">
        <f t="shared" si="256"/>
        <v>239.20377197996973</v>
      </c>
      <c r="CK18" s="13">
        <f t="shared" si="257"/>
        <v>0.35251593174042795</v>
      </c>
      <c r="CL18" s="13">
        <f t="shared" si="258"/>
        <v>0.20922902700230436</v>
      </c>
      <c r="CM18" s="9">
        <f t="shared" si="259"/>
        <v>179.50642694927933</v>
      </c>
      <c r="CO18" s="7" t="str">
        <f t="shared" si="26"/>
        <v>2050_1</v>
      </c>
      <c r="CP18" s="28">
        <f>管理者入力シート!B13</f>
        <v>2050</v>
      </c>
      <c r="CQ18" s="3" t="s">
        <v>21</v>
      </c>
      <c r="CR18" s="9">
        <f>DT19*$AK$13+将来予測シート②!$G17</f>
        <v>44.000701514261351</v>
      </c>
      <c r="CS18" s="9">
        <f>IF(管理者入力シート!$B$14=1,CR15*管理者用人口入力シート!AM$3,IF(管理者入力シート!$B$14=2,CR15*管理者用人口入力シート!AM$7))+将来予測シート②!$G18</f>
        <v>44.267293405461281</v>
      </c>
      <c r="CT18" s="9">
        <f>IF(管理者入力シート!$B$14=1,CS15*管理者用人口入力シート!AN$3,IF(管理者入力シート!$B$14=2,CS15*管理者用人口入力シート!AN$7))+将来予測シート②!$G19</f>
        <v>43.413526559308785</v>
      </c>
      <c r="CU18" s="9">
        <f>IF(管理者入力シート!$B$14=1,CT15*管理者用人口入力シート!AO$3,IF(管理者入力シート!$B$14=2,CT15*管理者用人口入力シート!AO$7))+将来予測シート②!$G20</f>
        <v>43.391049851875366</v>
      </c>
      <c r="CV18" s="9">
        <f>IF(管理者入力シート!$B$14=1,CU15*管理者用人口入力シート!AP$3,IF(管理者入力シート!$B$14=2,CU15*管理者用人口入力シート!AP$7))+将来予測シート②!$G21</f>
        <v>32.619192634635695</v>
      </c>
      <c r="CW18" s="9">
        <f>IF(管理者入力シート!$B$14=1,CV15*管理者用人口入力シート!AQ$3,IF(管理者入力シート!$B$14=2,CV15*管理者用人口入力シート!AQ$7))+将来予測シート②!$G22</f>
        <v>51.928031625051503</v>
      </c>
      <c r="CX18" s="9">
        <f>IF(管理者入力シート!$B$14=1,CW15*管理者用人口入力シート!AR$3,IF(管理者入力シート!$B$14=2,CW15*管理者用人口入力シート!AR$7))+将来予測シート②!$G23</f>
        <v>55.496845100614316</v>
      </c>
      <c r="CY18" s="9">
        <f>IF(管理者入力シート!$B$14=1,CX15*管理者用人口入力シート!AS$3,IF(管理者入力シート!$B$14=2,CX15*管理者用人口入力シート!AS$7))+将来予測シート②!$G24</f>
        <v>49.475022667167124</v>
      </c>
      <c r="CZ18" s="9">
        <f>IF(管理者入力シート!$B$14=1,CY15*管理者用人口入力シート!AT$3,IF(管理者入力シート!$B$14=2,CY15*管理者用人口入力シート!AT$7))+将来予測シート②!$G25</f>
        <v>59.476322235225439</v>
      </c>
      <c r="DA18" s="9">
        <f>IF(管理者入力シート!$B$14=1,CZ15*管理者用人口入力シート!AU$3,IF(管理者入力シート!$B$14=2,CZ15*管理者用人口入力シート!AU$7))+将来予測シート②!$G26</f>
        <v>74.126727590147567</v>
      </c>
      <c r="DB18" s="9">
        <f>IF(管理者入力シート!$B$14=1,DA15*管理者用人口入力シート!AV$3,IF(管理者入力シート!$B$14=2,DA15*管理者用人口入力シート!AV$7))+将来予測シート②!$G27</f>
        <v>90.538013429610018</v>
      </c>
      <c r="DC18" s="9">
        <f>IF(管理者入力シート!$B$14=1,DB15*管理者用人口入力シート!AW$3,IF(管理者入力シート!$B$14=2,DB15*管理者用人口入力シート!AW$7))+将来予測シート②!$G28</f>
        <v>92.693790316624074</v>
      </c>
      <c r="DD18" s="9">
        <f>IF(管理者入力シート!$B$14=1,DC15*管理者用人口入力シート!AX$3,IF(管理者入力シート!$B$14=2,DC15*管理者用人口入力シート!AX$7))+将来予測シート②!$G29</f>
        <v>84.935892442467747</v>
      </c>
      <c r="DE18" s="9">
        <f>IF(管理者入力シート!$B$14=1,DD15*管理者用人口入力シート!AY$3,IF(管理者入力シート!$B$14=2,DD15*管理者用人口入力シート!AY$7))</f>
        <v>80.417784664936633</v>
      </c>
      <c r="DF18" s="9">
        <f>IF(管理者入力シート!$B$14=1,DE15*管理者用人口入力シート!AZ$3,IF(管理者入力シート!$B$14=2,DE15*管理者用人口入力シート!AZ$7))</f>
        <v>83.396809226551795</v>
      </c>
      <c r="DG18" s="9">
        <f>IF(管理者入力シート!$B$14=1,DF15*管理者用人口入力シート!BA$3,IF(管理者入力シート!$B$14=2,DF15*管理者用人口入力シート!BA$7))</f>
        <v>91.82811323275449</v>
      </c>
      <c r="DH18" s="9">
        <f>IF(管理者入力シート!$B$14=1,DG15*管理者用人口入力シート!BB$3,IF(管理者入力シート!$B$14=2,DG15*管理者用人口入力シート!BB$7))</f>
        <v>73.543111904225384</v>
      </c>
      <c r="DI18" s="9">
        <f>IF(管理者入力シート!$B$14=1,DH15*管理者用人口入力シート!BC$3,IF(管理者入力シート!$B$14=2,DH15*管理者用人口入力シート!BC$7))</f>
        <v>39.172182548693783</v>
      </c>
      <c r="DJ18" s="9">
        <f>IF(管理者入力シート!$B$14=1,DI15*管理者用人口入力シート!BD$3,IF(管理者入力シート!$B$14=2,DI15*管理者用人口入力シート!BD$7))</f>
        <v>26.41238007389914</v>
      </c>
      <c r="DK18" s="9">
        <f>IF(管理者入力シート!$B$14=1,DJ15*管理者用人口入力シート!BE$3,IF(管理者入力シート!$B$14=2,DJ15*管理者用人口入力シート!BE$7))</f>
        <v>7.9392458798167693</v>
      </c>
      <c r="DL18" s="9">
        <f>IF(管理者入力シート!$B$14=1,DK15*管理者用人口入力シート!BF$3,IF(管理者入力シート!$B$14=2,DK15*管理者用人口入力シート!BF$7))</f>
        <v>0.30873834058013416</v>
      </c>
      <c r="DM18" s="9">
        <f t="shared" si="260"/>
        <v>1169.3807752439086</v>
      </c>
      <c r="DN18" s="9">
        <f t="shared" si="261"/>
        <v>52.608491978862034</v>
      </c>
      <c r="DO18" s="9">
        <f t="shared" si="262"/>
        <v>26.043620594098584</v>
      </c>
      <c r="DP18" s="9">
        <f t="shared" si="263"/>
        <v>403.01836587145817</v>
      </c>
      <c r="DQ18" s="9">
        <f t="shared" si="264"/>
        <v>239.20377197996973</v>
      </c>
      <c r="DR18" s="13">
        <f t="shared" si="265"/>
        <v>0.34464254450172305</v>
      </c>
      <c r="DS18" s="13">
        <f t="shared" si="266"/>
        <v>0.20455592997933181</v>
      </c>
      <c r="DT18" s="9">
        <f t="shared" si="267"/>
        <v>189.51909202746862</v>
      </c>
      <c r="DX18" s="286">
        <f>DX1</f>
        <v>46</v>
      </c>
      <c r="DY18" s="287"/>
      <c r="DZ18" s="283" t="s">
        <v>0</v>
      </c>
      <c r="EA18" s="283" t="s">
        <v>1</v>
      </c>
      <c r="EB18" s="283" t="s">
        <v>2</v>
      </c>
      <c r="EC18" s="283" t="s">
        <v>3</v>
      </c>
      <c r="ED18" s="283" t="s">
        <v>4</v>
      </c>
      <c r="EE18" s="283" t="s">
        <v>5</v>
      </c>
      <c r="EF18" s="283" t="s">
        <v>6</v>
      </c>
      <c r="EG18" s="283" t="s">
        <v>7</v>
      </c>
      <c r="EH18" s="283" t="s">
        <v>8</v>
      </c>
      <c r="EI18" s="283" t="s">
        <v>9</v>
      </c>
      <c r="EJ18" s="283" t="s">
        <v>10</v>
      </c>
      <c r="EK18" s="283" t="s">
        <v>11</v>
      </c>
      <c r="EL18" s="283" t="s">
        <v>12</v>
      </c>
      <c r="EM18" s="283" t="s">
        <v>13</v>
      </c>
      <c r="EN18" s="283" t="s">
        <v>14</v>
      </c>
      <c r="EO18" s="283" t="s">
        <v>15</v>
      </c>
      <c r="EP18" s="283" t="s">
        <v>16</v>
      </c>
      <c r="EQ18" s="283" t="s">
        <v>17</v>
      </c>
      <c r="ER18" s="283" t="s">
        <v>18</v>
      </c>
      <c r="ES18" s="283" t="s">
        <v>19</v>
      </c>
      <c r="ET18" s="283" t="s">
        <v>20</v>
      </c>
      <c r="EU18" s="283" t="s">
        <v>23</v>
      </c>
      <c r="EV18" s="282" t="s">
        <v>50</v>
      </c>
      <c r="EW18" s="282" t="s">
        <v>51</v>
      </c>
      <c r="EX18" s="284" t="s">
        <v>79</v>
      </c>
      <c r="EY18" s="284" t="s">
        <v>80</v>
      </c>
      <c r="EZ18" s="282" t="s">
        <v>48</v>
      </c>
      <c r="FA18" s="282" t="s">
        <v>49</v>
      </c>
      <c r="FB18" s="28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44.662692430509033</v>
      </c>
      <c r="BL19" s="10">
        <f>IF(管理者入力シート!$B$14=1,BK16*管理者用人口入力シート!AM$4,IF(管理者入力シート!$B$14=2,BK16*管理者用人口入力シート!AM$8))</f>
        <v>41.905617151822121</v>
      </c>
      <c r="BM19" s="10">
        <f>IF(管理者入力シート!$B$14=1,BL16*管理者用人口入力シート!AN$4,IF(管理者入力シート!$B$14=2,BL16*管理者用人口入力シート!AN$8))</f>
        <v>46.192848986777037</v>
      </c>
      <c r="BN19" s="10">
        <f>IF(管理者入力シート!$B$14=1,BM16*管理者用人口入力シート!AO$4,IF(管理者入力シート!$B$14=2,BM16*管理者用人口入力シート!AO$8))</f>
        <v>40.083523627699229</v>
      </c>
      <c r="BO19" s="10">
        <f>IF(管理者入力シート!$B$14=1,BN16*管理者用人口入力シート!AP$4,IF(管理者入力シート!$B$14=2,BN16*管理者用人口入力シート!AP$8))</f>
        <v>34.040813802820509</v>
      </c>
      <c r="BP19" s="10">
        <f>IF(管理者入力シート!$B$14=1,BO16*管理者用人口入力シート!AQ$4,IF(管理者入力シート!$B$14=2,BO16*管理者用人口入力シート!AQ$8))</f>
        <v>50.572339838460216</v>
      </c>
      <c r="BQ19" s="10">
        <f>IF(管理者入力シート!$B$14=1,BP16*管理者用人口入力シート!AR$4,IF(管理者入力シート!$B$14=2,BP16*管理者用人口入力シート!AR$8))</f>
        <v>52.254314671779227</v>
      </c>
      <c r="BR19" s="10">
        <f>IF(管理者入力シート!$B$14=1,BQ16*管理者用人口入力シート!AS$4,IF(管理者入力シート!$B$14=2,BQ16*管理者用人口入力シート!AS$8))</f>
        <v>57.793098751709309</v>
      </c>
      <c r="BS19" s="10">
        <f>IF(管理者入力シート!$B$14=1,BR16*管理者用人口入力シート!AT$4,IF(管理者入力シート!$B$14=2,BR16*管理者用人口入力シート!AT$8))</f>
        <v>53.009452707553862</v>
      </c>
      <c r="BT19" s="10">
        <f>IF(管理者入力シート!$B$14=1,BS16*管理者用人口入力シート!AU$4,IF(管理者入力シート!$B$14=2,BS16*管理者用人口入力シート!AU$8))</f>
        <v>62.191160998098916</v>
      </c>
      <c r="BU19" s="10">
        <f>IF(管理者入力シート!$B$14=1,BT16*管理者用人口入力シート!AV$4,IF(管理者入力シート!$B$14=2,BT16*管理者用人口入力シート!AV$8))</f>
        <v>70.991239065192985</v>
      </c>
      <c r="BV19" s="10">
        <f>IF(管理者入力シート!$B$14=1,BU16*管理者用人口入力シート!AW$4,IF(管理者入力シート!$B$14=2,BU16*管理者用人口入力シート!AW$8))</f>
        <v>91.294741758160711</v>
      </c>
      <c r="BW19" s="10">
        <f>IF(管理者入力シート!$B$14=1,BV16*管理者用人口入力シート!AX$4,IF(管理者入力シート!$B$14=2,BV16*管理者用人口入力シート!AX$8))</f>
        <v>92.563522096632497</v>
      </c>
      <c r="BX19" s="10">
        <f>IF(管理者入力シート!$B$14=1,BW16*管理者用人口入力シート!AY$4,IF(管理者入力シート!$B$14=2,BW16*管理者用人口入力シート!AY$8))</f>
        <v>86.155006349296514</v>
      </c>
      <c r="BY19" s="10">
        <f>IF(管理者入力シート!$B$14=1,BX16*管理者用人口入力シート!AZ$4,IF(管理者入力シート!$B$14=2,BX16*管理者用人口入力シート!AZ$8))</f>
        <v>117.04364903116794</v>
      </c>
      <c r="BZ19" s="10">
        <f>IF(管理者入力シート!$B$14=1,BY16*管理者用人口入力シート!BA$4,IF(管理者入力シート!$B$14=2,BY16*管理者用人口入力シート!BA$8))</f>
        <v>114.16959766719326</v>
      </c>
      <c r="CA19" s="10">
        <f>IF(管理者入力シート!$B$14=1,BZ16*管理者用人口入力シート!BB$4,IF(管理者入力シート!$B$14=2,BZ16*管理者用人口入力シート!BB$8))</f>
        <v>97.54551758493686</v>
      </c>
      <c r="CB19" s="10">
        <f>IF(管理者入力シート!$B$14=1,CA16*管理者用人口入力シート!BC$4,IF(管理者入力シート!$B$14=2,CA16*管理者用人口入力シート!BC$8))</f>
        <v>62.091213961886858</v>
      </c>
      <c r="CC19" s="10">
        <f>IF(管理者入力シート!$B$14=1,CB16*管理者用人口入力シート!BD$4,IF(管理者入力シート!$B$14=2,CB16*管理者用人口入力シート!BD$8))</f>
        <v>49.073185404299217</v>
      </c>
      <c r="CD19" s="10">
        <f>IF(管理者入力シート!$B$14=1,CC16*管理者用人口入力シート!BE$4,IF(管理者入力シート!$B$14=2,CC16*管理者用人口入力シート!BE$8))</f>
        <v>20.261304514597715</v>
      </c>
      <c r="CE19" s="10">
        <f>IF(管理者入力シート!$B$14=1,CD16*管理者用人口入力シート!BF$4,IF(管理者入力シート!$B$14=2,CD16*管理者用人口入力シート!BF$8))</f>
        <v>8.3161364288727704</v>
      </c>
      <c r="CF19" s="10">
        <f t="shared" si="252"/>
        <v>1292.2109768294667</v>
      </c>
      <c r="CG19" s="10">
        <f t="shared" si="253"/>
        <v>52.859079683159493</v>
      </c>
      <c r="CH19" s="10">
        <f t="shared" si="254"/>
        <v>26.493844320250659</v>
      </c>
      <c r="CI19" s="10">
        <f t="shared" si="255"/>
        <v>554.6556109422512</v>
      </c>
      <c r="CJ19" s="10">
        <f t="shared" si="256"/>
        <v>351.45695556178669</v>
      </c>
      <c r="CK19" s="14">
        <f t="shared" si="257"/>
        <v>0.42922991747302669</v>
      </c>
      <c r="CL19" s="14">
        <f t="shared" si="258"/>
        <v>0.27198109431333867</v>
      </c>
      <c r="CM19" s="10">
        <f t="shared" si="259"/>
        <v>194.66056706476922</v>
      </c>
      <c r="CO19" s="7" t="str">
        <f t="shared" si="26"/>
        <v>2050_2</v>
      </c>
      <c r="CP19" s="29">
        <f>CP18</f>
        <v>2050</v>
      </c>
      <c r="CQ19" s="4" t="s">
        <v>22</v>
      </c>
      <c r="CR19" s="10">
        <f>DT19*$AK$14+将来予測シート②!$H17</f>
        <v>47.846844539481935</v>
      </c>
      <c r="CS19" s="10">
        <f>IF(管理者入力シート!$B$14=1,CR16*管理者用人口入力シート!AM$4,IF(管理者入力シート!$B$14=2,CR16*管理者用人口入力シート!AM$8))+将来予測シート②!$H18</f>
        <v>44.271350020052395</v>
      </c>
      <c r="CT19" s="10">
        <f>IF(管理者入力シート!$B$14=1,CS16*管理者用人口入力シート!AN$4,IF(管理者入力シート!$B$14=2,CS16*管理者用人口入力シート!AN$8))+将来予測シート②!$H19</f>
        <v>49.36464208776264</v>
      </c>
      <c r="CU19" s="10">
        <f>IF(管理者入力シート!$B$14=1,CT16*管理者用人口入力シート!AO$4,IF(管理者入力シート!$B$14=2,CT16*管理者用人口入力シート!AO$8))+将来予測シート②!$H20</f>
        <v>42.480362099978436</v>
      </c>
      <c r="CV19" s="10">
        <f>IF(管理者入力シート!$B$14=1,CU16*管理者用人口入力シート!AP$4,IF(管理者入力シート!$B$14=2,CU16*管理者用人口入力シート!AP$8))+将来予測シート②!$H21</f>
        <v>35.545837183476706</v>
      </c>
      <c r="CW19" s="10">
        <f>IF(管理者入力シート!$B$14=1,CV16*管理者用人口入力シート!AQ$4,IF(管理者入力シート!$B$14=2,CV16*管理者用人口入力シート!AQ$8))+将来予測シート②!$H22</f>
        <v>53.907876564787685</v>
      </c>
      <c r="CX19" s="10">
        <f>IF(管理者入力シート!$B$14=1,CW16*管理者用人口入力シート!AR$4,IF(管理者入力シート!$B$14=2,CW16*管理者用人口入力シート!AR$8))+将来予測シート②!$H23</f>
        <v>54.689849385474758</v>
      </c>
      <c r="CY19" s="10">
        <f>IF(管理者入力シート!$B$14=1,CX16*管理者用人口入力シート!AS$4,IF(管理者入力シート!$B$14=2,CX16*管理者用人口入力シート!AS$8))+将来予測シート②!$H24</f>
        <v>60.036543953161491</v>
      </c>
      <c r="CZ19" s="10">
        <f>IF(管理者入力シート!$B$14=1,CY16*管理者用人口入力シート!AT$4,IF(管理者入力シート!$B$14=2,CY16*管理者用人口入力シート!AT$8))+将来予測シート②!$H25</f>
        <v>55.599564131776127</v>
      </c>
      <c r="DA19" s="10">
        <f>IF(管理者入力シート!$B$14=1,CZ16*管理者用人口入力シート!AU$4,IF(管理者入力シート!$B$14=2,CZ16*管理者用人口入力シート!AU$8))+将来予測シート②!$H26</f>
        <v>65.007724681711636</v>
      </c>
      <c r="DB19" s="10">
        <f>IF(管理者入力シート!$B$14=1,DA16*管理者用人口入力シート!AV$4,IF(管理者入力シート!$B$14=2,DA16*管理者用人口入力シート!AV$8))+将来予測シート②!$H27</f>
        <v>73.656540561615856</v>
      </c>
      <c r="DC19" s="10">
        <f>IF(管理者入力シート!$B$14=1,DB16*管理者用人口入力シート!AW$4,IF(管理者入力シート!$B$14=2,DB16*管理者用人口入力シート!AW$8))+将来予測シート②!$H28</f>
        <v>92.274547967742421</v>
      </c>
      <c r="DD19" s="10">
        <f>IF(管理者入力シート!$B$14=1,DC16*管理者用人口入力シート!AX$4,IF(管理者入力シート!$B$14=2,DC16*管理者用人口入力シート!AX$8))+将来予測シート②!$H29</f>
        <v>93.444350614266767</v>
      </c>
      <c r="DE19" s="10">
        <f>IF(管理者入力シート!$B$14=1,DD16*管理者用人口入力シート!AY$4,IF(管理者入力シート!$B$14=2,DD16*管理者用人口入力シート!AY$8))</f>
        <v>86.97830295591686</v>
      </c>
      <c r="DF19" s="10">
        <f>IF(管理者入力シート!$B$14=1,DE16*管理者用人口入力シート!AZ$4,IF(管理者入力シート!$B$14=2,DE16*管理者用人口入力シート!AZ$8))</f>
        <v>117.04364903116794</v>
      </c>
      <c r="DG19" s="10">
        <f>IF(管理者入力シート!$B$14=1,DF16*管理者用人口入力シート!BA$4,IF(管理者入力シート!$B$14=2,DF16*管理者用人口入力シート!BA$8))</f>
        <v>114.16959766719326</v>
      </c>
      <c r="DH19" s="10">
        <f>IF(管理者入力シート!$B$14=1,DG16*管理者用人口入力シート!BB$4,IF(管理者入力シート!$B$14=2,DG16*管理者用人口入力シート!BB$8))</f>
        <v>97.54551758493686</v>
      </c>
      <c r="DI19" s="10">
        <f>IF(管理者入力シート!$B$14=1,DH16*管理者用人口入力シート!BC$4,IF(管理者入力シート!$B$14=2,DH16*管理者用人口入力シート!BC$8))</f>
        <v>62.091213961886858</v>
      </c>
      <c r="DJ19" s="10">
        <f>IF(管理者入力シート!$B$14=1,DI16*管理者用人口入力シート!BD$4,IF(管理者入力シート!$B$14=2,DI16*管理者用人口入力シート!BD$8))</f>
        <v>49.073185404299217</v>
      </c>
      <c r="DK19" s="10">
        <f>IF(管理者入力シート!$B$14=1,DJ16*管理者用人口入力シート!BE$4,IF(管理者入力シート!$B$14=2,DJ16*管理者用人口入力シート!BE$8))</f>
        <v>20.261304514597715</v>
      </c>
      <c r="DL19" s="10">
        <f>IF(管理者入力シート!$B$14=1,DK16*管理者用人口入力シート!BF$4,IF(管理者入力シート!$B$14=2,DK16*管理者用人口入力シート!BF$8))</f>
        <v>8.3161364288727704</v>
      </c>
      <c r="DM19" s="10">
        <f t="shared" si="260"/>
        <v>1323.6049413401602</v>
      </c>
      <c r="DN19" s="10">
        <f t="shared" si="261"/>
        <v>56.181595264689022</v>
      </c>
      <c r="DO19" s="10">
        <f t="shared" si="262"/>
        <v>28.241929255100743</v>
      </c>
      <c r="DP19" s="10">
        <f t="shared" si="263"/>
        <v>555.47890754887146</v>
      </c>
      <c r="DQ19" s="10">
        <f t="shared" si="264"/>
        <v>351.45695556178669</v>
      </c>
      <c r="DR19" s="14">
        <f t="shared" si="265"/>
        <v>0.41967122530265322</v>
      </c>
      <c r="DS19" s="14">
        <f t="shared" si="266"/>
        <v>0.26553010236266861</v>
      </c>
      <c r="DT19" s="10">
        <f t="shared" si="267"/>
        <v>204.18010708690065</v>
      </c>
      <c r="DX19" s="288"/>
      <c r="DY19" s="289"/>
      <c r="DZ19" s="283"/>
      <c r="EA19" s="283"/>
      <c r="EB19" s="283"/>
      <c r="EC19" s="283"/>
      <c r="ED19" s="283"/>
      <c r="EE19" s="283"/>
      <c r="EF19" s="283"/>
      <c r="EG19" s="283"/>
      <c r="EH19" s="283"/>
      <c r="EI19" s="283"/>
      <c r="EJ19" s="283"/>
      <c r="EK19" s="283"/>
      <c r="EL19" s="283"/>
      <c r="EM19" s="283"/>
      <c r="EN19" s="283"/>
      <c r="EO19" s="283"/>
      <c r="EP19" s="283"/>
      <c r="EQ19" s="283"/>
      <c r="ER19" s="283"/>
      <c r="ES19" s="283"/>
      <c r="ET19" s="283"/>
      <c r="EU19" s="283"/>
      <c r="EV19" s="282"/>
      <c r="EW19" s="282"/>
      <c r="EX19" s="285"/>
      <c r="EY19" s="285"/>
      <c r="EZ19" s="282"/>
      <c r="FA19" s="282"/>
      <c r="FB19" s="28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85.658561520666908</v>
      </c>
      <c r="BL20" s="16">
        <f t="shared" ref="BL20:CE20" si="276">BL18+BL19</f>
        <v>83.736193692051003</v>
      </c>
      <c r="BM20" s="16">
        <f t="shared" si="276"/>
        <v>86.638022694379487</v>
      </c>
      <c r="BN20" s="16">
        <f t="shared" si="276"/>
        <v>80.860562987483831</v>
      </c>
      <c r="BO20" s="16">
        <f t="shared" si="276"/>
        <v>65.167962361625186</v>
      </c>
      <c r="BP20" s="16">
        <f t="shared" si="276"/>
        <v>99.068702669937281</v>
      </c>
      <c r="BQ20" s="16">
        <f t="shared" si="276"/>
        <v>105.11697988696946</v>
      </c>
      <c r="BR20" s="16">
        <f t="shared" si="276"/>
        <v>104.81334909551666</v>
      </c>
      <c r="BS20" s="16">
        <f t="shared" si="276"/>
        <v>110.80030368627496</v>
      </c>
      <c r="BT20" s="16">
        <f t="shared" si="276"/>
        <v>134.64609886294531</v>
      </c>
      <c r="BU20" s="16">
        <f t="shared" si="276"/>
        <v>159.80515765926512</v>
      </c>
      <c r="BV20" s="16">
        <f t="shared" si="276"/>
        <v>183.98853207478479</v>
      </c>
      <c r="BW20" s="16">
        <f t="shared" si="276"/>
        <v>177.49941453910026</v>
      </c>
      <c r="BX20" s="16">
        <f t="shared" si="276"/>
        <v>166.57279101423313</v>
      </c>
      <c r="BY20" s="16">
        <f t="shared" si="276"/>
        <v>200.44045825771974</v>
      </c>
      <c r="BZ20" s="16">
        <f t="shared" si="276"/>
        <v>205.99771089994775</v>
      </c>
      <c r="CA20" s="16">
        <f t="shared" si="276"/>
        <v>171.08862948916226</v>
      </c>
      <c r="CB20" s="16">
        <f t="shared" si="276"/>
        <v>101.26339651058063</v>
      </c>
      <c r="CC20" s="16">
        <f t="shared" si="276"/>
        <v>75.485565478198353</v>
      </c>
      <c r="CD20" s="16">
        <f t="shared" si="276"/>
        <v>28.200550394414485</v>
      </c>
      <c r="CE20" s="16">
        <f t="shared" si="276"/>
        <v>8.6248747694529051</v>
      </c>
      <c r="CF20" s="11">
        <f t="shared" si="252"/>
        <v>2435.4738185447095</v>
      </c>
      <c r="CG20" s="11">
        <f t="shared" si="253"/>
        <v>102.22452983185829</v>
      </c>
      <c r="CH20" s="11">
        <f t="shared" si="254"/>
        <v>50.827321675248555</v>
      </c>
      <c r="CI20" s="11">
        <f t="shared" si="255"/>
        <v>957.67397681370926</v>
      </c>
      <c r="CJ20" s="11">
        <f t="shared" si="256"/>
        <v>590.66072754175639</v>
      </c>
      <c r="CK20" s="15">
        <f t="shared" si="257"/>
        <v>0.39321875255713351</v>
      </c>
      <c r="CL20" s="15">
        <f t="shared" si="258"/>
        <v>0.24252394874632616</v>
      </c>
      <c r="CM20" s="11">
        <f t="shared" si="259"/>
        <v>374.16699401404856</v>
      </c>
      <c r="CO20" s="7" t="str">
        <f t="shared" si="26"/>
        <v>2050_3</v>
      </c>
      <c r="CP20" s="30">
        <f>CP19</f>
        <v>2050</v>
      </c>
      <c r="CQ20" s="5" t="s">
        <v>23</v>
      </c>
      <c r="CR20" s="16">
        <f>CR18+CR19</f>
        <v>91.847546053743287</v>
      </c>
      <c r="CS20" s="16">
        <f t="shared" ref="CS20:DL20" si="277">CS18+CS19</f>
        <v>88.538643425513669</v>
      </c>
      <c r="CT20" s="16">
        <f t="shared" si="277"/>
        <v>92.778168647071425</v>
      </c>
      <c r="CU20" s="16">
        <f t="shared" si="277"/>
        <v>85.871411951853801</v>
      </c>
      <c r="CV20" s="16">
        <f t="shared" si="277"/>
        <v>68.165029818112401</v>
      </c>
      <c r="CW20" s="16">
        <f t="shared" si="277"/>
        <v>105.83590818983919</v>
      </c>
      <c r="CX20" s="16">
        <f t="shared" si="277"/>
        <v>110.18669448608907</v>
      </c>
      <c r="CY20" s="16">
        <f t="shared" si="277"/>
        <v>109.51156662032861</v>
      </c>
      <c r="CZ20" s="16">
        <f t="shared" si="277"/>
        <v>115.07588636700157</v>
      </c>
      <c r="DA20" s="16">
        <f t="shared" si="277"/>
        <v>139.1344522718592</v>
      </c>
      <c r="DB20" s="16">
        <f t="shared" si="277"/>
        <v>164.19455399122586</v>
      </c>
      <c r="DC20" s="16">
        <f t="shared" si="277"/>
        <v>184.9683382843665</v>
      </c>
      <c r="DD20" s="16">
        <f t="shared" si="277"/>
        <v>178.38024305673451</v>
      </c>
      <c r="DE20" s="16">
        <f t="shared" si="277"/>
        <v>167.39608762085351</v>
      </c>
      <c r="DF20" s="16">
        <f t="shared" si="277"/>
        <v>200.44045825771974</v>
      </c>
      <c r="DG20" s="16">
        <f t="shared" si="277"/>
        <v>205.99771089994775</v>
      </c>
      <c r="DH20" s="16">
        <f t="shared" si="277"/>
        <v>171.08862948916226</v>
      </c>
      <c r="DI20" s="16">
        <f t="shared" si="277"/>
        <v>101.26339651058063</v>
      </c>
      <c r="DJ20" s="16">
        <f t="shared" si="277"/>
        <v>75.485565478198353</v>
      </c>
      <c r="DK20" s="16">
        <f t="shared" si="277"/>
        <v>28.200550394414485</v>
      </c>
      <c r="DL20" s="16">
        <f t="shared" si="277"/>
        <v>8.6248747694529051</v>
      </c>
      <c r="DM20" s="11">
        <f t="shared" si="260"/>
        <v>2492.9857165840685</v>
      </c>
      <c r="DN20" s="11">
        <f t="shared" si="261"/>
        <v>108.79008724355106</v>
      </c>
      <c r="DO20" s="11">
        <f t="shared" si="262"/>
        <v>54.285549849199327</v>
      </c>
      <c r="DP20" s="11">
        <f t="shared" si="263"/>
        <v>958.49727342032963</v>
      </c>
      <c r="DQ20" s="11">
        <f t="shared" si="264"/>
        <v>590.66072754175639</v>
      </c>
      <c r="DR20" s="15">
        <f t="shared" si="265"/>
        <v>0.38447764343137869</v>
      </c>
      <c r="DS20" s="15">
        <f t="shared" si="266"/>
        <v>0.23692904600796902</v>
      </c>
      <c r="DT20" s="11">
        <f t="shared" si="267"/>
        <v>393.69919911436926</v>
      </c>
      <c r="DX20" s="28">
        <f>DX3</f>
        <v>2025</v>
      </c>
      <c r="DY20" s="3" t="s">
        <v>21</v>
      </c>
      <c r="DZ20" s="9">
        <f t="shared" ref="DZ20:ET20" si="278">ROUND(DZ3,0)</f>
        <v>76</v>
      </c>
      <c r="EA20" s="9">
        <f t="shared" si="278"/>
        <v>80</v>
      </c>
      <c r="EB20" s="9">
        <f t="shared" si="278"/>
        <v>68</v>
      </c>
      <c r="EC20" s="9">
        <f t="shared" si="278"/>
        <v>80</v>
      </c>
      <c r="ED20" s="9">
        <f t="shared" si="278"/>
        <v>67</v>
      </c>
      <c r="EE20" s="9">
        <f t="shared" si="278"/>
        <v>149</v>
      </c>
      <c r="EF20" s="9">
        <f t="shared" si="278"/>
        <v>157</v>
      </c>
      <c r="EG20" s="9">
        <f t="shared" si="278"/>
        <v>147</v>
      </c>
      <c r="EH20" s="9">
        <f t="shared" si="278"/>
        <v>103</v>
      </c>
      <c r="EI20" s="9">
        <f t="shared" si="278"/>
        <v>122</v>
      </c>
      <c r="EJ20" s="9">
        <f t="shared" si="278"/>
        <v>158</v>
      </c>
      <c r="EK20" s="9">
        <f t="shared" si="278"/>
        <v>146</v>
      </c>
      <c r="EL20" s="9">
        <f t="shared" si="278"/>
        <v>116</v>
      </c>
      <c r="EM20" s="9">
        <f t="shared" si="278"/>
        <v>122</v>
      </c>
      <c r="EN20" s="9">
        <f t="shared" si="278"/>
        <v>125</v>
      </c>
      <c r="EO20" s="9">
        <f t="shared" si="278"/>
        <v>135</v>
      </c>
      <c r="EP20" s="9">
        <f t="shared" si="278"/>
        <v>75</v>
      </c>
      <c r="EQ20" s="9">
        <f t="shared" si="278"/>
        <v>59</v>
      </c>
      <c r="ER20" s="9">
        <f t="shared" si="278"/>
        <v>32</v>
      </c>
      <c r="ES20" s="9">
        <f t="shared" si="278"/>
        <v>6</v>
      </c>
      <c r="ET20" s="9">
        <f t="shared" si="278"/>
        <v>0</v>
      </c>
      <c r="EU20" s="9">
        <f t="shared" ref="EU20:EU21" si="279">SUM(DZ20:ET20)</f>
        <v>2023</v>
      </c>
      <c r="EV20" s="9">
        <f>EA20*3/5+EB20*3/5</f>
        <v>88.8</v>
      </c>
      <c r="EW20" s="9">
        <f>EB20*2/5+EC20*1/5</f>
        <v>43.2</v>
      </c>
      <c r="EX20" s="9">
        <f t="shared" ref="EX20:EX31" si="280">SUM(EM20:ET20)</f>
        <v>554</v>
      </c>
      <c r="EY20" s="9">
        <f>SUM(EO20:ET20)</f>
        <v>307</v>
      </c>
      <c r="EZ20" s="13">
        <f>EX20/EU20</f>
        <v>0.27385071675729117</v>
      </c>
      <c r="FA20" s="13">
        <f>EY20/EU20</f>
        <v>0.15175481957488879</v>
      </c>
      <c r="FB20" s="9">
        <f>SUM(ED20:EG20)</f>
        <v>520</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82</v>
      </c>
      <c r="EA21" s="10">
        <f t="shared" si="281"/>
        <v>80</v>
      </c>
      <c r="EB21" s="10">
        <f t="shared" si="281"/>
        <v>97</v>
      </c>
      <c r="EC21" s="10">
        <f t="shared" si="281"/>
        <v>73</v>
      </c>
      <c r="ED21" s="10">
        <f t="shared" si="281"/>
        <v>58</v>
      </c>
      <c r="EE21" s="10">
        <f t="shared" si="281"/>
        <v>133</v>
      </c>
      <c r="EF21" s="10">
        <f t="shared" si="281"/>
        <v>151</v>
      </c>
      <c r="EG21" s="10">
        <f t="shared" si="281"/>
        <v>155</v>
      </c>
      <c r="EH21" s="10">
        <f t="shared" si="281"/>
        <v>105</v>
      </c>
      <c r="EI21" s="10">
        <f t="shared" si="281"/>
        <v>167</v>
      </c>
      <c r="EJ21" s="10">
        <f t="shared" si="281"/>
        <v>162</v>
      </c>
      <c r="EK21" s="10">
        <f t="shared" si="281"/>
        <v>156</v>
      </c>
      <c r="EL21" s="10">
        <f t="shared" si="281"/>
        <v>122</v>
      </c>
      <c r="EM21" s="10">
        <f t="shared" si="281"/>
        <v>143</v>
      </c>
      <c r="EN21" s="10">
        <f t="shared" si="281"/>
        <v>151</v>
      </c>
      <c r="EO21" s="10">
        <f t="shared" si="281"/>
        <v>175</v>
      </c>
      <c r="EP21" s="10">
        <f t="shared" si="281"/>
        <v>135</v>
      </c>
      <c r="EQ21" s="10">
        <f t="shared" si="281"/>
        <v>104</v>
      </c>
      <c r="ER21" s="10">
        <f t="shared" si="281"/>
        <v>58</v>
      </c>
      <c r="ES21" s="10">
        <f t="shared" si="281"/>
        <v>21</v>
      </c>
      <c r="ET21" s="10">
        <f t="shared" si="281"/>
        <v>5</v>
      </c>
      <c r="EU21" s="10">
        <f t="shared" si="279"/>
        <v>2333</v>
      </c>
      <c r="EV21" s="10">
        <f t="shared" ref="EV21:EV31" si="282">EA21*3/5+EB21*3/5</f>
        <v>106.2</v>
      </c>
      <c r="EW21" s="10">
        <f t="shared" ref="EW21:EW31" si="283">EB21*2/5+EC21*1/5</f>
        <v>53.4</v>
      </c>
      <c r="EX21" s="10">
        <f t="shared" si="280"/>
        <v>792</v>
      </c>
      <c r="EY21" s="10">
        <f t="shared" ref="EY21:EY31" si="284">SUM(EO21:ET21)</f>
        <v>498</v>
      </c>
      <c r="EZ21" s="14">
        <f t="shared" ref="EZ21:EZ31" si="285">EX21/EU21</f>
        <v>0.33947706815259321</v>
      </c>
      <c r="FA21" s="14">
        <f t="shared" ref="FA21:FA31" si="286">EY21/EU21</f>
        <v>0.21345906558079725</v>
      </c>
      <c r="FB21" s="10">
        <f>SUM(ED21:EG21)</f>
        <v>497</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158</v>
      </c>
      <c r="EA22" s="16">
        <f t="shared" ref="EA22:ET22" si="287">EA20+EA21</f>
        <v>160</v>
      </c>
      <c r="EB22" s="16">
        <f t="shared" si="287"/>
        <v>165</v>
      </c>
      <c r="EC22" s="16">
        <f t="shared" si="287"/>
        <v>153</v>
      </c>
      <c r="ED22" s="16">
        <f t="shared" si="287"/>
        <v>125</v>
      </c>
      <c r="EE22" s="16">
        <f t="shared" si="287"/>
        <v>282</v>
      </c>
      <c r="EF22" s="16">
        <f t="shared" si="287"/>
        <v>308</v>
      </c>
      <c r="EG22" s="16">
        <f t="shared" si="287"/>
        <v>302</v>
      </c>
      <c r="EH22" s="16">
        <f t="shared" si="287"/>
        <v>208</v>
      </c>
      <c r="EI22" s="16">
        <f t="shared" si="287"/>
        <v>289</v>
      </c>
      <c r="EJ22" s="16">
        <f t="shared" si="287"/>
        <v>320</v>
      </c>
      <c r="EK22" s="16">
        <f t="shared" si="287"/>
        <v>302</v>
      </c>
      <c r="EL22" s="16">
        <f t="shared" si="287"/>
        <v>238</v>
      </c>
      <c r="EM22" s="16">
        <f t="shared" si="287"/>
        <v>265</v>
      </c>
      <c r="EN22" s="16">
        <f t="shared" si="287"/>
        <v>276</v>
      </c>
      <c r="EO22" s="16">
        <f t="shared" si="287"/>
        <v>310</v>
      </c>
      <c r="EP22" s="16">
        <f t="shared" si="287"/>
        <v>210</v>
      </c>
      <c r="EQ22" s="16">
        <f t="shared" si="287"/>
        <v>163</v>
      </c>
      <c r="ER22" s="16">
        <f t="shared" si="287"/>
        <v>90</v>
      </c>
      <c r="ES22" s="16">
        <f t="shared" si="287"/>
        <v>27</v>
      </c>
      <c r="ET22" s="16">
        <f t="shared" si="287"/>
        <v>5</v>
      </c>
      <c r="EU22" s="11">
        <f>SUM(DZ22:ET22)</f>
        <v>4356</v>
      </c>
      <c r="EV22" s="11">
        <f t="shared" si="282"/>
        <v>195</v>
      </c>
      <c r="EW22" s="11">
        <f t="shared" si="283"/>
        <v>96.6</v>
      </c>
      <c r="EX22" s="11">
        <f t="shared" si="280"/>
        <v>1346</v>
      </c>
      <c r="EY22" s="11">
        <f t="shared" si="284"/>
        <v>805</v>
      </c>
      <c r="EZ22" s="15">
        <f t="shared" si="285"/>
        <v>0.30899908172635443</v>
      </c>
      <c r="FA22" s="15">
        <f t="shared" si="286"/>
        <v>0.18480257116620752</v>
      </c>
      <c r="FB22" s="11">
        <f>SUM(ED22:EG22)</f>
        <v>1017</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110</v>
      </c>
      <c r="EA23" s="9">
        <f t="shared" si="288"/>
        <v>69</v>
      </c>
      <c r="EB23" s="9">
        <f t="shared" si="288"/>
        <v>71</v>
      </c>
      <c r="EC23" s="9">
        <f t="shared" si="288"/>
        <v>62</v>
      </c>
      <c r="ED23" s="9">
        <f t="shared" si="288"/>
        <v>53</v>
      </c>
      <c r="EE23" s="9">
        <f t="shared" si="288"/>
        <v>133</v>
      </c>
      <c r="EF23" s="9">
        <f t="shared" si="288"/>
        <v>187</v>
      </c>
      <c r="EG23" s="9">
        <f t="shared" si="288"/>
        <v>192</v>
      </c>
      <c r="EH23" s="9">
        <f t="shared" si="288"/>
        <v>141</v>
      </c>
      <c r="EI23" s="9">
        <f t="shared" si="288"/>
        <v>102</v>
      </c>
      <c r="EJ23" s="9">
        <f t="shared" si="288"/>
        <v>126</v>
      </c>
      <c r="EK23" s="9">
        <f t="shared" si="288"/>
        <v>145</v>
      </c>
      <c r="EL23" s="9">
        <f t="shared" si="288"/>
        <v>137</v>
      </c>
      <c r="EM23" s="9">
        <f t="shared" si="288"/>
        <v>103</v>
      </c>
      <c r="EN23" s="9">
        <f t="shared" si="288"/>
        <v>106</v>
      </c>
      <c r="EO23" s="9">
        <f t="shared" si="288"/>
        <v>110</v>
      </c>
      <c r="EP23" s="9">
        <f t="shared" si="288"/>
        <v>107</v>
      </c>
      <c r="EQ23" s="9">
        <f t="shared" si="288"/>
        <v>47</v>
      </c>
      <c r="ER23" s="9">
        <f t="shared" si="288"/>
        <v>34</v>
      </c>
      <c r="ES23" s="9">
        <f t="shared" si="288"/>
        <v>8</v>
      </c>
      <c r="ET23" s="9">
        <f t="shared" si="288"/>
        <v>0</v>
      </c>
      <c r="EU23" s="9">
        <f t="shared" ref="EU23:EU31" si="289">SUM(DZ23:ET23)</f>
        <v>2043</v>
      </c>
      <c r="EV23" s="9">
        <f t="shared" si="282"/>
        <v>84</v>
      </c>
      <c r="EW23" s="9">
        <f t="shared" si="283"/>
        <v>40.799999999999997</v>
      </c>
      <c r="EX23" s="9">
        <f t="shared" si="280"/>
        <v>515</v>
      </c>
      <c r="EY23" s="9">
        <f t="shared" si="284"/>
        <v>306</v>
      </c>
      <c r="EZ23" s="13">
        <f t="shared" si="285"/>
        <v>0.2520802741067058</v>
      </c>
      <c r="FA23" s="13">
        <f t="shared" si="286"/>
        <v>0.14977973568281938</v>
      </c>
      <c r="FB23" s="9">
        <f t="shared" ref="FB23:FB31" si="290">SUM(ED23:EG23)</f>
        <v>565</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120</v>
      </c>
      <c r="EA24" s="10">
        <f t="shared" si="291"/>
        <v>69</v>
      </c>
      <c r="EB24" s="10">
        <f t="shared" si="291"/>
        <v>81</v>
      </c>
      <c r="EC24" s="10">
        <f t="shared" si="291"/>
        <v>77</v>
      </c>
      <c r="ED24" s="10">
        <f t="shared" si="291"/>
        <v>54</v>
      </c>
      <c r="EE24" s="10">
        <f t="shared" si="291"/>
        <v>118</v>
      </c>
      <c r="EF24" s="10">
        <f t="shared" si="291"/>
        <v>165</v>
      </c>
      <c r="EG24" s="10">
        <f t="shared" si="291"/>
        <v>185</v>
      </c>
      <c r="EH24" s="10">
        <f t="shared" si="291"/>
        <v>149</v>
      </c>
      <c r="EI24" s="10">
        <f t="shared" si="291"/>
        <v>114</v>
      </c>
      <c r="EJ24" s="10">
        <f t="shared" si="291"/>
        <v>158</v>
      </c>
      <c r="EK24" s="10">
        <f t="shared" si="291"/>
        <v>154</v>
      </c>
      <c r="EL24" s="10">
        <f t="shared" si="291"/>
        <v>140</v>
      </c>
      <c r="EM24" s="10">
        <f t="shared" si="291"/>
        <v>114</v>
      </c>
      <c r="EN24" s="10">
        <f t="shared" si="291"/>
        <v>132</v>
      </c>
      <c r="EO24" s="10">
        <f t="shared" si="291"/>
        <v>144</v>
      </c>
      <c r="EP24" s="10">
        <f t="shared" si="291"/>
        <v>148</v>
      </c>
      <c r="EQ24" s="10">
        <f t="shared" si="291"/>
        <v>98</v>
      </c>
      <c r="ER24" s="10">
        <f t="shared" si="291"/>
        <v>66</v>
      </c>
      <c r="ES24" s="10">
        <f t="shared" si="291"/>
        <v>21</v>
      </c>
      <c r="ET24" s="10">
        <f t="shared" si="291"/>
        <v>7</v>
      </c>
      <c r="EU24" s="10">
        <f t="shared" si="289"/>
        <v>2314</v>
      </c>
      <c r="EV24" s="10">
        <f t="shared" si="282"/>
        <v>90</v>
      </c>
      <c r="EW24" s="10">
        <f t="shared" si="283"/>
        <v>47.8</v>
      </c>
      <c r="EX24" s="10">
        <f t="shared" si="280"/>
        <v>730</v>
      </c>
      <c r="EY24" s="10">
        <f t="shared" si="284"/>
        <v>484</v>
      </c>
      <c r="EZ24" s="14">
        <f t="shared" si="285"/>
        <v>0.31547104580812446</v>
      </c>
      <c r="FA24" s="14">
        <f t="shared" si="286"/>
        <v>0.20916162489196197</v>
      </c>
      <c r="FB24" s="10">
        <f t="shared" si="290"/>
        <v>522</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230</v>
      </c>
      <c r="EA25" s="16">
        <f t="shared" ref="EA25:ET25" si="292">EA23+EA24</f>
        <v>138</v>
      </c>
      <c r="EB25" s="16">
        <f t="shared" si="292"/>
        <v>152</v>
      </c>
      <c r="EC25" s="16">
        <f t="shared" si="292"/>
        <v>139</v>
      </c>
      <c r="ED25" s="16">
        <f t="shared" si="292"/>
        <v>107</v>
      </c>
      <c r="EE25" s="16">
        <f t="shared" si="292"/>
        <v>251</v>
      </c>
      <c r="EF25" s="16">
        <f t="shared" si="292"/>
        <v>352</v>
      </c>
      <c r="EG25" s="16">
        <f t="shared" si="292"/>
        <v>377</v>
      </c>
      <c r="EH25" s="16">
        <f t="shared" si="292"/>
        <v>290</v>
      </c>
      <c r="EI25" s="16">
        <f t="shared" si="292"/>
        <v>216</v>
      </c>
      <c r="EJ25" s="16">
        <f t="shared" si="292"/>
        <v>284</v>
      </c>
      <c r="EK25" s="16">
        <f t="shared" si="292"/>
        <v>299</v>
      </c>
      <c r="EL25" s="16">
        <f t="shared" si="292"/>
        <v>277</v>
      </c>
      <c r="EM25" s="16">
        <f t="shared" si="292"/>
        <v>217</v>
      </c>
      <c r="EN25" s="16">
        <f t="shared" si="292"/>
        <v>238</v>
      </c>
      <c r="EO25" s="16">
        <f t="shared" si="292"/>
        <v>254</v>
      </c>
      <c r="EP25" s="16">
        <f t="shared" si="292"/>
        <v>255</v>
      </c>
      <c r="EQ25" s="16">
        <f t="shared" si="292"/>
        <v>145</v>
      </c>
      <c r="ER25" s="16">
        <f t="shared" si="292"/>
        <v>100</v>
      </c>
      <c r="ES25" s="16">
        <f t="shared" si="292"/>
        <v>29</v>
      </c>
      <c r="ET25" s="16">
        <f t="shared" si="292"/>
        <v>7</v>
      </c>
      <c r="EU25" s="11">
        <f t="shared" si="289"/>
        <v>4357</v>
      </c>
      <c r="EV25" s="11">
        <f t="shared" si="282"/>
        <v>174</v>
      </c>
      <c r="EW25" s="11">
        <f t="shared" si="283"/>
        <v>88.6</v>
      </c>
      <c r="EX25" s="11">
        <f t="shared" si="280"/>
        <v>1245</v>
      </c>
      <c r="EY25" s="11">
        <f t="shared" si="284"/>
        <v>790</v>
      </c>
      <c r="EZ25" s="15">
        <f t="shared" si="285"/>
        <v>0.28574707367454671</v>
      </c>
      <c r="FA25" s="15">
        <f t="shared" si="286"/>
        <v>0.18131742024328668</v>
      </c>
      <c r="FB25" s="11">
        <f t="shared" si="290"/>
        <v>1087</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109</v>
      </c>
      <c r="EA26" s="9">
        <f t="shared" si="293"/>
        <v>101</v>
      </c>
      <c r="EB26" s="9">
        <f t="shared" si="293"/>
        <v>61</v>
      </c>
      <c r="EC26" s="9">
        <f t="shared" si="293"/>
        <v>65</v>
      </c>
      <c r="ED26" s="9">
        <f t="shared" si="293"/>
        <v>41</v>
      </c>
      <c r="EE26" s="9">
        <f t="shared" si="293"/>
        <v>115</v>
      </c>
      <c r="EF26" s="9">
        <f t="shared" si="293"/>
        <v>171</v>
      </c>
      <c r="EG26" s="9">
        <f t="shared" si="293"/>
        <v>220</v>
      </c>
      <c r="EH26" s="9">
        <f t="shared" si="293"/>
        <v>184</v>
      </c>
      <c r="EI26" s="9">
        <f t="shared" si="293"/>
        <v>140</v>
      </c>
      <c r="EJ26" s="9">
        <f t="shared" si="293"/>
        <v>106</v>
      </c>
      <c r="EK26" s="9">
        <f t="shared" si="293"/>
        <v>115</v>
      </c>
      <c r="EL26" s="9">
        <f t="shared" si="293"/>
        <v>136</v>
      </c>
      <c r="EM26" s="9">
        <f t="shared" si="293"/>
        <v>122</v>
      </c>
      <c r="EN26" s="9">
        <f t="shared" si="293"/>
        <v>90</v>
      </c>
      <c r="EO26" s="9">
        <f t="shared" si="293"/>
        <v>93</v>
      </c>
      <c r="EP26" s="9">
        <f t="shared" si="293"/>
        <v>87</v>
      </c>
      <c r="EQ26" s="9">
        <f t="shared" si="293"/>
        <v>67</v>
      </c>
      <c r="ER26" s="9">
        <f t="shared" si="293"/>
        <v>27</v>
      </c>
      <c r="ES26" s="9">
        <f t="shared" si="293"/>
        <v>9</v>
      </c>
      <c r="ET26" s="9">
        <f t="shared" si="293"/>
        <v>0</v>
      </c>
      <c r="EU26" s="9">
        <f t="shared" si="289"/>
        <v>2059</v>
      </c>
      <c r="EV26" s="9">
        <f t="shared" si="282"/>
        <v>97.2</v>
      </c>
      <c r="EW26" s="9">
        <f t="shared" si="283"/>
        <v>37.4</v>
      </c>
      <c r="EX26" s="9">
        <f t="shared" si="280"/>
        <v>495</v>
      </c>
      <c r="EY26" s="9">
        <f t="shared" si="284"/>
        <v>283</v>
      </c>
      <c r="EZ26" s="13">
        <f t="shared" si="285"/>
        <v>0.24040796503156872</v>
      </c>
      <c r="FA26" s="13">
        <f t="shared" si="286"/>
        <v>0.13744536182612918</v>
      </c>
      <c r="FB26" s="9">
        <f t="shared" si="290"/>
        <v>547</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119</v>
      </c>
      <c r="EA27" s="10">
        <f t="shared" si="294"/>
        <v>101</v>
      </c>
      <c r="EB27" s="10">
        <f t="shared" si="294"/>
        <v>70</v>
      </c>
      <c r="EC27" s="10">
        <f t="shared" si="294"/>
        <v>64</v>
      </c>
      <c r="ED27" s="10">
        <f t="shared" si="294"/>
        <v>56</v>
      </c>
      <c r="EE27" s="10">
        <f t="shared" si="294"/>
        <v>113</v>
      </c>
      <c r="EF27" s="10">
        <f t="shared" si="294"/>
        <v>152</v>
      </c>
      <c r="EG27" s="10">
        <f t="shared" si="294"/>
        <v>198</v>
      </c>
      <c r="EH27" s="10">
        <f t="shared" si="294"/>
        <v>178</v>
      </c>
      <c r="EI27" s="10">
        <f t="shared" si="294"/>
        <v>163</v>
      </c>
      <c r="EJ27" s="10">
        <f t="shared" si="294"/>
        <v>108</v>
      </c>
      <c r="EK27" s="10">
        <f t="shared" si="294"/>
        <v>151</v>
      </c>
      <c r="EL27" s="10">
        <f t="shared" si="294"/>
        <v>139</v>
      </c>
      <c r="EM27" s="10">
        <f t="shared" si="294"/>
        <v>131</v>
      </c>
      <c r="EN27" s="10">
        <f t="shared" si="294"/>
        <v>106</v>
      </c>
      <c r="EO27" s="10">
        <f t="shared" si="294"/>
        <v>126</v>
      </c>
      <c r="EP27" s="10">
        <f t="shared" si="294"/>
        <v>122</v>
      </c>
      <c r="EQ27" s="10">
        <f t="shared" si="294"/>
        <v>108</v>
      </c>
      <c r="ER27" s="10">
        <f t="shared" si="294"/>
        <v>62</v>
      </c>
      <c r="ES27" s="10">
        <f t="shared" si="294"/>
        <v>24</v>
      </c>
      <c r="ET27" s="10">
        <f t="shared" si="294"/>
        <v>7</v>
      </c>
      <c r="EU27" s="10">
        <f t="shared" si="289"/>
        <v>2298</v>
      </c>
      <c r="EV27" s="10">
        <f t="shared" si="282"/>
        <v>102.6</v>
      </c>
      <c r="EW27" s="10">
        <f t="shared" si="283"/>
        <v>40.799999999999997</v>
      </c>
      <c r="EX27" s="10">
        <f t="shared" si="280"/>
        <v>686</v>
      </c>
      <c r="EY27" s="10">
        <f t="shared" si="284"/>
        <v>449</v>
      </c>
      <c r="EZ27" s="14">
        <f t="shared" si="285"/>
        <v>0.29852045256744997</v>
      </c>
      <c r="FA27" s="14">
        <f t="shared" si="286"/>
        <v>0.19538729329852045</v>
      </c>
      <c r="FB27" s="10">
        <f t="shared" si="290"/>
        <v>519</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228</v>
      </c>
      <c r="EA28" s="16">
        <f t="shared" ref="EA28:ET28" si="295">EA26+EA27</f>
        <v>202</v>
      </c>
      <c r="EB28" s="16">
        <f t="shared" si="295"/>
        <v>131</v>
      </c>
      <c r="EC28" s="16">
        <f t="shared" si="295"/>
        <v>129</v>
      </c>
      <c r="ED28" s="16">
        <f t="shared" si="295"/>
        <v>97</v>
      </c>
      <c r="EE28" s="16">
        <f t="shared" si="295"/>
        <v>228</v>
      </c>
      <c r="EF28" s="16">
        <f t="shared" si="295"/>
        <v>323</v>
      </c>
      <c r="EG28" s="16">
        <f t="shared" si="295"/>
        <v>418</v>
      </c>
      <c r="EH28" s="16">
        <f t="shared" si="295"/>
        <v>362</v>
      </c>
      <c r="EI28" s="16">
        <f t="shared" si="295"/>
        <v>303</v>
      </c>
      <c r="EJ28" s="16">
        <f t="shared" si="295"/>
        <v>214</v>
      </c>
      <c r="EK28" s="16">
        <f t="shared" si="295"/>
        <v>266</v>
      </c>
      <c r="EL28" s="16">
        <f t="shared" si="295"/>
        <v>275</v>
      </c>
      <c r="EM28" s="16">
        <f t="shared" si="295"/>
        <v>253</v>
      </c>
      <c r="EN28" s="16">
        <f t="shared" si="295"/>
        <v>196</v>
      </c>
      <c r="EO28" s="16">
        <f t="shared" si="295"/>
        <v>219</v>
      </c>
      <c r="EP28" s="16">
        <f t="shared" si="295"/>
        <v>209</v>
      </c>
      <c r="EQ28" s="16">
        <f t="shared" si="295"/>
        <v>175</v>
      </c>
      <c r="ER28" s="16">
        <f t="shared" si="295"/>
        <v>89</v>
      </c>
      <c r="ES28" s="16">
        <f t="shared" si="295"/>
        <v>33</v>
      </c>
      <c r="ET28" s="16">
        <f t="shared" si="295"/>
        <v>7</v>
      </c>
      <c r="EU28" s="11">
        <f t="shared" si="289"/>
        <v>4357</v>
      </c>
      <c r="EV28" s="11">
        <f t="shared" si="282"/>
        <v>199.8</v>
      </c>
      <c r="EW28" s="11">
        <f t="shared" si="283"/>
        <v>78.2</v>
      </c>
      <c r="EX28" s="11">
        <f t="shared" si="280"/>
        <v>1181</v>
      </c>
      <c r="EY28" s="11">
        <f t="shared" si="284"/>
        <v>732</v>
      </c>
      <c r="EZ28" s="15">
        <f t="shared" si="285"/>
        <v>0.27105806747762223</v>
      </c>
      <c r="FA28" s="15">
        <f t="shared" si="286"/>
        <v>0.16800550837732384</v>
      </c>
      <c r="FB28" s="11">
        <f t="shared" si="290"/>
        <v>1066</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104</v>
      </c>
      <c r="EA29" s="9">
        <f t="shared" si="296"/>
        <v>100</v>
      </c>
      <c r="EB29" s="9">
        <f t="shared" si="296"/>
        <v>89</v>
      </c>
      <c r="EC29" s="9">
        <f t="shared" si="296"/>
        <v>56</v>
      </c>
      <c r="ED29" s="9">
        <f t="shared" si="296"/>
        <v>43</v>
      </c>
      <c r="EE29" s="9">
        <f t="shared" si="296"/>
        <v>99</v>
      </c>
      <c r="EF29" s="9">
        <f t="shared" si="296"/>
        <v>154</v>
      </c>
      <c r="EG29" s="9">
        <f t="shared" si="296"/>
        <v>206</v>
      </c>
      <c r="EH29" s="9">
        <f t="shared" si="296"/>
        <v>211</v>
      </c>
      <c r="EI29" s="9">
        <f t="shared" si="296"/>
        <v>183</v>
      </c>
      <c r="EJ29" s="9">
        <f t="shared" si="296"/>
        <v>144</v>
      </c>
      <c r="EK29" s="9">
        <f t="shared" si="296"/>
        <v>97</v>
      </c>
      <c r="EL29" s="9">
        <f t="shared" si="296"/>
        <v>108</v>
      </c>
      <c r="EM29" s="9">
        <f t="shared" si="296"/>
        <v>120</v>
      </c>
      <c r="EN29" s="9">
        <f t="shared" si="296"/>
        <v>106</v>
      </c>
      <c r="EO29" s="9">
        <f t="shared" si="296"/>
        <v>79</v>
      </c>
      <c r="EP29" s="9">
        <f t="shared" si="296"/>
        <v>74</v>
      </c>
      <c r="EQ29" s="9">
        <f t="shared" si="296"/>
        <v>55</v>
      </c>
      <c r="ER29" s="9">
        <f t="shared" si="296"/>
        <v>38</v>
      </c>
      <c r="ES29" s="9">
        <f t="shared" si="296"/>
        <v>7</v>
      </c>
      <c r="ET29" s="9">
        <f t="shared" si="296"/>
        <v>0</v>
      </c>
      <c r="EU29" s="9">
        <f t="shared" si="289"/>
        <v>2073</v>
      </c>
      <c r="EV29" s="9">
        <f t="shared" si="282"/>
        <v>113.4</v>
      </c>
      <c r="EW29" s="9">
        <f t="shared" si="283"/>
        <v>46.8</v>
      </c>
      <c r="EX29" s="9">
        <f t="shared" si="280"/>
        <v>479</v>
      </c>
      <c r="EY29" s="9">
        <f t="shared" si="284"/>
        <v>253</v>
      </c>
      <c r="EZ29" s="13">
        <f t="shared" si="285"/>
        <v>0.2310660877954655</v>
      </c>
      <c r="FA29" s="13">
        <f t="shared" si="286"/>
        <v>0.12204534491075736</v>
      </c>
      <c r="FB29" s="9">
        <f t="shared" si="290"/>
        <v>502</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114</v>
      </c>
      <c r="EA30" s="10">
        <f t="shared" si="297"/>
        <v>100</v>
      </c>
      <c r="EB30" s="10">
        <f t="shared" si="297"/>
        <v>102</v>
      </c>
      <c r="EC30" s="10">
        <f t="shared" si="297"/>
        <v>55</v>
      </c>
      <c r="ED30" s="10">
        <f t="shared" si="297"/>
        <v>47</v>
      </c>
      <c r="EE30" s="10">
        <f t="shared" si="297"/>
        <v>116</v>
      </c>
      <c r="EF30" s="10">
        <f t="shared" si="297"/>
        <v>147</v>
      </c>
      <c r="EG30" s="10">
        <f t="shared" si="297"/>
        <v>186</v>
      </c>
      <c r="EH30" s="10">
        <f t="shared" si="297"/>
        <v>191</v>
      </c>
      <c r="EI30" s="10">
        <f t="shared" si="297"/>
        <v>194</v>
      </c>
      <c r="EJ30" s="10">
        <f t="shared" si="297"/>
        <v>154</v>
      </c>
      <c r="EK30" s="10">
        <f t="shared" si="297"/>
        <v>103</v>
      </c>
      <c r="EL30" s="10">
        <f t="shared" si="297"/>
        <v>135</v>
      </c>
      <c r="EM30" s="10">
        <f t="shared" si="297"/>
        <v>129</v>
      </c>
      <c r="EN30" s="10">
        <f t="shared" si="297"/>
        <v>121</v>
      </c>
      <c r="EO30" s="10">
        <f t="shared" si="297"/>
        <v>101</v>
      </c>
      <c r="EP30" s="10">
        <f t="shared" si="297"/>
        <v>106</v>
      </c>
      <c r="EQ30" s="10">
        <f t="shared" si="297"/>
        <v>89</v>
      </c>
      <c r="ER30" s="10">
        <f t="shared" si="297"/>
        <v>68</v>
      </c>
      <c r="ES30" s="10">
        <f t="shared" si="297"/>
        <v>22</v>
      </c>
      <c r="ET30" s="10">
        <f t="shared" si="297"/>
        <v>8</v>
      </c>
      <c r="EU30" s="10">
        <f t="shared" si="289"/>
        <v>2288</v>
      </c>
      <c r="EV30" s="10">
        <f t="shared" si="282"/>
        <v>121.2</v>
      </c>
      <c r="EW30" s="10">
        <f t="shared" si="283"/>
        <v>51.8</v>
      </c>
      <c r="EX30" s="10">
        <f t="shared" si="280"/>
        <v>644</v>
      </c>
      <c r="EY30" s="10">
        <f t="shared" si="284"/>
        <v>394</v>
      </c>
      <c r="EZ30" s="14">
        <f t="shared" si="285"/>
        <v>0.28146853146853146</v>
      </c>
      <c r="FA30" s="14">
        <f t="shared" si="286"/>
        <v>0.17220279720279721</v>
      </c>
      <c r="FB30" s="10">
        <f t="shared" si="290"/>
        <v>496</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218</v>
      </c>
      <c r="EA31" s="16">
        <f t="shared" ref="EA31:ET31" si="298">EA29+EA30</f>
        <v>200</v>
      </c>
      <c r="EB31" s="16">
        <f t="shared" si="298"/>
        <v>191</v>
      </c>
      <c r="EC31" s="16">
        <f t="shared" si="298"/>
        <v>111</v>
      </c>
      <c r="ED31" s="16">
        <f t="shared" si="298"/>
        <v>90</v>
      </c>
      <c r="EE31" s="16">
        <f t="shared" si="298"/>
        <v>215</v>
      </c>
      <c r="EF31" s="16">
        <f t="shared" si="298"/>
        <v>301</v>
      </c>
      <c r="EG31" s="16">
        <f t="shared" si="298"/>
        <v>392</v>
      </c>
      <c r="EH31" s="16">
        <f t="shared" si="298"/>
        <v>402</v>
      </c>
      <c r="EI31" s="16">
        <f t="shared" si="298"/>
        <v>377</v>
      </c>
      <c r="EJ31" s="16">
        <f t="shared" si="298"/>
        <v>298</v>
      </c>
      <c r="EK31" s="16">
        <f t="shared" si="298"/>
        <v>200</v>
      </c>
      <c r="EL31" s="16">
        <f t="shared" si="298"/>
        <v>243</v>
      </c>
      <c r="EM31" s="16">
        <f t="shared" si="298"/>
        <v>249</v>
      </c>
      <c r="EN31" s="16">
        <f t="shared" si="298"/>
        <v>227</v>
      </c>
      <c r="EO31" s="16">
        <f t="shared" si="298"/>
        <v>180</v>
      </c>
      <c r="EP31" s="16">
        <f t="shared" si="298"/>
        <v>180</v>
      </c>
      <c r="EQ31" s="16">
        <f t="shared" si="298"/>
        <v>144</v>
      </c>
      <c r="ER31" s="16">
        <f t="shared" si="298"/>
        <v>106</v>
      </c>
      <c r="ES31" s="16">
        <f t="shared" si="298"/>
        <v>29</v>
      </c>
      <c r="ET31" s="16">
        <f t="shared" si="298"/>
        <v>8</v>
      </c>
      <c r="EU31" s="11">
        <f t="shared" si="289"/>
        <v>4361</v>
      </c>
      <c r="EV31" s="11">
        <f t="shared" si="282"/>
        <v>234.6</v>
      </c>
      <c r="EW31" s="11">
        <f t="shared" si="283"/>
        <v>98.600000000000009</v>
      </c>
      <c r="EX31" s="11">
        <f t="shared" si="280"/>
        <v>1123</v>
      </c>
      <c r="EY31" s="11">
        <f t="shared" si="284"/>
        <v>647</v>
      </c>
      <c r="EZ31" s="15">
        <f t="shared" si="285"/>
        <v>0.25750974547122218</v>
      </c>
      <c r="FA31" s="15">
        <f t="shared" si="286"/>
        <v>0.14836046778261866</v>
      </c>
      <c r="FB31" s="11">
        <f t="shared" si="290"/>
        <v>998</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2300</v>
      </c>
      <c r="D4" s="17">
        <f>SUM(C41:C61)</f>
        <v>2672</v>
      </c>
      <c r="E4" s="17">
        <f>C4+D4</f>
        <v>4972</v>
      </c>
      <c r="F4" s="85"/>
      <c r="G4" s="1" t="s">
        <v>58</v>
      </c>
      <c r="H4" s="1">
        <f>B4</f>
        <v>2010</v>
      </c>
      <c r="I4" s="17">
        <f>C4</f>
        <v>2300</v>
      </c>
      <c r="J4" s="17">
        <f>D4</f>
        <v>2672</v>
      </c>
      <c r="K4" s="17">
        <f>I4+J4</f>
        <v>4972</v>
      </c>
      <c r="N4" s="1" t="s">
        <v>58</v>
      </c>
      <c r="O4" s="1">
        <f>H4</f>
        <v>2010</v>
      </c>
      <c r="P4" s="17">
        <f>I4</f>
        <v>2300</v>
      </c>
      <c r="Q4" s="17">
        <f t="shared" ref="Q4:R4" si="0">J4</f>
        <v>2672</v>
      </c>
      <c r="R4" s="17">
        <f t="shared" si="0"/>
        <v>4972</v>
      </c>
      <c r="S4" s="1"/>
      <c r="T4" s="1"/>
      <c r="U4" s="1"/>
    </row>
    <row r="5" spans="1:21" x14ac:dyDescent="0.15">
      <c r="A5" s="1" t="s">
        <v>61</v>
      </c>
      <c r="B5" s="1">
        <f>管理者入力シート!B6</f>
        <v>2015</v>
      </c>
      <c r="C5" s="17">
        <f>SUM(B65:B85)</f>
        <v>2082</v>
      </c>
      <c r="D5" s="17">
        <f>SUM(C65:C85)</f>
        <v>2478</v>
      </c>
      <c r="E5" s="17">
        <f t="shared" ref="E5" si="1">C5+D5</f>
        <v>4560</v>
      </c>
      <c r="F5" s="85"/>
      <c r="G5" s="1" t="s">
        <v>57</v>
      </c>
      <c r="H5" s="1">
        <f t="shared" ref="H5:H6" si="2">B5</f>
        <v>2015</v>
      </c>
      <c r="I5" s="17">
        <f t="shared" ref="I5" si="3">C5</f>
        <v>2082</v>
      </c>
      <c r="J5" s="17">
        <f>D5</f>
        <v>2478</v>
      </c>
      <c r="K5" s="17">
        <f t="shared" ref="K5:K10" si="4">I5+J5</f>
        <v>4560</v>
      </c>
      <c r="N5" s="1" t="s">
        <v>57</v>
      </c>
      <c r="O5" s="1">
        <f t="shared" ref="O5:O10" si="5">H5</f>
        <v>2015</v>
      </c>
      <c r="P5" s="17">
        <f t="shared" ref="P5:P10" si="6">I5</f>
        <v>2082</v>
      </c>
      <c r="Q5" s="17">
        <f t="shared" ref="Q5:Q10" si="7">J5</f>
        <v>2478</v>
      </c>
      <c r="R5" s="17">
        <f t="shared" ref="R5:R10" si="8">K5</f>
        <v>4560</v>
      </c>
      <c r="S5" s="1"/>
      <c r="T5" s="1"/>
      <c r="U5" s="1"/>
    </row>
    <row r="6" spans="1:21" x14ac:dyDescent="0.15">
      <c r="A6" s="1" t="s">
        <v>62</v>
      </c>
      <c r="B6" s="1">
        <f>管理者入力シート!B5</f>
        <v>2020</v>
      </c>
      <c r="C6" s="17">
        <f>SUM(B89:B109)</f>
        <v>2037</v>
      </c>
      <c r="D6" s="17">
        <f>SUM(C89:C109)</f>
        <v>2378</v>
      </c>
      <c r="E6" s="17">
        <f>C6+D6</f>
        <v>4415</v>
      </c>
      <c r="F6" s="85"/>
      <c r="G6" s="1" t="s">
        <v>62</v>
      </c>
      <c r="H6" s="1">
        <f t="shared" si="2"/>
        <v>2020</v>
      </c>
      <c r="I6" s="17">
        <f>C6</f>
        <v>2037</v>
      </c>
      <c r="J6" s="17">
        <f>D6</f>
        <v>2378</v>
      </c>
      <c r="K6" s="17">
        <f t="shared" si="4"/>
        <v>4415</v>
      </c>
      <c r="N6" s="1" t="s">
        <v>62</v>
      </c>
      <c r="O6" s="1">
        <f t="shared" si="5"/>
        <v>2020</v>
      </c>
      <c r="P6" s="17">
        <f t="shared" si="6"/>
        <v>2037</v>
      </c>
      <c r="Q6" s="17">
        <f t="shared" si="7"/>
        <v>2378</v>
      </c>
      <c r="R6" s="17">
        <f t="shared" si="8"/>
        <v>4415</v>
      </c>
      <c r="S6" s="1"/>
      <c r="T6" s="1"/>
      <c r="U6" s="1"/>
    </row>
    <row r="7" spans="1:21" x14ac:dyDescent="0.15">
      <c r="G7" s="1" t="s">
        <v>106</v>
      </c>
      <c r="H7" s="1">
        <f>管理者入力シート!B8</f>
        <v>2025</v>
      </c>
      <c r="I7" s="17">
        <f>SUM(H69:H89)</f>
        <v>1885</v>
      </c>
      <c r="J7" s="17">
        <f>SUM(I69:I89)</f>
        <v>2195</v>
      </c>
      <c r="K7" s="17">
        <f t="shared" si="4"/>
        <v>4080</v>
      </c>
      <c r="N7" s="1" t="s">
        <v>106</v>
      </c>
      <c r="O7" s="1">
        <f t="shared" si="5"/>
        <v>2025</v>
      </c>
      <c r="P7" s="17">
        <f t="shared" si="6"/>
        <v>1885</v>
      </c>
      <c r="Q7" s="17">
        <f t="shared" si="7"/>
        <v>2195</v>
      </c>
      <c r="R7" s="17">
        <f t="shared" si="8"/>
        <v>4080</v>
      </c>
      <c r="S7" s="235">
        <f>SUM(O69:O89)</f>
        <v>1889</v>
      </c>
      <c r="T7" s="235">
        <f>SUM(P69:P89)</f>
        <v>2200</v>
      </c>
      <c r="U7" s="235">
        <f>S7+T7</f>
        <v>4089</v>
      </c>
    </row>
    <row r="8" spans="1:21" x14ac:dyDescent="0.15">
      <c r="A8" s="69" t="s">
        <v>71</v>
      </c>
      <c r="G8" s="1" t="s">
        <v>107</v>
      </c>
      <c r="H8" s="1">
        <f>管理者入力シート!B9</f>
        <v>2030</v>
      </c>
      <c r="I8" s="17">
        <f>SUM(H93:H113)</f>
        <v>1727</v>
      </c>
      <c r="J8" s="17">
        <f>SUM(I93:I113)</f>
        <v>1998</v>
      </c>
      <c r="K8" s="17">
        <f t="shared" si="4"/>
        <v>3725</v>
      </c>
      <c r="N8" s="1" t="s">
        <v>107</v>
      </c>
      <c r="O8" s="1">
        <f t="shared" si="5"/>
        <v>2030</v>
      </c>
      <c r="P8" s="17">
        <f t="shared" si="6"/>
        <v>1727</v>
      </c>
      <c r="Q8" s="17">
        <f t="shared" si="7"/>
        <v>1998</v>
      </c>
      <c r="R8" s="17">
        <f t="shared" si="8"/>
        <v>3725</v>
      </c>
      <c r="S8" s="235">
        <f>SUM(O93:O113)</f>
        <v>1736</v>
      </c>
      <c r="T8" s="235">
        <f>SUM(P93:P113)</f>
        <v>2008</v>
      </c>
      <c r="U8" s="235">
        <f t="shared" ref="U8:U10" si="9">S8+T8</f>
        <v>3744</v>
      </c>
    </row>
    <row r="9" spans="1:21" x14ac:dyDescent="0.15">
      <c r="A9" s="2" t="s">
        <v>72</v>
      </c>
      <c r="G9" s="1" t="s">
        <v>108</v>
      </c>
      <c r="H9" s="1">
        <f>管理者入力シート!B10</f>
        <v>2035</v>
      </c>
      <c r="I9" s="17">
        <f>SUM(H117:H137)</f>
        <v>1569</v>
      </c>
      <c r="J9" s="17">
        <f>SUM(I117:I137)</f>
        <v>1801</v>
      </c>
      <c r="K9" s="17">
        <f t="shared" si="4"/>
        <v>3370</v>
      </c>
      <c r="N9" s="1" t="s">
        <v>108</v>
      </c>
      <c r="O9" s="1">
        <f t="shared" si="5"/>
        <v>2035</v>
      </c>
      <c r="P9" s="17">
        <f t="shared" si="6"/>
        <v>1569</v>
      </c>
      <c r="Q9" s="17">
        <f t="shared" si="7"/>
        <v>1801</v>
      </c>
      <c r="R9" s="17">
        <f t="shared" si="8"/>
        <v>3370</v>
      </c>
      <c r="S9" s="235">
        <f>SUM(O117:O137)</f>
        <v>1582</v>
      </c>
      <c r="T9" s="235">
        <f>SUM(P117:P137)</f>
        <v>1818</v>
      </c>
      <c r="U9" s="235">
        <f t="shared" si="9"/>
        <v>3400</v>
      </c>
    </row>
    <row r="10" spans="1:21" x14ac:dyDescent="0.15">
      <c r="A10" s="1" t="s">
        <v>58</v>
      </c>
      <c r="B10" s="1">
        <f>B4</f>
        <v>2010</v>
      </c>
      <c r="C10" s="17">
        <f>ROUND(VLOOKUP(B10&amp;"_3",管理者用人口入力シート!A:AA,26,FALSE),0)</f>
        <v>295</v>
      </c>
      <c r="D10" s="12"/>
      <c r="E10" s="12"/>
      <c r="G10" s="1" t="s">
        <v>109</v>
      </c>
      <c r="H10" s="1">
        <f>管理者入力シート!B11</f>
        <v>2040</v>
      </c>
      <c r="I10" s="17">
        <f>SUM(H141:H161)</f>
        <v>1412</v>
      </c>
      <c r="J10" s="17">
        <f>SUM(I141:I161)</f>
        <v>1614</v>
      </c>
      <c r="K10" s="17">
        <f t="shared" si="4"/>
        <v>3026</v>
      </c>
      <c r="N10" s="1" t="s">
        <v>109</v>
      </c>
      <c r="O10" s="1">
        <f t="shared" si="5"/>
        <v>2040</v>
      </c>
      <c r="P10" s="17">
        <f t="shared" si="6"/>
        <v>1412</v>
      </c>
      <c r="Q10" s="17">
        <f t="shared" si="7"/>
        <v>1614</v>
      </c>
      <c r="R10" s="17">
        <f t="shared" si="8"/>
        <v>3026</v>
      </c>
      <c r="S10" s="235">
        <f>SUM(O141:O161)</f>
        <v>1431</v>
      </c>
      <c r="T10" s="235">
        <f>SUM(P141:P161)</f>
        <v>1636</v>
      </c>
      <c r="U10" s="235">
        <f t="shared" si="9"/>
        <v>3067</v>
      </c>
    </row>
    <row r="11" spans="1:21" x14ac:dyDescent="0.15">
      <c r="A11" s="1" t="s">
        <v>61</v>
      </c>
      <c r="B11" s="1">
        <f t="shared" ref="B11:B12" si="10">B5</f>
        <v>2015</v>
      </c>
      <c r="C11" s="17">
        <f>ROUND(VLOOKUP(B11&amp;"_3",管理者用人口入力シート!A:AA,26,FALSE),0)</f>
        <v>230</v>
      </c>
      <c r="D11" s="12"/>
      <c r="E11" s="12"/>
      <c r="I11" s="12"/>
      <c r="J11" s="12"/>
      <c r="K11" s="12"/>
      <c r="P11" s="12"/>
    </row>
    <row r="12" spans="1:21" x14ac:dyDescent="0.15">
      <c r="A12" s="1" t="s">
        <v>62</v>
      </c>
      <c r="B12" s="1">
        <f t="shared" si="10"/>
        <v>2020</v>
      </c>
      <c r="C12" s="17">
        <f>ROUND(VLOOKUP(B12&amp;"_3",管理者用人口入力シート!A:AA,26,FALSE),0)</f>
        <v>211</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155</v>
      </c>
      <c r="D14" s="12"/>
      <c r="E14" s="12"/>
      <c r="G14" s="1" t="s">
        <v>58</v>
      </c>
      <c r="H14" s="1">
        <f>H4</f>
        <v>2010</v>
      </c>
      <c r="I14" s="17">
        <f>C10</f>
        <v>295</v>
      </c>
      <c r="J14" s="12"/>
      <c r="K14" s="12"/>
      <c r="N14" s="1" t="s">
        <v>58</v>
      </c>
      <c r="O14" s="1">
        <f>O4</f>
        <v>2010</v>
      </c>
      <c r="P14" s="17">
        <f>I14</f>
        <v>295</v>
      </c>
      <c r="Q14" s="17"/>
    </row>
    <row r="15" spans="1:21" x14ac:dyDescent="0.15">
      <c r="A15" s="1" t="s">
        <v>61</v>
      </c>
      <c r="B15" s="1">
        <f t="shared" ref="B15:B16" si="11">B5</f>
        <v>2015</v>
      </c>
      <c r="C15" s="17">
        <f>ROUND(VLOOKUP(B15&amp;"_3",管理者用人口入力シート!A:AA,27,FALSE),0)</f>
        <v>125</v>
      </c>
      <c r="D15" s="12"/>
      <c r="E15" s="12"/>
      <c r="G15" s="1" t="s">
        <v>57</v>
      </c>
      <c r="H15" s="1">
        <f t="shared" ref="H15:H20" si="12">H5</f>
        <v>2015</v>
      </c>
      <c r="I15" s="17">
        <f>C11</f>
        <v>230</v>
      </c>
      <c r="J15" s="12"/>
      <c r="K15" s="12"/>
      <c r="N15" s="1" t="s">
        <v>57</v>
      </c>
      <c r="O15" s="1">
        <f t="shared" ref="O15:O20" si="13">O5</f>
        <v>2015</v>
      </c>
      <c r="P15" s="17">
        <f t="shared" ref="P15:P20" si="14">I15</f>
        <v>230</v>
      </c>
      <c r="Q15" s="17"/>
    </row>
    <row r="16" spans="1:21" x14ac:dyDescent="0.15">
      <c r="A16" s="1" t="s">
        <v>62</v>
      </c>
      <c r="B16" s="1">
        <f t="shared" si="11"/>
        <v>2020</v>
      </c>
      <c r="C16" s="17">
        <f>ROUND(VLOOKUP(B16&amp;"_3",管理者用人口入力シート!A:AA,27,FALSE),0)</f>
        <v>108</v>
      </c>
      <c r="D16" s="12"/>
      <c r="E16" s="12"/>
      <c r="G16" s="1" t="s">
        <v>62</v>
      </c>
      <c r="H16" s="1">
        <f t="shared" si="12"/>
        <v>2020</v>
      </c>
      <c r="I16" s="17">
        <f>C12</f>
        <v>211</v>
      </c>
      <c r="J16" s="12"/>
      <c r="K16" s="12"/>
      <c r="N16" s="1" t="s">
        <v>62</v>
      </c>
      <c r="O16" s="1">
        <f t="shared" si="13"/>
        <v>2020</v>
      </c>
      <c r="P16" s="17">
        <f t="shared" si="14"/>
        <v>211</v>
      </c>
      <c r="Q16" s="17"/>
    </row>
    <row r="17" spans="1:17" x14ac:dyDescent="0.15">
      <c r="G17" s="1" t="s">
        <v>106</v>
      </c>
      <c r="H17" s="1">
        <f t="shared" si="12"/>
        <v>2025</v>
      </c>
      <c r="I17" s="17">
        <f>ROUND(VLOOKUP(H17&amp;"_3",管理者用人口入力シート!BH:CM,26,FALSE),0)</f>
        <v>195</v>
      </c>
      <c r="J17" s="12"/>
      <c r="K17" s="12"/>
      <c r="N17" s="1" t="s">
        <v>106</v>
      </c>
      <c r="O17" s="1">
        <f t="shared" si="13"/>
        <v>2025</v>
      </c>
      <c r="P17" s="17">
        <f t="shared" si="14"/>
        <v>195</v>
      </c>
      <c r="Q17" s="17">
        <f>ROUND(VLOOKUP(H17&amp;"_3",管理者用人口入力シート!CO:DT,26,FALSE),0)</f>
        <v>196</v>
      </c>
    </row>
    <row r="18" spans="1:17" x14ac:dyDescent="0.15">
      <c r="A18" s="69" t="s">
        <v>110</v>
      </c>
      <c r="G18" s="1" t="s">
        <v>107</v>
      </c>
      <c r="H18" s="1">
        <f t="shared" si="12"/>
        <v>2030</v>
      </c>
      <c r="I18" s="17">
        <f>ROUND(VLOOKUP(H18&amp;"_3",管理者用人口入力シート!BH:CM,26,FALSE),0)</f>
        <v>174</v>
      </c>
      <c r="J18" s="12"/>
      <c r="K18" s="12"/>
      <c r="N18" s="1" t="s">
        <v>107</v>
      </c>
      <c r="O18" s="1">
        <f t="shared" si="13"/>
        <v>2030</v>
      </c>
      <c r="P18" s="17">
        <f t="shared" si="14"/>
        <v>174</v>
      </c>
      <c r="Q18" s="17">
        <f>ROUND(VLOOKUP(H18&amp;"_3",管理者用人口入力シート!CO:DT,26,FALSE),0)</f>
        <v>176</v>
      </c>
    </row>
    <row r="19" spans="1:17" x14ac:dyDescent="0.15">
      <c r="A19" s="2" t="s">
        <v>84</v>
      </c>
      <c r="G19" s="1" t="s">
        <v>108</v>
      </c>
      <c r="H19" s="1">
        <f t="shared" si="12"/>
        <v>2035</v>
      </c>
      <c r="I19" s="17">
        <f>ROUND(VLOOKUP(H19&amp;"_3",管理者用人口入力シート!BH:CM,26,FALSE),0)</f>
        <v>148</v>
      </c>
      <c r="J19" s="12"/>
      <c r="K19" s="12"/>
      <c r="N19" s="1" t="s">
        <v>108</v>
      </c>
      <c r="O19" s="1">
        <f t="shared" si="13"/>
        <v>2035</v>
      </c>
      <c r="P19" s="17">
        <f t="shared" si="14"/>
        <v>148</v>
      </c>
      <c r="Q19" s="17">
        <f>ROUND(VLOOKUP(H19&amp;"_3",管理者用人口入力シート!CO:DT,26,FALSE),0)</f>
        <v>153</v>
      </c>
    </row>
    <row r="20" spans="1:17" x14ac:dyDescent="0.15">
      <c r="A20" s="1" t="s">
        <v>58</v>
      </c>
      <c r="B20" s="1">
        <f>B4</f>
        <v>2010</v>
      </c>
      <c r="C20" s="17">
        <f>SUM(B54:C61)</f>
        <v>1210</v>
      </c>
      <c r="D20" s="12"/>
      <c r="E20" s="12"/>
      <c r="G20" s="1" t="s">
        <v>109</v>
      </c>
      <c r="H20" s="1">
        <f t="shared" si="12"/>
        <v>2040</v>
      </c>
      <c r="I20" s="17">
        <f>ROUND(VLOOKUP(H20&amp;"_3",管理者用人口入力シート!BH:CM,26,FALSE),0)</f>
        <v>126</v>
      </c>
      <c r="J20" s="12"/>
      <c r="K20" s="12"/>
      <c r="N20" s="1" t="s">
        <v>109</v>
      </c>
      <c r="O20" s="1">
        <f t="shared" si="13"/>
        <v>2040</v>
      </c>
      <c r="P20" s="17">
        <f t="shared" si="14"/>
        <v>126</v>
      </c>
      <c r="Q20" s="17">
        <f>ROUND(VLOOKUP(H20&amp;"_3",管理者用人口入力シート!CO:DT,26,FALSE),0)</f>
        <v>132</v>
      </c>
    </row>
    <row r="21" spans="1:17" x14ac:dyDescent="0.15">
      <c r="A21" s="1" t="s">
        <v>61</v>
      </c>
      <c r="B21" s="1">
        <f t="shared" ref="B21:B22" si="15">B5</f>
        <v>2015</v>
      </c>
      <c r="C21" s="17">
        <f>SUM(B78:C85)</f>
        <v>1331</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1397</v>
      </c>
      <c r="D22" s="12"/>
      <c r="E22" s="12"/>
      <c r="G22" s="1" t="s">
        <v>58</v>
      </c>
      <c r="H22" s="1">
        <f>H4</f>
        <v>2010</v>
      </c>
      <c r="I22" s="17">
        <f>C14</f>
        <v>155</v>
      </c>
      <c r="J22" s="12"/>
      <c r="K22" s="12"/>
      <c r="N22" s="1" t="s">
        <v>58</v>
      </c>
      <c r="O22" s="1">
        <f>O4</f>
        <v>2010</v>
      </c>
      <c r="P22" s="17">
        <f>I22</f>
        <v>155</v>
      </c>
      <c r="Q22" s="17"/>
    </row>
    <row r="23" spans="1:17" x14ac:dyDescent="0.15">
      <c r="A23" s="2" t="s">
        <v>86</v>
      </c>
      <c r="G23" s="1" t="s">
        <v>57</v>
      </c>
      <c r="H23" s="1">
        <f t="shared" ref="H23:H28" si="16">H5</f>
        <v>2015</v>
      </c>
      <c r="I23" s="17">
        <f t="shared" ref="I23:I24" si="17">C15</f>
        <v>125</v>
      </c>
      <c r="J23" s="12"/>
      <c r="K23" s="12"/>
      <c r="N23" s="1" t="s">
        <v>57</v>
      </c>
      <c r="O23" s="1">
        <f t="shared" ref="O23:O28" si="18">O5</f>
        <v>2015</v>
      </c>
      <c r="P23" s="17">
        <f t="shared" ref="P23:P28" si="19">I23</f>
        <v>125</v>
      </c>
      <c r="Q23" s="17"/>
    </row>
    <row r="24" spans="1:17" x14ac:dyDescent="0.15">
      <c r="A24" s="1" t="s">
        <v>58</v>
      </c>
      <c r="B24" s="1">
        <f>B4</f>
        <v>2010</v>
      </c>
      <c r="C24" s="17">
        <f>SUM(B56:C61)</f>
        <v>585</v>
      </c>
      <c r="D24" s="12"/>
      <c r="E24" s="12"/>
      <c r="G24" s="1" t="s">
        <v>62</v>
      </c>
      <c r="H24" s="1">
        <f t="shared" si="16"/>
        <v>2020</v>
      </c>
      <c r="I24" s="17">
        <f t="shared" si="17"/>
        <v>108</v>
      </c>
      <c r="J24" s="12"/>
      <c r="K24" s="12"/>
      <c r="N24" s="1" t="s">
        <v>62</v>
      </c>
      <c r="O24" s="1">
        <f t="shared" si="18"/>
        <v>2020</v>
      </c>
      <c r="P24" s="17">
        <f t="shared" si="19"/>
        <v>108</v>
      </c>
      <c r="Q24" s="17"/>
    </row>
    <row r="25" spans="1:17" x14ac:dyDescent="0.15">
      <c r="A25" s="1" t="s">
        <v>61</v>
      </c>
      <c r="B25" s="1">
        <f t="shared" ref="B25:B26" si="20">B5</f>
        <v>2015</v>
      </c>
      <c r="C25" s="17">
        <f>SUM(B80:C85)</f>
        <v>691</v>
      </c>
      <c r="D25" s="12"/>
      <c r="E25" s="12"/>
      <c r="G25" s="1" t="s">
        <v>106</v>
      </c>
      <c r="H25" s="1">
        <f t="shared" si="16"/>
        <v>2025</v>
      </c>
      <c r="I25" s="17">
        <f>ROUND(VLOOKUP(H25&amp;"_3",管理者用人口入力シート!BH:CM,27,FALSE),0)</f>
        <v>97</v>
      </c>
      <c r="J25" s="12"/>
      <c r="K25" s="12"/>
      <c r="N25" s="1" t="s">
        <v>106</v>
      </c>
      <c r="O25" s="1">
        <f t="shared" si="18"/>
        <v>2025</v>
      </c>
      <c r="P25" s="17">
        <f t="shared" si="19"/>
        <v>97</v>
      </c>
      <c r="Q25" s="17">
        <f>ROUND(VLOOKUP(H17&amp;"_3",管理者用人口入力シート!CO:DT,27,FALSE),0)</f>
        <v>97</v>
      </c>
    </row>
    <row r="26" spans="1:17" x14ac:dyDescent="0.15">
      <c r="A26" s="1" t="s">
        <v>62</v>
      </c>
      <c r="B26" s="1">
        <f t="shared" si="20"/>
        <v>2020</v>
      </c>
      <c r="C26" s="17">
        <f>SUM(B104:C109)</f>
        <v>750</v>
      </c>
      <c r="D26" s="12"/>
      <c r="E26" s="12"/>
      <c r="G26" s="1" t="s">
        <v>107</v>
      </c>
      <c r="H26" s="1">
        <f t="shared" si="16"/>
        <v>2030</v>
      </c>
      <c r="I26" s="17">
        <f>ROUND(VLOOKUP(H26&amp;"_3",管理者用人口入力シート!BH:CM,27,FALSE),0)</f>
        <v>89</v>
      </c>
      <c r="J26" s="12"/>
      <c r="K26" s="12"/>
      <c r="N26" s="1" t="s">
        <v>107</v>
      </c>
      <c r="O26" s="1">
        <f t="shared" si="18"/>
        <v>2030</v>
      </c>
      <c r="P26" s="17">
        <f t="shared" si="19"/>
        <v>89</v>
      </c>
      <c r="Q26" s="17">
        <f>ROUND(VLOOKUP(H18&amp;"_3",管理者用人口入力シート!CO:DT,27,FALSE),0)</f>
        <v>90</v>
      </c>
    </row>
    <row r="27" spans="1:17" x14ac:dyDescent="0.15">
      <c r="G27" s="1" t="s">
        <v>108</v>
      </c>
      <c r="H27" s="1">
        <f t="shared" si="16"/>
        <v>2035</v>
      </c>
      <c r="I27" s="17">
        <f>ROUND(VLOOKUP(H27&amp;"_3",管理者用人口入力シート!BH:CM,27,FALSE),0)</f>
        <v>78</v>
      </c>
      <c r="J27" s="12"/>
      <c r="K27" s="12"/>
      <c r="N27" s="1" t="s">
        <v>108</v>
      </c>
      <c r="O27" s="1">
        <f t="shared" si="18"/>
        <v>2035</v>
      </c>
      <c r="P27" s="17">
        <f t="shared" si="19"/>
        <v>78</v>
      </c>
      <c r="Q27" s="17">
        <f>ROUND(VLOOKUP(H19&amp;"_3",管理者用人口入力シート!CO:DT,27,FALSE),0)</f>
        <v>80</v>
      </c>
    </row>
    <row r="28" spans="1:17" x14ac:dyDescent="0.15">
      <c r="A28" s="69" t="s">
        <v>85</v>
      </c>
      <c r="G28" s="1" t="s">
        <v>109</v>
      </c>
      <c r="H28" s="1">
        <f t="shared" si="16"/>
        <v>2040</v>
      </c>
      <c r="I28" s="17">
        <f>ROUND(VLOOKUP(H28&amp;"_3",管理者用人口入力シート!BH:CM,27,FALSE),0)</f>
        <v>66</v>
      </c>
      <c r="J28" s="12"/>
      <c r="K28" s="12"/>
      <c r="N28" s="1" t="s">
        <v>109</v>
      </c>
      <c r="O28" s="1">
        <f t="shared" si="18"/>
        <v>2040</v>
      </c>
      <c r="P28" s="17">
        <f t="shared" si="19"/>
        <v>66</v>
      </c>
      <c r="Q28" s="17">
        <f>ROUND(VLOOKUP(H20&amp;"_3",管理者用人口入力シート!CO:DT,27,FALSE),0)</f>
        <v>69</v>
      </c>
    </row>
    <row r="29" spans="1:17" x14ac:dyDescent="0.15">
      <c r="A29" s="2" t="s">
        <v>84</v>
      </c>
    </row>
    <row r="30" spans="1:17" x14ac:dyDescent="0.15">
      <c r="A30" s="1" t="s">
        <v>58</v>
      </c>
      <c r="B30" s="1">
        <f>B4</f>
        <v>2010</v>
      </c>
      <c r="C30" s="38">
        <f>ROUND((SUM(B54:C61)/SUM(B41:C61)),2)</f>
        <v>0.24</v>
      </c>
      <c r="D30" s="204"/>
      <c r="E30" s="204"/>
      <c r="G30" s="69" t="s">
        <v>110</v>
      </c>
      <c r="N30" s="69" t="s">
        <v>110</v>
      </c>
    </row>
    <row r="31" spans="1:17" x14ac:dyDescent="0.15">
      <c r="A31" s="1" t="s">
        <v>61</v>
      </c>
      <c r="B31" s="1">
        <f t="shared" ref="B31:B32" si="21">B5</f>
        <v>2015</v>
      </c>
      <c r="C31" s="38">
        <f>ROUND((SUM(B78:C85)/SUM(B65:C85)),2)</f>
        <v>0.28999999999999998</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0.32</v>
      </c>
      <c r="D32" s="204"/>
      <c r="E32" s="204"/>
      <c r="G32" s="1" t="s">
        <v>58</v>
      </c>
      <c r="H32" s="1">
        <f>H4</f>
        <v>2010</v>
      </c>
      <c r="I32" s="17">
        <f>C20</f>
        <v>1210</v>
      </c>
      <c r="J32" s="12"/>
      <c r="K32" s="12"/>
      <c r="N32" s="1" t="s">
        <v>58</v>
      </c>
      <c r="O32" s="1">
        <f>O4</f>
        <v>2010</v>
      </c>
      <c r="P32" s="17">
        <f>I32</f>
        <v>1210</v>
      </c>
      <c r="Q32" s="17"/>
    </row>
    <row r="33" spans="1:17" x14ac:dyDescent="0.15">
      <c r="A33" s="2" t="s">
        <v>86</v>
      </c>
      <c r="G33" s="1" t="s">
        <v>57</v>
      </c>
      <c r="H33" s="1">
        <f t="shared" ref="H33:H38" si="22">H5</f>
        <v>2015</v>
      </c>
      <c r="I33" s="17">
        <f>C21</f>
        <v>1331</v>
      </c>
      <c r="J33" s="12"/>
      <c r="K33" s="12"/>
      <c r="N33" s="1" t="s">
        <v>57</v>
      </c>
      <c r="O33" s="1">
        <f t="shared" ref="O33:O38" si="23">O5</f>
        <v>2015</v>
      </c>
      <c r="P33" s="17">
        <f t="shared" ref="P33:P38" si="24">I33</f>
        <v>1331</v>
      </c>
      <c r="Q33" s="17"/>
    </row>
    <row r="34" spans="1:17" x14ac:dyDescent="0.15">
      <c r="A34" s="1" t="s">
        <v>58</v>
      </c>
      <c r="B34" s="1">
        <f>B4</f>
        <v>2010</v>
      </c>
      <c r="C34" s="38">
        <f>ROUND((SUM(B56:C61)/SUM(B41:C61)),2)</f>
        <v>0.12</v>
      </c>
      <c r="D34" s="204"/>
      <c r="E34" s="204"/>
      <c r="G34" s="1" t="s">
        <v>62</v>
      </c>
      <c r="H34" s="1">
        <f t="shared" si="22"/>
        <v>2020</v>
      </c>
      <c r="I34" s="17">
        <f>C22</f>
        <v>1397</v>
      </c>
      <c r="J34" s="12"/>
      <c r="K34" s="12"/>
      <c r="N34" s="1" t="s">
        <v>62</v>
      </c>
      <c r="O34" s="1">
        <f t="shared" si="23"/>
        <v>2020</v>
      </c>
      <c r="P34" s="17">
        <f t="shared" si="24"/>
        <v>1397</v>
      </c>
      <c r="Q34" s="17"/>
    </row>
    <row r="35" spans="1:17" x14ac:dyDescent="0.15">
      <c r="A35" s="1" t="s">
        <v>61</v>
      </c>
      <c r="B35" s="1">
        <f t="shared" ref="B35:B36" si="25">B5</f>
        <v>2015</v>
      </c>
      <c r="C35" s="38">
        <f>ROUND((SUM(B80:C85)/SUM(B65:C85)),2)</f>
        <v>0.15</v>
      </c>
      <c r="D35" s="204"/>
      <c r="E35" s="204"/>
      <c r="G35" s="1" t="s">
        <v>106</v>
      </c>
      <c r="H35" s="1">
        <f t="shared" si="22"/>
        <v>2025</v>
      </c>
      <c r="I35" s="17">
        <f>SUM(H82:I89)</f>
        <v>1346</v>
      </c>
      <c r="J35" s="12"/>
      <c r="K35" s="12"/>
      <c r="N35" s="1" t="s">
        <v>106</v>
      </c>
      <c r="O35" s="1">
        <f t="shared" si="23"/>
        <v>2025</v>
      </c>
      <c r="P35" s="17">
        <f t="shared" si="24"/>
        <v>1346</v>
      </c>
      <c r="Q35" s="17">
        <f>SUM(O82:P89)</f>
        <v>1346</v>
      </c>
    </row>
    <row r="36" spans="1:17" x14ac:dyDescent="0.15">
      <c r="A36" s="1" t="s">
        <v>62</v>
      </c>
      <c r="B36" s="1">
        <f t="shared" si="25"/>
        <v>2020</v>
      </c>
      <c r="C36" s="38">
        <f>ROUND((SUM(B104:C109)/SUM(B89:C109)),2)</f>
        <v>0.17</v>
      </c>
      <c r="D36" s="204"/>
      <c r="E36" s="204"/>
      <c r="G36" s="1" t="s">
        <v>107</v>
      </c>
      <c r="H36" s="1">
        <f t="shared" si="22"/>
        <v>2030</v>
      </c>
      <c r="I36" s="17">
        <f>SUM(H106:I113)</f>
        <v>1245</v>
      </c>
      <c r="J36" s="12"/>
      <c r="K36" s="12"/>
      <c r="N36" s="1" t="s">
        <v>107</v>
      </c>
      <c r="O36" s="1">
        <f t="shared" si="23"/>
        <v>2030</v>
      </c>
      <c r="P36" s="17">
        <f t="shared" si="24"/>
        <v>1245</v>
      </c>
      <c r="Q36" s="17">
        <f>SUM(O106:P113)</f>
        <v>1245</v>
      </c>
    </row>
    <row r="37" spans="1:17" x14ac:dyDescent="0.15">
      <c r="G37" s="1" t="s">
        <v>108</v>
      </c>
      <c r="H37" s="1">
        <f t="shared" si="22"/>
        <v>2035</v>
      </c>
      <c r="I37" s="17">
        <f>SUM(H130:I137)</f>
        <v>1181</v>
      </c>
      <c r="J37" s="12"/>
      <c r="K37" s="12"/>
      <c r="N37" s="1" t="s">
        <v>108</v>
      </c>
      <c r="O37" s="1">
        <f t="shared" si="23"/>
        <v>2035</v>
      </c>
      <c r="P37" s="17">
        <f t="shared" si="24"/>
        <v>1181</v>
      </c>
      <c r="Q37" s="17">
        <f>SUM(O130:P137)</f>
        <v>1181</v>
      </c>
    </row>
    <row r="38" spans="1:17" x14ac:dyDescent="0.15">
      <c r="A38" s="69" t="s">
        <v>113</v>
      </c>
      <c r="G38" s="1" t="s">
        <v>109</v>
      </c>
      <c r="H38" s="1">
        <f t="shared" si="22"/>
        <v>2040</v>
      </c>
      <c r="I38" s="17">
        <f>SUM(H154:I161)</f>
        <v>1123</v>
      </c>
      <c r="J38" s="12"/>
      <c r="K38" s="12"/>
      <c r="N38" s="1" t="s">
        <v>109</v>
      </c>
      <c r="O38" s="1">
        <f t="shared" si="23"/>
        <v>2040</v>
      </c>
      <c r="P38" s="17">
        <f t="shared" si="24"/>
        <v>1123</v>
      </c>
      <c r="Q38" s="17">
        <f>SUM(O154:P161)</f>
        <v>1123</v>
      </c>
    </row>
    <row r="39" spans="1:17" x14ac:dyDescent="0.15">
      <c r="A39" s="2" t="s">
        <v>383</v>
      </c>
      <c r="B39" s="314">
        <f>管理者入力シート!B7</f>
        <v>2010</v>
      </c>
      <c r="C39" s="315"/>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585</v>
      </c>
      <c r="J40" s="12"/>
      <c r="K40" s="12"/>
      <c r="N40" s="1" t="s">
        <v>58</v>
      </c>
      <c r="O40" s="1">
        <f>O4</f>
        <v>2010</v>
      </c>
      <c r="P40" s="17">
        <f>I40</f>
        <v>585</v>
      </c>
      <c r="Q40" s="17"/>
    </row>
    <row r="41" spans="1:17" x14ac:dyDescent="0.15">
      <c r="A41" s="2" t="s">
        <v>0</v>
      </c>
      <c r="B41" s="17">
        <f>ROUND(VLOOKUP(B$39&amp;"_1",管理者用人口入力シート!A:X,D41,FALSE),0)</f>
        <v>107</v>
      </c>
      <c r="C41" s="17">
        <f>ROUND(VLOOKUP(B$39&amp;"_2",管理者用人口入力シート!A:X,D41,FALSE),0)</f>
        <v>103</v>
      </c>
      <c r="D41" s="2">
        <v>4</v>
      </c>
      <c r="G41" s="1" t="s">
        <v>57</v>
      </c>
      <c r="H41" s="1">
        <f t="shared" ref="H41:H46" si="26">H5</f>
        <v>2015</v>
      </c>
      <c r="I41" s="17">
        <f>C25</f>
        <v>691</v>
      </c>
      <c r="J41" s="12"/>
      <c r="K41" s="12"/>
      <c r="N41" s="1" t="s">
        <v>57</v>
      </c>
      <c r="O41" s="1">
        <f t="shared" ref="O41:O46" si="27">O5</f>
        <v>2015</v>
      </c>
      <c r="P41" s="17">
        <f t="shared" ref="P41:P46" si="28">I41</f>
        <v>691</v>
      </c>
      <c r="Q41" s="17"/>
    </row>
    <row r="42" spans="1:17" x14ac:dyDescent="0.15">
      <c r="A42" s="2" t="s">
        <v>1</v>
      </c>
      <c r="B42" s="17">
        <f>ROUND(VLOOKUP(B$39&amp;"_1",管理者用人口入力シート!A:X,D42,FALSE),0)</f>
        <v>115</v>
      </c>
      <c r="C42" s="17">
        <f>ROUND(VLOOKUP(B$39&amp;"_2",管理者用人口入力シート!A:X,D42,FALSE),0)</f>
        <v>107</v>
      </c>
      <c r="D42" s="2">
        <v>5</v>
      </c>
      <c r="G42" s="1" t="s">
        <v>62</v>
      </c>
      <c r="H42" s="1">
        <f t="shared" si="26"/>
        <v>2020</v>
      </c>
      <c r="I42" s="17">
        <f>C26</f>
        <v>750</v>
      </c>
      <c r="J42" s="12"/>
      <c r="K42" s="12"/>
      <c r="N42" s="1" t="s">
        <v>62</v>
      </c>
      <c r="O42" s="1">
        <f t="shared" si="27"/>
        <v>2020</v>
      </c>
      <c r="P42" s="17">
        <f t="shared" si="28"/>
        <v>750</v>
      </c>
      <c r="Q42" s="17"/>
    </row>
    <row r="43" spans="1:17" x14ac:dyDescent="0.15">
      <c r="A43" s="2" t="s">
        <v>2</v>
      </c>
      <c r="B43" s="17">
        <f>ROUND(VLOOKUP(B$39&amp;"_1",管理者用人口入力シート!A:X,D43,FALSE),0)</f>
        <v>145</v>
      </c>
      <c r="C43" s="17">
        <f>ROUND(VLOOKUP(B$39&amp;"_2",管理者用人口入力シート!A:X,D43,FALSE),0)</f>
        <v>124</v>
      </c>
      <c r="D43" s="2">
        <v>6</v>
      </c>
      <c r="G43" s="1" t="s">
        <v>106</v>
      </c>
      <c r="H43" s="1">
        <f t="shared" si="26"/>
        <v>2025</v>
      </c>
      <c r="I43" s="17">
        <f>SUM(H84:I89)</f>
        <v>805</v>
      </c>
      <c r="J43" s="12"/>
      <c r="K43" s="12"/>
      <c r="N43" s="1" t="s">
        <v>106</v>
      </c>
      <c r="O43" s="1">
        <f t="shared" si="27"/>
        <v>2025</v>
      </c>
      <c r="P43" s="17">
        <f t="shared" si="28"/>
        <v>805</v>
      </c>
      <c r="Q43" s="17">
        <f>SUM(O84:P89)</f>
        <v>805</v>
      </c>
    </row>
    <row r="44" spans="1:17" x14ac:dyDescent="0.15">
      <c r="A44" s="2" t="s">
        <v>3</v>
      </c>
      <c r="B44" s="17">
        <f>ROUND(VLOOKUP(B$39&amp;"_1",管理者用人口入力シート!A:X,D44,FALSE),0)</f>
        <v>118</v>
      </c>
      <c r="C44" s="17">
        <f>ROUND(VLOOKUP(B$39&amp;"_2",管理者用人口入力シート!A:X,D44,FALSE),0)</f>
        <v>117</v>
      </c>
      <c r="D44" s="2">
        <v>7</v>
      </c>
      <c r="G44" s="1" t="s">
        <v>107</v>
      </c>
      <c r="H44" s="1">
        <f t="shared" si="26"/>
        <v>2030</v>
      </c>
      <c r="I44" s="17">
        <f>SUM(H108:I113)</f>
        <v>790</v>
      </c>
      <c r="J44" s="12"/>
      <c r="K44" s="12"/>
      <c r="N44" s="1" t="s">
        <v>107</v>
      </c>
      <c r="O44" s="1">
        <f t="shared" si="27"/>
        <v>2030</v>
      </c>
      <c r="P44" s="17">
        <f t="shared" si="28"/>
        <v>790</v>
      </c>
      <c r="Q44" s="17">
        <f>SUM(O108:P113)</f>
        <v>790</v>
      </c>
    </row>
    <row r="45" spans="1:17" x14ac:dyDescent="0.15">
      <c r="A45" s="2" t="s">
        <v>4</v>
      </c>
      <c r="B45" s="17">
        <f>ROUND(VLOOKUP(B$39&amp;"_1",管理者用人口入力シート!A:X,D45,FALSE),0)</f>
        <v>83</v>
      </c>
      <c r="C45" s="17">
        <f>ROUND(VLOOKUP(B$39&amp;"_2",管理者用人口入力シート!A:X,D45,FALSE),0)</f>
        <v>93</v>
      </c>
      <c r="D45" s="2">
        <v>8</v>
      </c>
      <c r="G45" s="1" t="s">
        <v>108</v>
      </c>
      <c r="H45" s="1">
        <f t="shared" si="26"/>
        <v>2035</v>
      </c>
      <c r="I45" s="17">
        <f>SUM(H132:I137)</f>
        <v>732</v>
      </c>
      <c r="J45" s="12"/>
      <c r="K45" s="12"/>
      <c r="N45" s="1" t="s">
        <v>108</v>
      </c>
      <c r="O45" s="1">
        <f t="shared" si="27"/>
        <v>2035</v>
      </c>
      <c r="P45" s="17">
        <f t="shared" si="28"/>
        <v>732</v>
      </c>
      <c r="Q45" s="17">
        <f>SUM(O132:P137)</f>
        <v>732</v>
      </c>
    </row>
    <row r="46" spans="1:17" x14ac:dyDescent="0.15">
      <c r="A46" s="2" t="s">
        <v>5</v>
      </c>
      <c r="B46" s="17">
        <f>ROUND(VLOOKUP(B$39&amp;"_1",管理者用人口入力シート!A:X,D46,FALSE),0)</f>
        <v>140</v>
      </c>
      <c r="C46" s="17">
        <f>ROUND(VLOOKUP(B$39&amp;"_2",管理者用人口入力シート!A:X,D46,FALSE),0)</f>
        <v>150</v>
      </c>
      <c r="D46" s="2">
        <v>9</v>
      </c>
      <c r="G46" s="1" t="s">
        <v>109</v>
      </c>
      <c r="H46" s="1">
        <f t="shared" si="26"/>
        <v>2040</v>
      </c>
      <c r="I46" s="17">
        <f>SUM(H156:I161)</f>
        <v>647</v>
      </c>
      <c r="J46" s="12"/>
      <c r="K46" s="12"/>
      <c r="N46" s="1" t="s">
        <v>109</v>
      </c>
      <c r="O46" s="1">
        <f t="shared" si="27"/>
        <v>2040</v>
      </c>
      <c r="P46" s="17">
        <f t="shared" si="28"/>
        <v>647</v>
      </c>
      <c r="Q46" s="17">
        <f>SUM(O156:P161)</f>
        <v>647</v>
      </c>
    </row>
    <row r="47" spans="1:17" x14ac:dyDescent="0.15">
      <c r="A47" s="2" t="s">
        <v>6</v>
      </c>
      <c r="B47" s="17">
        <f>ROUND(VLOOKUP(B$39&amp;"_1",管理者用人口入力シート!A:X,D47,FALSE),0)</f>
        <v>145</v>
      </c>
      <c r="C47" s="17">
        <f>ROUND(VLOOKUP(B$39&amp;"_2",管理者用人口入力シート!A:X,D47,FALSE),0)</f>
        <v>172</v>
      </c>
      <c r="D47" s="2">
        <v>10</v>
      </c>
    </row>
    <row r="48" spans="1:17" x14ac:dyDescent="0.15">
      <c r="A48" s="2" t="s">
        <v>7</v>
      </c>
      <c r="B48" s="17">
        <f>ROUND(VLOOKUP(B$39&amp;"_1",管理者用人口入力シート!A:X,D48,FALSE),0)</f>
        <v>154</v>
      </c>
      <c r="C48" s="17">
        <f>ROUND(VLOOKUP(B$39&amp;"_2",管理者用人口入力シート!A:X,D48,FALSE),0)</f>
        <v>173</v>
      </c>
      <c r="D48" s="2">
        <v>11</v>
      </c>
      <c r="G48" s="69" t="s">
        <v>85</v>
      </c>
      <c r="N48" s="69" t="s">
        <v>85</v>
      </c>
    </row>
    <row r="49" spans="1:17" x14ac:dyDescent="0.15">
      <c r="A49" s="2" t="s">
        <v>8</v>
      </c>
      <c r="B49" s="17">
        <f>ROUND(VLOOKUP(B$39&amp;"_1",管理者用人口入力シート!A:X,D49,FALSE),0)</f>
        <v>157</v>
      </c>
      <c r="C49" s="17">
        <f>ROUND(VLOOKUP(B$39&amp;"_2",管理者用人口入力シート!A:X,D49,FALSE),0)</f>
        <v>167</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140</v>
      </c>
      <c r="C50" s="17">
        <f>ROUND(VLOOKUP(B$39&amp;"_2",管理者用人口入力シート!A:X,D50,FALSE),0)</f>
        <v>149</v>
      </c>
      <c r="D50" s="2">
        <v>13</v>
      </c>
      <c r="G50" s="1" t="s">
        <v>58</v>
      </c>
      <c r="H50" s="1">
        <f>H4</f>
        <v>2010</v>
      </c>
      <c r="I50" s="38">
        <f>C30</f>
        <v>0.24</v>
      </c>
      <c r="J50" s="204"/>
      <c r="K50" s="204"/>
      <c r="N50" s="1" t="s">
        <v>58</v>
      </c>
      <c r="O50" s="1">
        <f>O4</f>
        <v>2010</v>
      </c>
      <c r="P50" s="38">
        <f t="shared" ref="P50:P56" si="29">I50</f>
        <v>0.24</v>
      </c>
      <c r="Q50" s="1"/>
    </row>
    <row r="51" spans="1:17" x14ac:dyDescent="0.15">
      <c r="A51" s="2" t="s">
        <v>10</v>
      </c>
      <c r="B51" s="17">
        <f>ROUND(VLOOKUP(B$39&amp;"_1",管理者用人口入力シート!A:X,D51,FALSE),0)</f>
        <v>156</v>
      </c>
      <c r="C51" s="17">
        <f>ROUND(VLOOKUP(B$39&amp;"_2",管理者用人口入力シート!A:X,D51,FALSE),0)</f>
        <v>176</v>
      </c>
      <c r="D51" s="2">
        <v>14</v>
      </c>
      <c r="G51" s="1" t="s">
        <v>57</v>
      </c>
      <c r="H51" s="1">
        <f t="shared" ref="H51:H56" si="30">H5</f>
        <v>2015</v>
      </c>
      <c r="I51" s="38">
        <f t="shared" ref="I51:I52" si="31">C31</f>
        <v>0.28999999999999998</v>
      </c>
      <c r="J51" s="204"/>
      <c r="K51" s="204"/>
      <c r="N51" s="1" t="s">
        <v>57</v>
      </c>
      <c r="O51" s="1">
        <f t="shared" ref="O51:O56" si="32">O5</f>
        <v>2015</v>
      </c>
      <c r="P51" s="38">
        <f t="shared" si="29"/>
        <v>0.28999999999999998</v>
      </c>
      <c r="Q51" s="1"/>
    </row>
    <row r="52" spans="1:17" x14ac:dyDescent="0.15">
      <c r="A52" s="2" t="s">
        <v>11</v>
      </c>
      <c r="B52" s="17">
        <f>ROUND(VLOOKUP(B$39&amp;"_1",管理者用人口入力シート!A:X,D52,FALSE),0)</f>
        <v>166</v>
      </c>
      <c r="C52" s="17">
        <f>ROUND(VLOOKUP(B$39&amp;"_2",管理者用人口入力シート!A:X,D52,FALSE),0)</f>
        <v>195</v>
      </c>
      <c r="D52" s="2">
        <v>15</v>
      </c>
      <c r="G52" s="1" t="s">
        <v>62</v>
      </c>
      <c r="H52" s="1">
        <f t="shared" si="30"/>
        <v>2020</v>
      </c>
      <c r="I52" s="38">
        <f t="shared" si="31"/>
        <v>0.32</v>
      </c>
      <c r="J52" s="204"/>
      <c r="K52" s="204"/>
      <c r="N52" s="1" t="s">
        <v>62</v>
      </c>
      <c r="O52" s="1">
        <f t="shared" si="32"/>
        <v>2020</v>
      </c>
      <c r="P52" s="38">
        <f t="shared" si="29"/>
        <v>0.32</v>
      </c>
      <c r="Q52" s="1"/>
    </row>
    <row r="53" spans="1:17" x14ac:dyDescent="0.15">
      <c r="A53" s="2" t="s">
        <v>12</v>
      </c>
      <c r="B53" s="17">
        <f>ROUND(VLOOKUP(B$39&amp;"_1",管理者用人口入力シート!A:X,D53,FALSE),0)</f>
        <v>198</v>
      </c>
      <c r="C53" s="17">
        <f>ROUND(VLOOKUP(B$39&amp;"_2",管理者用人口入力シート!A:X,D53,FALSE),0)</f>
        <v>212</v>
      </c>
      <c r="D53" s="2">
        <v>16</v>
      </c>
      <c r="G53" s="1" t="s">
        <v>106</v>
      </c>
      <c r="H53" s="1">
        <f t="shared" si="30"/>
        <v>2025</v>
      </c>
      <c r="I53" s="38">
        <f>ROUND((SUM(H82:I89)/SUM(H69:I89)),2)</f>
        <v>0.33</v>
      </c>
      <c r="J53" s="204"/>
      <c r="K53" s="204"/>
      <c r="L53" s="70"/>
      <c r="M53" s="70"/>
      <c r="N53" s="1" t="s">
        <v>106</v>
      </c>
      <c r="O53" s="1">
        <f t="shared" si="32"/>
        <v>2025</v>
      </c>
      <c r="P53" s="38">
        <f t="shared" si="29"/>
        <v>0.33</v>
      </c>
      <c r="Q53" s="38">
        <f>ROUND((SUM(O82:P89)/SUM(O69:P89)),2)</f>
        <v>0.33</v>
      </c>
    </row>
    <row r="54" spans="1:17" x14ac:dyDescent="0.15">
      <c r="A54" s="2" t="s">
        <v>13</v>
      </c>
      <c r="B54" s="17">
        <f>ROUND(VLOOKUP(B$39&amp;"_1",管理者用人口入力シート!A:X,D54,FALSE),0)</f>
        <v>130</v>
      </c>
      <c r="C54" s="17">
        <f>ROUND(VLOOKUP(B$39&amp;"_2",管理者用人口入力シート!A:X,D54,FALSE),0)</f>
        <v>180</v>
      </c>
      <c r="D54" s="2">
        <v>17</v>
      </c>
      <c r="G54" s="1" t="s">
        <v>107</v>
      </c>
      <c r="H54" s="1">
        <f t="shared" si="30"/>
        <v>2030</v>
      </c>
      <c r="I54" s="38">
        <f>ROUND((SUM(H106:I113)/SUM(H93:I113)),2)</f>
        <v>0.33</v>
      </c>
      <c r="J54" s="204"/>
      <c r="K54" s="204"/>
      <c r="N54" s="1" t="s">
        <v>107</v>
      </c>
      <c r="O54" s="1">
        <f t="shared" si="32"/>
        <v>2030</v>
      </c>
      <c r="P54" s="38">
        <f t="shared" si="29"/>
        <v>0.33</v>
      </c>
      <c r="Q54" s="38">
        <f>ROUND((SUM(O106:P113)/SUM(O93:P113)),2)</f>
        <v>0.33</v>
      </c>
    </row>
    <row r="55" spans="1:17" x14ac:dyDescent="0.15">
      <c r="A55" s="2" t="s">
        <v>14</v>
      </c>
      <c r="B55" s="17">
        <f>ROUND(VLOOKUP(B$39&amp;"_1",管理者用人口入力シート!A:X,D55,FALSE),0)</f>
        <v>138</v>
      </c>
      <c r="C55" s="17">
        <f>ROUND(VLOOKUP(B$39&amp;"_2",管理者用人口入力シート!A:X,D55,FALSE),0)</f>
        <v>177</v>
      </c>
      <c r="D55" s="2">
        <v>18</v>
      </c>
      <c r="G55" s="1" t="s">
        <v>108</v>
      </c>
      <c r="H55" s="1">
        <f t="shared" si="30"/>
        <v>2035</v>
      </c>
      <c r="I55" s="38">
        <f>ROUND((SUM(H130:I137)/SUM(H117:I137)),2)</f>
        <v>0.35</v>
      </c>
      <c r="J55" s="204"/>
      <c r="K55" s="204"/>
      <c r="N55" s="1" t="s">
        <v>108</v>
      </c>
      <c r="O55" s="1">
        <f t="shared" si="32"/>
        <v>2035</v>
      </c>
      <c r="P55" s="38">
        <f t="shared" si="29"/>
        <v>0.35</v>
      </c>
      <c r="Q55" s="38">
        <f>ROUND((SUM(O130:P137)/SUM(O117:P137)),2)</f>
        <v>0.35</v>
      </c>
    </row>
    <row r="56" spans="1:17" x14ac:dyDescent="0.15">
      <c r="A56" s="2" t="s">
        <v>15</v>
      </c>
      <c r="B56" s="17">
        <f>ROUND(VLOOKUP(B$39&amp;"_1",管理者用人口入力シート!A:X,D56,FALSE),0)</f>
        <v>98</v>
      </c>
      <c r="C56" s="17">
        <f>ROUND(VLOOKUP(B$39&amp;"_2",管理者用人口入力シート!A:X,D56,FALSE),0)</f>
        <v>149</v>
      </c>
      <c r="D56" s="2">
        <v>19</v>
      </c>
      <c r="G56" s="1" t="s">
        <v>109</v>
      </c>
      <c r="H56" s="1">
        <f t="shared" si="30"/>
        <v>2040</v>
      </c>
      <c r="I56" s="38">
        <f>ROUND((SUM(H154:I161)/SUM(H141:I161)),2)</f>
        <v>0.37</v>
      </c>
      <c r="J56" s="204"/>
      <c r="K56" s="204"/>
      <c r="N56" s="1" t="s">
        <v>109</v>
      </c>
      <c r="O56" s="1">
        <f t="shared" si="32"/>
        <v>2040</v>
      </c>
      <c r="P56" s="38">
        <f t="shared" si="29"/>
        <v>0.37</v>
      </c>
      <c r="Q56" s="38">
        <f>ROUND((SUM(O154:P161)/SUM(O141:P161)),2)</f>
        <v>0.37</v>
      </c>
    </row>
    <row r="57" spans="1:17" x14ac:dyDescent="0.15">
      <c r="A57" s="2" t="s">
        <v>16</v>
      </c>
      <c r="B57" s="17">
        <f>ROUND(VLOOKUP(B$39&amp;"_1",管理者用人口入力シート!A:X,D57,FALSE),0)</f>
        <v>73</v>
      </c>
      <c r="C57" s="17">
        <f>ROUND(VLOOKUP(B$39&amp;"_2",管理者用人口入力シート!A:X,D57,FALSE),0)</f>
        <v>122</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28</v>
      </c>
      <c r="C58" s="17">
        <f>ROUND(VLOOKUP(B$39&amp;"_2",管理者用人口入力シート!A:X,D58,FALSE),0)</f>
        <v>65</v>
      </c>
      <c r="D58" s="2">
        <v>21</v>
      </c>
      <c r="G58" s="1" t="s">
        <v>58</v>
      </c>
      <c r="H58" s="1">
        <f>H4</f>
        <v>2010</v>
      </c>
      <c r="I58" s="38">
        <f>C34</f>
        <v>0.12</v>
      </c>
      <c r="J58" s="204"/>
      <c r="K58" s="204"/>
      <c r="N58" s="1" t="s">
        <v>58</v>
      </c>
      <c r="O58" s="1">
        <f>O4</f>
        <v>2010</v>
      </c>
      <c r="P58" s="38">
        <f t="shared" ref="P58:P64" si="33">I58</f>
        <v>0.12</v>
      </c>
      <c r="Q58" s="1"/>
    </row>
    <row r="59" spans="1:17" x14ac:dyDescent="0.15">
      <c r="A59" s="2" t="s">
        <v>18</v>
      </c>
      <c r="B59" s="17">
        <f>ROUND(VLOOKUP(B$39&amp;"_1",管理者用人口入力シート!A:X,D59,FALSE),0)</f>
        <v>6</v>
      </c>
      <c r="C59" s="17">
        <f>ROUND(VLOOKUP(B$39&amp;"_2",管理者用人口入力シート!A:X,D59,FALSE),0)</f>
        <v>33</v>
      </c>
      <c r="D59" s="2">
        <v>22</v>
      </c>
      <c r="G59" s="1" t="s">
        <v>57</v>
      </c>
      <c r="H59" s="1">
        <f t="shared" ref="H59:H64" si="34">H5</f>
        <v>2015</v>
      </c>
      <c r="I59" s="38">
        <f t="shared" ref="I59:I60" si="35">C35</f>
        <v>0.15</v>
      </c>
      <c r="J59" s="204"/>
      <c r="K59" s="204"/>
      <c r="N59" s="1" t="s">
        <v>57</v>
      </c>
      <c r="O59" s="1">
        <f t="shared" ref="O59:O64" si="36">O5</f>
        <v>2015</v>
      </c>
      <c r="P59" s="38">
        <f t="shared" si="33"/>
        <v>0.15</v>
      </c>
      <c r="Q59" s="1"/>
    </row>
    <row r="60" spans="1:17" x14ac:dyDescent="0.15">
      <c r="A60" s="2" t="s">
        <v>19</v>
      </c>
      <c r="B60" s="17">
        <f>ROUND(VLOOKUP(B$39&amp;"_1",管理者用人口入力シート!A:X,D60,FALSE),0)</f>
        <v>3</v>
      </c>
      <c r="C60" s="17">
        <f>ROUND(VLOOKUP(B$39&amp;"_2",管理者用人口入力シート!A:X,D60,FALSE),0)</f>
        <v>6</v>
      </c>
      <c r="D60" s="2">
        <v>23</v>
      </c>
      <c r="G60" s="1" t="s">
        <v>62</v>
      </c>
      <c r="H60" s="1">
        <f t="shared" si="34"/>
        <v>2020</v>
      </c>
      <c r="I60" s="38">
        <f t="shared" si="35"/>
        <v>0.17</v>
      </c>
      <c r="J60" s="204"/>
      <c r="K60" s="204"/>
      <c r="N60" s="1" t="s">
        <v>62</v>
      </c>
      <c r="O60" s="1">
        <f t="shared" si="36"/>
        <v>2020</v>
      </c>
      <c r="P60" s="38">
        <f t="shared" si="33"/>
        <v>0.17</v>
      </c>
      <c r="Q60" s="1"/>
    </row>
    <row r="61" spans="1:17" x14ac:dyDescent="0.15">
      <c r="A61" s="2" t="s">
        <v>20</v>
      </c>
      <c r="B61" s="17">
        <f>ROUND(VLOOKUP(B$39&amp;"_1",管理者用人口入力シート!A:X,D61,FALSE),0)</f>
        <v>0</v>
      </c>
      <c r="C61" s="17">
        <f>ROUND(VLOOKUP(B$39&amp;"_2",管理者用人口入力シート!A:X,D61,FALSE),0)</f>
        <v>2</v>
      </c>
      <c r="D61" s="2">
        <v>24</v>
      </c>
      <c r="G61" s="1" t="s">
        <v>106</v>
      </c>
      <c r="H61" s="1">
        <f t="shared" si="34"/>
        <v>2025</v>
      </c>
      <c r="I61" s="38">
        <f>ROUND((SUM(H84:I89)/SUM(H69:I89)),2)</f>
        <v>0.2</v>
      </c>
      <c r="J61" s="204"/>
      <c r="K61" s="204"/>
      <c r="N61" s="1" t="s">
        <v>106</v>
      </c>
      <c r="O61" s="1">
        <f t="shared" si="36"/>
        <v>2025</v>
      </c>
      <c r="P61" s="38">
        <f t="shared" si="33"/>
        <v>0.2</v>
      </c>
      <c r="Q61" s="38">
        <f>ROUND((SUM(O84:P89)/SUM(O69:P89)),2)</f>
        <v>0.2</v>
      </c>
    </row>
    <row r="62" spans="1:17" x14ac:dyDescent="0.15">
      <c r="G62" s="1" t="s">
        <v>107</v>
      </c>
      <c r="H62" s="1">
        <f t="shared" si="34"/>
        <v>2030</v>
      </c>
      <c r="I62" s="38">
        <f>ROUND((SUM(H108:I113)/SUM(H93:I113)),2)</f>
        <v>0.21</v>
      </c>
      <c r="J62" s="204"/>
      <c r="K62" s="204"/>
      <c r="N62" s="1" t="s">
        <v>107</v>
      </c>
      <c r="O62" s="1">
        <f t="shared" si="36"/>
        <v>2030</v>
      </c>
      <c r="P62" s="38">
        <f t="shared" si="33"/>
        <v>0.21</v>
      </c>
      <c r="Q62" s="38">
        <f>ROUND((SUM(O108:P113)/SUM(O93:P113)),2)</f>
        <v>0.21</v>
      </c>
    </row>
    <row r="63" spans="1:17" x14ac:dyDescent="0.15">
      <c r="A63" s="2" t="s">
        <v>384</v>
      </c>
      <c r="B63" s="314">
        <f>管理者入力シート!B6</f>
        <v>2015</v>
      </c>
      <c r="C63" s="315"/>
      <c r="D63" s="2" t="s">
        <v>114</v>
      </c>
      <c r="G63" s="1" t="s">
        <v>108</v>
      </c>
      <c r="H63" s="1">
        <f t="shared" si="34"/>
        <v>2035</v>
      </c>
      <c r="I63" s="38">
        <f>ROUND((SUM(H132:I137)/SUM(H117:I137)),2)</f>
        <v>0.22</v>
      </c>
      <c r="J63" s="204"/>
      <c r="K63" s="204"/>
      <c r="N63" s="1" t="s">
        <v>108</v>
      </c>
      <c r="O63" s="1">
        <f t="shared" si="36"/>
        <v>2035</v>
      </c>
      <c r="P63" s="38">
        <f t="shared" si="33"/>
        <v>0.22</v>
      </c>
      <c r="Q63" s="38">
        <f>ROUND((SUM(O132:P137)/SUM(O117:P137)),2)</f>
        <v>0.22</v>
      </c>
    </row>
    <row r="64" spans="1:17" x14ac:dyDescent="0.15">
      <c r="A64" s="2" t="s">
        <v>115</v>
      </c>
      <c r="B64" s="18" t="s">
        <v>21</v>
      </c>
      <c r="C64" s="18" t="s">
        <v>22</v>
      </c>
      <c r="G64" s="1" t="s">
        <v>109</v>
      </c>
      <c r="H64" s="1">
        <f t="shared" si="34"/>
        <v>2040</v>
      </c>
      <c r="I64" s="38">
        <f>ROUND((SUM(H156:I161)/SUM(H141:I161)),2)</f>
        <v>0.21</v>
      </c>
      <c r="J64" s="204"/>
      <c r="K64" s="204"/>
      <c r="N64" s="1" t="s">
        <v>109</v>
      </c>
      <c r="O64" s="1">
        <f t="shared" si="36"/>
        <v>2040</v>
      </c>
      <c r="P64" s="38">
        <f t="shared" si="33"/>
        <v>0.21</v>
      </c>
      <c r="Q64" s="38">
        <f>ROUND((SUM(O156:P161)/SUM(O141:P161)),2)</f>
        <v>0.21</v>
      </c>
    </row>
    <row r="65" spans="1:21" x14ac:dyDescent="0.15">
      <c r="A65" s="2" t="s">
        <v>0</v>
      </c>
      <c r="B65" s="17">
        <f>ROUND(VLOOKUP(B$63&amp;"_1",管理者用人口入力シート!A:X,D65,FALSE),0)</f>
        <v>82</v>
      </c>
      <c r="C65" s="17">
        <f>ROUND(VLOOKUP(B$63&amp;"_2",管理者用人口入力シート!A:X,D65,FALSE),0)</f>
        <v>111</v>
      </c>
      <c r="D65" s="2">
        <v>4</v>
      </c>
    </row>
    <row r="66" spans="1:21" x14ac:dyDescent="0.15">
      <c r="A66" s="2" t="s">
        <v>1</v>
      </c>
      <c r="B66" s="17">
        <f>ROUND(VLOOKUP(B$63&amp;"_1",管理者用人口入力シート!A:X,D66,FALSE),0)</f>
        <v>97</v>
      </c>
      <c r="C66" s="17">
        <f>ROUND(VLOOKUP(B$63&amp;"_2",管理者用人口入力シート!A:X,D66,FALSE),0)</f>
        <v>85</v>
      </c>
      <c r="D66" s="2">
        <v>5</v>
      </c>
      <c r="G66" s="69" t="s">
        <v>113</v>
      </c>
      <c r="N66" s="69" t="s">
        <v>113</v>
      </c>
    </row>
    <row r="67" spans="1:21" x14ac:dyDescent="0.15">
      <c r="A67" s="2" t="s">
        <v>2</v>
      </c>
      <c r="B67" s="17">
        <f>ROUND(VLOOKUP(B$63&amp;"_1",管理者用人口入力シート!A:X,D67,FALSE),0)</f>
        <v>101</v>
      </c>
      <c r="C67" s="17">
        <f>ROUND(VLOOKUP(B$63&amp;"_2",管理者用人口入力シート!A:X,D67,FALSE),0)</f>
        <v>101</v>
      </c>
      <c r="D67" s="2">
        <v>6</v>
      </c>
      <c r="G67" s="2" t="s">
        <v>106</v>
      </c>
      <c r="H67" s="314">
        <f>管理者入力シート!B8</f>
        <v>2025</v>
      </c>
      <c r="I67" s="315"/>
      <c r="J67" s="2" t="s">
        <v>114</v>
      </c>
      <c r="K67" s="208"/>
      <c r="O67" s="314">
        <f>管理者入力シート!B8</f>
        <v>2025</v>
      </c>
      <c r="P67" s="315"/>
      <c r="Q67" s="2" t="s">
        <v>114</v>
      </c>
    </row>
    <row r="68" spans="1:21" x14ac:dyDescent="0.15">
      <c r="A68" s="2" t="s">
        <v>3</v>
      </c>
      <c r="B68" s="17">
        <f>ROUND(VLOOKUP(B$63&amp;"_1",管理者用人口入力シート!A:X,D68,FALSE),0)</f>
        <v>123</v>
      </c>
      <c r="C68" s="17">
        <f>ROUND(VLOOKUP(B$63&amp;"_2",管理者用人口入力シート!A:X,D68,FALSE),0)</f>
        <v>99</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80</v>
      </c>
      <c r="C69" s="17">
        <f>ROUND(VLOOKUP(B$63&amp;"_2",管理者用人口入力シート!A:X,D69,FALSE),0)</f>
        <v>89</v>
      </c>
      <c r="D69" s="2">
        <v>8</v>
      </c>
      <c r="G69" s="2" t="s">
        <v>0</v>
      </c>
      <c r="H69" s="17">
        <f>ROUND(VLOOKUP(H$67&amp;"_1",管理者用人口入力シート!BH:CE,J69,FALSE),0)</f>
        <v>76</v>
      </c>
      <c r="I69" s="17">
        <f>ROUND(VLOOKUP(H$67&amp;"_2",管理者用人口入力シート!BH:CE,J69,FALSE),0)</f>
        <v>82</v>
      </c>
      <c r="J69" s="2">
        <v>4</v>
      </c>
      <c r="K69" s="12"/>
      <c r="N69" s="2" t="s">
        <v>0</v>
      </c>
      <c r="O69" s="17">
        <f>ROUND(VLOOKUP(O$67&amp;"_1",管理者用人口入力シート!CO:DL,Q69,FALSE),0)</f>
        <v>77</v>
      </c>
      <c r="P69" s="17">
        <f>ROUND(VLOOKUP(O$67&amp;"_2",管理者用人口入力シート!CO:DL,Q69,FALSE),0)</f>
        <v>83</v>
      </c>
      <c r="Q69" s="2">
        <v>4</v>
      </c>
      <c r="U69" s="85"/>
    </row>
    <row r="70" spans="1:21" x14ac:dyDescent="0.15">
      <c r="A70" s="2" t="s">
        <v>5</v>
      </c>
      <c r="B70" s="17">
        <f>ROUND(VLOOKUP(B$63&amp;"_1",管理者用人口入力シート!A:X,D70,FALSE),0)</f>
        <v>96</v>
      </c>
      <c r="C70" s="17">
        <f>ROUND(VLOOKUP(B$63&amp;"_2",管理者用人口入力シート!A:X,D70,FALSE),0)</f>
        <v>108</v>
      </c>
      <c r="D70" s="2">
        <v>9</v>
      </c>
      <c r="G70" s="2" t="s">
        <v>1</v>
      </c>
      <c r="H70" s="17">
        <f>ROUND(VLOOKUP(H$67&amp;"_1",管理者用人口入力シート!BH:CE,J70,FALSE),0)</f>
        <v>80</v>
      </c>
      <c r="I70" s="17">
        <f>ROUND(VLOOKUP(H$67&amp;"_2",管理者用人口入力シート!BH:CE,J70,FALSE),0)</f>
        <v>80</v>
      </c>
      <c r="J70" s="2">
        <v>5</v>
      </c>
      <c r="K70" s="12"/>
      <c r="N70" s="2" t="s">
        <v>1</v>
      </c>
      <c r="O70" s="17">
        <f>ROUND(VLOOKUP(O$67&amp;"_1",管理者用人口入力シート!CO:DL,Q70,FALSE),0)</f>
        <v>80</v>
      </c>
      <c r="P70" s="17">
        <f>ROUND(VLOOKUP(O$67&amp;"_2",管理者用人口入力シート!CO:DL,Q70,FALSE),0)</f>
        <v>80</v>
      </c>
      <c r="Q70" s="2">
        <v>5</v>
      </c>
      <c r="U70" s="85"/>
    </row>
    <row r="71" spans="1:21" x14ac:dyDescent="0.15">
      <c r="A71" s="2" t="s">
        <v>6</v>
      </c>
      <c r="B71" s="17">
        <f>ROUND(VLOOKUP(B$63&amp;"_1",管理者用人口入力シート!A:X,D71,FALSE),0)</f>
        <v>110</v>
      </c>
      <c r="C71" s="17">
        <f>ROUND(VLOOKUP(B$63&amp;"_2",管理者用人口入力シート!A:X,D71,FALSE),0)</f>
        <v>110</v>
      </c>
      <c r="D71" s="2">
        <v>10</v>
      </c>
      <c r="G71" s="2" t="s">
        <v>2</v>
      </c>
      <c r="H71" s="17">
        <f>ROUND(VLOOKUP(H$67&amp;"_1",管理者用人口入力シート!BH:CE,J71,FALSE),0)</f>
        <v>68</v>
      </c>
      <c r="I71" s="17">
        <f>ROUND(VLOOKUP(H$67&amp;"_2",管理者用人口入力シート!BH:CE,J71,FALSE),0)</f>
        <v>97</v>
      </c>
      <c r="J71" s="2">
        <v>6</v>
      </c>
      <c r="K71" s="12"/>
      <c r="N71" s="2" t="s">
        <v>2</v>
      </c>
      <c r="O71" s="17">
        <f>ROUND(VLOOKUP(O$67&amp;"_1",管理者用人口入力シート!CO:DL,Q71,FALSE),0)</f>
        <v>69</v>
      </c>
      <c r="P71" s="17">
        <f>ROUND(VLOOKUP(O$67&amp;"_2",管理者用人口入力シート!CO:DL,Q71,FALSE),0)</f>
        <v>98</v>
      </c>
      <c r="Q71" s="2">
        <v>6</v>
      </c>
      <c r="U71" s="85"/>
    </row>
    <row r="72" spans="1:21" x14ac:dyDescent="0.15">
      <c r="A72" s="2" t="s">
        <v>7</v>
      </c>
      <c r="B72" s="17">
        <f>ROUND(VLOOKUP(B$63&amp;"_1",管理者用人口入力シート!A:X,D72,FALSE),0)</f>
        <v>129</v>
      </c>
      <c r="C72" s="17">
        <f>ROUND(VLOOKUP(B$63&amp;"_2",管理者用人口入力シート!A:X,D72,FALSE),0)</f>
        <v>148</v>
      </c>
      <c r="D72" s="2">
        <v>11</v>
      </c>
      <c r="G72" s="2" t="s">
        <v>3</v>
      </c>
      <c r="H72" s="17">
        <f>ROUND(VLOOKUP(H$67&amp;"_1",管理者用人口入力シート!BH:CE,J72,FALSE),0)</f>
        <v>80</v>
      </c>
      <c r="I72" s="17">
        <f>ROUND(VLOOKUP(H$67&amp;"_2",管理者用人口入力シート!BH:CE,J72,FALSE),0)</f>
        <v>73</v>
      </c>
      <c r="J72" s="2">
        <v>7</v>
      </c>
      <c r="K72" s="12"/>
      <c r="N72" s="2" t="s">
        <v>3</v>
      </c>
      <c r="O72" s="17">
        <f>ROUND(VLOOKUP(O$67&amp;"_1",管理者用人口入力シート!CO:DL,Q72,FALSE),0)</f>
        <v>80</v>
      </c>
      <c r="P72" s="17">
        <f>ROUND(VLOOKUP(O$67&amp;"_2",管理者用人口入力シート!CO:DL,Q72,FALSE),0)</f>
        <v>73</v>
      </c>
      <c r="Q72" s="2">
        <v>7</v>
      </c>
      <c r="U72" s="85"/>
    </row>
    <row r="73" spans="1:21" x14ac:dyDescent="0.15">
      <c r="A73" s="2" t="s">
        <v>8</v>
      </c>
      <c r="B73" s="17">
        <f>ROUND(VLOOKUP(B$63&amp;"_1",管理者用人口入力シート!A:X,D73,FALSE),0)</f>
        <v>148</v>
      </c>
      <c r="C73" s="17">
        <f>ROUND(VLOOKUP(B$63&amp;"_2",管理者用人口入力シート!A:X,D73,FALSE),0)</f>
        <v>155</v>
      </c>
      <c r="D73" s="2">
        <v>12</v>
      </c>
      <c r="G73" s="2" t="s">
        <v>4</v>
      </c>
      <c r="H73" s="17">
        <f>ROUND(VLOOKUP(H$67&amp;"_1",管理者用人口入力シート!BH:CE,J73,FALSE),0)</f>
        <v>67</v>
      </c>
      <c r="I73" s="17">
        <f>ROUND(VLOOKUP(H$67&amp;"_2",管理者用人口入力シート!BH:CE,J73,FALSE),0)</f>
        <v>58</v>
      </c>
      <c r="J73" s="2">
        <v>8</v>
      </c>
      <c r="K73" s="12"/>
      <c r="N73" s="2" t="s">
        <v>4</v>
      </c>
      <c r="O73" s="17">
        <f>ROUND(VLOOKUP(O$67&amp;"_1",管理者用人口入力シート!CO:DL,Q73,FALSE),0)</f>
        <v>67</v>
      </c>
      <c r="P73" s="17">
        <f>ROUND(VLOOKUP(O$67&amp;"_2",管理者用人口入力シート!CO:DL,Q73,FALSE),0)</f>
        <v>58</v>
      </c>
      <c r="Q73" s="2">
        <v>8</v>
      </c>
      <c r="U73" s="85"/>
    </row>
    <row r="74" spans="1:21" x14ac:dyDescent="0.15">
      <c r="A74" s="2" t="s">
        <v>9</v>
      </c>
      <c r="B74" s="17">
        <f>ROUND(VLOOKUP(B$63&amp;"_1",管理者用人口入力シート!A:X,D74,FALSE),0)</f>
        <v>149</v>
      </c>
      <c r="C74" s="17">
        <f>ROUND(VLOOKUP(B$63&amp;"_2",管理者用人口入力シート!A:X,D74,FALSE),0)</f>
        <v>178</v>
      </c>
      <c r="D74" s="2">
        <v>13</v>
      </c>
      <c r="G74" s="2" t="s">
        <v>5</v>
      </c>
      <c r="H74" s="17">
        <f>ROUND(VLOOKUP(H$67&amp;"_1",管理者用人口入力シート!BH:CE,J74,FALSE),0)</f>
        <v>103</v>
      </c>
      <c r="I74" s="17">
        <f>ROUND(VLOOKUP(H$67&amp;"_2",管理者用人口入力シート!BH:CE,J74,FALSE),0)</f>
        <v>87</v>
      </c>
      <c r="J74" s="2">
        <v>9</v>
      </c>
      <c r="K74" s="12"/>
      <c r="N74" s="2" t="s">
        <v>5</v>
      </c>
      <c r="O74" s="17">
        <f>ROUND(VLOOKUP(O$67&amp;"_1",管理者用人口入力シート!CO:DL,Q74,FALSE),0)</f>
        <v>105</v>
      </c>
      <c r="P74" s="17">
        <f>ROUND(VLOOKUP(O$67&amp;"_2",管理者用人口入力シート!CO:DL,Q74,FALSE),0)</f>
        <v>89</v>
      </c>
      <c r="Q74" s="2">
        <v>9</v>
      </c>
      <c r="U74" s="85"/>
    </row>
    <row r="75" spans="1:21" x14ac:dyDescent="0.15">
      <c r="A75" s="2" t="s">
        <v>10</v>
      </c>
      <c r="B75" s="17">
        <f>ROUND(VLOOKUP(B$63&amp;"_1",管理者用人口入力シート!A:X,D75,FALSE),0)</f>
        <v>139</v>
      </c>
      <c r="C75" s="17">
        <f>ROUND(VLOOKUP(B$63&amp;"_2",管理者用人口入力シート!A:X,D75,FALSE),0)</f>
        <v>145</v>
      </c>
      <c r="D75" s="2">
        <v>14</v>
      </c>
      <c r="G75" s="2" t="s">
        <v>6</v>
      </c>
      <c r="H75" s="17">
        <f>ROUND(VLOOKUP(H$67&amp;"_1",管理者用人口入力シート!BH:CE,J75,FALSE),0)</f>
        <v>111</v>
      </c>
      <c r="I75" s="17">
        <f>ROUND(VLOOKUP(H$67&amp;"_2",管理者用人口入力シート!BH:CE,J75,FALSE),0)</f>
        <v>105</v>
      </c>
      <c r="J75" s="2">
        <v>10</v>
      </c>
      <c r="K75" s="12"/>
      <c r="N75" s="2" t="s">
        <v>6</v>
      </c>
      <c r="O75" s="17">
        <f>ROUND(VLOOKUP(O$67&amp;"_1",管理者用人口入力シート!CO:DL,Q75,FALSE),0)</f>
        <v>111</v>
      </c>
      <c r="P75" s="17">
        <f>ROUND(VLOOKUP(O$67&amp;"_2",管理者用人口入力シート!CO:DL,Q75,FALSE),0)</f>
        <v>105</v>
      </c>
      <c r="Q75" s="2">
        <v>10</v>
      </c>
      <c r="U75" s="85"/>
    </row>
    <row r="76" spans="1:21" x14ac:dyDescent="0.15">
      <c r="A76" s="2" t="s">
        <v>11</v>
      </c>
      <c r="B76" s="17">
        <f>ROUND(VLOOKUP(B$63&amp;"_1",管理者用人口入力シート!A:X,D76,FALSE),0)</f>
        <v>146</v>
      </c>
      <c r="C76" s="17">
        <f>ROUND(VLOOKUP(B$63&amp;"_2",管理者用人口入力シート!A:X,D76,FALSE),0)</f>
        <v>170</v>
      </c>
      <c r="D76" s="2">
        <v>15</v>
      </c>
      <c r="G76" s="2" t="s">
        <v>7</v>
      </c>
      <c r="H76" s="17">
        <f>ROUND(VLOOKUP(H$67&amp;"_1",管理者用人口入力シート!BH:CE,J76,FALSE),0)</f>
        <v>101</v>
      </c>
      <c r="I76" s="17">
        <f>ROUND(VLOOKUP(H$67&amp;"_2",管理者用人口入力シート!BH:CE,J76,FALSE),0)</f>
        <v>109</v>
      </c>
      <c r="J76" s="2">
        <v>11</v>
      </c>
      <c r="K76" s="12"/>
      <c r="N76" s="2" t="s">
        <v>7</v>
      </c>
      <c r="O76" s="17">
        <f>ROUND(VLOOKUP(O$67&amp;"_1",管理者用人口入力シート!CO:DL,Q76,FALSE),0)</f>
        <v>101</v>
      </c>
      <c r="P76" s="17">
        <f>ROUND(VLOOKUP(O$67&amp;"_2",管理者用人口入力シート!CO:DL,Q76,FALSE),0)</f>
        <v>109</v>
      </c>
      <c r="Q76" s="2">
        <v>11</v>
      </c>
      <c r="U76" s="85"/>
    </row>
    <row r="77" spans="1:21" x14ac:dyDescent="0.15">
      <c r="A77" s="2" t="s">
        <v>12</v>
      </c>
      <c r="B77" s="17">
        <f>ROUND(VLOOKUP(B$63&amp;"_1",管理者用人口入力シート!A:X,D77,FALSE),0)</f>
        <v>154</v>
      </c>
      <c r="C77" s="17">
        <f>ROUND(VLOOKUP(B$63&amp;"_2",管理者用人口入力シート!A:X,D77,FALSE),0)</f>
        <v>176</v>
      </c>
      <c r="D77" s="2">
        <v>16</v>
      </c>
      <c r="G77" s="2" t="s">
        <v>8</v>
      </c>
      <c r="H77" s="17">
        <f>ROUND(VLOOKUP(H$67&amp;"_1",管理者用人口入力シート!BH:CE,J77,FALSE),0)</f>
        <v>103</v>
      </c>
      <c r="I77" s="17">
        <f>ROUND(VLOOKUP(H$67&amp;"_2",管理者用人口入力シート!BH:CE,J77,FALSE),0)</f>
        <v>105</v>
      </c>
      <c r="J77" s="2">
        <v>12</v>
      </c>
      <c r="K77" s="12"/>
      <c r="N77" s="2" t="s">
        <v>8</v>
      </c>
      <c r="O77" s="17">
        <f>ROUND(VLOOKUP(O$67&amp;"_1",管理者用人口入力シート!CO:DL,Q77,FALSE),0)</f>
        <v>103</v>
      </c>
      <c r="P77" s="17">
        <f>ROUND(VLOOKUP(O$67&amp;"_2",管理者用人口入力シート!CO:DL,Q77,FALSE),0)</f>
        <v>106</v>
      </c>
      <c r="Q77" s="2">
        <v>12</v>
      </c>
      <c r="U77" s="85"/>
    </row>
    <row r="78" spans="1:21" x14ac:dyDescent="0.15">
      <c r="A78" s="2" t="s">
        <v>13</v>
      </c>
      <c r="B78" s="17">
        <f>ROUND(VLOOKUP(B$63&amp;"_1",管理者用人口入力シート!A:X,D78,FALSE),0)</f>
        <v>167</v>
      </c>
      <c r="C78" s="17">
        <f>ROUND(VLOOKUP(B$63&amp;"_2",管理者用人口入力シート!A:X,D78,FALSE),0)</f>
        <v>199</v>
      </c>
      <c r="D78" s="2">
        <v>17</v>
      </c>
      <c r="G78" s="2" t="s">
        <v>9</v>
      </c>
      <c r="H78" s="17">
        <f>ROUND(VLOOKUP(H$67&amp;"_1",管理者用人口入力シート!BH:CE,J78,FALSE),0)</f>
        <v>122</v>
      </c>
      <c r="I78" s="17">
        <f>ROUND(VLOOKUP(H$67&amp;"_2",管理者用人口入力シート!BH:CE,J78,FALSE),0)</f>
        <v>167</v>
      </c>
      <c r="J78" s="2">
        <v>13</v>
      </c>
      <c r="K78" s="12"/>
      <c r="N78" s="2" t="s">
        <v>9</v>
      </c>
      <c r="O78" s="17">
        <f>ROUND(VLOOKUP(O$67&amp;"_1",管理者用人口入力シート!CO:DL,Q78,FALSE),0)</f>
        <v>122</v>
      </c>
      <c r="P78" s="17">
        <f>ROUND(VLOOKUP(O$67&amp;"_2",管理者用人口入力シート!CO:DL,Q78,FALSE),0)</f>
        <v>167</v>
      </c>
      <c r="Q78" s="2">
        <v>13</v>
      </c>
      <c r="U78" s="85"/>
    </row>
    <row r="79" spans="1:21" x14ac:dyDescent="0.15">
      <c r="A79" s="2" t="s">
        <v>14</v>
      </c>
      <c r="B79" s="17">
        <f>ROUND(VLOOKUP(B$63&amp;"_1",管理者用人口入力シート!A:X,D79,FALSE),0)</f>
        <v>107</v>
      </c>
      <c r="C79" s="17">
        <f>ROUND(VLOOKUP(B$63&amp;"_2",管理者用人口入力シート!A:X,D79,FALSE),0)</f>
        <v>167</v>
      </c>
      <c r="D79" s="2">
        <v>18</v>
      </c>
      <c r="G79" s="2" t="s">
        <v>10</v>
      </c>
      <c r="H79" s="17">
        <f>ROUND(VLOOKUP(H$67&amp;"_1",管理者用人口入力シート!BH:CE,J79,FALSE),0)</f>
        <v>158</v>
      </c>
      <c r="I79" s="17">
        <f>ROUND(VLOOKUP(H$67&amp;"_2",管理者用人口入力シート!BH:CE,J79,FALSE),0)</f>
        <v>162</v>
      </c>
      <c r="J79" s="2">
        <v>14</v>
      </c>
      <c r="K79" s="12"/>
      <c r="N79" s="2" t="s">
        <v>10</v>
      </c>
      <c r="O79" s="17">
        <f>ROUND(VLOOKUP(O$67&amp;"_1",管理者用人口入力シート!CO:DL,Q79,FALSE),0)</f>
        <v>158</v>
      </c>
      <c r="P79" s="17">
        <f>ROUND(VLOOKUP(O$67&amp;"_2",管理者用人口入力シート!CO:DL,Q79,FALSE),0)</f>
        <v>162</v>
      </c>
      <c r="Q79" s="2">
        <v>14</v>
      </c>
      <c r="U79" s="85"/>
    </row>
    <row r="80" spans="1:21" x14ac:dyDescent="0.15">
      <c r="A80" s="2" t="s">
        <v>15</v>
      </c>
      <c r="B80" s="17">
        <f>ROUND(VLOOKUP(B$63&amp;"_1",管理者用人口入力シート!A:X,D80,FALSE),0)</f>
        <v>120</v>
      </c>
      <c r="C80" s="17">
        <f>ROUND(VLOOKUP(B$63&amp;"_2",管理者用人口入力シート!A:X,D80,FALSE),0)</f>
        <v>169</v>
      </c>
      <c r="D80" s="2">
        <v>19</v>
      </c>
      <c r="G80" s="2" t="s">
        <v>11</v>
      </c>
      <c r="H80" s="17">
        <f>ROUND(VLOOKUP(H$67&amp;"_1",管理者用人口入力シート!BH:CE,J80,FALSE),0)</f>
        <v>146</v>
      </c>
      <c r="I80" s="17">
        <f>ROUND(VLOOKUP(H$67&amp;"_2",管理者用人口入力シート!BH:CE,J80,FALSE),0)</f>
        <v>156</v>
      </c>
      <c r="J80" s="2">
        <v>15</v>
      </c>
      <c r="K80" s="12"/>
      <c r="N80" s="2" t="s">
        <v>11</v>
      </c>
      <c r="O80" s="17">
        <f>ROUND(VLOOKUP(O$67&amp;"_1",管理者用人口入力シート!CO:DL,Q80,FALSE),0)</f>
        <v>146</v>
      </c>
      <c r="P80" s="17">
        <f>ROUND(VLOOKUP(O$67&amp;"_2",管理者用人口入力シート!CO:DL,Q80,FALSE),0)</f>
        <v>156</v>
      </c>
      <c r="Q80" s="2">
        <v>15</v>
      </c>
      <c r="U80" s="85"/>
    </row>
    <row r="81" spans="1:21" x14ac:dyDescent="0.15">
      <c r="A81" s="2" t="s">
        <v>16</v>
      </c>
      <c r="B81" s="17">
        <f>ROUND(VLOOKUP(B$63&amp;"_1",管理者用人口入力シート!A:X,D81,FALSE),0)</f>
        <v>78</v>
      </c>
      <c r="C81" s="17">
        <f>ROUND(VLOOKUP(B$63&amp;"_2",管理者用人口入力シート!A:X,D81,FALSE),0)</f>
        <v>126</v>
      </c>
      <c r="D81" s="2">
        <v>20</v>
      </c>
      <c r="G81" s="2" t="s">
        <v>12</v>
      </c>
      <c r="H81" s="17">
        <f>ROUND(VLOOKUP(H$67&amp;"_1",管理者用人口入力シート!BH:CE,J81,FALSE),0)</f>
        <v>116</v>
      </c>
      <c r="I81" s="17">
        <f>ROUND(VLOOKUP(H$67&amp;"_2",管理者用人口入力シート!BH:CE,J81,FALSE),0)</f>
        <v>122</v>
      </c>
      <c r="J81" s="2">
        <v>16</v>
      </c>
      <c r="K81" s="12"/>
      <c r="N81" s="2" t="s">
        <v>12</v>
      </c>
      <c r="O81" s="17">
        <f>ROUND(VLOOKUP(O$67&amp;"_1",管理者用人口入力シート!CO:DL,Q81,FALSE),0)</f>
        <v>116</v>
      </c>
      <c r="P81" s="17">
        <f>ROUND(VLOOKUP(O$67&amp;"_2",管理者用人口入力シート!CO:DL,Q81,FALSE),0)</f>
        <v>122</v>
      </c>
      <c r="Q81" s="2">
        <v>16</v>
      </c>
      <c r="U81" s="85"/>
    </row>
    <row r="82" spans="1:21" x14ac:dyDescent="0.15">
      <c r="A82" s="2" t="s">
        <v>17</v>
      </c>
      <c r="B82" s="17">
        <f>ROUND(VLOOKUP(B$63&amp;"_1",管理者用人口入力シート!A:X,D82,FALSE),0)</f>
        <v>39</v>
      </c>
      <c r="C82" s="17">
        <f>ROUND(VLOOKUP(B$63&amp;"_2",管理者用人口入力シート!A:X,D82,FALSE),0)</f>
        <v>89</v>
      </c>
      <c r="D82" s="2">
        <v>21</v>
      </c>
      <c r="G82" s="2" t="s">
        <v>13</v>
      </c>
      <c r="H82" s="17">
        <f>ROUND(VLOOKUP(H$67&amp;"_1",管理者用人口入力シート!BH:CE,J82,FALSE),0)</f>
        <v>122</v>
      </c>
      <c r="I82" s="17">
        <f>ROUND(VLOOKUP(H$67&amp;"_2",管理者用人口入力シート!BH:CE,J82,FALSE),0)</f>
        <v>143</v>
      </c>
      <c r="J82" s="2">
        <v>17</v>
      </c>
      <c r="K82" s="12"/>
      <c r="N82" s="2" t="s">
        <v>13</v>
      </c>
      <c r="O82" s="17">
        <f>ROUND(VLOOKUP(O$67&amp;"_1",管理者用人口入力シート!CO:DL,Q82,FALSE),0)</f>
        <v>122</v>
      </c>
      <c r="P82" s="17">
        <f>ROUND(VLOOKUP(O$67&amp;"_2",管理者用人口入力シート!CO:DL,Q82,FALSE),0)</f>
        <v>143</v>
      </c>
      <c r="Q82" s="2">
        <v>17</v>
      </c>
      <c r="U82" s="85"/>
    </row>
    <row r="83" spans="1:21" x14ac:dyDescent="0.15">
      <c r="A83" s="2" t="s">
        <v>18</v>
      </c>
      <c r="B83" s="17">
        <f>ROUND(VLOOKUP(B$63&amp;"_1",管理者用人口入力シート!A:X,D83,FALSE),0)</f>
        <v>16</v>
      </c>
      <c r="C83" s="17">
        <f>ROUND(VLOOKUP(B$63&amp;"_2",管理者用人口入力シート!A:X,D83,FALSE),0)</f>
        <v>39</v>
      </c>
      <c r="D83" s="2">
        <v>22</v>
      </c>
      <c r="G83" s="2" t="s">
        <v>14</v>
      </c>
      <c r="H83" s="17">
        <f>ROUND(VLOOKUP(H$67&amp;"_1",管理者用人口入力シート!BH:CE,J83,FALSE),0)</f>
        <v>125</v>
      </c>
      <c r="I83" s="17">
        <f>ROUND(VLOOKUP(H$67&amp;"_2",管理者用人口入力シート!BH:CE,J83,FALSE),0)</f>
        <v>151</v>
      </c>
      <c r="J83" s="2">
        <v>18</v>
      </c>
      <c r="K83" s="12"/>
      <c r="N83" s="2" t="s">
        <v>14</v>
      </c>
      <c r="O83" s="17">
        <f>ROUND(VLOOKUP(O$67&amp;"_1",管理者用人口入力シート!CO:DL,Q83,FALSE),0)</f>
        <v>125</v>
      </c>
      <c r="P83" s="17">
        <f>ROUND(VLOOKUP(O$67&amp;"_2",管理者用人口入力シート!CO:DL,Q83,FALSE),0)</f>
        <v>151</v>
      </c>
      <c r="Q83" s="2">
        <v>18</v>
      </c>
      <c r="U83" s="85"/>
    </row>
    <row r="84" spans="1:21" x14ac:dyDescent="0.15">
      <c r="A84" s="2" t="s">
        <v>19</v>
      </c>
      <c r="B84" s="17">
        <f>ROUND(VLOOKUP(B$63&amp;"_1",管理者用人口入力シート!A:X,D84,FALSE),0)</f>
        <v>1</v>
      </c>
      <c r="C84" s="17">
        <f>ROUND(VLOOKUP(B$63&amp;"_2",管理者用人口入力シート!A:X,D84,FALSE),0)</f>
        <v>13</v>
      </c>
      <c r="D84" s="2">
        <v>23</v>
      </c>
      <c r="G84" s="2" t="s">
        <v>15</v>
      </c>
      <c r="H84" s="17">
        <f>ROUND(VLOOKUP(H$67&amp;"_1",管理者用人口入力シート!BH:CE,J84,FALSE),0)</f>
        <v>135</v>
      </c>
      <c r="I84" s="17">
        <f>ROUND(VLOOKUP(H$67&amp;"_2",管理者用人口入力シート!BH:CE,J84,FALSE),0)</f>
        <v>175</v>
      </c>
      <c r="J84" s="2">
        <v>19</v>
      </c>
      <c r="K84" s="12"/>
      <c r="N84" s="2" t="s">
        <v>15</v>
      </c>
      <c r="O84" s="17">
        <f>ROUND(VLOOKUP(O$67&amp;"_1",管理者用人口入力シート!CO:DL,Q84,FALSE),0)</f>
        <v>135</v>
      </c>
      <c r="P84" s="17">
        <f>ROUND(VLOOKUP(O$67&amp;"_2",管理者用人口入力シート!CO:DL,Q84,FALSE),0)</f>
        <v>175</v>
      </c>
      <c r="Q84" s="2">
        <v>19</v>
      </c>
      <c r="U84" s="85"/>
    </row>
    <row r="85" spans="1:21" x14ac:dyDescent="0.15">
      <c r="A85" s="2" t="s">
        <v>20</v>
      </c>
      <c r="B85" s="17">
        <f>ROUND(VLOOKUP(B$63&amp;"_1",管理者用人口入力シート!A:X,D85,FALSE),0)</f>
        <v>0</v>
      </c>
      <c r="C85" s="17">
        <f>ROUND(VLOOKUP(B$63&amp;"_2",管理者用人口入力シート!A:X,D85,FALSE),0)</f>
        <v>1</v>
      </c>
      <c r="D85" s="2">
        <v>24</v>
      </c>
      <c r="G85" s="2" t="s">
        <v>16</v>
      </c>
      <c r="H85" s="17">
        <f>ROUND(VLOOKUP(H$67&amp;"_1",管理者用人口入力シート!BH:CE,J85,FALSE),0)</f>
        <v>75</v>
      </c>
      <c r="I85" s="17">
        <f>ROUND(VLOOKUP(H$67&amp;"_2",管理者用人口入力シート!BH:CE,J85,FALSE),0)</f>
        <v>135</v>
      </c>
      <c r="J85" s="2">
        <v>20</v>
      </c>
      <c r="K85" s="12"/>
      <c r="N85" s="2" t="s">
        <v>16</v>
      </c>
      <c r="O85" s="17">
        <f>ROUND(VLOOKUP(O$67&amp;"_1",管理者用人口入力シート!CO:DL,Q85,FALSE),0)</f>
        <v>75</v>
      </c>
      <c r="P85" s="17">
        <f>ROUND(VLOOKUP(O$67&amp;"_2",管理者用人口入力シート!CO:DL,Q85,FALSE),0)</f>
        <v>135</v>
      </c>
      <c r="Q85" s="2">
        <v>20</v>
      </c>
      <c r="U85" s="85"/>
    </row>
    <row r="86" spans="1:21" x14ac:dyDescent="0.15">
      <c r="G86" s="2" t="s">
        <v>17</v>
      </c>
      <c r="H86" s="17">
        <f>ROUND(VLOOKUP(H$67&amp;"_1",管理者用人口入力シート!BH:CE,J86,FALSE),0)</f>
        <v>59</v>
      </c>
      <c r="I86" s="17">
        <f>ROUND(VLOOKUP(H$67&amp;"_2",管理者用人口入力シート!BH:CE,J86,FALSE),0)</f>
        <v>104</v>
      </c>
      <c r="J86" s="2">
        <v>21</v>
      </c>
      <c r="K86" s="12"/>
      <c r="N86" s="2" t="s">
        <v>17</v>
      </c>
      <c r="O86" s="17">
        <f>ROUND(VLOOKUP(O$67&amp;"_1",管理者用人口入力シート!CO:DL,Q86,FALSE),0)</f>
        <v>59</v>
      </c>
      <c r="P86" s="17">
        <f>ROUND(VLOOKUP(O$67&amp;"_2",管理者用人口入力シート!CO:DL,Q86,FALSE),0)</f>
        <v>104</v>
      </c>
      <c r="Q86" s="2">
        <v>21</v>
      </c>
      <c r="U86" s="85"/>
    </row>
    <row r="87" spans="1:21" x14ac:dyDescent="0.15">
      <c r="A87" s="2" t="s">
        <v>62</v>
      </c>
      <c r="B87" s="314">
        <f>管理者入力シート!B5</f>
        <v>2020</v>
      </c>
      <c r="C87" s="315"/>
      <c r="D87" s="2" t="s">
        <v>114</v>
      </c>
      <c r="G87" s="2" t="s">
        <v>18</v>
      </c>
      <c r="H87" s="17">
        <f>ROUND(VLOOKUP(H$67&amp;"_1",管理者用人口入力シート!BH:CE,J87,FALSE),0)</f>
        <v>32</v>
      </c>
      <c r="I87" s="17">
        <f>ROUND(VLOOKUP(H$67&amp;"_2",管理者用人口入力シート!BH:CE,J87,FALSE),0)</f>
        <v>58</v>
      </c>
      <c r="J87" s="2">
        <v>22</v>
      </c>
      <c r="K87" s="12"/>
      <c r="N87" s="2" t="s">
        <v>18</v>
      </c>
      <c r="O87" s="17">
        <f>ROUND(VLOOKUP(O$67&amp;"_1",管理者用人口入力シート!CO:DL,Q87,FALSE),0)</f>
        <v>32</v>
      </c>
      <c r="P87" s="17">
        <f>ROUND(VLOOKUP(O$67&amp;"_2",管理者用人口入力シート!CO:DL,Q87,FALSE),0)</f>
        <v>58</v>
      </c>
      <c r="Q87" s="2">
        <v>22</v>
      </c>
      <c r="U87" s="85"/>
    </row>
    <row r="88" spans="1:21" x14ac:dyDescent="0.15">
      <c r="A88" s="2" t="s">
        <v>115</v>
      </c>
      <c r="B88" s="18" t="s">
        <v>21</v>
      </c>
      <c r="C88" s="18" t="s">
        <v>22</v>
      </c>
      <c r="G88" s="2" t="s">
        <v>19</v>
      </c>
      <c r="H88" s="17">
        <f>ROUND(VLOOKUP(H$67&amp;"_1",管理者用人口入力シート!BH:CE,J88,FALSE),0)</f>
        <v>6</v>
      </c>
      <c r="I88" s="17">
        <f>ROUND(VLOOKUP(H$67&amp;"_2",管理者用人口入力シート!BH:CE,J88,FALSE),0)</f>
        <v>21</v>
      </c>
      <c r="J88" s="2">
        <v>23</v>
      </c>
      <c r="K88" s="12"/>
      <c r="N88" s="2" t="s">
        <v>19</v>
      </c>
      <c r="O88" s="17">
        <f>ROUND(VLOOKUP(O$67&amp;"_1",管理者用人口入力シート!CO:DL,Q88,FALSE),0)</f>
        <v>6</v>
      </c>
      <c r="P88" s="17">
        <f>ROUND(VLOOKUP(O$67&amp;"_2",管理者用人口入力シート!CO:DL,Q88,FALSE),0)</f>
        <v>21</v>
      </c>
      <c r="Q88" s="2">
        <v>23</v>
      </c>
      <c r="U88" s="85"/>
    </row>
    <row r="89" spans="1:21" x14ac:dyDescent="0.15">
      <c r="A89" s="2" t="s">
        <v>0</v>
      </c>
      <c r="B89" s="17">
        <f>ROUND(VLOOKUP(B$87&amp;"_1",管理者用人口入力シート!A:X,D89,FALSE),0)</f>
        <v>87</v>
      </c>
      <c r="C89" s="17">
        <f>ROUND(VLOOKUP(B$87&amp;"_2",管理者用人口入力シート!A:X,D89,FALSE),0)</f>
        <v>95</v>
      </c>
      <c r="D89" s="2">
        <v>4</v>
      </c>
      <c r="G89" s="2" t="s">
        <v>20</v>
      </c>
      <c r="H89" s="17">
        <f>ROUND(VLOOKUP(H$67&amp;"_1",管理者用人口入力シート!BH:CE,J89,FALSE),0)</f>
        <v>0</v>
      </c>
      <c r="I89" s="17">
        <f>ROUND(VLOOKUP(H$67&amp;"_2",管理者用人口入力シート!BH:CE,J89,FALSE),0)</f>
        <v>5</v>
      </c>
      <c r="J89" s="2">
        <v>24</v>
      </c>
      <c r="K89" s="12"/>
      <c r="N89" s="2" t="s">
        <v>20</v>
      </c>
      <c r="O89" s="17">
        <f>ROUND(VLOOKUP(O$67&amp;"_1",管理者用人口入力シート!CO:DL,Q89,FALSE),0)</f>
        <v>0</v>
      </c>
      <c r="P89" s="17">
        <f>ROUND(VLOOKUP(O$67&amp;"_2",管理者用人口入力シート!CO:DL,Q89,FALSE),0)</f>
        <v>5</v>
      </c>
      <c r="Q89" s="2">
        <v>24</v>
      </c>
      <c r="U89" s="85"/>
    </row>
    <row r="90" spans="1:21" x14ac:dyDescent="0.15">
      <c r="A90" s="2" t="s">
        <v>1</v>
      </c>
      <c r="B90" s="17">
        <f>ROUND(VLOOKUP(B$87&amp;"_1",管理者用人口入力シート!A:X,D90,FALSE),0)</f>
        <v>76</v>
      </c>
      <c r="C90" s="17">
        <f>ROUND(VLOOKUP(B$87&amp;"_2",管理者用人口入力シート!A:X,D90,FALSE),0)</f>
        <v>96</v>
      </c>
      <c r="D90" s="2">
        <v>5</v>
      </c>
    </row>
    <row r="91" spans="1:21" x14ac:dyDescent="0.15">
      <c r="A91" s="2" t="s">
        <v>2</v>
      </c>
      <c r="B91" s="17">
        <f>ROUND(VLOOKUP(B$87&amp;"_1",管理者用人口入力シート!A:X,D91,FALSE),0)</f>
        <v>87</v>
      </c>
      <c r="C91" s="17">
        <f>ROUND(VLOOKUP(B$87&amp;"_2",管理者用人口入力シート!A:X,D91,FALSE),0)</f>
        <v>93</v>
      </c>
      <c r="D91" s="2">
        <v>6</v>
      </c>
      <c r="G91" s="2" t="s">
        <v>107</v>
      </c>
      <c r="H91" s="314">
        <f>管理者入力シート!B9</f>
        <v>2030</v>
      </c>
      <c r="I91" s="315"/>
      <c r="J91" s="2" t="s">
        <v>114</v>
      </c>
      <c r="K91" s="208"/>
      <c r="O91" s="314">
        <f>管理者入力シート!B9</f>
        <v>2030</v>
      </c>
      <c r="P91" s="315"/>
      <c r="Q91" s="2" t="s">
        <v>114</v>
      </c>
    </row>
    <row r="92" spans="1:21" x14ac:dyDescent="0.15">
      <c r="A92" s="2" t="s">
        <v>3</v>
      </c>
      <c r="B92" s="17">
        <f>ROUND(VLOOKUP(B$87&amp;"_1",管理者用人口入力シート!A:X,D92,FALSE),0)</f>
        <v>101</v>
      </c>
      <c r="C92" s="17">
        <f>ROUND(VLOOKUP(B$87&amp;"_2",管理者用人口入力シート!A:X,D92,FALSE),0)</f>
        <v>79</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79</v>
      </c>
      <c r="C93" s="17">
        <f>ROUND(VLOOKUP(B$87&amp;"_2",管理者用人口入力シート!A:X,D93,FALSE),0)</f>
        <v>70</v>
      </c>
      <c r="D93" s="2">
        <v>8</v>
      </c>
      <c r="G93" s="2" t="s">
        <v>0</v>
      </c>
      <c r="H93" s="17">
        <f>ROUND(VLOOKUP(H$91&amp;"_1",管理者用人口入力シート!BH:CE,J93,FALSE),0)</f>
        <v>63</v>
      </c>
      <c r="I93" s="17">
        <f>ROUND(VLOOKUP(H$91&amp;"_2",管理者用人口入力シート!BH:CE,J93,FALSE),0)</f>
        <v>69</v>
      </c>
      <c r="J93" s="2">
        <v>4</v>
      </c>
      <c r="K93" s="12"/>
      <c r="N93" s="2" t="s">
        <v>0</v>
      </c>
      <c r="O93" s="17">
        <f>ROUND(VLOOKUP(O$91&amp;"_1",管理者用人口入力シート!CO:DL,Q93,FALSE),0)</f>
        <v>65</v>
      </c>
      <c r="P93" s="17">
        <f>ROUND(VLOOKUP(O$91&amp;"_2",管理者用人口入力シート!CO:DL,Q93,FALSE),0)</f>
        <v>71</v>
      </c>
      <c r="Q93" s="2">
        <v>4</v>
      </c>
      <c r="T93" s="85"/>
    </row>
    <row r="94" spans="1:21" x14ac:dyDescent="0.15">
      <c r="A94" s="2" t="s">
        <v>5</v>
      </c>
      <c r="B94" s="17">
        <f>ROUND(VLOOKUP(B$87&amp;"_1",管理者用人口入力シート!A:X,D94,FALSE),0)</f>
        <v>118</v>
      </c>
      <c r="C94" s="17">
        <f>ROUND(VLOOKUP(B$87&amp;"_2",管理者用人口入力シート!A:X,D94,FALSE),0)</f>
        <v>117</v>
      </c>
      <c r="D94" s="2">
        <v>9</v>
      </c>
      <c r="G94" s="2" t="s">
        <v>1</v>
      </c>
      <c r="H94" s="17">
        <f>ROUND(VLOOKUP(H$91&amp;"_1",管理者用人口入力シート!BH:CE,J94,FALSE),0)</f>
        <v>69</v>
      </c>
      <c r="I94" s="17">
        <f>ROUND(VLOOKUP(H$91&amp;"_2",管理者用人口入力シート!BH:CE,J94,FALSE),0)</f>
        <v>69</v>
      </c>
      <c r="J94" s="2">
        <v>5</v>
      </c>
      <c r="K94" s="12"/>
      <c r="N94" s="2" t="s">
        <v>1</v>
      </c>
      <c r="O94" s="17">
        <f>ROUND(VLOOKUP(O$91&amp;"_1",管理者用人口入力シート!CO:DL,Q94,FALSE),0)</f>
        <v>70</v>
      </c>
      <c r="P94" s="17">
        <f>ROUND(VLOOKUP(O$91&amp;"_2",管理者用人口入力シート!CO:DL,Q94,FALSE),0)</f>
        <v>70</v>
      </c>
      <c r="Q94" s="2">
        <v>5</v>
      </c>
      <c r="T94" s="85"/>
    </row>
    <row r="95" spans="1:21" x14ac:dyDescent="0.15">
      <c r="A95" s="2" t="s">
        <v>6</v>
      </c>
      <c r="B95" s="17">
        <f>ROUND(VLOOKUP(B$87&amp;"_1",管理者用人口入力シート!A:X,D95,FALSE),0)</f>
        <v>109</v>
      </c>
      <c r="C95" s="17">
        <f>ROUND(VLOOKUP(B$87&amp;"_2",管理者用人口入力シート!A:X,D95,FALSE),0)</f>
        <v>118</v>
      </c>
      <c r="D95" s="2">
        <v>10</v>
      </c>
      <c r="G95" s="2" t="s">
        <v>2</v>
      </c>
      <c r="H95" s="17">
        <f>ROUND(VLOOKUP(H$91&amp;"_1",管理者用人口入力シート!BH:CE,J95,FALSE),0)</f>
        <v>71</v>
      </c>
      <c r="I95" s="17">
        <f>ROUND(VLOOKUP(H$91&amp;"_2",管理者用人口入力シート!BH:CE,J95,FALSE),0)</f>
        <v>81</v>
      </c>
      <c r="J95" s="2">
        <v>6</v>
      </c>
      <c r="K95" s="12"/>
      <c r="N95" s="2" t="s">
        <v>2</v>
      </c>
      <c r="O95" s="17">
        <f>ROUND(VLOOKUP(O$91&amp;"_1",管理者用人口入力シート!CO:DL,Q95,FALSE),0)</f>
        <v>72</v>
      </c>
      <c r="P95" s="17">
        <f>ROUND(VLOOKUP(O$91&amp;"_2",管理者用人口入力シート!CO:DL,Q95,FALSE),0)</f>
        <v>82</v>
      </c>
      <c r="Q95" s="2">
        <v>6</v>
      </c>
      <c r="T95" s="85"/>
    </row>
    <row r="96" spans="1:21" x14ac:dyDescent="0.15">
      <c r="A96" s="2" t="s">
        <v>7</v>
      </c>
      <c r="B96" s="17">
        <f>ROUND(VLOOKUP(B$87&amp;"_1",管理者用人口入力シート!A:X,D96,FALSE),0)</f>
        <v>108</v>
      </c>
      <c r="C96" s="17">
        <f>ROUND(VLOOKUP(B$87&amp;"_2",管理者用人口入力シート!A:X,D96,FALSE),0)</f>
        <v>109</v>
      </c>
      <c r="D96" s="2">
        <v>11</v>
      </c>
      <c r="G96" s="2" t="s">
        <v>3</v>
      </c>
      <c r="H96" s="17">
        <f>ROUND(VLOOKUP(H$91&amp;"_1",管理者用人口入力シート!BH:CE,J96,FALSE),0)</f>
        <v>62</v>
      </c>
      <c r="I96" s="17">
        <f>ROUND(VLOOKUP(H$91&amp;"_2",管理者用人口入力シート!BH:CE,J96,FALSE),0)</f>
        <v>77</v>
      </c>
      <c r="J96" s="2">
        <v>7</v>
      </c>
      <c r="K96" s="12"/>
      <c r="N96" s="2" t="s">
        <v>3</v>
      </c>
      <c r="O96" s="17">
        <f>ROUND(VLOOKUP(O$91&amp;"_1",管理者用人口入力シート!CO:DL,Q96,FALSE),0)</f>
        <v>63</v>
      </c>
      <c r="P96" s="17">
        <f>ROUND(VLOOKUP(O$91&amp;"_2",管理者用人口入力シート!CO:DL,Q96,FALSE),0)</f>
        <v>78</v>
      </c>
      <c r="Q96" s="2">
        <v>7</v>
      </c>
      <c r="T96" s="85"/>
    </row>
    <row r="97" spans="1:20" x14ac:dyDescent="0.15">
      <c r="A97" s="2" t="s">
        <v>8</v>
      </c>
      <c r="B97" s="17">
        <f>ROUND(VLOOKUP(B$87&amp;"_1",管理者用人口入力シート!A:X,D97,FALSE),0)</f>
        <v>123</v>
      </c>
      <c r="C97" s="17">
        <f>ROUND(VLOOKUP(B$87&amp;"_2",管理者用人口入力シート!A:X,D97,FALSE),0)</f>
        <v>154</v>
      </c>
      <c r="D97" s="2">
        <v>12</v>
      </c>
      <c r="G97" s="2" t="s">
        <v>4</v>
      </c>
      <c r="H97" s="17">
        <f>ROUND(VLOOKUP(H$91&amp;"_1",管理者用人口入力シート!BH:CE,J97,FALSE),0)</f>
        <v>53</v>
      </c>
      <c r="I97" s="17">
        <f>ROUND(VLOOKUP(H$91&amp;"_2",管理者用人口入力シート!BH:CE,J97,FALSE),0)</f>
        <v>54</v>
      </c>
      <c r="J97" s="2">
        <v>8</v>
      </c>
      <c r="K97" s="12"/>
      <c r="N97" s="2" t="s">
        <v>4</v>
      </c>
      <c r="O97" s="17">
        <f>ROUND(VLOOKUP(O$91&amp;"_1",管理者用人口入力シート!CO:DL,Q97,FALSE),0)</f>
        <v>53</v>
      </c>
      <c r="P97" s="17">
        <f>ROUND(VLOOKUP(O$91&amp;"_2",管理者用人口入力シート!CO:DL,Q97,FALSE),0)</f>
        <v>54</v>
      </c>
      <c r="Q97" s="2">
        <v>8</v>
      </c>
      <c r="T97" s="85"/>
    </row>
    <row r="98" spans="1:20" x14ac:dyDescent="0.15">
      <c r="A98" s="2" t="s">
        <v>9</v>
      </c>
      <c r="B98" s="17">
        <f>ROUND(VLOOKUP(B$87&amp;"_1",管理者用人口入力シート!A:X,D98,FALSE),0)</f>
        <v>153</v>
      </c>
      <c r="C98" s="17">
        <f>ROUND(VLOOKUP(B$87&amp;"_2",管理者用人口入力シート!A:X,D98,FALSE),0)</f>
        <v>171</v>
      </c>
      <c r="D98" s="2">
        <v>13</v>
      </c>
      <c r="G98" s="2" t="s">
        <v>5</v>
      </c>
      <c r="H98" s="17">
        <f>ROUND(VLOOKUP(H$91&amp;"_1",管理者用人口入力シート!BH:CE,J98,FALSE),0)</f>
        <v>87</v>
      </c>
      <c r="I98" s="17">
        <f>ROUND(VLOOKUP(H$91&amp;"_2",管理者用人口入力シート!BH:CE,J98,FALSE),0)</f>
        <v>72</v>
      </c>
      <c r="J98" s="2">
        <v>9</v>
      </c>
      <c r="K98" s="12"/>
      <c r="N98" s="2" t="s">
        <v>5</v>
      </c>
      <c r="O98" s="17">
        <f>ROUND(VLOOKUP(O$91&amp;"_1",管理者用人口入力シート!CO:DL,Q98,FALSE),0)</f>
        <v>89</v>
      </c>
      <c r="P98" s="17">
        <f>ROUND(VLOOKUP(O$91&amp;"_2",管理者用人口入力シート!CO:DL,Q98,FALSE),0)</f>
        <v>74</v>
      </c>
      <c r="Q98" s="2">
        <v>9</v>
      </c>
      <c r="T98" s="85"/>
    </row>
    <row r="99" spans="1:20" x14ac:dyDescent="0.15">
      <c r="A99" s="2" t="s">
        <v>10</v>
      </c>
      <c r="B99" s="17">
        <f>ROUND(VLOOKUP(B$87&amp;"_1",管理者用人口入力シート!A:X,D99,FALSE),0)</f>
        <v>160</v>
      </c>
      <c r="C99" s="17">
        <f>ROUND(VLOOKUP(B$87&amp;"_2",管理者用人口入力シート!A:X,D99,FALSE),0)</f>
        <v>164</v>
      </c>
      <c r="D99" s="2">
        <v>14</v>
      </c>
      <c r="G99" s="2" t="s">
        <v>6</v>
      </c>
      <c r="H99" s="17">
        <f>ROUND(VLOOKUP(H$91&amp;"_1",管理者用人口入力シート!BH:CE,J99,FALSE),0)</f>
        <v>97</v>
      </c>
      <c r="I99" s="17">
        <f>ROUND(VLOOKUP(H$91&amp;"_2",管理者用人口入力シート!BH:CE,J99,FALSE),0)</f>
        <v>78</v>
      </c>
      <c r="J99" s="2">
        <v>10</v>
      </c>
      <c r="K99" s="12"/>
      <c r="N99" s="2" t="s">
        <v>6</v>
      </c>
      <c r="O99" s="17">
        <f>ROUND(VLOOKUP(O$91&amp;"_1",管理者用人口入力シート!CO:DL,Q99,FALSE),0)</f>
        <v>99</v>
      </c>
      <c r="P99" s="17">
        <f>ROUND(VLOOKUP(O$91&amp;"_2",管理者用人口入力シート!CO:DL,Q99,FALSE),0)</f>
        <v>79</v>
      </c>
      <c r="Q99" s="2">
        <v>10</v>
      </c>
      <c r="T99" s="85"/>
    </row>
    <row r="100" spans="1:20" x14ac:dyDescent="0.15">
      <c r="A100" s="2" t="s">
        <v>11</v>
      </c>
      <c r="B100" s="17">
        <f>ROUND(VLOOKUP(B$87&amp;"_1",管理者用人口入力シート!A:X,D100,FALSE),0)</f>
        <v>124</v>
      </c>
      <c r="C100" s="17">
        <f>ROUND(VLOOKUP(B$87&amp;"_2",管理者用人口入力シート!A:X,D100,FALSE),0)</f>
        <v>136</v>
      </c>
      <c r="D100" s="2">
        <v>15</v>
      </c>
      <c r="G100" s="2" t="s">
        <v>7</v>
      </c>
      <c r="H100" s="17">
        <f>ROUND(VLOOKUP(H$91&amp;"_1",管理者用人口入力シート!BH:CE,J100,FALSE),0)</f>
        <v>103</v>
      </c>
      <c r="I100" s="17">
        <f>ROUND(VLOOKUP(H$91&amp;"_2",管理者用人口入力シート!BH:CE,J100,FALSE),0)</f>
        <v>97</v>
      </c>
      <c r="J100" s="2">
        <v>11</v>
      </c>
      <c r="K100" s="12"/>
      <c r="N100" s="2" t="s">
        <v>7</v>
      </c>
      <c r="O100" s="17">
        <f>ROUND(VLOOKUP(O$91&amp;"_1",管理者用人口入力シート!CO:DL,Q100,FALSE),0)</f>
        <v>103</v>
      </c>
      <c r="P100" s="17">
        <f>ROUND(VLOOKUP(O$91&amp;"_2",管理者用人口入力シート!CO:DL,Q100,FALSE),0)</f>
        <v>97</v>
      </c>
      <c r="Q100" s="2">
        <v>11</v>
      </c>
      <c r="T100" s="85"/>
    </row>
    <row r="101" spans="1:20" x14ac:dyDescent="0.15">
      <c r="A101" s="2" t="s">
        <v>12</v>
      </c>
      <c r="B101" s="17">
        <f>ROUND(VLOOKUP(B$87&amp;"_1",管理者用人口入力シート!A:X,D101,FALSE),0)</f>
        <v>138</v>
      </c>
      <c r="C101" s="17">
        <f>ROUND(VLOOKUP(B$87&amp;"_2",管理者用人口入力シート!A:X,D101,FALSE),0)</f>
        <v>153</v>
      </c>
      <c r="D101" s="2">
        <v>16</v>
      </c>
      <c r="G101" s="2" t="s">
        <v>8</v>
      </c>
      <c r="H101" s="17">
        <f>ROUND(VLOOKUP(H$91&amp;"_1",管理者用人口入力シート!BH:CE,J101,FALSE),0)</f>
        <v>97</v>
      </c>
      <c r="I101" s="17">
        <f>ROUND(VLOOKUP(H$91&amp;"_2",管理者用人口入力シート!BH:CE,J101,FALSE),0)</f>
        <v>105</v>
      </c>
      <c r="J101" s="2">
        <v>12</v>
      </c>
      <c r="K101" s="12"/>
      <c r="N101" s="2" t="s">
        <v>8</v>
      </c>
      <c r="O101" s="17">
        <f>ROUND(VLOOKUP(O$91&amp;"_1",管理者用人口入力シート!CO:DL,Q101,FALSE),0)</f>
        <v>97</v>
      </c>
      <c r="P101" s="17">
        <f>ROUND(VLOOKUP(O$91&amp;"_2",管理者用人口入力シート!CO:DL,Q101,FALSE),0)</f>
        <v>106</v>
      </c>
      <c r="Q101" s="2">
        <v>12</v>
      </c>
      <c r="T101" s="85"/>
    </row>
    <row r="102" spans="1:20" x14ac:dyDescent="0.15">
      <c r="A102" s="2" t="s">
        <v>13</v>
      </c>
      <c r="B102" s="17">
        <f>ROUND(VLOOKUP(B$87&amp;"_1",管理者用人口入力シート!A:X,D102,FALSE),0)</f>
        <v>145</v>
      </c>
      <c r="C102" s="17">
        <f>ROUND(VLOOKUP(B$87&amp;"_2",管理者用人口入力シート!A:X,D102,FALSE),0)</f>
        <v>164</v>
      </c>
      <c r="D102" s="2">
        <v>17</v>
      </c>
      <c r="G102" s="2" t="s">
        <v>9</v>
      </c>
      <c r="H102" s="17">
        <f>ROUND(VLOOKUP(H$91&amp;"_1",管理者用人口入力シート!BH:CE,J102,FALSE),0)</f>
        <v>102</v>
      </c>
      <c r="I102" s="17">
        <f>ROUND(VLOOKUP(H$91&amp;"_2",管理者用人口入力シート!BH:CE,J102,FALSE),0)</f>
        <v>114</v>
      </c>
      <c r="J102" s="2">
        <v>13</v>
      </c>
      <c r="K102" s="12"/>
      <c r="N102" s="2" t="s">
        <v>9</v>
      </c>
      <c r="O102" s="17">
        <f>ROUND(VLOOKUP(O$91&amp;"_1",管理者用人口入力シート!CO:DL,Q102,FALSE),0)</f>
        <v>102</v>
      </c>
      <c r="P102" s="17">
        <f>ROUND(VLOOKUP(O$91&amp;"_2",管理者用人口入力シート!CO:DL,Q102,FALSE),0)</f>
        <v>115</v>
      </c>
      <c r="Q102" s="2">
        <v>13</v>
      </c>
      <c r="T102" s="85"/>
    </row>
    <row r="103" spans="1:20" x14ac:dyDescent="0.15">
      <c r="A103" s="2" t="s">
        <v>14</v>
      </c>
      <c r="B103" s="17">
        <f>ROUND(VLOOKUP(B$87&amp;"_1",管理者用人口入力シート!A:X,D103,FALSE),0)</f>
        <v>154</v>
      </c>
      <c r="C103" s="17">
        <f>ROUND(VLOOKUP(B$87&amp;"_2",管理者用人口入力シート!A:X,D103,FALSE),0)</f>
        <v>184</v>
      </c>
      <c r="D103" s="2">
        <v>18</v>
      </c>
      <c r="G103" s="2" t="s">
        <v>10</v>
      </c>
      <c r="H103" s="17">
        <f>ROUND(VLOOKUP(H$91&amp;"_1",管理者用人口入力シート!BH:CE,J103,FALSE),0)</f>
        <v>126</v>
      </c>
      <c r="I103" s="17">
        <f>ROUND(VLOOKUP(H$91&amp;"_2",管理者用人口入力シート!BH:CE,J103,FALSE),0)</f>
        <v>158</v>
      </c>
      <c r="J103" s="2">
        <v>14</v>
      </c>
      <c r="K103" s="12"/>
      <c r="N103" s="2" t="s">
        <v>10</v>
      </c>
      <c r="O103" s="17">
        <f>ROUND(VLOOKUP(O$91&amp;"_1",管理者用人口入力シート!CO:DL,Q103,FALSE),0)</f>
        <v>126</v>
      </c>
      <c r="P103" s="17">
        <f>ROUND(VLOOKUP(O$91&amp;"_2",管理者用人口入力シート!CO:DL,Q103,FALSE),0)</f>
        <v>158</v>
      </c>
      <c r="Q103" s="2">
        <v>14</v>
      </c>
      <c r="T103" s="85"/>
    </row>
    <row r="104" spans="1:20" x14ac:dyDescent="0.15">
      <c r="A104" s="2" t="s">
        <v>15</v>
      </c>
      <c r="B104" s="17">
        <f>ROUND(VLOOKUP(B$87&amp;"_1",管理者用人口入力シート!A:X,D104,FALSE),0)</f>
        <v>95</v>
      </c>
      <c r="C104" s="17">
        <f>ROUND(VLOOKUP(B$87&amp;"_2",管理者用人口入力シート!A:X,D104,FALSE),0)</f>
        <v>160</v>
      </c>
      <c r="D104" s="2">
        <v>19</v>
      </c>
      <c r="G104" s="2" t="s">
        <v>11</v>
      </c>
      <c r="H104" s="17">
        <f>ROUND(VLOOKUP(H$91&amp;"_1",管理者用人口入力シート!BH:CE,J104,FALSE),0)</f>
        <v>145</v>
      </c>
      <c r="I104" s="17">
        <f>ROUND(VLOOKUP(H$91&amp;"_2",管理者用人口入力シート!BH:CE,J104,FALSE),0)</f>
        <v>154</v>
      </c>
      <c r="J104" s="2">
        <v>15</v>
      </c>
      <c r="K104" s="12"/>
      <c r="N104" s="2" t="s">
        <v>11</v>
      </c>
      <c r="O104" s="17">
        <f>ROUND(VLOOKUP(O$91&amp;"_1",管理者用人口入力シート!CO:DL,Q104,FALSE),0)</f>
        <v>145</v>
      </c>
      <c r="P104" s="17">
        <f>ROUND(VLOOKUP(O$91&amp;"_2",管理者用人口入力シート!CO:DL,Q104,FALSE),0)</f>
        <v>154</v>
      </c>
      <c r="Q104" s="2">
        <v>15</v>
      </c>
      <c r="T104" s="85"/>
    </row>
    <row r="105" spans="1:20" x14ac:dyDescent="0.15">
      <c r="A105" s="2" t="s">
        <v>16</v>
      </c>
      <c r="B105" s="17">
        <f>ROUND(VLOOKUP(B$87&amp;"_1",管理者用人口入力シート!A:X,D105,FALSE),0)</f>
        <v>94</v>
      </c>
      <c r="C105" s="17">
        <f>ROUND(VLOOKUP(B$87&amp;"_2",管理者用人口入力シート!A:X,D105,FALSE),0)</f>
        <v>143</v>
      </c>
      <c r="D105" s="2">
        <v>20</v>
      </c>
      <c r="G105" s="2" t="s">
        <v>12</v>
      </c>
      <c r="H105" s="17">
        <f>ROUND(VLOOKUP(H$91&amp;"_1",管理者用人口入力シート!BH:CE,J105,FALSE),0)</f>
        <v>137</v>
      </c>
      <c r="I105" s="17">
        <f>ROUND(VLOOKUP(H$91&amp;"_2",管理者用人口入力シート!BH:CE,J105,FALSE),0)</f>
        <v>140</v>
      </c>
      <c r="J105" s="2">
        <v>16</v>
      </c>
      <c r="K105" s="12"/>
      <c r="N105" s="2" t="s">
        <v>12</v>
      </c>
      <c r="O105" s="17">
        <f>ROUND(VLOOKUP(O$91&amp;"_1",管理者用人口入力シート!CO:DL,Q105,FALSE),0)</f>
        <v>137</v>
      </c>
      <c r="P105" s="17">
        <f>ROUND(VLOOKUP(O$91&amp;"_2",管理者用人口入力シート!CO:DL,Q105,FALSE),0)</f>
        <v>140</v>
      </c>
      <c r="Q105" s="2">
        <v>16</v>
      </c>
      <c r="T105" s="85"/>
    </row>
    <row r="106" spans="1:20" x14ac:dyDescent="0.15">
      <c r="A106" s="2" t="s">
        <v>17</v>
      </c>
      <c r="B106" s="17">
        <f>ROUND(VLOOKUP(B$87&amp;"_1",管理者用人口入力シート!A:X,D106,FALSE),0)</f>
        <v>57</v>
      </c>
      <c r="C106" s="17">
        <f>ROUND(VLOOKUP(B$87&amp;"_2",管理者用人口入力シート!A:X,D106,FALSE),0)</f>
        <v>91</v>
      </c>
      <c r="D106" s="2">
        <v>21</v>
      </c>
      <c r="G106" s="2" t="s">
        <v>13</v>
      </c>
      <c r="H106" s="17">
        <f>ROUND(VLOOKUP(H$91&amp;"_1",管理者用人口入力シート!BH:CE,J106,FALSE),0)</f>
        <v>103</v>
      </c>
      <c r="I106" s="17">
        <f>ROUND(VLOOKUP(H$91&amp;"_2",管理者用人口入力シート!BH:CE,J106,FALSE),0)</f>
        <v>114</v>
      </c>
      <c r="J106" s="2">
        <v>17</v>
      </c>
      <c r="K106" s="12"/>
      <c r="N106" s="2" t="s">
        <v>13</v>
      </c>
      <c r="O106" s="17">
        <f>ROUND(VLOOKUP(O$91&amp;"_1",管理者用人口入力シート!CO:DL,Q106,FALSE),0)</f>
        <v>103</v>
      </c>
      <c r="P106" s="17">
        <f>ROUND(VLOOKUP(O$91&amp;"_2",管理者用人口入力シート!CO:DL,Q106,FALSE),0)</f>
        <v>114</v>
      </c>
      <c r="Q106" s="2">
        <v>17</v>
      </c>
      <c r="T106" s="85"/>
    </row>
    <row r="107" spans="1:20" x14ac:dyDescent="0.15">
      <c r="A107" s="2" t="s">
        <v>18</v>
      </c>
      <c r="B107" s="17">
        <f>ROUND(VLOOKUP(B$87&amp;"_1",管理者用人口入力シート!A:X,D107,FALSE),0)</f>
        <v>22</v>
      </c>
      <c r="C107" s="17">
        <f>ROUND(VLOOKUP(B$87&amp;"_2",管理者用人口入力シート!A:X,D107,FALSE),0)</f>
        <v>59</v>
      </c>
      <c r="D107" s="2">
        <v>22</v>
      </c>
      <c r="G107" s="2" t="s">
        <v>14</v>
      </c>
      <c r="H107" s="17">
        <f>ROUND(VLOOKUP(H$91&amp;"_1",管理者用人口入力シート!BH:CE,J107,FALSE),0)</f>
        <v>106</v>
      </c>
      <c r="I107" s="17">
        <f>ROUND(VLOOKUP(H$91&amp;"_2",管理者用人口入力シート!BH:CE,J107,FALSE),0)</f>
        <v>132</v>
      </c>
      <c r="J107" s="2">
        <v>18</v>
      </c>
      <c r="K107" s="12"/>
      <c r="N107" s="2" t="s">
        <v>14</v>
      </c>
      <c r="O107" s="17">
        <f>ROUND(VLOOKUP(O$91&amp;"_1",管理者用人口入力シート!CO:DL,Q107,FALSE),0)</f>
        <v>106</v>
      </c>
      <c r="P107" s="17">
        <f>ROUND(VLOOKUP(O$91&amp;"_2",管理者用人口入力シート!CO:DL,Q107,FALSE),0)</f>
        <v>132</v>
      </c>
      <c r="Q107" s="2">
        <v>18</v>
      </c>
      <c r="T107" s="85"/>
    </row>
    <row r="108" spans="1:20" x14ac:dyDescent="0.15">
      <c r="A108" s="2" t="s">
        <v>19</v>
      </c>
      <c r="B108" s="17">
        <f>ROUND(VLOOKUP(B$87&amp;"_1",管理者用人口入力シート!A:X,D108,FALSE),0)</f>
        <v>6</v>
      </c>
      <c r="C108" s="17">
        <f>ROUND(VLOOKUP(B$87&amp;"_2",管理者用人口入力シート!A:X,D108,FALSE),0)</f>
        <v>13</v>
      </c>
      <c r="D108" s="2">
        <v>23</v>
      </c>
      <c r="G108" s="2" t="s">
        <v>15</v>
      </c>
      <c r="H108" s="17">
        <f>ROUND(VLOOKUP(H$91&amp;"_1",管理者用人口入力シート!BH:CE,J108,FALSE),0)</f>
        <v>110</v>
      </c>
      <c r="I108" s="17">
        <f>ROUND(VLOOKUP(H$91&amp;"_2",管理者用人口入力シート!BH:CE,J108,FALSE),0)</f>
        <v>144</v>
      </c>
      <c r="J108" s="2">
        <v>19</v>
      </c>
      <c r="K108" s="12"/>
      <c r="N108" s="2" t="s">
        <v>15</v>
      </c>
      <c r="O108" s="17">
        <f>ROUND(VLOOKUP(O$91&amp;"_1",管理者用人口入力シート!CO:DL,Q108,FALSE),0)</f>
        <v>110</v>
      </c>
      <c r="P108" s="17">
        <f>ROUND(VLOOKUP(O$91&amp;"_2",管理者用人口入力シート!CO:DL,Q108,FALSE),0)</f>
        <v>144</v>
      </c>
      <c r="Q108" s="2">
        <v>19</v>
      </c>
      <c r="T108" s="85"/>
    </row>
    <row r="109" spans="1:20" x14ac:dyDescent="0.15">
      <c r="A109" s="2" t="s">
        <v>20</v>
      </c>
      <c r="B109" s="17">
        <f>ROUND(VLOOKUP(B$87&amp;"_1",管理者用人口入力シート!A:X,D109,FALSE),0)</f>
        <v>1</v>
      </c>
      <c r="C109" s="17">
        <f>ROUND(VLOOKUP(B$87&amp;"_2",管理者用人口入力シート!A:X,D109,FALSE),0)</f>
        <v>9</v>
      </c>
      <c r="D109" s="2">
        <v>24</v>
      </c>
      <c r="G109" s="2" t="s">
        <v>16</v>
      </c>
      <c r="H109" s="17">
        <f>ROUND(VLOOKUP(H$91&amp;"_1",管理者用人口入力シート!BH:CE,J109,FALSE),0)</f>
        <v>107</v>
      </c>
      <c r="I109" s="17">
        <f>ROUND(VLOOKUP(H$91&amp;"_2",管理者用人口入力シート!BH:CE,J109,FALSE),0)</f>
        <v>148</v>
      </c>
      <c r="J109" s="2">
        <v>20</v>
      </c>
      <c r="K109" s="12"/>
      <c r="N109" s="2" t="s">
        <v>16</v>
      </c>
      <c r="O109" s="17">
        <f>ROUND(VLOOKUP(O$91&amp;"_1",管理者用人口入力シート!CO:DL,Q109,FALSE),0)</f>
        <v>107</v>
      </c>
      <c r="P109" s="17">
        <f>ROUND(VLOOKUP(O$91&amp;"_2",管理者用人口入力シート!CO:DL,Q109,FALSE),0)</f>
        <v>148</v>
      </c>
      <c r="Q109" s="2">
        <v>20</v>
      </c>
      <c r="T109" s="85"/>
    </row>
    <row r="110" spans="1:20" x14ac:dyDescent="0.15">
      <c r="G110" s="2" t="s">
        <v>17</v>
      </c>
      <c r="H110" s="17">
        <f>ROUND(VLOOKUP(H$91&amp;"_1",管理者用人口入力シート!BH:CE,J110,FALSE),0)</f>
        <v>47</v>
      </c>
      <c r="I110" s="17">
        <f>ROUND(VLOOKUP(H$91&amp;"_2",管理者用人口入力シート!BH:CE,J110,FALSE),0)</f>
        <v>98</v>
      </c>
      <c r="J110" s="2">
        <v>21</v>
      </c>
      <c r="K110" s="12"/>
      <c r="N110" s="2" t="s">
        <v>17</v>
      </c>
      <c r="O110" s="17">
        <f>ROUND(VLOOKUP(O$91&amp;"_1",管理者用人口入力シート!CO:DL,Q110,FALSE),0)</f>
        <v>47</v>
      </c>
      <c r="P110" s="17">
        <f>ROUND(VLOOKUP(O$91&amp;"_2",管理者用人口入力シート!CO:DL,Q110,FALSE),0)</f>
        <v>98</v>
      </c>
      <c r="Q110" s="2">
        <v>21</v>
      </c>
      <c r="T110" s="85"/>
    </row>
    <row r="111" spans="1:20" x14ac:dyDescent="0.15">
      <c r="G111" s="2" t="s">
        <v>18</v>
      </c>
      <c r="H111" s="17">
        <f>ROUND(VLOOKUP(H$91&amp;"_1",管理者用人口入力シート!BH:CE,J111,FALSE),0)</f>
        <v>34</v>
      </c>
      <c r="I111" s="17">
        <f>ROUND(VLOOKUP(H$91&amp;"_2",管理者用人口入力シート!BH:CE,J111,FALSE),0)</f>
        <v>66</v>
      </c>
      <c r="J111" s="2">
        <v>22</v>
      </c>
      <c r="K111" s="12"/>
      <c r="N111" s="2" t="s">
        <v>18</v>
      </c>
      <c r="O111" s="17">
        <f>ROUND(VLOOKUP(O$91&amp;"_1",管理者用人口入力シート!CO:DL,Q111,FALSE),0)</f>
        <v>34</v>
      </c>
      <c r="P111" s="17">
        <f>ROUND(VLOOKUP(O$91&amp;"_2",管理者用人口入力シート!CO:DL,Q111,FALSE),0)</f>
        <v>66</v>
      </c>
      <c r="Q111" s="2">
        <v>22</v>
      </c>
      <c r="T111" s="85"/>
    </row>
    <row r="112" spans="1:20" x14ac:dyDescent="0.15">
      <c r="G112" s="2" t="s">
        <v>19</v>
      </c>
      <c r="H112" s="17">
        <f>ROUND(VLOOKUP(H$91&amp;"_1",管理者用人口入力シート!BH:CE,J112,FALSE),0)</f>
        <v>8</v>
      </c>
      <c r="I112" s="17">
        <f>ROUND(VLOOKUP(H$91&amp;"_2",管理者用人口入力シート!BH:CE,J112,FALSE),0)</f>
        <v>21</v>
      </c>
      <c r="J112" s="2">
        <v>23</v>
      </c>
      <c r="K112" s="12"/>
      <c r="N112" s="2" t="s">
        <v>19</v>
      </c>
      <c r="O112" s="17">
        <f>ROUND(VLOOKUP(O$91&amp;"_1",管理者用人口入力シート!CO:DL,Q112,FALSE),0)</f>
        <v>8</v>
      </c>
      <c r="P112" s="17">
        <f>ROUND(VLOOKUP(O$91&amp;"_2",管理者用人口入力シート!CO:DL,Q112,FALSE),0)</f>
        <v>21</v>
      </c>
      <c r="Q112" s="2">
        <v>23</v>
      </c>
      <c r="T112" s="85"/>
    </row>
    <row r="113" spans="7:20" x14ac:dyDescent="0.15">
      <c r="G113" s="2" t="s">
        <v>20</v>
      </c>
      <c r="H113" s="17">
        <f>ROUND(VLOOKUP(H$91&amp;"_1",管理者用人口入力シート!BH:CE,J113,FALSE),0)</f>
        <v>0</v>
      </c>
      <c r="I113" s="17">
        <f>ROUND(VLOOKUP(H$91&amp;"_2",管理者用人口入力シート!BH:CE,J113,FALSE),0)</f>
        <v>7</v>
      </c>
      <c r="J113" s="2">
        <v>24</v>
      </c>
      <c r="K113" s="12"/>
      <c r="N113" s="2" t="s">
        <v>20</v>
      </c>
      <c r="O113" s="17">
        <f>ROUND(VLOOKUP(O$91&amp;"_1",管理者用人口入力シート!CO:DL,Q113,FALSE),0)</f>
        <v>0</v>
      </c>
      <c r="P113" s="17">
        <f>ROUND(VLOOKUP(O$91&amp;"_2",管理者用人口入力シート!CO:DL,Q113,FALSE),0)</f>
        <v>7</v>
      </c>
      <c r="Q113" s="2">
        <v>24</v>
      </c>
      <c r="T113" s="85"/>
    </row>
    <row r="115" spans="7:20" x14ac:dyDescent="0.15">
      <c r="G115" s="2" t="s">
        <v>394</v>
      </c>
      <c r="H115" s="314">
        <f>管理者入力シート!B10</f>
        <v>2035</v>
      </c>
      <c r="I115" s="315"/>
      <c r="J115" s="2" t="s">
        <v>114</v>
      </c>
      <c r="O115" s="314">
        <f>管理者入力シート!B10</f>
        <v>2035</v>
      </c>
      <c r="P115" s="315"/>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55</v>
      </c>
      <c r="I117" s="17">
        <f>ROUND(VLOOKUP(H$115&amp;"_2",管理者用人口入力シート!BH:CE,J117,FALSE),0)</f>
        <v>59</v>
      </c>
      <c r="J117" s="2">
        <v>4</v>
      </c>
      <c r="N117" s="2" t="s">
        <v>0</v>
      </c>
      <c r="O117" s="17">
        <f>ROUND(VLOOKUP(O$115&amp;"_1",管理者用人口入力シート!CO:DL,Q117,FALSE),0)</f>
        <v>57</v>
      </c>
      <c r="P117" s="17">
        <f>ROUND(VLOOKUP(O$115&amp;"_2",管理者用人口入力シート!CO:DL,Q117,FALSE),0)</f>
        <v>62</v>
      </c>
      <c r="Q117" s="2">
        <v>4</v>
      </c>
      <c r="T117" s="85"/>
    </row>
    <row r="118" spans="7:20" x14ac:dyDescent="0.15">
      <c r="G118" s="2" t="s">
        <v>1</v>
      </c>
      <c r="H118" s="17">
        <f>ROUND(VLOOKUP(H$115&amp;"_1",管理者用人口入力シート!BH:CE,J118,FALSE),0)</f>
        <v>58</v>
      </c>
      <c r="I118" s="17">
        <f>ROUND(VLOOKUP(H$115&amp;"_2",管理者用人口入力シート!BH:CE,J118,FALSE),0)</f>
        <v>58</v>
      </c>
      <c r="J118" s="2">
        <v>5</v>
      </c>
      <c r="N118" s="2" t="s">
        <v>1</v>
      </c>
      <c r="O118" s="17">
        <f>ROUND(VLOOKUP(O$115&amp;"_1",管理者用人口入力シート!CO:DL,Q118,FALSE),0)</f>
        <v>60</v>
      </c>
      <c r="P118" s="17">
        <f>ROUND(VLOOKUP(O$115&amp;"_2",管理者用人口入力シート!CO:DL,Q118,FALSE),0)</f>
        <v>60</v>
      </c>
      <c r="Q118" s="2">
        <v>5</v>
      </c>
      <c r="T118" s="85"/>
    </row>
    <row r="119" spans="7:20" x14ac:dyDescent="0.15">
      <c r="G119" s="2" t="s">
        <v>2</v>
      </c>
      <c r="H119" s="17">
        <f>ROUND(VLOOKUP(H$115&amp;"_1",管理者用人口入力シート!BH:CE,J119,FALSE),0)</f>
        <v>61</v>
      </c>
      <c r="I119" s="17">
        <f>ROUND(VLOOKUP(H$115&amp;"_2",管理者用人口入力シート!BH:CE,J119,FALSE),0)</f>
        <v>70</v>
      </c>
      <c r="J119" s="2">
        <v>6</v>
      </c>
      <c r="N119" s="2" t="s">
        <v>2</v>
      </c>
      <c r="O119" s="17">
        <f>ROUND(VLOOKUP(O$115&amp;"_1",管理者用人口入力シート!CO:DL,Q119,FALSE),0)</f>
        <v>63</v>
      </c>
      <c r="P119" s="17">
        <f>ROUND(VLOOKUP(O$115&amp;"_2",管理者用人口入力シート!CO:DL,Q119,FALSE),0)</f>
        <v>72</v>
      </c>
      <c r="Q119" s="2">
        <v>6</v>
      </c>
      <c r="T119" s="85"/>
    </row>
    <row r="120" spans="7:20" x14ac:dyDescent="0.15">
      <c r="G120" s="2" t="s">
        <v>3</v>
      </c>
      <c r="H120" s="17">
        <f>ROUND(VLOOKUP(H$115&amp;"_1",管理者用人口入力シート!BH:CE,J120,FALSE),0)</f>
        <v>65</v>
      </c>
      <c r="I120" s="17">
        <f>ROUND(VLOOKUP(H$115&amp;"_2",管理者用人口入力シート!BH:CE,J120,FALSE),0)</f>
        <v>64</v>
      </c>
      <c r="J120" s="2">
        <v>7</v>
      </c>
      <c r="N120" s="2" t="s">
        <v>3</v>
      </c>
      <c r="O120" s="17">
        <f>ROUND(VLOOKUP(O$115&amp;"_1",管理者用人口入力シート!CO:DL,Q120,FALSE),0)</f>
        <v>66</v>
      </c>
      <c r="P120" s="17">
        <f>ROUND(VLOOKUP(O$115&amp;"_2",管理者用人口入力シート!CO:DL,Q120,FALSE),0)</f>
        <v>65</v>
      </c>
      <c r="Q120" s="2">
        <v>7</v>
      </c>
      <c r="T120" s="85"/>
    </row>
    <row r="121" spans="7:20" x14ac:dyDescent="0.15">
      <c r="G121" s="2" t="s">
        <v>4</v>
      </c>
      <c r="H121" s="17">
        <f>ROUND(VLOOKUP(H$115&amp;"_1",管理者用人口入力シート!BH:CE,J121,FALSE),0)</f>
        <v>41</v>
      </c>
      <c r="I121" s="17">
        <f>ROUND(VLOOKUP(H$115&amp;"_2",管理者用人口入力シート!BH:CE,J121,FALSE),0)</f>
        <v>56</v>
      </c>
      <c r="J121" s="2">
        <v>8</v>
      </c>
      <c r="N121" s="2" t="s">
        <v>4</v>
      </c>
      <c r="O121" s="17">
        <f>ROUND(VLOOKUP(O$115&amp;"_1",管理者用人口入力シート!CO:DL,Q121,FALSE),0)</f>
        <v>42</v>
      </c>
      <c r="P121" s="17">
        <f>ROUND(VLOOKUP(O$115&amp;"_2",管理者用人口入力シート!CO:DL,Q121,FALSE),0)</f>
        <v>57</v>
      </c>
      <c r="Q121" s="2">
        <v>8</v>
      </c>
      <c r="T121" s="85"/>
    </row>
    <row r="122" spans="7:20" x14ac:dyDescent="0.15">
      <c r="G122" s="2" t="s">
        <v>5</v>
      </c>
      <c r="H122" s="17">
        <f>ROUND(VLOOKUP(H$115&amp;"_1",管理者用人口入力シート!BH:CE,J122,FALSE),0)</f>
        <v>69</v>
      </c>
      <c r="I122" s="17">
        <f>ROUND(VLOOKUP(H$115&amp;"_2",管理者用人口入力シート!BH:CE,J122,FALSE),0)</f>
        <v>67</v>
      </c>
      <c r="J122" s="2">
        <v>9</v>
      </c>
      <c r="N122" s="2" t="s">
        <v>5</v>
      </c>
      <c r="O122" s="17">
        <f>ROUND(VLOOKUP(O$115&amp;"_1",管理者用人口入力シート!CO:DL,Q122,FALSE),0)</f>
        <v>71</v>
      </c>
      <c r="P122" s="17">
        <f>ROUND(VLOOKUP(O$115&amp;"_2",管理者用人口入力シート!CO:DL,Q122,FALSE),0)</f>
        <v>69</v>
      </c>
      <c r="Q122" s="2">
        <v>9</v>
      </c>
      <c r="T122" s="85"/>
    </row>
    <row r="123" spans="7:20" x14ac:dyDescent="0.15">
      <c r="G123" s="2" t="s">
        <v>6</v>
      </c>
      <c r="H123" s="17">
        <f>ROUND(VLOOKUP(H$115&amp;"_1",管理者用人口入力シート!BH:CE,J123,FALSE),0)</f>
        <v>82</v>
      </c>
      <c r="I123" s="17">
        <f>ROUND(VLOOKUP(H$115&amp;"_2",管理者用人口入力シート!BH:CE,J123,FALSE),0)</f>
        <v>64</v>
      </c>
      <c r="J123" s="2">
        <v>10</v>
      </c>
      <c r="N123" s="2" t="s">
        <v>6</v>
      </c>
      <c r="O123" s="17">
        <f>ROUND(VLOOKUP(O$115&amp;"_1",管理者用人口入力シート!CO:DL,Q123,FALSE),0)</f>
        <v>84</v>
      </c>
      <c r="P123" s="17">
        <f>ROUND(VLOOKUP(O$115&amp;"_2",管理者用人口入力シート!CO:DL,Q123,FALSE),0)</f>
        <v>66</v>
      </c>
      <c r="Q123" s="2">
        <v>10</v>
      </c>
      <c r="T123" s="85"/>
    </row>
    <row r="124" spans="7:20" x14ac:dyDescent="0.15">
      <c r="G124" s="2" t="s">
        <v>7</v>
      </c>
      <c r="H124" s="17">
        <f>ROUND(VLOOKUP(H$115&amp;"_1",管理者用人口入力シート!BH:CE,J124,FALSE),0)</f>
        <v>91</v>
      </c>
      <c r="I124" s="17">
        <f>ROUND(VLOOKUP(H$115&amp;"_2",管理者用人口入力シート!BH:CE,J124,FALSE),0)</f>
        <v>72</v>
      </c>
      <c r="J124" s="2">
        <v>11</v>
      </c>
      <c r="N124" s="2" t="s">
        <v>7</v>
      </c>
      <c r="O124" s="17">
        <f>ROUND(VLOOKUP(O$115&amp;"_1",管理者用人口入力シート!CO:DL,Q124,FALSE),0)</f>
        <v>92</v>
      </c>
      <c r="P124" s="17">
        <f>ROUND(VLOOKUP(O$115&amp;"_2",管理者用人口入力シート!CO:DL,Q124,FALSE),0)</f>
        <v>73</v>
      </c>
      <c r="Q124" s="2">
        <v>11</v>
      </c>
      <c r="T124" s="85"/>
    </row>
    <row r="125" spans="7:20" x14ac:dyDescent="0.15">
      <c r="G125" s="2" t="s">
        <v>8</v>
      </c>
      <c r="H125" s="17">
        <f>ROUND(VLOOKUP(H$115&amp;"_1",管理者用人口入力シート!BH:CE,J125,FALSE),0)</f>
        <v>99</v>
      </c>
      <c r="I125" s="17">
        <f>ROUND(VLOOKUP(H$115&amp;"_2",管理者用人口入力シート!BH:CE,J125,FALSE),0)</f>
        <v>93</v>
      </c>
      <c r="J125" s="2">
        <v>12</v>
      </c>
      <c r="N125" s="2" t="s">
        <v>8</v>
      </c>
      <c r="O125" s="17">
        <f>ROUND(VLOOKUP(O$115&amp;"_1",管理者用人口入力シート!CO:DL,Q125,FALSE),0)</f>
        <v>99</v>
      </c>
      <c r="P125" s="17">
        <f>ROUND(VLOOKUP(O$115&amp;"_2",管理者用人口入力シート!CO:DL,Q125,FALSE),0)</f>
        <v>94</v>
      </c>
      <c r="Q125" s="2">
        <v>12</v>
      </c>
      <c r="T125" s="85"/>
    </row>
    <row r="126" spans="7:20" x14ac:dyDescent="0.15">
      <c r="G126" s="2" t="s">
        <v>9</v>
      </c>
      <c r="H126" s="17">
        <f>ROUND(VLOOKUP(H$115&amp;"_1",管理者用人口入力シート!BH:CE,J126,FALSE),0)</f>
        <v>96</v>
      </c>
      <c r="I126" s="17">
        <f>ROUND(VLOOKUP(H$115&amp;"_2",管理者用人口入力シート!BH:CE,J126,FALSE),0)</f>
        <v>114</v>
      </c>
      <c r="J126" s="2">
        <v>13</v>
      </c>
      <c r="N126" s="2" t="s">
        <v>9</v>
      </c>
      <c r="O126" s="17">
        <f>ROUND(VLOOKUP(O$115&amp;"_1",管理者用人口入力シート!CO:DL,Q126,FALSE),0)</f>
        <v>96</v>
      </c>
      <c r="P126" s="17">
        <f>ROUND(VLOOKUP(O$115&amp;"_2",管理者用人口入力シート!CO:DL,Q126,FALSE),0)</f>
        <v>115</v>
      </c>
      <c r="Q126" s="2">
        <v>13</v>
      </c>
      <c r="T126" s="85"/>
    </row>
    <row r="127" spans="7:20" x14ac:dyDescent="0.15">
      <c r="G127" s="2" t="s">
        <v>10</v>
      </c>
      <c r="H127" s="17">
        <f>ROUND(VLOOKUP(H$115&amp;"_1",管理者用人口入力シート!BH:CE,J127,FALSE),0)</f>
        <v>106</v>
      </c>
      <c r="I127" s="17">
        <f>ROUND(VLOOKUP(H$115&amp;"_2",管理者用人口入力シート!BH:CE,J127,FALSE),0)</f>
        <v>108</v>
      </c>
      <c r="J127" s="2">
        <v>14</v>
      </c>
      <c r="N127" s="2" t="s">
        <v>10</v>
      </c>
      <c r="O127" s="17">
        <f>ROUND(VLOOKUP(O$115&amp;"_1",管理者用人口入力シート!CO:DL,Q127,FALSE),0)</f>
        <v>106</v>
      </c>
      <c r="P127" s="17">
        <f>ROUND(VLOOKUP(O$115&amp;"_2",管理者用人口入力シート!CO:DL,Q127,FALSE),0)</f>
        <v>109</v>
      </c>
      <c r="Q127" s="2">
        <v>14</v>
      </c>
      <c r="T127" s="85"/>
    </row>
    <row r="128" spans="7:20" x14ac:dyDescent="0.15">
      <c r="G128" s="2" t="s">
        <v>11</v>
      </c>
      <c r="H128" s="17">
        <f>ROUND(VLOOKUP(H$115&amp;"_1",管理者用人口入力シート!BH:CE,J128,FALSE),0)</f>
        <v>115</v>
      </c>
      <c r="I128" s="17">
        <f>ROUND(VLOOKUP(H$115&amp;"_2",管理者用人口入力シート!BH:CE,J128,FALSE),0)</f>
        <v>151</v>
      </c>
      <c r="J128" s="2">
        <v>15</v>
      </c>
      <c r="N128" s="2" t="s">
        <v>11</v>
      </c>
      <c r="O128" s="17">
        <f>ROUND(VLOOKUP(O$115&amp;"_1",管理者用人口入力シート!CO:DL,Q128,FALSE),0)</f>
        <v>115</v>
      </c>
      <c r="P128" s="17">
        <f>ROUND(VLOOKUP(O$115&amp;"_2",管理者用人口入力シート!CO:DL,Q128,FALSE),0)</f>
        <v>151</v>
      </c>
      <c r="Q128" s="2">
        <v>15</v>
      </c>
      <c r="T128" s="85"/>
    </row>
    <row r="129" spans="7:20" x14ac:dyDescent="0.15">
      <c r="G129" s="2" t="s">
        <v>12</v>
      </c>
      <c r="H129" s="17">
        <f>ROUND(VLOOKUP(H$115&amp;"_1",管理者用人口入力シート!BH:CE,J129,FALSE),0)</f>
        <v>136</v>
      </c>
      <c r="I129" s="17">
        <f>ROUND(VLOOKUP(H$115&amp;"_2",管理者用人口入力シート!BH:CE,J129,FALSE),0)</f>
        <v>139</v>
      </c>
      <c r="J129" s="2">
        <v>16</v>
      </c>
      <c r="N129" s="2" t="s">
        <v>12</v>
      </c>
      <c r="O129" s="17">
        <f>ROUND(VLOOKUP(O$115&amp;"_1",管理者用人口入力シート!CO:DL,Q129,FALSE),0)</f>
        <v>136</v>
      </c>
      <c r="P129" s="17">
        <f>ROUND(VLOOKUP(O$115&amp;"_2",管理者用人口入力シート!CO:DL,Q129,FALSE),0)</f>
        <v>139</v>
      </c>
      <c r="Q129" s="2">
        <v>16</v>
      </c>
      <c r="T129" s="85"/>
    </row>
    <row r="130" spans="7:20" x14ac:dyDescent="0.15">
      <c r="G130" s="2" t="s">
        <v>13</v>
      </c>
      <c r="H130" s="17">
        <f>ROUND(VLOOKUP(H$115&amp;"_1",管理者用人口入力シート!BH:CE,J130,FALSE),0)</f>
        <v>122</v>
      </c>
      <c r="I130" s="17">
        <f>ROUND(VLOOKUP(H$115&amp;"_2",管理者用人口入力シート!BH:CE,J130,FALSE),0)</f>
        <v>131</v>
      </c>
      <c r="J130" s="2">
        <v>17</v>
      </c>
      <c r="N130" s="2" t="s">
        <v>13</v>
      </c>
      <c r="O130" s="17">
        <f>ROUND(VLOOKUP(O$115&amp;"_1",管理者用人口入力シート!CO:DL,Q130,FALSE),0)</f>
        <v>122</v>
      </c>
      <c r="P130" s="17">
        <f>ROUND(VLOOKUP(O$115&amp;"_2",管理者用人口入力シート!CO:DL,Q130,FALSE),0)</f>
        <v>131</v>
      </c>
      <c r="Q130" s="2">
        <v>17</v>
      </c>
      <c r="T130" s="85"/>
    </row>
    <row r="131" spans="7:20" x14ac:dyDescent="0.15">
      <c r="G131" s="2" t="s">
        <v>14</v>
      </c>
      <c r="H131" s="17">
        <f>ROUND(VLOOKUP(H$115&amp;"_1",管理者用人口入力シート!BH:CE,J131,FALSE),0)</f>
        <v>90</v>
      </c>
      <c r="I131" s="17">
        <f>ROUND(VLOOKUP(H$115&amp;"_2",管理者用人口入力シート!BH:CE,J131,FALSE),0)</f>
        <v>106</v>
      </c>
      <c r="J131" s="2">
        <v>18</v>
      </c>
      <c r="N131" s="2" t="s">
        <v>14</v>
      </c>
      <c r="O131" s="17">
        <f>ROUND(VLOOKUP(O$115&amp;"_1",管理者用人口入力シート!CO:DL,Q131,FALSE),0)</f>
        <v>90</v>
      </c>
      <c r="P131" s="17">
        <f>ROUND(VLOOKUP(O$115&amp;"_2",管理者用人口入力シート!CO:DL,Q131,FALSE),0)</f>
        <v>106</v>
      </c>
      <c r="Q131" s="2">
        <v>18</v>
      </c>
      <c r="T131" s="85"/>
    </row>
    <row r="132" spans="7:20" x14ac:dyDescent="0.15">
      <c r="G132" s="2" t="s">
        <v>15</v>
      </c>
      <c r="H132" s="17">
        <f>ROUND(VLOOKUP(H$115&amp;"_1",管理者用人口入力シート!BH:CE,J132,FALSE),0)</f>
        <v>93</v>
      </c>
      <c r="I132" s="17">
        <f>ROUND(VLOOKUP(H$115&amp;"_2",管理者用人口入力シート!BH:CE,J132,FALSE),0)</f>
        <v>126</v>
      </c>
      <c r="J132" s="2">
        <v>19</v>
      </c>
      <c r="N132" s="2" t="s">
        <v>15</v>
      </c>
      <c r="O132" s="17">
        <f>ROUND(VLOOKUP(O$115&amp;"_1",管理者用人口入力シート!CO:DL,Q132,FALSE),0)</f>
        <v>93</v>
      </c>
      <c r="P132" s="17">
        <f>ROUND(VLOOKUP(O$115&amp;"_2",管理者用人口入力シート!CO:DL,Q132,FALSE),0)</f>
        <v>126</v>
      </c>
      <c r="Q132" s="2">
        <v>19</v>
      </c>
      <c r="T132" s="85"/>
    </row>
    <row r="133" spans="7:20" x14ac:dyDescent="0.15">
      <c r="G133" s="2" t="s">
        <v>16</v>
      </c>
      <c r="H133" s="17">
        <f>ROUND(VLOOKUP(H$115&amp;"_1",管理者用人口入力シート!BH:CE,J133,FALSE),0)</f>
        <v>87</v>
      </c>
      <c r="I133" s="17">
        <f>ROUND(VLOOKUP(H$115&amp;"_2",管理者用人口入力シート!BH:CE,J133,FALSE),0)</f>
        <v>122</v>
      </c>
      <c r="J133" s="2">
        <v>20</v>
      </c>
      <c r="N133" s="2" t="s">
        <v>16</v>
      </c>
      <c r="O133" s="17">
        <f>ROUND(VLOOKUP(O$115&amp;"_1",管理者用人口入力シート!CO:DL,Q133,FALSE),0)</f>
        <v>87</v>
      </c>
      <c r="P133" s="17">
        <f>ROUND(VLOOKUP(O$115&amp;"_2",管理者用人口入力シート!CO:DL,Q133,FALSE),0)</f>
        <v>122</v>
      </c>
      <c r="Q133" s="2">
        <v>20</v>
      </c>
      <c r="T133" s="85"/>
    </row>
    <row r="134" spans="7:20" x14ac:dyDescent="0.15">
      <c r="G134" s="2" t="s">
        <v>17</v>
      </c>
      <c r="H134" s="17">
        <f>ROUND(VLOOKUP(H$115&amp;"_1",管理者用人口入力シート!BH:CE,J134,FALSE),0)</f>
        <v>67</v>
      </c>
      <c r="I134" s="17">
        <f>ROUND(VLOOKUP(H$115&amp;"_2",管理者用人口入力シート!BH:CE,J134,FALSE),0)</f>
        <v>108</v>
      </c>
      <c r="J134" s="2">
        <v>21</v>
      </c>
      <c r="N134" s="2" t="s">
        <v>17</v>
      </c>
      <c r="O134" s="17">
        <f>ROUND(VLOOKUP(O$115&amp;"_1",管理者用人口入力シート!CO:DL,Q134,FALSE),0)</f>
        <v>67</v>
      </c>
      <c r="P134" s="17">
        <f>ROUND(VLOOKUP(O$115&amp;"_2",管理者用人口入力シート!CO:DL,Q134,FALSE),0)</f>
        <v>108</v>
      </c>
      <c r="Q134" s="2">
        <v>21</v>
      </c>
      <c r="T134" s="85"/>
    </row>
    <row r="135" spans="7:20" x14ac:dyDescent="0.15">
      <c r="G135" s="2" t="s">
        <v>18</v>
      </c>
      <c r="H135" s="17">
        <f>ROUND(VLOOKUP(H$115&amp;"_1",管理者用人口入力シート!BH:CE,J135,FALSE),0)</f>
        <v>27</v>
      </c>
      <c r="I135" s="17">
        <f>ROUND(VLOOKUP(H$115&amp;"_2",管理者用人口入力シート!BH:CE,J135,FALSE),0)</f>
        <v>62</v>
      </c>
      <c r="J135" s="2">
        <v>22</v>
      </c>
      <c r="N135" s="2" t="s">
        <v>18</v>
      </c>
      <c r="O135" s="17">
        <f>ROUND(VLOOKUP(O$115&amp;"_1",管理者用人口入力シート!CO:DL,Q135,FALSE),0)</f>
        <v>27</v>
      </c>
      <c r="P135" s="17">
        <f>ROUND(VLOOKUP(O$115&amp;"_2",管理者用人口入力シート!CO:DL,Q135,FALSE),0)</f>
        <v>62</v>
      </c>
      <c r="Q135" s="2">
        <v>22</v>
      </c>
      <c r="T135" s="85"/>
    </row>
    <row r="136" spans="7:20" x14ac:dyDescent="0.15">
      <c r="G136" s="2" t="s">
        <v>19</v>
      </c>
      <c r="H136" s="17">
        <f>ROUND(VLOOKUP(H$115&amp;"_1",管理者用人口入力シート!BH:CE,J136,FALSE),0)</f>
        <v>9</v>
      </c>
      <c r="I136" s="17">
        <f>ROUND(VLOOKUP(H$115&amp;"_2",管理者用人口入力シート!BH:CE,J136,FALSE),0)</f>
        <v>24</v>
      </c>
      <c r="J136" s="2">
        <v>23</v>
      </c>
      <c r="N136" s="2" t="s">
        <v>19</v>
      </c>
      <c r="O136" s="17">
        <f>ROUND(VLOOKUP(O$115&amp;"_1",管理者用人口入力シート!CO:DL,Q136,FALSE),0)</f>
        <v>9</v>
      </c>
      <c r="P136" s="17">
        <f>ROUND(VLOOKUP(O$115&amp;"_2",管理者用人口入力シート!CO:DL,Q136,FALSE),0)</f>
        <v>24</v>
      </c>
      <c r="Q136" s="2">
        <v>23</v>
      </c>
      <c r="T136" s="85"/>
    </row>
    <row r="137" spans="7:20" x14ac:dyDescent="0.15">
      <c r="G137" s="2" t="s">
        <v>20</v>
      </c>
      <c r="H137" s="17">
        <f>ROUND(VLOOKUP(H$115&amp;"_1",管理者用人口入力シート!BH:CE,J137,FALSE),0)</f>
        <v>0</v>
      </c>
      <c r="I137" s="17">
        <f>ROUND(VLOOKUP(H$115&amp;"_2",管理者用人口入力シート!BH:CE,J137,FALSE),0)</f>
        <v>7</v>
      </c>
      <c r="J137" s="2">
        <v>24</v>
      </c>
      <c r="N137" s="2" t="s">
        <v>20</v>
      </c>
      <c r="O137" s="17">
        <f>ROUND(VLOOKUP(O$115&amp;"_1",管理者用人口入力シート!CO:DL,Q137,FALSE),0)</f>
        <v>0</v>
      </c>
      <c r="P137" s="17">
        <f>ROUND(VLOOKUP(O$115&amp;"_2",管理者用人口入力シート!CO:DL,Q137,FALSE),0)</f>
        <v>7</v>
      </c>
      <c r="Q137" s="2">
        <v>24</v>
      </c>
      <c r="T137" s="85"/>
    </row>
    <row r="139" spans="7:20" x14ac:dyDescent="0.15">
      <c r="G139" s="2" t="s">
        <v>109</v>
      </c>
      <c r="H139" s="314">
        <f>管理者入力シート!B11</f>
        <v>2040</v>
      </c>
      <c r="I139" s="315"/>
      <c r="J139" s="2" t="s">
        <v>114</v>
      </c>
      <c r="O139" s="314">
        <f>管理者入力シート!B11</f>
        <v>2040</v>
      </c>
      <c r="P139" s="315"/>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50</v>
      </c>
      <c r="I141" s="17">
        <f>ROUND(VLOOKUP(H$139&amp;"_2",管理者用人口入力シート!BH:CE,J141,FALSE),0)</f>
        <v>54</v>
      </c>
      <c r="J141" s="2">
        <v>4</v>
      </c>
      <c r="N141" s="2" t="s">
        <v>0</v>
      </c>
      <c r="O141" s="17">
        <f>ROUND(VLOOKUP(O$139&amp;"_1",管理者用人口入力シート!CO:DL,Q141,FALSE),0)</f>
        <v>52</v>
      </c>
      <c r="P141" s="17">
        <f>ROUND(VLOOKUP(O$139&amp;"_2",管理者用人口入力シート!CO:DL,Q141,FALSE),0)</f>
        <v>57</v>
      </c>
      <c r="Q141" s="2">
        <v>4</v>
      </c>
    </row>
    <row r="142" spans="7:20" x14ac:dyDescent="0.15">
      <c r="G142" s="2" t="s">
        <v>1</v>
      </c>
      <c r="H142" s="17">
        <f>ROUND(VLOOKUP(H$139&amp;"_1",管理者用人口入力シート!BH:CE,J142,FALSE),0)</f>
        <v>50</v>
      </c>
      <c r="I142" s="17">
        <f>ROUND(VLOOKUP(H$139&amp;"_2",管理者用人口入力シート!BH:CE,J142,FALSE),0)</f>
        <v>50</v>
      </c>
      <c r="J142" s="2">
        <v>5</v>
      </c>
      <c r="N142" s="2" t="s">
        <v>1</v>
      </c>
      <c r="O142" s="17">
        <f>ROUND(VLOOKUP(O$139&amp;"_1",管理者用人口入力シート!CO:DL,Q142,FALSE),0)</f>
        <v>52</v>
      </c>
      <c r="P142" s="17">
        <f>ROUND(VLOOKUP(O$139&amp;"_2",管理者用人口入力シート!CO:DL,Q142,FALSE),0)</f>
        <v>52</v>
      </c>
      <c r="Q142" s="2">
        <v>5</v>
      </c>
    </row>
    <row r="143" spans="7:20" x14ac:dyDescent="0.15">
      <c r="G143" s="2" t="s">
        <v>2</v>
      </c>
      <c r="H143" s="17">
        <f>ROUND(VLOOKUP(H$139&amp;"_1",管理者用人口入力シート!BH:CE,J143,FALSE),0)</f>
        <v>51</v>
      </c>
      <c r="I143" s="17">
        <f>ROUND(VLOOKUP(H$139&amp;"_2",管理者用人口入力シート!BH:CE,J143,FALSE),0)</f>
        <v>59</v>
      </c>
      <c r="J143" s="2">
        <v>6</v>
      </c>
      <c r="N143" s="2" t="s">
        <v>2</v>
      </c>
      <c r="O143" s="17">
        <f>ROUND(VLOOKUP(O$139&amp;"_1",管理者用人口入力シート!CO:DL,Q143,FALSE),0)</f>
        <v>54</v>
      </c>
      <c r="P143" s="17">
        <f>ROUND(VLOOKUP(O$139&amp;"_2",管理者用人口入力シート!CO:DL,Q143,FALSE),0)</f>
        <v>61</v>
      </c>
      <c r="Q143" s="2">
        <v>6</v>
      </c>
    </row>
    <row r="144" spans="7:20" x14ac:dyDescent="0.15">
      <c r="G144" s="2" t="s">
        <v>3</v>
      </c>
      <c r="H144" s="17">
        <f>ROUND(VLOOKUP(H$139&amp;"_1",管理者用人口入力シート!BH:CE,J144,FALSE),0)</f>
        <v>56</v>
      </c>
      <c r="I144" s="17">
        <f>ROUND(VLOOKUP(H$139&amp;"_2",管理者用人口入力シート!BH:CE,J144,FALSE),0)</f>
        <v>55</v>
      </c>
      <c r="J144" s="2">
        <v>7</v>
      </c>
      <c r="N144" s="2" t="s">
        <v>3</v>
      </c>
      <c r="O144" s="17">
        <f>ROUND(VLOOKUP(O$139&amp;"_1",管理者用人口入力シート!CO:DL,Q144,FALSE),0)</f>
        <v>58</v>
      </c>
      <c r="P144" s="17">
        <f>ROUND(VLOOKUP(O$139&amp;"_2",管理者用人口入力シート!CO:DL,Q144,FALSE),0)</f>
        <v>57</v>
      </c>
      <c r="Q144" s="2">
        <v>7</v>
      </c>
    </row>
    <row r="145" spans="7:17" x14ac:dyDescent="0.15">
      <c r="G145" s="2" t="s">
        <v>4</v>
      </c>
      <c r="H145" s="17">
        <f>ROUND(VLOOKUP(H$139&amp;"_1",管理者用人口入力シート!BH:CE,J145,FALSE),0)</f>
        <v>43</v>
      </c>
      <c r="I145" s="17">
        <f>ROUND(VLOOKUP(H$139&amp;"_2",管理者用人口入力シート!BH:CE,J145,FALSE),0)</f>
        <v>47</v>
      </c>
      <c r="J145" s="2">
        <v>8</v>
      </c>
      <c r="N145" s="2" t="s">
        <v>4</v>
      </c>
      <c r="O145" s="17">
        <f>ROUND(VLOOKUP(O$139&amp;"_1",管理者用人口入力シート!CO:DL,Q145,FALSE),0)</f>
        <v>44</v>
      </c>
      <c r="P145" s="17">
        <f>ROUND(VLOOKUP(O$139&amp;"_2",管理者用人口入力シート!CO:DL,Q145,FALSE),0)</f>
        <v>48</v>
      </c>
      <c r="Q145" s="2">
        <v>8</v>
      </c>
    </row>
    <row r="146" spans="7:17" x14ac:dyDescent="0.15">
      <c r="G146" s="2" t="s">
        <v>5</v>
      </c>
      <c r="H146" s="17">
        <f>ROUND(VLOOKUP(H$139&amp;"_1",管理者用人口入力シート!BH:CE,J146,FALSE),0)</f>
        <v>53</v>
      </c>
      <c r="I146" s="17">
        <f>ROUND(VLOOKUP(H$139&amp;"_2",管理者用人口入力シート!BH:CE,J146,FALSE),0)</f>
        <v>70</v>
      </c>
      <c r="J146" s="2">
        <v>9</v>
      </c>
      <c r="N146" s="2" t="s">
        <v>5</v>
      </c>
      <c r="O146" s="17">
        <f>ROUND(VLOOKUP(O$139&amp;"_1",管理者用人口入力シート!CO:DL,Q146,FALSE),0)</f>
        <v>56</v>
      </c>
      <c r="P146" s="17">
        <f>ROUND(VLOOKUP(O$139&amp;"_2",管理者用人口入力シート!CO:DL,Q146,FALSE),0)</f>
        <v>73</v>
      </c>
      <c r="Q146" s="2">
        <v>9</v>
      </c>
    </row>
    <row r="147" spans="7:17" x14ac:dyDescent="0.15">
      <c r="G147" s="2" t="s">
        <v>6</v>
      </c>
      <c r="H147" s="17">
        <f>ROUND(VLOOKUP(H$139&amp;"_1",管理者用人口入力シート!BH:CE,J147,FALSE),0)</f>
        <v>65</v>
      </c>
      <c r="I147" s="17">
        <f>ROUND(VLOOKUP(H$139&amp;"_2",管理者用人口入力シート!BH:CE,J147,FALSE),0)</f>
        <v>60</v>
      </c>
      <c r="J147" s="2">
        <v>10</v>
      </c>
      <c r="N147" s="2" t="s">
        <v>6</v>
      </c>
      <c r="O147" s="17">
        <f>ROUND(VLOOKUP(O$139&amp;"_1",管理者用人口入力シート!CO:DL,Q147,FALSE),0)</f>
        <v>67</v>
      </c>
      <c r="P147" s="17">
        <f>ROUND(VLOOKUP(O$139&amp;"_2",管理者用人口入力シート!CO:DL,Q147,FALSE),0)</f>
        <v>61</v>
      </c>
      <c r="Q147" s="2">
        <v>10</v>
      </c>
    </row>
    <row r="148" spans="7:17" x14ac:dyDescent="0.15">
      <c r="G148" s="2" t="s">
        <v>7</v>
      </c>
      <c r="H148" s="17">
        <f>ROUND(VLOOKUP(H$139&amp;"_1",管理者用人口入力シート!BH:CE,J148,FALSE),0)</f>
        <v>76</v>
      </c>
      <c r="I148" s="17">
        <f>ROUND(VLOOKUP(H$139&amp;"_2",管理者用人口入力シート!BH:CE,J148,FALSE),0)</f>
        <v>59</v>
      </c>
      <c r="J148" s="2">
        <v>11</v>
      </c>
      <c r="N148" s="2" t="s">
        <v>7</v>
      </c>
      <c r="O148" s="17">
        <f>ROUND(VLOOKUP(O$139&amp;"_1",管理者用人口入力シート!CO:DL,Q148,FALSE),0)</f>
        <v>78</v>
      </c>
      <c r="P148" s="17">
        <f>ROUND(VLOOKUP(O$139&amp;"_2",管理者用人口入力シート!CO:DL,Q148,FALSE),0)</f>
        <v>61</v>
      </c>
      <c r="Q148" s="2">
        <v>11</v>
      </c>
    </row>
    <row r="149" spans="7:17" x14ac:dyDescent="0.15">
      <c r="G149" s="2" t="s">
        <v>8</v>
      </c>
      <c r="H149" s="17">
        <f>ROUND(VLOOKUP(H$139&amp;"_1",管理者用人口入力シート!BH:CE,J149,FALSE),0)</f>
        <v>87</v>
      </c>
      <c r="I149" s="17">
        <f>ROUND(VLOOKUP(H$139&amp;"_2",管理者用人口入力シート!BH:CE,J149,FALSE),0)</f>
        <v>69</v>
      </c>
      <c r="J149" s="2">
        <v>12</v>
      </c>
      <c r="N149" s="2" t="s">
        <v>8</v>
      </c>
      <c r="O149" s="17">
        <f>ROUND(VLOOKUP(O$139&amp;"_1",管理者用人口入力シート!CO:DL,Q149,FALSE),0)</f>
        <v>89</v>
      </c>
      <c r="P149" s="17">
        <f>ROUND(VLOOKUP(O$139&amp;"_2",管理者用人口入力シート!CO:DL,Q149,FALSE),0)</f>
        <v>72</v>
      </c>
      <c r="Q149" s="2">
        <v>12</v>
      </c>
    </row>
    <row r="150" spans="7:17" x14ac:dyDescent="0.15">
      <c r="G150" s="2" t="s">
        <v>9</v>
      </c>
      <c r="H150" s="17">
        <f>ROUND(VLOOKUP(H$139&amp;"_1",管理者用人口入力シート!BH:CE,J150,FALSE),0)</f>
        <v>98</v>
      </c>
      <c r="I150" s="17">
        <f>ROUND(VLOOKUP(H$139&amp;"_2",管理者用人口入力シート!BH:CE,J150,FALSE),0)</f>
        <v>101</v>
      </c>
      <c r="J150" s="2">
        <v>13</v>
      </c>
      <c r="N150" s="2" t="s">
        <v>9</v>
      </c>
      <c r="O150" s="17">
        <f>ROUND(VLOOKUP(O$139&amp;"_1",管理者用人口入力シート!CO:DL,Q150,FALSE),0)</f>
        <v>98</v>
      </c>
      <c r="P150" s="17">
        <f>ROUND(VLOOKUP(O$139&amp;"_2",管理者用人口入力シート!CO:DL,Q150,FALSE),0)</f>
        <v>102</v>
      </c>
      <c r="Q150" s="2">
        <v>13</v>
      </c>
    </row>
    <row r="151" spans="7:17" x14ac:dyDescent="0.15">
      <c r="G151" s="2" t="s">
        <v>10</v>
      </c>
      <c r="H151" s="17">
        <f>ROUND(VLOOKUP(H$139&amp;"_1",管理者用人口入力シート!BH:CE,J151,FALSE),0)</f>
        <v>99</v>
      </c>
      <c r="I151" s="17">
        <f>ROUND(VLOOKUP(H$139&amp;"_2",管理者用人口入力シート!BH:CE,J151,FALSE),0)</f>
        <v>108</v>
      </c>
      <c r="J151" s="2">
        <v>14</v>
      </c>
      <c r="N151" s="2" t="s">
        <v>10</v>
      </c>
      <c r="O151" s="17">
        <f>ROUND(VLOOKUP(O$139&amp;"_1",管理者用人口入力シート!CO:DL,Q151,FALSE),0)</f>
        <v>99</v>
      </c>
      <c r="P151" s="17">
        <f>ROUND(VLOOKUP(O$139&amp;"_2",管理者用人口入力シート!CO:DL,Q151,FALSE),0)</f>
        <v>109</v>
      </c>
      <c r="Q151" s="2">
        <v>14</v>
      </c>
    </row>
    <row r="152" spans="7:17" x14ac:dyDescent="0.15">
      <c r="G152" s="2" t="s">
        <v>11</v>
      </c>
      <c r="H152" s="17">
        <f>ROUND(VLOOKUP(H$139&amp;"_1",管理者用人口入力シート!BH:CE,J152,FALSE),0)</f>
        <v>97</v>
      </c>
      <c r="I152" s="17">
        <f>ROUND(VLOOKUP(H$139&amp;"_2",管理者用人口入力シート!BH:CE,J152,FALSE),0)</f>
        <v>103</v>
      </c>
      <c r="J152" s="2">
        <v>15</v>
      </c>
      <c r="N152" s="2" t="s">
        <v>11</v>
      </c>
      <c r="O152" s="17">
        <f>ROUND(VLOOKUP(O$139&amp;"_1",管理者用人口入力シート!CO:DL,Q152,FALSE),0)</f>
        <v>97</v>
      </c>
      <c r="P152" s="17">
        <f>ROUND(VLOOKUP(O$139&amp;"_2",管理者用人口入力シート!CO:DL,Q152,FALSE),0)</f>
        <v>104</v>
      </c>
      <c r="Q152" s="2">
        <v>15</v>
      </c>
    </row>
    <row r="153" spans="7:17" x14ac:dyDescent="0.15">
      <c r="G153" s="2" t="s">
        <v>12</v>
      </c>
      <c r="H153" s="17">
        <f>ROUND(VLOOKUP(H$139&amp;"_1",管理者用人口入力シート!BH:CE,J153,FALSE),0)</f>
        <v>108</v>
      </c>
      <c r="I153" s="17">
        <f>ROUND(VLOOKUP(H$139&amp;"_2",管理者用人口入力シート!BH:CE,J153,FALSE),0)</f>
        <v>135</v>
      </c>
      <c r="J153" s="2">
        <v>16</v>
      </c>
      <c r="N153" s="2" t="s">
        <v>12</v>
      </c>
      <c r="O153" s="17">
        <f>ROUND(VLOOKUP(O$139&amp;"_1",管理者用人口入力シート!CO:DL,Q153,FALSE),0)</f>
        <v>108</v>
      </c>
      <c r="P153" s="17">
        <f>ROUND(VLOOKUP(O$139&amp;"_2",管理者用人口入力シート!CO:DL,Q153,FALSE),0)</f>
        <v>135</v>
      </c>
      <c r="Q153" s="2">
        <v>16</v>
      </c>
    </row>
    <row r="154" spans="7:17" x14ac:dyDescent="0.15">
      <c r="G154" s="2" t="s">
        <v>13</v>
      </c>
      <c r="H154" s="17">
        <f>ROUND(VLOOKUP(H$139&amp;"_1",管理者用人口入力シート!BH:CE,J154,FALSE),0)</f>
        <v>120</v>
      </c>
      <c r="I154" s="17">
        <f>ROUND(VLOOKUP(H$139&amp;"_2",管理者用人口入力シート!BH:CE,J154,FALSE),0)</f>
        <v>129</v>
      </c>
      <c r="J154" s="2">
        <v>17</v>
      </c>
      <c r="N154" s="2" t="s">
        <v>13</v>
      </c>
      <c r="O154" s="17">
        <f>ROUND(VLOOKUP(O$139&amp;"_1",管理者用人口入力シート!CO:DL,Q154,FALSE),0)</f>
        <v>120</v>
      </c>
      <c r="P154" s="17">
        <f>ROUND(VLOOKUP(O$139&amp;"_2",管理者用人口入力シート!CO:DL,Q154,FALSE),0)</f>
        <v>129</v>
      </c>
      <c r="Q154" s="2">
        <v>17</v>
      </c>
    </row>
    <row r="155" spans="7:17" x14ac:dyDescent="0.15">
      <c r="G155" s="2" t="s">
        <v>14</v>
      </c>
      <c r="H155" s="17">
        <f>ROUND(VLOOKUP(H$139&amp;"_1",管理者用人口入力シート!BH:CE,J155,FALSE),0)</f>
        <v>106</v>
      </c>
      <c r="I155" s="17">
        <f>ROUND(VLOOKUP(H$139&amp;"_2",管理者用人口入力シート!BH:CE,J155,FALSE),0)</f>
        <v>121</v>
      </c>
      <c r="J155" s="2">
        <v>18</v>
      </c>
      <c r="N155" s="2" t="s">
        <v>14</v>
      </c>
      <c r="O155" s="17">
        <f>ROUND(VLOOKUP(O$139&amp;"_1",管理者用人口入力シート!CO:DL,Q155,FALSE),0)</f>
        <v>106</v>
      </c>
      <c r="P155" s="17">
        <f>ROUND(VLOOKUP(O$139&amp;"_2",管理者用人口入力シート!CO:DL,Q155,FALSE),0)</f>
        <v>121</v>
      </c>
      <c r="Q155" s="2">
        <v>18</v>
      </c>
    </row>
    <row r="156" spans="7:17" x14ac:dyDescent="0.15">
      <c r="G156" s="2" t="s">
        <v>15</v>
      </c>
      <c r="H156" s="17">
        <f>ROUND(VLOOKUP(H$139&amp;"_1",管理者用人口入力シート!BH:CE,J156,FALSE),0)</f>
        <v>79</v>
      </c>
      <c r="I156" s="17">
        <f>ROUND(VLOOKUP(H$139&amp;"_2",管理者用人口入力シート!BH:CE,J156,FALSE),0)</f>
        <v>101</v>
      </c>
      <c r="J156" s="2">
        <v>19</v>
      </c>
      <c r="N156" s="2" t="s">
        <v>15</v>
      </c>
      <c r="O156" s="17">
        <f>ROUND(VLOOKUP(O$139&amp;"_1",管理者用人口入力シート!CO:DL,Q156,FALSE),0)</f>
        <v>79</v>
      </c>
      <c r="P156" s="17">
        <f>ROUND(VLOOKUP(O$139&amp;"_2",管理者用人口入力シート!CO:DL,Q156,FALSE),0)</f>
        <v>101</v>
      </c>
      <c r="Q156" s="2">
        <v>19</v>
      </c>
    </row>
    <row r="157" spans="7:17" x14ac:dyDescent="0.15">
      <c r="G157" s="2" t="s">
        <v>16</v>
      </c>
      <c r="H157" s="17">
        <f>ROUND(VLOOKUP(H$139&amp;"_1",管理者用人口入力シート!BH:CE,J157,FALSE),0)</f>
        <v>74</v>
      </c>
      <c r="I157" s="17">
        <f>ROUND(VLOOKUP(H$139&amp;"_2",管理者用人口入力シート!BH:CE,J157,FALSE),0)</f>
        <v>106</v>
      </c>
      <c r="J157" s="2">
        <v>20</v>
      </c>
      <c r="N157" s="2" t="s">
        <v>16</v>
      </c>
      <c r="O157" s="17">
        <f>ROUND(VLOOKUP(O$139&amp;"_1",管理者用人口入力シート!CO:DL,Q157,FALSE),0)</f>
        <v>74</v>
      </c>
      <c r="P157" s="17">
        <f>ROUND(VLOOKUP(O$139&amp;"_2",管理者用人口入力シート!CO:DL,Q157,FALSE),0)</f>
        <v>106</v>
      </c>
      <c r="Q157" s="2">
        <v>20</v>
      </c>
    </row>
    <row r="158" spans="7:17" x14ac:dyDescent="0.15">
      <c r="G158" s="2" t="s">
        <v>17</v>
      </c>
      <c r="H158" s="17">
        <f>ROUND(VLOOKUP(H$139&amp;"_1",管理者用人口入力シート!BH:CE,J158,FALSE),0)</f>
        <v>55</v>
      </c>
      <c r="I158" s="17">
        <f>ROUND(VLOOKUP(H$139&amp;"_2",管理者用人口入力シート!BH:CE,J158,FALSE),0)</f>
        <v>89</v>
      </c>
      <c r="J158" s="2">
        <v>21</v>
      </c>
      <c r="N158" s="2" t="s">
        <v>17</v>
      </c>
      <c r="O158" s="17">
        <f>ROUND(VLOOKUP(O$139&amp;"_1",管理者用人口入力シート!CO:DL,Q158,FALSE),0)</f>
        <v>55</v>
      </c>
      <c r="P158" s="17">
        <f>ROUND(VLOOKUP(O$139&amp;"_2",管理者用人口入力シート!CO:DL,Q158,FALSE),0)</f>
        <v>89</v>
      </c>
      <c r="Q158" s="2">
        <v>21</v>
      </c>
    </row>
    <row r="159" spans="7:17" x14ac:dyDescent="0.15">
      <c r="G159" s="2" t="s">
        <v>18</v>
      </c>
      <c r="H159" s="17">
        <f>ROUND(VLOOKUP(H$139&amp;"_1",管理者用人口入力シート!BH:CE,J159,FALSE),0)</f>
        <v>38</v>
      </c>
      <c r="I159" s="17">
        <f>ROUND(VLOOKUP(H$139&amp;"_2",管理者用人口入力シート!BH:CE,J159,FALSE),0)</f>
        <v>68</v>
      </c>
      <c r="J159" s="2">
        <v>22</v>
      </c>
      <c r="N159" s="2" t="s">
        <v>18</v>
      </c>
      <c r="O159" s="17">
        <f>ROUND(VLOOKUP(O$139&amp;"_1",管理者用人口入力シート!CO:DL,Q159,FALSE),0)</f>
        <v>38</v>
      </c>
      <c r="P159" s="17">
        <f>ROUND(VLOOKUP(O$139&amp;"_2",管理者用人口入力シート!CO:DL,Q159,FALSE),0)</f>
        <v>68</v>
      </c>
      <c r="Q159" s="2">
        <v>22</v>
      </c>
    </row>
    <row r="160" spans="7:17" x14ac:dyDescent="0.15">
      <c r="G160" s="2" t="s">
        <v>19</v>
      </c>
      <c r="H160" s="17">
        <f>ROUND(VLOOKUP(H$139&amp;"_1",管理者用人口入力シート!BH:CE,J160,FALSE),0)</f>
        <v>7</v>
      </c>
      <c r="I160" s="17">
        <f>ROUND(VLOOKUP(H$139&amp;"_2",管理者用人口入力シート!BH:CE,J160,FALSE),0)</f>
        <v>22</v>
      </c>
      <c r="J160" s="2">
        <v>23</v>
      </c>
      <c r="N160" s="2" t="s">
        <v>19</v>
      </c>
      <c r="O160" s="17">
        <f>ROUND(VLOOKUP(O$139&amp;"_1",管理者用人口入力シート!CO:DL,Q160,FALSE),0)</f>
        <v>7</v>
      </c>
      <c r="P160" s="17">
        <f>ROUND(VLOOKUP(O$139&amp;"_2",管理者用人口入力シート!CO:DL,Q160,FALSE),0)</f>
        <v>22</v>
      </c>
      <c r="Q160" s="2">
        <v>23</v>
      </c>
    </row>
    <row r="161" spans="7:17" x14ac:dyDescent="0.15">
      <c r="G161" s="2" t="s">
        <v>20</v>
      </c>
      <c r="H161" s="17">
        <f>ROUND(VLOOKUP(H$139&amp;"_1",管理者用人口入力シート!BH:CE,J161,FALSE),0)</f>
        <v>0</v>
      </c>
      <c r="I161" s="17">
        <f>ROUND(VLOOKUP(H$139&amp;"_2",管理者用人口入力シート!BH:CE,J161,FALSE),0)</f>
        <v>8</v>
      </c>
      <c r="J161" s="2">
        <v>24</v>
      </c>
      <c r="N161" s="2" t="s">
        <v>20</v>
      </c>
      <c r="O161" s="17">
        <f>ROUND(VLOOKUP(O$139&amp;"_1",管理者用人口入力シート!CO:DL,Q161,FALSE),0)</f>
        <v>0</v>
      </c>
      <c r="P161" s="17">
        <f>ROUND(VLOOKUP(O$139&amp;"_2",管理者用人口入力シート!CO:DL,Q161,FALSE),0)</f>
        <v>8</v>
      </c>
      <c r="Q161" s="2">
        <v>24</v>
      </c>
    </row>
    <row r="163" spans="7:17" x14ac:dyDescent="0.15">
      <c r="G163" s="2" t="s">
        <v>395</v>
      </c>
      <c r="H163" s="314">
        <f>管理者入力シート!B12</f>
        <v>2045</v>
      </c>
      <c r="I163" s="315"/>
      <c r="J163" s="2" t="s">
        <v>114</v>
      </c>
      <c r="O163" s="314">
        <f>管理者入力シート!B12</f>
        <v>2045</v>
      </c>
      <c r="P163" s="315"/>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46</v>
      </c>
      <c r="I165" s="17">
        <f>ROUND(VLOOKUP(H$163&amp;"_2",管理者用人口入力シート!BH:CE,J165,FALSE),0)</f>
        <v>50</v>
      </c>
      <c r="J165" s="2">
        <v>4</v>
      </c>
      <c r="N165" s="2" t="s">
        <v>0</v>
      </c>
      <c r="O165" s="17">
        <f>ROUND(VLOOKUP(O$163&amp;"_1",管理者用人口入力シート!CO:DL,Q165,FALSE),0)</f>
        <v>48</v>
      </c>
      <c r="P165" s="17">
        <f>ROUND(VLOOKUP(O$163&amp;"_2",管理者用人口入力シート!CO:DL,Q165,FALSE),0)</f>
        <v>53</v>
      </c>
      <c r="Q165" s="2">
        <v>4</v>
      </c>
    </row>
    <row r="166" spans="7:17" x14ac:dyDescent="0.15">
      <c r="G166" s="2" t="s">
        <v>1</v>
      </c>
      <c r="H166" s="17">
        <f>ROUND(VLOOKUP(H$163&amp;"_1",管理者用人口入力シート!BH:CE,J166,FALSE),0)</f>
        <v>46</v>
      </c>
      <c r="I166" s="17">
        <f>ROUND(VLOOKUP(H$163&amp;"_2",管理者用人口入力シート!BH:CE,J166,FALSE),0)</f>
        <v>46</v>
      </c>
      <c r="J166" s="2">
        <v>5</v>
      </c>
      <c r="N166" s="2" t="s">
        <v>1</v>
      </c>
      <c r="O166" s="17">
        <f>ROUND(VLOOKUP(O$163&amp;"_1",管理者用人口入力シート!CO:DL,Q166,FALSE),0)</f>
        <v>48</v>
      </c>
      <c r="P166" s="17">
        <f>ROUND(VLOOKUP(O$163&amp;"_2",管理者用人口入力シート!CO:DL,Q166,FALSE),0)</f>
        <v>48</v>
      </c>
      <c r="Q166" s="2">
        <v>5</v>
      </c>
    </row>
    <row r="167" spans="7:17" x14ac:dyDescent="0.15">
      <c r="G167" s="2" t="s">
        <v>2</v>
      </c>
      <c r="H167" s="17">
        <f>ROUND(VLOOKUP(H$163&amp;"_1",管理者用人口入力シート!BH:CE,J167,FALSE),0)</f>
        <v>44</v>
      </c>
      <c r="I167" s="17">
        <f>ROUND(VLOOKUP(H$163&amp;"_2",管理者用人口入力シート!BH:CE,J167,FALSE),0)</f>
        <v>51</v>
      </c>
      <c r="J167" s="2">
        <v>6</v>
      </c>
      <c r="N167" s="2" t="s">
        <v>2</v>
      </c>
      <c r="O167" s="17">
        <f>ROUND(VLOOKUP(O$163&amp;"_1",管理者用人口入力シート!CO:DL,Q167,FALSE),0)</f>
        <v>47</v>
      </c>
      <c r="P167" s="17">
        <f>ROUND(VLOOKUP(O$163&amp;"_2",管理者用人口入力シート!CO:DL,Q167,FALSE),0)</f>
        <v>54</v>
      </c>
      <c r="Q167" s="2">
        <v>6</v>
      </c>
    </row>
    <row r="168" spans="7:17" x14ac:dyDescent="0.15">
      <c r="G168" s="2" t="s">
        <v>3</v>
      </c>
      <c r="H168" s="17">
        <f>ROUND(VLOOKUP(H$163&amp;"_1",管理者用人口入力シート!BH:CE,J168,FALSE),0)</f>
        <v>47</v>
      </c>
      <c r="I168" s="17">
        <f>ROUND(VLOOKUP(H$163&amp;"_2",管理者用人口入力シート!BH:CE,J168,FALSE),0)</f>
        <v>46</v>
      </c>
      <c r="J168" s="2">
        <v>7</v>
      </c>
      <c r="N168" s="2" t="s">
        <v>3</v>
      </c>
      <c r="O168" s="17">
        <f>ROUND(VLOOKUP(O$163&amp;"_1",管理者用人口入力シート!CO:DL,Q168,FALSE),0)</f>
        <v>49</v>
      </c>
      <c r="P168" s="17">
        <f>ROUND(VLOOKUP(O$163&amp;"_2",管理者用人口入力シート!CO:DL,Q168,FALSE),0)</f>
        <v>48</v>
      </c>
      <c r="Q168" s="2">
        <v>7</v>
      </c>
    </row>
    <row r="169" spans="7:17" x14ac:dyDescent="0.15">
      <c r="G169" s="2" t="s">
        <v>4</v>
      </c>
      <c r="H169" s="17">
        <f>ROUND(VLOOKUP(H$163&amp;"_1",管理者用人口入力シート!BH:CE,J169,FALSE),0)</f>
        <v>37</v>
      </c>
      <c r="I169" s="17">
        <f>ROUND(VLOOKUP(H$163&amp;"_2",管理者用人口入力シート!BH:CE,J169,FALSE),0)</f>
        <v>41</v>
      </c>
      <c r="J169" s="2">
        <v>8</v>
      </c>
      <c r="N169" s="2" t="s">
        <v>4</v>
      </c>
      <c r="O169" s="17">
        <f>ROUND(VLOOKUP(O$163&amp;"_1",管理者用人口入力シート!CO:DL,Q169,FALSE),0)</f>
        <v>38</v>
      </c>
      <c r="P169" s="17">
        <f>ROUND(VLOOKUP(O$163&amp;"_2",管理者用人口入力シート!CO:DL,Q169,FALSE),0)</f>
        <v>42</v>
      </c>
      <c r="Q169" s="2">
        <v>8</v>
      </c>
    </row>
    <row r="170" spans="7:17" x14ac:dyDescent="0.15">
      <c r="G170" s="2" t="s">
        <v>5</v>
      </c>
      <c r="H170" s="17">
        <f>ROUND(VLOOKUP(H$163&amp;"_1",管理者用人口入力シート!BH:CE,J170,FALSE),0)</f>
        <v>56</v>
      </c>
      <c r="I170" s="17">
        <f>ROUND(VLOOKUP(H$163&amp;"_2",管理者用人口入力シート!BH:CE,J170,FALSE),0)</f>
        <v>58</v>
      </c>
      <c r="J170" s="2">
        <v>9</v>
      </c>
      <c r="N170" s="2" t="s">
        <v>5</v>
      </c>
      <c r="O170" s="17">
        <f>ROUND(VLOOKUP(O$163&amp;"_1",管理者用人口入力シート!CO:DL,Q170,FALSE),0)</f>
        <v>59</v>
      </c>
      <c r="P170" s="17">
        <f>ROUND(VLOOKUP(O$163&amp;"_2",管理者用人口入力シート!CO:DL,Q170,FALSE),0)</f>
        <v>61</v>
      </c>
      <c r="Q170" s="2">
        <v>9</v>
      </c>
    </row>
    <row r="171" spans="7:17" x14ac:dyDescent="0.15">
      <c r="G171" s="2" t="s">
        <v>6</v>
      </c>
      <c r="H171" s="17">
        <f>ROUND(VLOOKUP(H$163&amp;"_1",管理者用人口入力シート!BH:CE,J171,FALSE),0)</f>
        <v>50</v>
      </c>
      <c r="I171" s="17">
        <f>ROUND(VLOOKUP(H$163&amp;"_2",管理者用人口入力シート!BH:CE,J171,FALSE),0)</f>
        <v>63</v>
      </c>
      <c r="J171" s="2">
        <v>10</v>
      </c>
      <c r="N171" s="2" t="s">
        <v>6</v>
      </c>
      <c r="O171" s="17">
        <f>ROUND(VLOOKUP(O$163&amp;"_1",管理者用人口入力シート!CO:DL,Q171,FALSE),0)</f>
        <v>53</v>
      </c>
      <c r="P171" s="17">
        <f>ROUND(VLOOKUP(O$163&amp;"_2",管理者用人口入力シート!CO:DL,Q171,FALSE),0)</f>
        <v>65</v>
      </c>
      <c r="Q171" s="2">
        <v>10</v>
      </c>
    </row>
    <row r="172" spans="7:17" x14ac:dyDescent="0.15">
      <c r="G172" s="2" t="s">
        <v>7</v>
      </c>
      <c r="H172" s="17">
        <f>ROUND(VLOOKUP(H$163&amp;"_1",管理者用人口入力シート!BH:CE,J172,FALSE),0)</f>
        <v>60</v>
      </c>
      <c r="I172" s="17">
        <f>ROUND(VLOOKUP(H$163&amp;"_2",管理者用人口入力シート!BH:CE,J172,FALSE),0)</f>
        <v>55</v>
      </c>
      <c r="J172" s="2">
        <v>11</v>
      </c>
      <c r="N172" s="2" t="s">
        <v>7</v>
      </c>
      <c r="O172" s="17">
        <f>ROUND(VLOOKUP(O$163&amp;"_1",管理者用人口入力シート!CO:DL,Q172,FALSE),0)</f>
        <v>62</v>
      </c>
      <c r="P172" s="17">
        <f>ROUND(VLOOKUP(O$163&amp;"_2",管理者用人口入力シート!CO:DL,Q172,FALSE),0)</f>
        <v>57</v>
      </c>
      <c r="Q172" s="2">
        <v>11</v>
      </c>
    </row>
    <row r="173" spans="7:17" x14ac:dyDescent="0.15">
      <c r="G173" s="2" t="s">
        <v>8</v>
      </c>
      <c r="H173" s="17">
        <f>ROUND(VLOOKUP(H$163&amp;"_1",管理者用人口入力シート!BH:CE,J173,FALSE),0)</f>
        <v>73</v>
      </c>
      <c r="I173" s="17">
        <f>ROUND(VLOOKUP(H$163&amp;"_2",管理者用人口入力シート!BH:CE,J173,FALSE),0)</f>
        <v>57</v>
      </c>
      <c r="J173" s="2">
        <v>12</v>
      </c>
      <c r="N173" s="2" t="s">
        <v>8</v>
      </c>
      <c r="O173" s="17">
        <f>ROUND(VLOOKUP(O$163&amp;"_1",管理者用人口入力シート!CO:DL,Q173,FALSE),0)</f>
        <v>75</v>
      </c>
      <c r="P173" s="17">
        <f>ROUND(VLOOKUP(O$163&amp;"_2",管理者用人口入力シート!CO:DL,Q173,FALSE),0)</f>
        <v>60</v>
      </c>
      <c r="Q173" s="2">
        <v>12</v>
      </c>
    </row>
    <row r="174" spans="7:17" x14ac:dyDescent="0.15">
      <c r="G174" s="2" t="s">
        <v>9</v>
      </c>
      <c r="H174" s="17">
        <f>ROUND(VLOOKUP(H$163&amp;"_1",管理者用人口入力シート!BH:CE,J174,FALSE),0)</f>
        <v>86</v>
      </c>
      <c r="I174" s="17">
        <f>ROUND(VLOOKUP(H$163&amp;"_2",管理者用人口入力シート!BH:CE,J174,FALSE),0)</f>
        <v>75</v>
      </c>
      <c r="J174" s="2">
        <v>13</v>
      </c>
      <c r="N174" s="2" t="s">
        <v>9</v>
      </c>
      <c r="O174" s="17">
        <f>ROUND(VLOOKUP(O$163&amp;"_1",管理者用人口入力シート!CO:DL,Q174,FALSE),0)</f>
        <v>88</v>
      </c>
      <c r="P174" s="17">
        <f>ROUND(VLOOKUP(O$163&amp;"_2",管理者用人口入力シート!CO:DL,Q174,FALSE),0)</f>
        <v>78</v>
      </c>
      <c r="Q174" s="2">
        <v>13</v>
      </c>
    </row>
    <row r="175" spans="7:17" x14ac:dyDescent="0.15">
      <c r="G175" s="2" t="s">
        <v>10</v>
      </c>
      <c r="H175" s="17">
        <f>ROUND(VLOOKUP(H$163&amp;"_1",管理者用人口入力シート!BH:CE,J175,FALSE),0)</f>
        <v>101</v>
      </c>
      <c r="I175" s="17">
        <f>ROUND(VLOOKUP(H$163&amp;"_2",管理者用人口入力シート!BH:CE,J175,FALSE),0)</f>
        <v>96</v>
      </c>
      <c r="J175" s="2">
        <v>14</v>
      </c>
      <c r="N175" s="2" t="s">
        <v>10</v>
      </c>
      <c r="O175" s="17">
        <f>ROUND(VLOOKUP(O$163&amp;"_1",管理者用人口入力シート!CO:DL,Q175,FALSE),0)</f>
        <v>101</v>
      </c>
      <c r="P175" s="17">
        <f>ROUND(VLOOKUP(O$163&amp;"_2",管理者用人口入力シート!CO:DL,Q175,FALSE),0)</f>
        <v>97</v>
      </c>
      <c r="Q175" s="2">
        <v>14</v>
      </c>
    </row>
    <row r="176" spans="7:17" x14ac:dyDescent="0.15">
      <c r="G176" s="2" t="s">
        <v>11</v>
      </c>
      <c r="H176" s="17">
        <f>ROUND(VLOOKUP(H$163&amp;"_1",管理者用人口入力シート!BH:CE,J176,FALSE),0)</f>
        <v>91</v>
      </c>
      <c r="I176" s="17">
        <f>ROUND(VLOOKUP(H$163&amp;"_2",管理者用人口入力シート!BH:CE,J176,FALSE),0)</f>
        <v>103</v>
      </c>
      <c r="J176" s="2">
        <v>15</v>
      </c>
      <c r="N176" s="2" t="s">
        <v>11</v>
      </c>
      <c r="O176" s="17">
        <f>ROUND(VLOOKUP(O$163&amp;"_1",管理者用人口入力シート!CO:DL,Q176,FALSE),0)</f>
        <v>91</v>
      </c>
      <c r="P176" s="17">
        <f>ROUND(VLOOKUP(O$163&amp;"_2",管理者用人口入力シート!CO:DL,Q176,FALSE),0)</f>
        <v>104</v>
      </c>
      <c r="Q176" s="2">
        <v>15</v>
      </c>
    </row>
    <row r="177" spans="7:17" x14ac:dyDescent="0.15">
      <c r="G177" s="2" t="s">
        <v>12</v>
      </c>
      <c r="H177" s="17">
        <f>ROUND(VLOOKUP(H$163&amp;"_1",管理者用人口入力シート!BH:CE,J177,FALSE),0)</f>
        <v>91</v>
      </c>
      <c r="I177" s="17">
        <f>ROUND(VLOOKUP(H$163&amp;"_2",管理者用人口入力シート!BH:CE,J177,FALSE),0)</f>
        <v>92</v>
      </c>
      <c r="J177" s="2">
        <v>16</v>
      </c>
      <c r="N177" s="2" t="s">
        <v>12</v>
      </c>
      <c r="O177" s="17">
        <f>ROUND(VLOOKUP(O$163&amp;"_1",管理者用人口入力シート!CO:DL,Q177,FALSE),0)</f>
        <v>91</v>
      </c>
      <c r="P177" s="17">
        <f>ROUND(VLOOKUP(O$163&amp;"_2",管理者用人口入力シート!CO:DL,Q177,FALSE),0)</f>
        <v>93</v>
      </c>
      <c r="Q177" s="2">
        <v>16</v>
      </c>
    </row>
    <row r="178" spans="7:17" x14ac:dyDescent="0.15">
      <c r="G178" s="2" t="s">
        <v>13</v>
      </c>
      <c r="H178" s="17">
        <f>ROUND(VLOOKUP(H$163&amp;"_1",管理者用人口入力シート!BH:CE,J178,FALSE),0)</f>
        <v>96</v>
      </c>
      <c r="I178" s="17">
        <f>ROUND(VLOOKUP(H$163&amp;"_2",管理者用人口入力シート!BH:CE,J178,FALSE),0)</f>
        <v>127</v>
      </c>
      <c r="J178" s="2">
        <v>17</v>
      </c>
      <c r="N178" s="2" t="s">
        <v>13</v>
      </c>
      <c r="O178" s="17">
        <f>ROUND(VLOOKUP(O$163&amp;"_1",管理者用人口入力シート!CO:DL,Q178,FALSE),0)</f>
        <v>96</v>
      </c>
      <c r="P178" s="17">
        <f>ROUND(VLOOKUP(O$163&amp;"_2",管理者用人口入力シート!CO:DL,Q178,FALSE),0)</f>
        <v>127</v>
      </c>
      <c r="Q178" s="2">
        <v>17</v>
      </c>
    </row>
    <row r="179" spans="7:17" x14ac:dyDescent="0.15">
      <c r="G179" s="2" t="s">
        <v>14</v>
      </c>
      <c r="H179" s="17">
        <f>ROUND(VLOOKUP(H$163&amp;"_1",管理者用人口入力シート!BH:CE,J179,FALSE),0)</f>
        <v>105</v>
      </c>
      <c r="I179" s="17">
        <f>ROUND(VLOOKUP(H$163&amp;"_2",管理者用人口入力シート!BH:CE,J179,FALSE),0)</f>
        <v>120</v>
      </c>
      <c r="J179" s="2">
        <v>18</v>
      </c>
      <c r="N179" s="2" t="s">
        <v>14</v>
      </c>
      <c r="O179" s="17">
        <f>ROUND(VLOOKUP(O$163&amp;"_1",管理者用人口入力シート!CO:DL,Q179,FALSE),0)</f>
        <v>105</v>
      </c>
      <c r="P179" s="17">
        <f>ROUND(VLOOKUP(O$163&amp;"_2",管理者用人口入力シート!CO:DL,Q179,FALSE),0)</f>
        <v>120</v>
      </c>
      <c r="Q179" s="2">
        <v>18</v>
      </c>
    </row>
    <row r="180" spans="7:17" x14ac:dyDescent="0.15">
      <c r="G180" s="2" t="s">
        <v>15</v>
      </c>
      <c r="H180" s="17">
        <f>ROUND(VLOOKUP(H$163&amp;"_1",管理者用人口入力シート!BH:CE,J180,FALSE),0)</f>
        <v>93</v>
      </c>
      <c r="I180" s="17">
        <f>ROUND(VLOOKUP(H$163&amp;"_2",管理者用人口入力シート!BH:CE,J180,FALSE),0)</f>
        <v>115</v>
      </c>
      <c r="J180" s="2">
        <v>19</v>
      </c>
      <c r="N180" s="2" t="s">
        <v>15</v>
      </c>
      <c r="O180" s="17">
        <f>ROUND(VLOOKUP(O$163&amp;"_1",管理者用人口入力シート!CO:DL,Q180,FALSE),0)</f>
        <v>93</v>
      </c>
      <c r="P180" s="17">
        <f>ROUND(VLOOKUP(O$163&amp;"_2",管理者用人口入力シート!CO:DL,Q180,FALSE),0)</f>
        <v>115</v>
      </c>
      <c r="Q180" s="2">
        <v>19</v>
      </c>
    </row>
    <row r="181" spans="7:17" x14ac:dyDescent="0.15">
      <c r="G181" s="2" t="s">
        <v>16</v>
      </c>
      <c r="H181" s="17">
        <f>ROUND(VLOOKUP(H$163&amp;"_1",管理者用人口入力シート!BH:CE,J181,FALSE),0)</f>
        <v>62</v>
      </c>
      <c r="I181" s="17">
        <f>ROUND(VLOOKUP(H$163&amp;"_2",管理者用人口入力シート!BH:CE,J181,FALSE),0)</f>
        <v>85</v>
      </c>
      <c r="J181" s="2">
        <v>20</v>
      </c>
      <c r="N181" s="2" t="s">
        <v>16</v>
      </c>
      <c r="O181" s="17">
        <f>ROUND(VLOOKUP(O$163&amp;"_1",管理者用人口入力シート!CO:DL,Q181,FALSE),0)</f>
        <v>62</v>
      </c>
      <c r="P181" s="17">
        <f>ROUND(VLOOKUP(O$163&amp;"_2",管理者用人口入力シート!CO:DL,Q181,FALSE),0)</f>
        <v>85</v>
      </c>
      <c r="Q181" s="2">
        <v>20</v>
      </c>
    </row>
    <row r="182" spans="7:17" x14ac:dyDescent="0.15">
      <c r="G182" s="2" t="s">
        <v>17</v>
      </c>
      <c r="H182" s="17">
        <f>ROUND(VLOOKUP(H$163&amp;"_1",管理者用人口入力シート!BH:CE,J182,FALSE),0)</f>
        <v>46</v>
      </c>
      <c r="I182" s="17">
        <f>ROUND(VLOOKUP(H$163&amp;"_2",管理者用人口入力シート!BH:CE,J182,FALSE),0)</f>
        <v>78</v>
      </c>
      <c r="J182" s="2">
        <v>21</v>
      </c>
      <c r="N182" s="2" t="s">
        <v>17</v>
      </c>
      <c r="O182" s="17">
        <f>ROUND(VLOOKUP(O$163&amp;"_1",管理者用人口入力シート!CO:DL,Q182,FALSE),0)</f>
        <v>46</v>
      </c>
      <c r="P182" s="17">
        <f>ROUND(VLOOKUP(O$163&amp;"_2",管理者用人口入力シート!CO:DL,Q182,FALSE),0)</f>
        <v>78</v>
      </c>
      <c r="Q182" s="2">
        <v>21</v>
      </c>
    </row>
    <row r="183" spans="7:17" x14ac:dyDescent="0.15">
      <c r="G183" s="2" t="s">
        <v>18</v>
      </c>
      <c r="H183" s="17">
        <f>ROUND(VLOOKUP(H$163&amp;"_1",管理者用人口入力シート!BH:CE,J183,FALSE),0)</f>
        <v>31</v>
      </c>
      <c r="I183" s="17">
        <f>ROUND(VLOOKUP(H$163&amp;"_2",管理者用人口入力シート!BH:CE,J183,FALSE),0)</f>
        <v>56</v>
      </c>
      <c r="J183" s="2">
        <v>22</v>
      </c>
      <c r="N183" s="2" t="s">
        <v>18</v>
      </c>
      <c r="O183" s="17">
        <f>ROUND(VLOOKUP(O$163&amp;"_1",管理者用人口入力シート!CO:DL,Q183,FALSE),0)</f>
        <v>31</v>
      </c>
      <c r="P183" s="17">
        <f>ROUND(VLOOKUP(O$163&amp;"_2",管理者用人口入力シート!CO:DL,Q183,FALSE),0)</f>
        <v>56</v>
      </c>
      <c r="Q183" s="2">
        <v>22</v>
      </c>
    </row>
    <row r="184" spans="7:17" x14ac:dyDescent="0.15">
      <c r="G184" s="2" t="s">
        <v>19</v>
      </c>
      <c r="H184" s="17">
        <f>ROUND(VLOOKUP(H$163&amp;"_1",管理者用人口入力シート!BH:CE,J184,FALSE),0)</f>
        <v>10</v>
      </c>
      <c r="I184" s="17">
        <f>ROUND(VLOOKUP(H$163&amp;"_2",管理者用人口入力シート!BH:CE,J184,FALSE),0)</f>
        <v>25</v>
      </c>
      <c r="J184" s="2">
        <v>23</v>
      </c>
      <c r="N184" s="2" t="s">
        <v>19</v>
      </c>
      <c r="O184" s="17">
        <f>ROUND(VLOOKUP(O$163&amp;"_1",管理者用人口入力シート!CO:DL,Q184,FALSE),0)</f>
        <v>10</v>
      </c>
      <c r="P184" s="17">
        <f>ROUND(VLOOKUP(O$163&amp;"_2",管理者用人口入力シート!CO:DL,Q184,FALSE),0)</f>
        <v>25</v>
      </c>
      <c r="Q184" s="2">
        <v>23</v>
      </c>
    </row>
    <row r="185" spans="7:17" x14ac:dyDescent="0.15">
      <c r="G185" s="2" t="s">
        <v>20</v>
      </c>
      <c r="H185" s="17">
        <f>ROUND(VLOOKUP(H$163&amp;"_1",管理者用人口入力シート!BH:CE,J185,FALSE),0)</f>
        <v>0</v>
      </c>
      <c r="I185" s="17">
        <f>ROUND(VLOOKUP(H$163&amp;"_2",管理者用人口入力シート!BH:CE,J185,FALSE),0)</f>
        <v>8</v>
      </c>
      <c r="J185" s="2">
        <v>24</v>
      </c>
      <c r="N185" s="2" t="s">
        <v>20</v>
      </c>
      <c r="O185" s="17">
        <f>ROUND(VLOOKUP(O$163&amp;"_1",管理者用人口入力シート!CO:DL,Q185,FALSE),0)</f>
        <v>0</v>
      </c>
      <c r="P185" s="17">
        <f>ROUND(VLOOKUP(O$163&amp;"_2",管理者用人口入力シート!CO:DL,Q185,FALSE),0)</f>
        <v>8</v>
      </c>
      <c r="Q185" s="2">
        <v>24</v>
      </c>
    </row>
    <row r="187" spans="7:17" x14ac:dyDescent="0.15">
      <c r="G187" s="2" t="s">
        <v>396</v>
      </c>
      <c r="H187" s="314">
        <f>管理者入力シート!B13</f>
        <v>2050</v>
      </c>
      <c r="I187" s="315"/>
      <c r="J187" s="2" t="s">
        <v>114</v>
      </c>
      <c r="O187" s="314">
        <f>管理者入力シート!B13</f>
        <v>2050</v>
      </c>
      <c r="P187" s="315"/>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41</v>
      </c>
      <c r="I189" s="17">
        <f>ROUND(VLOOKUP(H$187&amp;"_2",管理者用人口入力シート!BH:CE,J189,FALSE),0)</f>
        <v>45</v>
      </c>
      <c r="J189" s="2">
        <v>4</v>
      </c>
      <c r="N189" s="2" t="s">
        <v>0</v>
      </c>
      <c r="O189" s="17">
        <f>ROUND(VLOOKUP(O$187&amp;"_1",管理者用人口入力シート!CO:DL,Q189,FALSE),0)</f>
        <v>44</v>
      </c>
      <c r="P189" s="17">
        <f>ROUND(VLOOKUP(O$187&amp;"_2",管理者用人口入力シート!CO:DL,Q189,FALSE),0)</f>
        <v>48</v>
      </c>
      <c r="Q189" s="2">
        <v>4</v>
      </c>
    </row>
    <row r="190" spans="7:17" x14ac:dyDescent="0.15">
      <c r="G190" s="2" t="s">
        <v>1</v>
      </c>
      <c r="H190" s="17">
        <f>ROUND(VLOOKUP(H$187&amp;"_1",管理者用人口入力シート!BH:CE,J190,FALSE),0)</f>
        <v>42</v>
      </c>
      <c r="I190" s="17">
        <f>ROUND(VLOOKUP(H$187&amp;"_2",管理者用人口入力シート!BH:CE,J190,FALSE),0)</f>
        <v>42</v>
      </c>
      <c r="J190" s="2">
        <v>5</v>
      </c>
      <c r="N190" s="2" t="s">
        <v>1</v>
      </c>
      <c r="O190" s="17">
        <f>ROUND(VLOOKUP(O$187&amp;"_1",管理者用人口入力シート!CO:DL,Q190,FALSE),0)</f>
        <v>44</v>
      </c>
      <c r="P190" s="17">
        <f>ROUND(VLOOKUP(O$187&amp;"_2",管理者用人口入力シート!CO:DL,Q190,FALSE),0)</f>
        <v>44</v>
      </c>
      <c r="Q190" s="2">
        <v>5</v>
      </c>
    </row>
    <row r="191" spans="7:17" x14ac:dyDescent="0.15">
      <c r="G191" s="2" t="s">
        <v>2</v>
      </c>
      <c r="H191" s="17">
        <f>ROUND(VLOOKUP(H$187&amp;"_1",管理者用人口入力シート!BH:CE,J191,FALSE),0)</f>
        <v>40</v>
      </c>
      <c r="I191" s="17">
        <f>ROUND(VLOOKUP(H$187&amp;"_2",管理者用人口入力シート!BH:CE,J191,FALSE),0)</f>
        <v>46</v>
      </c>
      <c r="J191" s="2">
        <v>6</v>
      </c>
      <c r="N191" s="2" t="s">
        <v>2</v>
      </c>
      <c r="O191" s="17">
        <f>ROUND(VLOOKUP(O$187&amp;"_1",管理者用人口入力シート!CO:DL,Q191,FALSE),0)</f>
        <v>43</v>
      </c>
      <c r="P191" s="17">
        <f>ROUND(VLOOKUP(O$187&amp;"_2",管理者用人口入力シート!CO:DL,Q191,FALSE),0)</f>
        <v>49</v>
      </c>
      <c r="Q191" s="2">
        <v>6</v>
      </c>
    </row>
    <row r="192" spans="7:17" x14ac:dyDescent="0.15">
      <c r="G192" s="2" t="s">
        <v>3</v>
      </c>
      <c r="H192" s="17">
        <f>ROUND(VLOOKUP(H$187&amp;"_1",管理者用人口入力シート!BH:CE,J192,FALSE),0)</f>
        <v>41</v>
      </c>
      <c r="I192" s="17">
        <f>ROUND(VLOOKUP(H$187&amp;"_2",管理者用人口入力シート!BH:CE,J192,FALSE),0)</f>
        <v>40</v>
      </c>
      <c r="J192" s="2">
        <v>7</v>
      </c>
      <c r="N192" s="2" t="s">
        <v>3</v>
      </c>
      <c r="O192" s="17">
        <f>ROUND(VLOOKUP(O$187&amp;"_1",管理者用人口入力シート!CO:DL,Q192,FALSE),0)</f>
        <v>43</v>
      </c>
      <c r="P192" s="17">
        <f>ROUND(VLOOKUP(O$187&amp;"_2",管理者用人口入力シート!CO:DL,Q192,FALSE),0)</f>
        <v>42</v>
      </c>
      <c r="Q192" s="2">
        <v>7</v>
      </c>
    </row>
    <row r="193" spans="7:17" x14ac:dyDescent="0.15">
      <c r="G193" s="2" t="s">
        <v>4</v>
      </c>
      <c r="H193" s="17">
        <f>ROUND(VLOOKUP(H$187&amp;"_1",管理者用人口入力シート!BH:CE,J193,FALSE),0)</f>
        <v>31</v>
      </c>
      <c r="I193" s="17">
        <f>ROUND(VLOOKUP(H$187&amp;"_2",管理者用人口入力シート!BH:CE,J193,FALSE),0)</f>
        <v>34</v>
      </c>
      <c r="J193" s="2">
        <v>8</v>
      </c>
      <c r="N193" s="2" t="s">
        <v>4</v>
      </c>
      <c r="O193" s="17">
        <f>ROUND(VLOOKUP(O$187&amp;"_1",管理者用人口入力シート!CO:DL,Q193,FALSE),0)</f>
        <v>33</v>
      </c>
      <c r="P193" s="17">
        <f>ROUND(VLOOKUP(O$187&amp;"_2",管理者用人口入力シート!CO:DL,Q193,FALSE),0)</f>
        <v>36</v>
      </c>
      <c r="Q193" s="2">
        <v>8</v>
      </c>
    </row>
    <row r="194" spans="7:17" x14ac:dyDescent="0.15">
      <c r="G194" s="2" t="s">
        <v>5</v>
      </c>
      <c r="H194" s="17">
        <f>ROUND(VLOOKUP(H$187&amp;"_1",管理者用人口入力シート!BH:CE,J194,FALSE),0)</f>
        <v>48</v>
      </c>
      <c r="I194" s="17">
        <f>ROUND(VLOOKUP(H$187&amp;"_2",管理者用人口入力シート!BH:CE,J194,FALSE),0)</f>
        <v>51</v>
      </c>
      <c r="J194" s="2">
        <v>9</v>
      </c>
      <c r="N194" s="2" t="s">
        <v>5</v>
      </c>
      <c r="O194" s="17">
        <f>ROUND(VLOOKUP(O$187&amp;"_1",管理者用人口入力シート!CO:DL,Q194,FALSE),0)</f>
        <v>52</v>
      </c>
      <c r="P194" s="17">
        <f>ROUND(VLOOKUP(O$187&amp;"_2",管理者用人口入力シート!CO:DL,Q194,FALSE),0)</f>
        <v>54</v>
      </c>
      <c r="Q194" s="2">
        <v>9</v>
      </c>
    </row>
    <row r="195" spans="7:17" x14ac:dyDescent="0.15">
      <c r="G195" s="2" t="s">
        <v>6</v>
      </c>
      <c r="H195" s="17">
        <f>ROUND(VLOOKUP(H$187&amp;"_1",管理者用人口入力シート!BH:CE,J195,FALSE),0)</f>
        <v>53</v>
      </c>
      <c r="I195" s="17">
        <f>ROUND(VLOOKUP(H$187&amp;"_2",管理者用人口入力シート!BH:CE,J195,FALSE),0)</f>
        <v>52</v>
      </c>
      <c r="J195" s="2">
        <v>10</v>
      </c>
      <c r="N195" s="2" t="s">
        <v>6</v>
      </c>
      <c r="O195" s="17">
        <f>ROUND(VLOOKUP(O$187&amp;"_1",管理者用人口入力シート!CO:DL,Q195,FALSE),0)</f>
        <v>55</v>
      </c>
      <c r="P195" s="17">
        <f>ROUND(VLOOKUP(O$187&amp;"_2",管理者用人口入力シート!CO:DL,Q195,FALSE),0)</f>
        <v>55</v>
      </c>
      <c r="Q195" s="2">
        <v>10</v>
      </c>
    </row>
    <row r="196" spans="7:17" x14ac:dyDescent="0.15">
      <c r="G196" s="2" t="s">
        <v>7</v>
      </c>
      <c r="H196" s="17">
        <f>ROUND(VLOOKUP(H$187&amp;"_1",管理者用人口入力シート!BH:CE,J196,FALSE),0)</f>
        <v>47</v>
      </c>
      <c r="I196" s="17">
        <f>ROUND(VLOOKUP(H$187&amp;"_2",管理者用人口入力シート!BH:CE,J196,FALSE),0)</f>
        <v>58</v>
      </c>
      <c r="J196" s="2">
        <v>11</v>
      </c>
      <c r="N196" s="2" t="s">
        <v>7</v>
      </c>
      <c r="O196" s="17">
        <f>ROUND(VLOOKUP(O$187&amp;"_1",管理者用人口入力シート!CO:DL,Q196,FALSE),0)</f>
        <v>49</v>
      </c>
      <c r="P196" s="17">
        <f>ROUND(VLOOKUP(O$187&amp;"_2",管理者用人口入力シート!CO:DL,Q196,FALSE),0)</f>
        <v>60</v>
      </c>
      <c r="Q196" s="2">
        <v>11</v>
      </c>
    </row>
    <row r="197" spans="7:17" x14ac:dyDescent="0.15">
      <c r="G197" s="2" t="s">
        <v>8</v>
      </c>
      <c r="H197" s="17">
        <f>ROUND(VLOOKUP(H$187&amp;"_1",管理者用人口入力シート!BH:CE,J197,FALSE),0)</f>
        <v>58</v>
      </c>
      <c r="I197" s="17">
        <f>ROUND(VLOOKUP(H$187&amp;"_2",管理者用人口入力シート!BH:CE,J197,FALSE),0)</f>
        <v>53</v>
      </c>
      <c r="J197" s="2">
        <v>12</v>
      </c>
      <c r="N197" s="2" t="s">
        <v>8</v>
      </c>
      <c r="O197" s="17">
        <f>ROUND(VLOOKUP(O$187&amp;"_1",管理者用人口入力シート!CO:DL,Q197,FALSE),0)</f>
        <v>59</v>
      </c>
      <c r="P197" s="17">
        <f>ROUND(VLOOKUP(O$187&amp;"_2",管理者用人口入力シート!CO:DL,Q197,FALSE),0)</f>
        <v>56</v>
      </c>
      <c r="Q197" s="2">
        <v>12</v>
      </c>
    </row>
    <row r="198" spans="7:17" x14ac:dyDescent="0.15">
      <c r="G198" s="2" t="s">
        <v>9</v>
      </c>
      <c r="H198" s="17">
        <f>ROUND(VLOOKUP(H$187&amp;"_1",管理者用人口入力シート!BH:CE,J198,FALSE),0)</f>
        <v>72</v>
      </c>
      <c r="I198" s="17">
        <f>ROUND(VLOOKUP(H$187&amp;"_2",管理者用人口入力シート!BH:CE,J198,FALSE),0)</f>
        <v>62</v>
      </c>
      <c r="J198" s="2">
        <v>13</v>
      </c>
      <c r="N198" s="2" t="s">
        <v>9</v>
      </c>
      <c r="O198" s="17">
        <f>ROUND(VLOOKUP(O$187&amp;"_1",管理者用人口入力シート!CO:DL,Q198,FALSE),0)</f>
        <v>74</v>
      </c>
      <c r="P198" s="17">
        <f>ROUND(VLOOKUP(O$187&amp;"_2",管理者用人口入力シート!CO:DL,Q198,FALSE),0)</f>
        <v>65</v>
      </c>
      <c r="Q198" s="2">
        <v>13</v>
      </c>
    </row>
    <row r="199" spans="7:17" x14ac:dyDescent="0.15">
      <c r="G199" s="2" t="s">
        <v>10</v>
      </c>
      <c r="H199" s="17">
        <f>ROUND(VLOOKUP(H$187&amp;"_1",管理者用人口入力シート!BH:CE,J199,FALSE),0)</f>
        <v>89</v>
      </c>
      <c r="I199" s="17">
        <f>ROUND(VLOOKUP(H$187&amp;"_2",管理者用人口入力シート!BH:CE,J199,FALSE),0)</f>
        <v>71</v>
      </c>
      <c r="J199" s="2">
        <v>14</v>
      </c>
      <c r="N199" s="2" t="s">
        <v>10</v>
      </c>
      <c r="O199" s="17">
        <f>ROUND(VLOOKUP(O$187&amp;"_1",管理者用人口入力シート!CO:DL,Q199,FALSE),0)</f>
        <v>91</v>
      </c>
      <c r="P199" s="17">
        <f>ROUND(VLOOKUP(O$187&amp;"_2",管理者用人口入力シート!CO:DL,Q199,FALSE),0)</f>
        <v>74</v>
      </c>
      <c r="Q199" s="2">
        <v>14</v>
      </c>
    </row>
    <row r="200" spans="7:17" x14ac:dyDescent="0.15">
      <c r="G200" s="2" t="s">
        <v>11</v>
      </c>
      <c r="H200" s="17">
        <f>ROUND(VLOOKUP(H$187&amp;"_1",管理者用人口入力シート!BH:CE,J200,FALSE),0)</f>
        <v>93</v>
      </c>
      <c r="I200" s="17">
        <f>ROUND(VLOOKUP(H$187&amp;"_2",管理者用人口入力シート!BH:CE,J200,FALSE),0)</f>
        <v>91</v>
      </c>
      <c r="J200" s="2">
        <v>15</v>
      </c>
      <c r="N200" s="2" t="s">
        <v>11</v>
      </c>
      <c r="O200" s="17">
        <f>ROUND(VLOOKUP(O$187&amp;"_1",管理者用人口入力シート!CO:DL,Q200,FALSE),0)</f>
        <v>93</v>
      </c>
      <c r="P200" s="17">
        <f>ROUND(VLOOKUP(O$187&amp;"_2",管理者用人口入力シート!CO:DL,Q200,FALSE),0)</f>
        <v>92</v>
      </c>
      <c r="Q200" s="2">
        <v>15</v>
      </c>
    </row>
    <row r="201" spans="7:17" x14ac:dyDescent="0.15">
      <c r="G201" s="2" t="s">
        <v>12</v>
      </c>
      <c r="H201" s="17">
        <f>ROUND(VLOOKUP(H$187&amp;"_1",管理者用人口入力シート!BH:CE,J201,FALSE),0)</f>
        <v>85</v>
      </c>
      <c r="I201" s="17">
        <f>ROUND(VLOOKUP(H$187&amp;"_2",管理者用人口入力シート!BH:CE,J201,FALSE),0)</f>
        <v>93</v>
      </c>
      <c r="J201" s="2">
        <v>16</v>
      </c>
      <c r="N201" s="2" t="s">
        <v>12</v>
      </c>
      <c r="O201" s="17">
        <f>ROUND(VLOOKUP(O$187&amp;"_1",管理者用人口入力シート!CO:DL,Q201,FALSE),0)</f>
        <v>85</v>
      </c>
      <c r="P201" s="17">
        <f>ROUND(VLOOKUP(O$187&amp;"_2",管理者用人口入力シート!CO:DL,Q201,FALSE),0)</f>
        <v>93</v>
      </c>
      <c r="Q201" s="2">
        <v>16</v>
      </c>
    </row>
    <row r="202" spans="7:17" x14ac:dyDescent="0.15">
      <c r="G202" s="2" t="s">
        <v>13</v>
      </c>
      <c r="H202" s="17">
        <f>ROUND(VLOOKUP(H$187&amp;"_1",管理者用人口入力シート!BH:CE,J202,FALSE),0)</f>
        <v>80</v>
      </c>
      <c r="I202" s="17">
        <f>ROUND(VLOOKUP(H$187&amp;"_2",管理者用人口入力シート!BH:CE,J202,FALSE),0)</f>
        <v>86</v>
      </c>
      <c r="J202" s="2">
        <v>17</v>
      </c>
      <c r="N202" s="2" t="s">
        <v>13</v>
      </c>
      <c r="O202" s="17">
        <f>ROUND(VLOOKUP(O$187&amp;"_1",管理者用人口入力シート!CO:DL,Q202,FALSE),0)</f>
        <v>80</v>
      </c>
      <c r="P202" s="17">
        <f>ROUND(VLOOKUP(O$187&amp;"_2",管理者用人口入力シート!CO:DL,Q202,FALSE),0)</f>
        <v>87</v>
      </c>
      <c r="Q202" s="2">
        <v>17</v>
      </c>
    </row>
    <row r="203" spans="7:17" x14ac:dyDescent="0.15">
      <c r="G203" s="2" t="s">
        <v>14</v>
      </c>
      <c r="H203" s="17">
        <f>ROUND(VLOOKUP(H$187&amp;"_1",管理者用人口入力シート!BH:CE,J203,FALSE),0)</f>
        <v>83</v>
      </c>
      <c r="I203" s="17">
        <f>ROUND(VLOOKUP(H$187&amp;"_2",管理者用人口入力シート!BH:CE,J203,FALSE),0)</f>
        <v>117</v>
      </c>
      <c r="J203" s="2">
        <v>18</v>
      </c>
      <c r="N203" s="2" t="s">
        <v>14</v>
      </c>
      <c r="O203" s="17">
        <f>ROUND(VLOOKUP(O$187&amp;"_1",管理者用人口入力シート!CO:DL,Q203,FALSE),0)</f>
        <v>83</v>
      </c>
      <c r="P203" s="17">
        <f>ROUND(VLOOKUP(O$187&amp;"_2",管理者用人口入力シート!CO:DL,Q203,FALSE),0)</f>
        <v>117</v>
      </c>
      <c r="Q203" s="2">
        <v>18</v>
      </c>
    </row>
    <row r="204" spans="7:17" x14ac:dyDescent="0.15">
      <c r="G204" s="2" t="s">
        <v>15</v>
      </c>
      <c r="H204" s="17">
        <f>ROUND(VLOOKUP(H$187&amp;"_1",管理者用人口入力シート!BH:CE,J204,FALSE),0)</f>
        <v>92</v>
      </c>
      <c r="I204" s="17">
        <f>ROUND(VLOOKUP(H$187&amp;"_2",管理者用人口入力シート!BH:CE,J204,FALSE),0)</f>
        <v>114</v>
      </c>
      <c r="J204" s="2">
        <v>19</v>
      </c>
      <c r="N204" s="2" t="s">
        <v>15</v>
      </c>
      <c r="O204" s="17">
        <f>ROUND(VLOOKUP(O$187&amp;"_1",管理者用人口入力シート!CO:DL,Q204,FALSE),0)</f>
        <v>92</v>
      </c>
      <c r="P204" s="17">
        <f>ROUND(VLOOKUP(O$187&amp;"_2",管理者用人口入力シート!CO:DL,Q204,FALSE),0)</f>
        <v>114</v>
      </c>
      <c r="Q204" s="2">
        <v>19</v>
      </c>
    </row>
    <row r="205" spans="7:17" x14ac:dyDescent="0.15">
      <c r="G205" s="2" t="s">
        <v>16</v>
      </c>
      <c r="H205" s="17">
        <f>ROUND(VLOOKUP(H$187&amp;"_1",管理者用人口入力シート!BH:CE,J205,FALSE),0)</f>
        <v>74</v>
      </c>
      <c r="I205" s="17">
        <f>ROUND(VLOOKUP(H$187&amp;"_2",管理者用人口入力シート!BH:CE,J205,FALSE),0)</f>
        <v>98</v>
      </c>
      <c r="J205" s="2">
        <v>20</v>
      </c>
      <c r="N205" s="2" t="s">
        <v>16</v>
      </c>
      <c r="O205" s="17">
        <f>ROUND(VLOOKUP(O$187&amp;"_1",管理者用人口入力シート!CO:DL,Q205,FALSE),0)</f>
        <v>74</v>
      </c>
      <c r="P205" s="17">
        <f>ROUND(VLOOKUP(O$187&amp;"_2",管理者用人口入力シート!CO:DL,Q205,FALSE),0)</f>
        <v>98</v>
      </c>
      <c r="Q205" s="2">
        <v>20</v>
      </c>
    </row>
    <row r="206" spans="7:17" x14ac:dyDescent="0.15">
      <c r="G206" s="2" t="s">
        <v>17</v>
      </c>
      <c r="H206" s="17">
        <f>ROUND(VLOOKUP(H$187&amp;"_1",管理者用人口入力シート!BH:CE,J206,FALSE),0)</f>
        <v>39</v>
      </c>
      <c r="I206" s="17">
        <f>ROUND(VLOOKUP(H$187&amp;"_2",管理者用人口入力シート!BH:CE,J206,FALSE),0)</f>
        <v>62</v>
      </c>
      <c r="J206" s="2">
        <v>21</v>
      </c>
      <c r="N206" s="2" t="s">
        <v>17</v>
      </c>
      <c r="O206" s="17">
        <f>ROUND(VLOOKUP(O$187&amp;"_1",管理者用人口入力シート!CO:DL,Q206,FALSE),0)</f>
        <v>39</v>
      </c>
      <c r="P206" s="17">
        <f>ROUND(VLOOKUP(O$187&amp;"_2",管理者用人口入力シート!CO:DL,Q206,FALSE),0)</f>
        <v>62</v>
      </c>
      <c r="Q206" s="2">
        <v>21</v>
      </c>
    </row>
    <row r="207" spans="7:17" x14ac:dyDescent="0.15">
      <c r="G207" s="2" t="s">
        <v>18</v>
      </c>
      <c r="H207" s="17">
        <f>ROUND(VLOOKUP(H$187&amp;"_1",管理者用人口入力シート!BH:CE,J207,FALSE),0)</f>
        <v>26</v>
      </c>
      <c r="I207" s="17">
        <f>ROUND(VLOOKUP(H$187&amp;"_2",管理者用人口入力シート!BH:CE,J207,FALSE),0)</f>
        <v>49</v>
      </c>
      <c r="J207" s="2">
        <v>22</v>
      </c>
      <c r="N207" s="2" t="s">
        <v>18</v>
      </c>
      <c r="O207" s="17">
        <f>ROUND(VLOOKUP(O$187&amp;"_1",管理者用人口入力シート!CO:DL,Q207,FALSE),0)</f>
        <v>26</v>
      </c>
      <c r="P207" s="17">
        <f>ROUND(VLOOKUP(O$187&amp;"_2",管理者用人口入力シート!CO:DL,Q207,FALSE),0)</f>
        <v>49</v>
      </c>
      <c r="Q207" s="2">
        <v>22</v>
      </c>
    </row>
    <row r="208" spans="7:17" x14ac:dyDescent="0.15">
      <c r="G208" s="2" t="s">
        <v>19</v>
      </c>
      <c r="H208" s="17">
        <f>ROUND(VLOOKUP(H$187&amp;"_1",管理者用人口入力シート!BH:CE,J208,FALSE),0)</f>
        <v>8</v>
      </c>
      <c r="I208" s="17">
        <f>ROUND(VLOOKUP(H$187&amp;"_2",管理者用人口入力シート!BH:CE,J208,FALSE),0)</f>
        <v>20</v>
      </c>
      <c r="J208" s="2">
        <v>23</v>
      </c>
      <c r="N208" s="2" t="s">
        <v>19</v>
      </c>
      <c r="O208" s="17">
        <f>ROUND(VLOOKUP(O$187&amp;"_1",管理者用人口入力シート!CO:DL,Q208,FALSE),0)</f>
        <v>8</v>
      </c>
      <c r="P208" s="17">
        <f>ROUND(VLOOKUP(O$187&amp;"_2",管理者用人口入力シート!CO:DL,Q208,FALSE),0)</f>
        <v>20</v>
      </c>
      <c r="Q208" s="2">
        <v>23</v>
      </c>
    </row>
    <row r="209" spans="7:17" x14ac:dyDescent="0.15">
      <c r="G209" s="2" t="s">
        <v>20</v>
      </c>
      <c r="H209" s="17">
        <f>ROUND(VLOOKUP(H$187&amp;"_1",管理者用人口入力シート!BH:CE,J209,FALSE),0)</f>
        <v>0</v>
      </c>
      <c r="I209" s="17">
        <f>ROUND(VLOOKUP(H$187&amp;"_2",管理者用人口入力シート!BH:CE,J209,FALSE),0)</f>
        <v>8</v>
      </c>
      <c r="J209" s="2">
        <v>24</v>
      </c>
      <c r="N209" s="2" t="s">
        <v>20</v>
      </c>
      <c r="O209" s="17">
        <f>ROUND(VLOOKUP(O$187&amp;"_1",管理者用人口入力シート!CO:DL,Q209,FALSE),0)</f>
        <v>0</v>
      </c>
      <c r="P209" s="17">
        <f>ROUND(VLOOKUP(O$187&amp;"_2",管理者用人口入力シート!CO:DL,Q209,FALSE),0)</f>
        <v>8</v>
      </c>
      <c r="Q209" s="2">
        <v>24</v>
      </c>
    </row>
    <row r="212" spans="7:17" x14ac:dyDescent="0.15">
      <c r="N212" s="2" t="s">
        <v>273</v>
      </c>
      <c r="O212" s="314">
        <f>O91</f>
        <v>2030</v>
      </c>
      <c r="P212" s="315"/>
      <c r="Q212" s="2" t="s">
        <v>114</v>
      </c>
    </row>
    <row r="213" spans="7:17" x14ac:dyDescent="0.15">
      <c r="N213" s="2" t="s">
        <v>115</v>
      </c>
      <c r="O213" s="78" t="s">
        <v>329</v>
      </c>
      <c r="P213" s="78" t="s">
        <v>330</v>
      </c>
    </row>
    <row r="214" spans="7:17" x14ac:dyDescent="0.15">
      <c r="N214" s="2" t="s">
        <v>0</v>
      </c>
      <c r="O214" s="17">
        <f>H93+I93</f>
        <v>132</v>
      </c>
      <c r="P214" s="17">
        <f>O93+P93</f>
        <v>136</v>
      </c>
      <c r="Q214" s="2">
        <v>4</v>
      </c>
    </row>
    <row r="215" spans="7:17" x14ac:dyDescent="0.15">
      <c r="N215" s="2" t="s">
        <v>1</v>
      </c>
      <c r="O215" s="17">
        <f t="shared" ref="O215:O233" si="37">H94+I94</f>
        <v>138</v>
      </c>
      <c r="P215" s="17">
        <f t="shared" ref="P215:P233" si="38">O94+P94</f>
        <v>140</v>
      </c>
      <c r="Q215" s="2">
        <v>5</v>
      </c>
    </row>
    <row r="216" spans="7:17" x14ac:dyDescent="0.15">
      <c r="N216" s="2" t="s">
        <v>2</v>
      </c>
      <c r="O216" s="17">
        <f t="shared" si="37"/>
        <v>152</v>
      </c>
      <c r="P216" s="17">
        <f t="shared" si="38"/>
        <v>154</v>
      </c>
      <c r="Q216" s="2">
        <v>6</v>
      </c>
    </row>
    <row r="217" spans="7:17" x14ac:dyDescent="0.15">
      <c r="N217" s="2" t="s">
        <v>3</v>
      </c>
      <c r="O217" s="17">
        <f t="shared" si="37"/>
        <v>139</v>
      </c>
      <c r="P217" s="17">
        <f t="shared" si="38"/>
        <v>141</v>
      </c>
      <c r="Q217" s="2">
        <v>7</v>
      </c>
    </row>
    <row r="218" spans="7:17" x14ac:dyDescent="0.15">
      <c r="N218" s="2" t="s">
        <v>4</v>
      </c>
      <c r="O218" s="17">
        <f t="shared" si="37"/>
        <v>107</v>
      </c>
      <c r="P218" s="17">
        <f t="shared" si="38"/>
        <v>107</v>
      </c>
      <c r="Q218" s="2">
        <v>8</v>
      </c>
    </row>
    <row r="219" spans="7:17" x14ac:dyDescent="0.15">
      <c r="N219" s="2" t="s">
        <v>5</v>
      </c>
      <c r="O219" s="17">
        <f t="shared" si="37"/>
        <v>159</v>
      </c>
      <c r="P219" s="17">
        <f t="shared" si="38"/>
        <v>163</v>
      </c>
      <c r="Q219" s="2">
        <v>9</v>
      </c>
    </row>
    <row r="220" spans="7:17" x14ac:dyDescent="0.15">
      <c r="N220" s="2" t="s">
        <v>6</v>
      </c>
      <c r="O220" s="17">
        <f t="shared" si="37"/>
        <v>175</v>
      </c>
      <c r="P220" s="17">
        <f t="shared" si="38"/>
        <v>178</v>
      </c>
      <c r="Q220" s="2">
        <v>10</v>
      </c>
    </row>
    <row r="221" spans="7:17" x14ac:dyDescent="0.15">
      <c r="N221" s="2" t="s">
        <v>7</v>
      </c>
      <c r="O221" s="17">
        <f t="shared" si="37"/>
        <v>200</v>
      </c>
      <c r="P221" s="17">
        <f t="shared" si="38"/>
        <v>200</v>
      </c>
      <c r="Q221" s="2">
        <v>11</v>
      </c>
    </row>
    <row r="222" spans="7:17" x14ac:dyDescent="0.15">
      <c r="N222" s="2" t="s">
        <v>8</v>
      </c>
      <c r="O222" s="17">
        <f t="shared" si="37"/>
        <v>202</v>
      </c>
      <c r="P222" s="17">
        <f t="shared" si="38"/>
        <v>203</v>
      </c>
      <c r="Q222" s="2">
        <v>12</v>
      </c>
    </row>
    <row r="223" spans="7:17" x14ac:dyDescent="0.15">
      <c r="N223" s="2" t="s">
        <v>9</v>
      </c>
      <c r="O223" s="17">
        <f t="shared" si="37"/>
        <v>216</v>
      </c>
      <c r="P223" s="17">
        <f t="shared" si="38"/>
        <v>217</v>
      </c>
      <c r="Q223" s="2">
        <v>13</v>
      </c>
    </row>
    <row r="224" spans="7:17" x14ac:dyDescent="0.15">
      <c r="N224" s="2" t="s">
        <v>10</v>
      </c>
      <c r="O224" s="17">
        <f t="shared" si="37"/>
        <v>284</v>
      </c>
      <c r="P224" s="17">
        <f t="shared" si="38"/>
        <v>284</v>
      </c>
      <c r="Q224" s="2">
        <v>14</v>
      </c>
    </row>
    <row r="225" spans="14:17" x14ac:dyDescent="0.15">
      <c r="N225" s="2" t="s">
        <v>11</v>
      </c>
      <c r="O225" s="17">
        <f t="shared" si="37"/>
        <v>299</v>
      </c>
      <c r="P225" s="17">
        <f t="shared" si="38"/>
        <v>299</v>
      </c>
      <c r="Q225" s="2">
        <v>15</v>
      </c>
    </row>
    <row r="226" spans="14:17" x14ac:dyDescent="0.15">
      <c r="N226" s="2" t="s">
        <v>12</v>
      </c>
      <c r="O226" s="17">
        <f t="shared" si="37"/>
        <v>277</v>
      </c>
      <c r="P226" s="17">
        <f t="shared" si="38"/>
        <v>277</v>
      </c>
      <c r="Q226" s="2">
        <v>16</v>
      </c>
    </row>
    <row r="227" spans="14:17" x14ac:dyDescent="0.15">
      <c r="N227" s="2" t="s">
        <v>13</v>
      </c>
      <c r="O227" s="17">
        <f t="shared" si="37"/>
        <v>217</v>
      </c>
      <c r="P227" s="17">
        <f t="shared" si="38"/>
        <v>217</v>
      </c>
      <c r="Q227" s="2">
        <v>17</v>
      </c>
    </row>
    <row r="228" spans="14:17" x14ac:dyDescent="0.15">
      <c r="N228" s="2" t="s">
        <v>14</v>
      </c>
      <c r="O228" s="17">
        <f t="shared" si="37"/>
        <v>238</v>
      </c>
      <c r="P228" s="17">
        <f t="shared" si="38"/>
        <v>238</v>
      </c>
      <c r="Q228" s="2">
        <v>18</v>
      </c>
    </row>
    <row r="229" spans="14:17" x14ac:dyDescent="0.15">
      <c r="N229" s="2" t="s">
        <v>15</v>
      </c>
      <c r="O229" s="17">
        <f t="shared" si="37"/>
        <v>254</v>
      </c>
      <c r="P229" s="17">
        <f t="shared" si="38"/>
        <v>254</v>
      </c>
      <c r="Q229" s="2">
        <v>19</v>
      </c>
    </row>
    <row r="230" spans="14:17" x14ac:dyDescent="0.15">
      <c r="N230" s="2" t="s">
        <v>16</v>
      </c>
      <c r="O230" s="17">
        <f t="shared" si="37"/>
        <v>255</v>
      </c>
      <c r="P230" s="17">
        <f t="shared" si="38"/>
        <v>255</v>
      </c>
      <c r="Q230" s="2">
        <v>20</v>
      </c>
    </row>
    <row r="231" spans="14:17" x14ac:dyDescent="0.15">
      <c r="N231" s="2" t="s">
        <v>17</v>
      </c>
      <c r="O231" s="17">
        <f t="shared" si="37"/>
        <v>145</v>
      </c>
      <c r="P231" s="17">
        <f t="shared" si="38"/>
        <v>145</v>
      </c>
      <c r="Q231" s="2">
        <v>21</v>
      </c>
    </row>
    <row r="232" spans="14:17" x14ac:dyDescent="0.15">
      <c r="N232" s="2" t="s">
        <v>18</v>
      </c>
      <c r="O232" s="17">
        <f t="shared" si="37"/>
        <v>100</v>
      </c>
      <c r="P232" s="17">
        <f t="shared" si="38"/>
        <v>100</v>
      </c>
      <c r="Q232" s="2">
        <v>22</v>
      </c>
    </row>
    <row r="233" spans="14:17" x14ac:dyDescent="0.15">
      <c r="N233" s="2" t="s">
        <v>19</v>
      </c>
      <c r="O233" s="17">
        <f t="shared" si="37"/>
        <v>29</v>
      </c>
      <c r="P233" s="17">
        <f t="shared" si="38"/>
        <v>29</v>
      </c>
      <c r="Q233" s="2">
        <v>23</v>
      </c>
    </row>
    <row r="234" spans="14:17" x14ac:dyDescent="0.15">
      <c r="N234" s="2" t="s">
        <v>20</v>
      </c>
      <c r="O234" s="17">
        <f>H113+I113</f>
        <v>7</v>
      </c>
      <c r="P234" s="17">
        <f>O113+P113</f>
        <v>7</v>
      </c>
      <c r="Q234" s="2">
        <v>24</v>
      </c>
    </row>
    <row r="236" spans="14:17" x14ac:dyDescent="0.15">
      <c r="N236" s="2" t="s">
        <v>273</v>
      </c>
      <c r="O236" s="314">
        <f>O139</f>
        <v>2040</v>
      </c>
      <c r="P236" s="315"/>
      <c r="Q236" s="2" t="s">
        <v>114</v>
      </c>
    </row>
    <row r="237" spans="14:17" x14ac:dyDescent="0.15">
      <c r="N237" s="2" t="s">
        <v>115</v>
      </c>
      <c r="O237" s="78" t="s">
        <v>329</v>
      </c>
      <c r="P237" s="78" t="s">
        <v>330</v>
      </c>
    </row>
    <row r="238" spans="14:17" x14ac:dyDescent="0.15">
      <c r="N238" s="2" t="s">
        <v>0</v>
      </c>
      <c r="O238" s="17">
        <f>H141+I141</f>
        <v>104</v>
      </c>
      <c r="P238" s="17">
        <f>O141+P141</f>
        <v>109</v>
      </c>
      <c r="Q238" s="2">
        <v>4</v>
      </c>
    </row>
    <row r="239" spans="14:17" x14ac:dyDescent="0.15">
      <c r="N239" s="2" t="s">
        <v>1</v>
      </c>
      <c r="O239" s="17">
        <f t="shared" ref="O239:O257" si="39">H142+I142</f>
        <v>100</v>
      </c>
      <c r="P239" s="17">
        <f t="shared" ref="P239:P257" si="40">O142+P142</f>
        <v>104</v>
      </c>
      <c r="Q239" s="2">
        <v>5</v>
      </c>
    </row>
    <row r="240" spans="14:17" x14ac:dyDescent="0.15">
      <c r="N240" s="2" t="s">
        <v>2</v>
      </c>
      <c r="O240" s="17">
        <f t="shared" si="39"/>
        <v>110</v>
      </c>
      <c r="P240" s="17">
        <f t="shared" si="40"/>
        <v>115</v>
      </c>
      <c r="Q240" s="2">
        <v>6</v>
      </c>
    </row>
    <row r="241" spans="14:17" x14ac:dyDescent="0.15">
      <c r="N241" s="2" t="s">
        <v>3</v>
      </c>
      <c r="O241" s="17">
        <f t="shared" si="39"/>
        <v>111</v>
      </c>
      <c r="P241" s="17">
        <f t="shared" si="40"/>
        <v>115</v>
      </c>
      <c r="Q241" s="2">
        <v>7</v>
      </c>
    </row>
    <row r="242" spans="14:17" x14ac:dyDescent="0.15">
      <c r="N242" s="2" t="s">
        <v>4</v>
      </c>
      <c r="O242" s="17">
        <f t="shared" si="39"/>
        <v>90</v>
      </c>
      <c r="P242" s="17">
        <f t="shared" si="40"/>
        <v>92</v>
      </c>
      <c r="Q242" s="2">
        <v>8</v>
      </c>
    </row>
    <row r="243" spans="14:17" x14ac:dyDescent="0.15">
      <c r="N243" s="2" t="s">
        <v>5</v>
      </c>
      <c r="O243" s="17">
        <f t="shared" si="39"/>
        <v>123</v>
      </c>
      <c r="P243" s="17">
        <f t="shared" si="40"/>
        <v>129</v>
      </c>
      <c r="Q243" s="2">
        <v>9</v>
      </c>
    </row>
    <row r="244" spans="14:17" x14ac:dyDescent="0.15">
      <c r="N244" s="2" t="s">
        <v>6</v>
      </c>
      <c r="O244" s="17">
        <f t="shared" si="39"/>
        <v>125</v>
      </c>
      <c r="P244" s="17">
        <f t="shared" si="40"/>
        <v>128</v>
      </c>
      <c r="Q244" s="2">
        <v>10</v>
      </c>
    </row>
    <row r="245" spans="14:17" x14ac:dyDescent="0.15">
      <c r="N245" s="2" t="s">
        <v>7</v>
      </c>
      <c r="O245" s="17">
        <f t="shared" si="39"/>
        <v>135</v>
      </c>
      <c r="P245" s="17">
        <f t="shared" si="40"/>
        <v>139</v>
      </c>
      <c r="Q245" s="2">
        <v>11</v>
      </c>
    </row>
    <row r="246" spans="14:17" x14ac:dyDescent="0.15">
      <c r="N246" s="2" t="s">
        <v>8</v>
      </c>
      <c r="O246" s="17">
        <f t="shared" si="39"/>
        <v>156</v>
      </c>
      <c r="P246" s="17">
        <f t="shared" si="40"/>
        <v>161</v>
      </c>
      <c r="Q246" s="2">
        <v>12</v>
      </c>
    </row>
    <row r="247" spans="14:17" x14ac:dyDescent="0.15">
      <c r="N247" s="2" t="s">
        <v>9</v>
      </c>
      <c r="O247" s="17">
        <f t="shared" si="39"/>
        <v>199</v>
      </c>
      <c r="P247" s="17">
        <f t="shared" si="40"/>
        <v>200</v>
      </c>
      <c r="Q247" s="2">
        <v>13</v>
      </c>
    </row>
    <row r="248" spans="14:17" x14ac:dyDescent="0.15">
      <c r="N248" s="2" t="s">
        <v>10</v>
      </c>
      <c r="O248" s="17">
        <f t="shared" si="39"/>
        <v>207</v>
      </c>
      <c r="P248" s="17">
        <f t="shared" si="40"/>
        <v>208</v>
      </c>
      <c r="Q248" s="2">
        <v>14</v>
      </c>
    </row>
    <row r="249" spans="14:17" x14ac:dyDescent="0.15">
      <c r="N249" s="2" t="s">
        <v>11</v>
      </c>
      <c r="O249" s="17">
        <f t="shared" si="39"/>
        <v>200</v>
      </c>
      <c r="P249" s="17">
        <f t="shared" si="40"/>
        <v>201</v>
      </c>
      <c r="Q249" s="2">
        <v>15</v>
      </c>
    </row>
    <row r="250" spans="14:17" x14ac:dyDescent="0.15">
      <c r="N250" s="2" t="s">
        <v>12</v>
      </c>
      <c r="O250" s="17">
        <f t="shared" si="39"/>
        <v>243</v>
      </c>
      <c r="P250" s="17">
        <f t="shared" si="40"/>
        <v>243</v>
      </c>
      <c r="Q250" s="2">
        <v>16</v>
      </c>
    </row>
    <row r="251" spans="14:17" x14ac:dyDescent="0.15">
      <c r="N251" s="2" t="s">
        <v>13</v>
      </c>
      <c r="O251" s="17">
        <f t="shared" si="39"/>
        <v>249</v>
      </c>
      <c r="P251" s="17">
        <f t="shared" si="40"/>
        <v>249</v>
      </c>
      <c r="Q251" s="2">
        <v>17</v>
      </c>
    </row>
    <row r="252" spans="14:17" x14ac:dyDescent="0.15">
      <c r="N252" s="2" t="s">
        <v>14</v>
      </c>
      <c r="O252" s="17">
        <f t="shared" si="39"/>
        <v>227</v>
      </c>
      <c r="P252" s="17">
        <f t="shared" si="40"/>
        <v>227</v>
      </c>
      <c r="Q252" s="2">
        <v>18</v>
      </c>
    </row>
    <row r="253" spans="14:17" x14ac:dyDescent="0.15">
      <c r="N253" s="2" t="s">
        <v>15</v>
      </c>
      <c r="O253" s="17">
        <f t="shared" si="39"/>
        <v>180</v>
      </c>
      <c r="P253" s="17">
        <f t="shared" si="40"/>
        <v>180</v>
      </c>
      <c r="Q253" s="2">
        <v>19</v>
      </c>
    </row>
    <row r="254" spans="14:17" x14ac:dyDescent="0.15">
      <c r="N254" s="2" t="s">
        <v>16</v>
      </c>
      <c r="O254" s="17">
        <f t="shared" si="39"/>
        <v>180</v>
      </c>
      <c r="P254" s="17">
        <f t="shared" si="40"/>
        <v>180</v>
      </c>
      <c r="Q254" s="2">
        <v>20</v>
      </c>
    </row>
    <row r="255" spans="14:17" x14ac:dyDescent="0.15">
      <c r="N255" s="2" t="s">
        <v>17</v>
      </c>
      <c r="O255" s="17">
        <f t="shared" si="39"/>
        <v>144</v>
      </c>
      <c r="P255" s="17">
        <f t="shared" si="40"/>
        <v>144</v>
      </c>
      <c r="Q255" s="2">
        <v>21</v>
      </c>
    </row>
    <row r="256" spans="14:17" x14ac:dyDescent="0.15">
      <c r="N256" s="2" t="s">
        <v>18</v>
      </c>
      <c r="O256" s="17">
        <f t="shared" si="39"/>
        <v>106</v>
      </c>
      <c r="P256" s="17">
        <f t="shared" si="40"/>
        <v>106</v>
      </c>
      <c r="Q256" s="2">
        <v>22</v>
      </c>
    </row>
    <row r="257" spans="14:17" x14ac:dyDescent="0.15">
      <c r="N257" s="2" t="s">
        <v>19</v>
      </c>
      <c r="O257" s="17">
        <f t="shared" si="39"/>
        <v>29</v>
      </c>
      <c r="P257" s="17">
        <f t="shared" si="40"/>
        <v>29</v>
      </c>
      <c r="Q257" s="2">
        <v>23</v>
      </c>
    </row>
    <row r="258" spans="14:17" x14ac:dyDescent="0.15">
      <c r="N258" s="2" t="s">
        <v>20</v>
      </c>
      <c r="O258" s="17">
        <f>H161+I161</f>
        <v>8</v>
      </c>
      <c r="P258" s="17">
        <f>O161+P161</f>
        <v>8</v>
      </c>
      <c r="Q258" s="2">
        <v>24</v>
      </c>
    </row>
  </sheetData>
  <mergeCells count="17">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 ref="O236:P236"/>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2019-03-18T09:19:13Z</cp:lastPrinted>
  <dcterms:created xsi:type="dcterms:W3CDTF">2018-08-17T00:57:13Z</dcterms:created>
  <dcterms:modified xsi:type="dcterms:W3CDTF">2023-03-06T09:01:38Z</dcterms:modified>
</cp:coreProperties>
</file>