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vhw/c1JGCQgY557m1Ib5+lUYf7V4rc6WtVXo2HM8veQYHPlVllLEjBmBn3R3JSk6L3PotIM8A5I+FcUgAq/ixA==" workbookSaltValue="rW+ESY+SJ9Cyj9uSvF7YAg==" workbookSpinCount="100000" lockStructure="1"/>
  <bookViews>
    <workbookView xWindow="1920" yWindow="6510" windowWidth="17895" windowHeight="813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W15" i="17" l="1"/>
  <c r="Q5" i="22" l="1"/>
  <c r="A5" i="22"/>
  <c r="CK5" i="22" s="1"/>
  <c r="C139" i="24" s="1"/>
  <c r="CJ4" i="22"/>
  <c r="CI4" i="22"/>
  <c r="CH4" i="22"/>
  <c r="CG4" i="22"/>
  <c r="CN4" i="22" s="1"/>
  <c r="CF4" i="22"/>
  <c r="CE4" i="22"/>
  <c r="CD4" i="22"/>
  <c r="CC4" i="22"/>
  <c r="CM4" i="22" s="1"/>
  <c r="BW4" i="22"/>
  <c r="BI4" i="22"/>
  <c r="BH4" i="22"/>
  <c r="BG4" i="22"/>
  <c r="BF4" i="22"/>
  <c r="BE4" i="22"/>
  <c r="BD4" i="22"/>
  <c r="BC4" i="22"/>
  <c r="BB4" i="22"/>
  <c r="BA4" i="22"/>
  <c r="AZ4" i="22"/>
  <c r="AY4" i="22"/>
  <c r="AX4" i="22"/>
  <c r="AW4" i="22"/>
  <c r="AV4" i="22"/>
  <c r="AU4" i="22"/>
  <c r="AT4" i="22"/>
  <c r="AS4" i="22"/>
  <c r="AR4" i="22"/>
  <c r="AQ4" i="22"/>
  <c r="AP4" i="22"/>
  <c r="BO4" i="22" s="1"/>
  <c r="AH4" i="22"/>
  <c r="AG4" i="22"/>
  <c r="AF4" i="22"/>
  <c r="AE4" i="22"/>
  <c r="AD4" i="22"/>
  <c r="AB4" i="22"/>
  <c r="AA4" i="22"/>
  <c r="Z4" i="22"/>
  <c r="Y4" i="22"/>
  <c r="X4" i="22"/>
  <c r="V4" i="22"/>
  <c r="U4" i="22"/>
  <c r="T4" i="22"/>
  <c r="S4" i="22"/>
  <c r="R4" i="22"/>
  <c r="N4" i="22"/>
  <c r="M4" i="22"/>
  <c r="L4" i="22"/>
  <c r="K4" i="22"/>
  <c r="O4" i="22" s="1"/>
  <c r="G4" i="22"/>
  <c r="F4" i="22"/>
  <c r="E4" i="22"/>
  <c r="D4" i="22"/>
  <c r="B87" i="18"/>
  <c r="B36" i="18"/>
  <c r="A36" i="24" s="1"/>
  <c r="B6" i="18"/>
  <c r="B32" i="18" s="1"/>
  <c r="AF20" i="17"/>
  <c r="AC20" i="17"/>
  <c r="AE20" i="17" s="1"/>
  <c r="AB20" i="17"/>
  <c r="AD20" i="17" s="1"/>
  <c r="AA20" i="17"/>
  <c r="Z20" i="17"/>
  <c r="Y20" i="17"/>
  <c r="A20" i="17"/>
  <c r="AF19" i="17"/>
  <c r="AE19" i="17"/>
  <c r="AD19" i="17"/>
  <c r="AC19" i="17"/>
  <c r="AB19" i="17"/>
  <c r="AA19" i="17"/>
  <c r="Z19" i="17"/>
  <c r="Y19" i="17"/>
  <c r="A19" i="17"/>
  <c r="AF18" i="17"/>
  <c r="AC18" i="17"/>
  <c r="AE18" i="17" s="1"/>
  <c r="AB18" i="17"/>
  <c r="AA18" i="17"/>
  <c r="Z18" i="17"/>
  <c r="Y18" i="17"/>
  <c r="A18" i="17"/>
  <c r="AF17" i="17"/>
  <c r="AC17" i="17"/>
  <c r="AE17" i="17" s="1"/>
  <c r="AB17" i="17"/>
  <c r="AA17" i="17"/>
  <c r="Z17" i="17"/>
  <c r="Y17" i="17"/>
  <c r="A17" i="17"/>
  <c r="AF16" i="17"/>
  <c r="AC16" i="17"/>
  <c r="AE16" i="17" s="1"/>
  <c r="AB16" i="17"/>
  <c r="AD16" i="17" s="1"/>
  <c r="AA16" i="17"/>
  <c r="Z16" i="17"/>
  <c r="Y16" i="17"/>
  <c r="A16" i="17"/>
  <c r="AF15" i="17"/>
  <c r="AC15" i="17"/>
  <c r="AE15" i="17" s="1"/>
  <c r="AB15" i="17"/>
  <c r="AA15" i="17"/>
  <c r="Z15" i="17"/>
  <c r="Y15" i="17"/>
  <c r="A15" i="17"/>
  <c r="AF14" i="17"/>
  <c r="AC14" i="17"/>
  <c r="AB14" i="17"/>
  <c r="AA14" i="17"/>
  <c r="Z14" i="17"/>
  <c r="Y14" i="17"/>
  <c r="A14" i="17"/>
  <c r="AF13" i="17"/>
  <c r="AC13" i="17"/>
  <c r="AB13" i="17"/>
  <c r="AA13" i="17"/>
  <c r="Z13" i="17"/>
  <c r="Y13" i="17"/>
  <c r="A13" i="17"/>
  <c r="AK12" i="17"/>
  <c r="AF12" i="17"/>
  <c r="AC12" i="17"/>
  <c r="AB12" i="17"/>
  <c r="AA12" i="17"/>
  <c r="Z12" i="17"/>
  <c r="Y12" i="17"/>
  <c r="A12" i="17"/>
  <c r="AF11" i="17"/>
  <c r="AC11" i="17"/>
  <c r="AB11" i="17"/>
  <c r="AA11" i="17"/>
  <c r="Z11" i="17"/>
  <c r="Y11" i="17"/>
  <c r="A11" i="17"/>
  <c r="AN10" i="17"/>
  <c r="AO10" i="17" s="1"/>
  <c r="AP10" i="17" s="1"/>
  <c r="AQ10" i="17" s="1"/>
  <c r="AR10" i="17" s="1"/>
  <c r="AS10" i="17" s="1"/>
  <c r="AT10" i="17" s="1"/>
  <c r="AU10" i="17" s="1"/>
  <c r="AV10" i="17" s="1"/>
  <c r="AW10" i="17" s="1"/>
  <c r="AX10" i="17" s="1"/>
  <c r="AY10" i="17" s="1"/>
  <c r="AZ10" i="17" s="1"/>
  <c r="BA10" i="17" s="1"/>
  <c r="BB10" i="17" s="1"/>
  <c r="BC10" i="17" s="1"/>
  <c r="BD10" i="17" s="1"/>
  <c r="BE10" i="17" s="1"/>
  <c r="BF10" i="17" s="1"/>
  <c r="AF10" i="17"/>
  <c r="AC10" i="17"/>
  <c r="AB10" i="17"/>
  <c r="AD10" i="17" s="1"/>
  <c r="AA10" i="17"/>
  <c r="Z10" i="17"/>
  <c r="Y10" i="17"/>
  <c r="A10" i="17"/>
  <c r="AN9" i="17"/>
  <c r="AO9" i="17" s="1"/>
  <c r="AP9" i="17" s="1"/>
  <c r="AQ9" i="17" s="1"/>
  <c r="AR9" i="17" s="1"/>
  <c r="AS9" i="17" s="1"/>
  <c r="AT9" i="17" s="1"/>
  <c r="AU9" i="17" s="1"/>
  <c r="AV9" i="17" s="1"/>
  <c r="AW9" i="17" s="1"/>
  <c r="AX9" i="17" s="1"/>
  <c r="AY9" i="17" s="1"/>
  <c r="AZ9" i="17" s="1"/>
  <c r="BA9" i="17" s="1"/>
  <c r="AF9" i="17"/>
  <c r="AC9" i="17"/>
  <c r="AB9" i="17"/>
  <c r="AA9" i="17"/>
  <c r="Z9" i="17"/>
  <c r="Y9" i="17"/>
  <c r="AD9" i="17" s="1"/>
  <c r="A9" i="17"/>
  <c r="AF8" i="17"/>
  <c r="AC8" i="17"/>
  <c r="AB8" i="17"/>
  <c r="AA8" i="17"/>
  <c r="Z8" i="17"/>
  <c r="Y8" i="17"/>
  <c r="AD8" i="17" s="1"/>
  <c r="A8" i="17"/>
  <c r="AK7" i="17"/>
  <c r="AK8" i="17" s="1"/>
  <c r="AF7" i="17"/>
  <c r="AC7" i="17"/>
  <c r="AB7" i="17"/>
  <c r="AA7" i="17"/>
  <c r="Z7" i="17"/>
  <c r="Y7" i="17"/>
  <c r="AD7" i="17" s="1"/>
  <c r="A7" i="17"/>
  <c r="AF6" i="17"/>
  <c r="AC6" i="17"/>
  <c r="AB6" i="17"/>
  <c r="AA6" i="17"/>
  <c r="Z6" i="17"/>
  <c r="Y6" i="17"/>
  <c r="A6" i="17"/>
  <c r="AF5" i="17"/>
  <c r="AE5" i="17"/>
  <c r="AC5" i="17"/>
  <c r="AB5" i="17"/>
  <c r="AD5" i="17" s="1"/>
  <c r="AA5" i="17"/>
  <c r="Z5" i="17"/>
  <c r="Y5" i="17"/>
  <c r="A5" i="17"/>
  <c r="AF4" i="17"/>
  <c r="AD4" i="17"/>
  <c r="AC4" i="17"/>
  <c r="AE4" i="17" s="1"/>
  <c r="AB4" i="17"/>
  <c r="AA4" i="17"/>
  <c r="Z4" i="17"/>
  <c r="Y4" i="17"/>
  <c r="A4" i="17"/>
  <c r="AK3" i="17"/>
  <c r="AK4" i="17" s="1"/>
  <c r="AF3" i="17"/>
  <c r="AC3" i="17"/>
  <c r="AB3" i="17"/>
  <c r="AA3" i="17"/>
  <c r="Z3" i="17"/>
  <c r="Y3" i="17"/>
  <c r="A3" i="17"/>
  <c r="A1" i="17"/>
  <c r="B13" i="16"/>
  <c r="B12" i="16"/>
  <c r="B11" i="16"/>
  <c r="A44" i="21" s="1"/>
  <c r="B10" i="16"/>
  <c r="DX9" i="17" s="1"/>
  <c r="B9" i="16"/>
  <c r="BI6" i="17" s="1"/>
  <c r="B8" i="16"/>
  <c r="DX3" i="17" s="1"/>
  <c r="B7" i="16"/>
  <c r="AJ7" i="17" s="1"/>
  <c r="AJ8" i="17" s="1"/>
  <c r="B6" i="16"/>
  <c r="AK5" i="17" s="1"/>
  <c r="AK6" i="17" s="1"/>
  <c r="A138" i="24"/>
  <c r="A104" i="24"/>
  <c r="C13" i="24"/>
  <c r="C12" i="24"/>
  <c r="A6" i="24"/>
  <c r="A47" i="21"/>
  <c r="G38" i="21"/>
  <c r="G37" i="21"/>
  <c r="G36" i="21"/>
  <c r="B32" i="21"/>
  <c r="B31" i="21"/>
  <c r="A137" i="19"/>
  <c r="A103" i="19"/>
  <c r="A73" i="19"/>
  <c r="C41" i="19"/>
  <c r="C40" i="19"/>
  <c r="A11" i="19"/>
  <c r="A7" i="19"/>
  <c r="A134" i="15"/>
  <c r="A6" i="15"/>
  <c r="H4" i="22" l="1"/>
  <c r="CP4" i="22"/>
  <c r="W4" i="22"/>
  <c r="BS4" i="22"/>
  <c r="CA4" i="22"/>
  <c r="AD3" i="17"/>
  <c r="AE7" i="17"/>
  <c r="AD18" i="17"/>
  <c r="BV4" i="22"/>
  <c r="CK4" i="22"/>
  <c r="I5" i="22"/>
  <c r="AD15" i="17"/>
  <c r="I4" i="22"/>
  <c r="Y5" i="22"/>
  <c r="J4" i="22"/>
  <c r="AO5" i="22"/>
  <c r="AD6" i="17"/>
  <c r="AD12" i="17"/>
  <c r="AD17" i="17"/>
  <c r="BN4" i="22"/>
  <c r="AW5" i="22"/>
  <c r="AE12" i="17"/>
  <c r="BE5" i="22"/>
  <c r="AE6" i="17"/>
  <c r="P4" i="22"/>
  <c r="BU5" i="22"/>
  <c r="BI9" i="17"/>
  <c r="BH9" i="17" s="1"/>
  <c r="AD14" i="17"/>
  <c r="Q4" i="22"/>
  <c r="AI4" i="22"/>
  <c r="AO4" i="22" s="1"/>
  <c r="BK4" i="22"/>
  <c r="CC5" i="22"/>
  <c r="AE14" i="17"/>
  <c r="CL4" i="22"/>
  <c r="AD13" i="17"/>
  <c r="AE13" i="17"/>
  <c r="CP3" i="17"/>
  <c r="CP4" i="17" s="1"/>
  <c r="A10" i="19"/>
  <c r="G39" i="21"/>
  <c r="CP12" i="17"/>
  <c r="AJ3" i="17"/>
  <c r="B16" i="18"/>
  <c r="BB9" i="17"/>
  <c r="BC9" i="17" s="1"/>
  <c r="BD9" i="17" s="1"/>
  <c r="BE9" i="17" s="1"/>
  <c r="BF9" i="17" s="1"/>
  <c r="BA3" i="17"/>
  <c r="B89" i="18"/>
  <c r="AE3" i="17"/>
  <c r="AS3" i="17"/>
  <c r="DX20" i="17"/>
  <c r="DX21" i="17" s="1"/>
  <c r="DX22" i="17" s="1"/>
  <c r="DX4" i="17"/>
  <c r="DX5" i="17" s="1"/>
  <c r="DX26" i="17"/>
  <c r="DX27" i="17" s="1"/>
  <c r="DX28" i="17" s="1"/>
  <c r="DX10" i="17"/>
  <c r="DX11" i="17" s="1"/>
  <c r="BC3" i="17"/>
  <c r="AY3" i="17"/>
  <c r="AU3" i="17"/>
  <c r="AQ3" i="17"/>
  <c r="AM3" i="17"/>
  <c r="BF3" i="17"/>
  <c r="BB3" i="17"/>
  <c r="AX3" i="17"/>
  <c r="AT3" i="17"/>
  <c r="AP3" i="17"/>
  <c r="AJ4" i="17"/>
  <c r="BD3" i="17"/>
  <c r="AZ3" i="17"/>
  <c r="AV3" i="17"/>
  <c r="AR3" i="17"/>
  <c r="AN3" i="17"/>
  <c r="AW3" i="17"/>
  <c r="AE11" i="17"/>
  <c r="BE3" i="17"/>
  <c r="AE8" i="17"/>
  <c r="AE9" i="17"/>
  <c r="BI10" i="17"/>
  <c r="BI7" i="17"/>
  <c r="BH6" i="17"/>
  <c r="AO3" i="17"/>
  <c r="H91" i="18"/>
  <c r="O91" i="18"/>
  <c r="H8" i="18"/>
  <c r="A46" i="21"/>
  <c r="A6" i="19"/>
  <c r="DX6" i="17"/>
  <c r="CP6" i="17"/>
  <c r="A43" i="21"/>
  <c r="H187" i="18"/>
  <c r="O187" i="18"/>
  <c r="CP18" i="17"/>
  <c r="BI18" i="17"/>
  <c r="H67" i="18"/>
  <c r="O67" i="18"/>
  <c r="H7" i="18"/>
  <c r="H163" i="18"/>
  <c r="O163" i="18"/>
  <c r="BI15" i="17"/>
  <c r="CP15" i="17"/>
  <c r="BI3" i="17"/>
  <c r="CP9" i="17"/>
  <c r="AD11" i="17"/>
  <c r="CP13" i="17"/>
  <c r="CO12" i="17"/>
  <c r="B63" i="18"/>
  <c r="B5" i="18"/>
  <c r="O115" i="18"/>
  <c r="H115" i="18"/>
  <c r="H9" i="18"/>
  <c r="B109" i="18"/>
  <c r="B107" i="18"/>
  <c r="B105" i="18"/>
  <c r="B103" i="18"/>
  <c r="B101" i="18"/>
  <c r="B99" i="18"/>
  <c r="B97" i="18"/>
  <c r="B95" i="18"/>
  <c r="B93" i="18"/>
  <c r="C108" i="18"/>
  <c r="C106" i="18"/>
  <c r="C104" i="18"/>
  <c r="C102" i="18"/>
  <c r="C100" i="18"/>
  <c r="C98" i="18"/>
  <c r="C96" i="18"/>
  <c r="C94" i="18"/>
  <c r="C92" i="18"/>
  <c r="C91" i="18"/>
  <c r="C89" i="18"/>
  <c r="B104" i="18"/>
  <c r="B96" i="18"/>
  <c r="B106" i="18"/>
  <c r="B98" i="18"/>
  <c r="B92" i="18"/>
  <c r="B102" i="18"/>
  <c r="B94" i="18"/>
  <c r="B90" i="18"/>
  <c r="B91" i="18"/>
  <c r="B108" i="18"/>
  <c r="C16" i="18"/>
  <c r="B100" i="18"/>
  <c r="AK13" i="17"/>
  <c r="B39" i="18"/>
  <c r="B4" i="18"/>
  <c r="O139" i="18"/>
  <c r="H139" i="18"/>
  <c r="H10" i="18"/>
  <c r="DX12" i="17"/>
  <c r="BI12" i="17"/>
  <c r="AJ5" i="17"/>
  <c r="AE10" i="17"/>
  <c r="AK14" i="17"/>
  <c r="H6" i="18"/>
  <c r="B12" i="18"/>
  <c r="C12" i="18" s="1"/>
  <c r="B22" i="18"/>
  <c r="B26" i="18"/>
  <c r="AJ4" i="22"/>
  <c r="AL4" i="22"/>
  <c r="C109" i="18"/>
  <c r="C90" i="18"/>
  <c r="C93" i="18"/>
  <c r="C95" i="18"/>
  <c r="C97" i="18"/>
  <c r="C99" i="18"/>
  <c r="C101" i="18"/>
  <c r="C103" i="18"/>
  <c r="C105" i="18"/>
  <c r="C107" i="18"/>
  <c r="AM4" i="22"/>
  <c r="CP5" i="22"/>
  <c r="CL5" i="22"/>
  <c r="CH5" i="22"/>
  <c r="CD5" i="22"/>
  <c r="BZ5" i="22"/>
  <c r="BV5" i="22"/>
  <c r="BR5" i="22"/>
  <c r="BN5" i="22"/>
  <c r="BJ5" i="22"/>
  <c r="BF5" i="22"/>
  <c r="BB5" i="22"/>
  <c r="AX5" i="22"/>
  <c r="AT5" i="22"/>
  <c r="AP5" i="22"/>
  <c r="AL5" i="22"/>
  <c r="F72" i="24" s="1"/>
  <c r="AH5" i="22"/>
  <c r="AD5" i="22"/>
  <c r="Z5" i="22"/>
  <c r="V5" i="22"/>
  <c r="R5" i="22"/>
  <c r="N5" i="22"/>
  <c r="J5" i="22"/>
  <c r="F5" i="22"/>
  <c r="B5" i="22"/>
  <c r="CM5" i="22"/>
  <c r="CI5" i="22"/>
  <c r="CE5" i="22"/>
  <c r="CA5" i="22"/>
  <c r="BW5" i="22"/>
  <c r="BS5" i="22"/>
  <c r="BO5" i="22"/>
  <c r="BK5" i="22"/>
  <c r="BG5" i="22"/>
  <c r="BC5" i="22"/>
  <c r="AY5" i="22"/>
  <c r="AU5" i="22"/>
  <c r="AQ5" i="22"/>
  <c r="AM5" i="22"/>
  <c r="AI5" i="22"/>
  <c r="AE5" i="22"/>
  <c r="AA5" i="22"/>
  <c r="W5" i="22"/>
  <c r="E70" i="24" s="1"/>
  <c r="S5" i="22"/>
  <c r="O5" i="22"/>
  <c r="K5" i="22"/>
  <c r="G5" i="22"/>
  <c r="C5" i="22"/>
  <c r="B4" i="16" s="1"/>
  <c r="CO5" i="22"/>
  <c r="CG5" i="22"/>
  <c r="BY5" i="22"/>
  <c r="BQ5" i="22"/>
  <c r="BI5" i="22"/>
  <c r="BA5" i="22"/>
  <c r="AS5" i="22"/>
  <c r="AK5" i="22"/>
  <c r="F71" i="24" s="1"/>
  <c r="AC5" i="22"/>
  <c r="U5" i="22"/>
  <c r="M5" i="22"/>
  <c r="E5" i="22"/>
  <c r="CN5" i="22"/>
  <c r="C141" i="24" s="1"/>
  <c r="CF5" i="22"/>
  <c r="BX5" i="22"/>
  <c r="BP5" i="22"/>
  <c r="BH5" i="22"/>
  <c r="AZ5" i="22"/>
  <c r="AR5" i="22"/>
  <c r="AJ5" i="22"/>
  <c r="AB5" i="22"/>
  <c r="T5" i="22"/>
  <c r="L5" i="22"/>
  <c r="D5" i="22"/>
  <c r="C11" i="24" s="1"/>
  <c r="CJ5" i="22"/>
  <c r="CB5" i="22"/>
  <c r="BT5" i="22"/>
  <c r="BL5" i="22"/>
  <c r="BD5" i="22"/>
  <c r="AV5" i="22"/>
  <c r="AN5" i="22"/>
  <c r="C74" i="24" s="1"/>
  <c r="AF5" i="22"/>
  <c r="X5" i="22"/>
  <c r="P5" i="22"/>
  <c r="H5" i="22"/>
  <c r="AG5" i="22"/>
  <c r="BM5" i="22"/>
  <c r="AC4" i="22"/>
  <c r="AN4" i="22" s="1"/>
  <c r="CB4" i="22"/>
  <c r="BX4" i="22"/>
  <c r="BT4" i="22"/>
  <c r="BP4" i="22"/>
  <c r="BL4" i="22"/>
  <c r="BY4" i="22"/>
  <c r="BU4" i="22"/>
  <c r="BQ4" i="22"/>
  <c r="BM4" i="22"/>
  <c r="BJ4" i="22"/>
  <c r="BR4" i="22"/>
  <c r="BZ4" i="22"/>
  <c r="AK4" i="22"/>
  <c r="CO4" i="22"/>
  <c r="CO3" i="17" l="1"/>
  <c r="E74" i="24"/>
  <c r="D77" i="24"/>
  <c r="D76" i="24"/>
  <c r="CP5" i="17"/>
  <c r="CO5" i="17" s="1"/>
  <c r="CO4" i="17"/>
  <c r="BE5" i="17"/>
  <c r="BA5" i="17"/>
  <c r="AW5" i="17"/>
  <c r="AS5" i="17"/>
  <c r="AS7" i="17" s="1"/>
  <c r="BR3" i="17" s="1"/>
  <c r="AO5" i="17"/>
  <c r="AJ6" i="17"/>
  <c r="BD5" i="17"/>
  <c r="BD7" i="17" s="1"/>
  <c r="CC3" i="17" s="1"/>
  <c r="AZ5" i="17"/>
  <c r="AZ7" i="17" s="1"/>
  <c r="BY3" i="17" s="1"/>
  <c r="AV5" i="17"/>
  <c r="AV7" i="17" s="1"/>
  <c r="BU3" i="17" s="1"/>
  <c r="AR5" i="17"/>
  <c r="AN5" i="17"/>
  <c r="AN7" i="17" s="1"/>
  <c r="BM3" i="17" s="1"/>
  <c r="BF5" i="17"/>
  <c r="BB5" i="17"/>
  <c r="BB7" i="17" s="1"/>
  <c r="CA3" i="17" s="1"/>
  <c r="AX5" i="17"/>
  <c r="AX7" i="17" s="1"/>
  <c r="BW3" i="17" s="1"/>
  <c r="AT5" i="17"/>
  <c r="AT7" i="17" s="1"/>
  <c r="BS3" i="17" s="1"/>
  <c r="AP5" i="17"/>
  <c r="AP7" i="17" s="1"/>
  <c r="BO3" i="17" s="1"/>
  <c r="AU5" i="17"/>
  <c r="AU7" i="17" s="1"/>
  <c r="BT3" i="17" s="1"/>
  <c r="AQ5" i="17"/>
  <c r="AM5" i="17"/>
  <c r="AM7" i="17" s="1"/>
  <c r="BL3" i="17" s="1"/>
  <c r="BC5" i="17"/>
  <c r="AY5" i="17"/>
  <c r="AY7" i="17" s="1"/>
  <c r="BX3" i="17" s="1"/>
  <c r="BI16" i="17"/>
  <c r="BH15" i="17"/>
  <c r="CP19" i="17"/>
  <c r="CO18" i="17"/>
  <c r="CP7" i="17"/>
  <c r="CO6" i="17"/>
  <c r="H62" i="18"/>
  <c r="H36" i="18"/>
  <c r="H54" i="18"/>
  <c r="H44" i="18"/>
  <c r="H26" i="18"/>
  <c r="H18" i="18"/>
  <c r="O8" i="18"/>
  <c r="D8" i="24"/>
  <c r="D9" i="24"/>
  <c r="F7" i="24"/>
  <c r="G23" i="24"/>
  <c r="D24" i="24"/>
  <c r="D25" i="24"/>
  <c r="H56" i="18"/>
  <c r="H46" i="18"/>
  <c r="H64" i="18"/>
  <c r="H38" i="18"/>
  <c r="A69" i="19" s="1"/>
  <c r="O10" i="18"/>
  <c r="H28" i="18"/>
  <c r="H20" i="18"/>
  <c r="C60" i="18"/>
  <c r="C58" i="18"/>
  <c r="C55" i="18"/>
  <c r="B54" i="18"/>
  <c r="C52" i="18"/>
  <c r="C50" i="18"/>
  <c r="C48" i="18"/>
  <c r="C45" i="18"/>
  <c r="B44" i="18"/>
  <c r="C42" i="18"/>
  <c r="C57" i="18"/>
  <c r="C54" i="18"/>
  <c r="C49" i="18"/>
  <c r="B47" i="18"/>
  <c r="C46" i="18"/>
  <c r="C61" i="18"/>
  <c r="B57" i="18"/>
  <c r="C56" i="18"/>
  <c r="C53" i="18"/>
  <c r="B49" i="18"/>
  <c r="B46" i="18"/>
  <c r="B43" i="18"/>
  <c r="B42" i="18"/>
  <c r="C41" i="18"/>
  <c r="B59" i="18"/>
  <c r="B58" i="18"/>
  <c r="B55" i="18"/>
  <c r="B51" i="18"/>
  <c r="B50" i="18"/>
  <c r="C47" i="18"/>
  <c r="C44" i="18"/>
  <c r="B60" i="18"/>
  <c r="B56" i="18"/>
  <c r="B53" i="18"/>
  <c r="B48" i="18"/>
  <c r="C59" i="18"/>
  <c r="B52" i="18"/>
  <c r="B61" i="18"/>
  <c r="B45" i="18"/>
  <c r="B41" i="18"/>
  <c r="C51" i="18"/>
  <c r="C43" i="18"/>
  <c r="A104" i="15"/>
  <c r="C36" i="18"/>
  <c r="C26" i="18"/>
  <c r="B35" i="18"/>
  <c r="B25" i="18"/>
  <c r="B31" i="18"/>
  <c r="B15" i="18"/>
  <c r="C15" i="18" s="1"/>
  <c r="I23" i="18" s="1"/>
  <c r="P23" i="18" s="1"/>
  <c r="H5" i="18"/>
  <c r="B11" i="18"/>
  <c r="C11" i="18" s="1"/>
  <c r="I15" i="18" s="1"/>
  <c r="P15" i="18" s="1"/>
  <c r="B21" i="18"/>
  <c r="CP16" i="17"/>
  <c r="CO15" i="17"/>
  <c r="H61" i="18"/>
  <c r="H53" i="18"/>
  <c r="H43" i="18"/>
  <c r="H25" i="18"/>
  <c r="H17" i="18"/>
  <c r="O7" i="18"/>
  <c r="H35" i="18"/>
  <c r="BH18" i="17"/>
  <c r="BI19" i="17"/>
  <c r="BI11" i="17"/>
  <c r="BH11" i="17" s="1"/>
  <c r="BH10" i="17"/>
  <c r="AW7" i="17"/>
  <c r="BV3" i="17" s="1"/>
  <c r="BC7" i="17"/>
  <c r="CB3" i="17" s="1"/>
  <c r="D6" i="18"/>
  <c r="H63" i="18"/>
  <c r="H45" i="18"/>
  <c r="H37" i="18"/>
  <c r="H55" i="18"/>
  <c r="H27" i="18"/>
  <c r="H19" i="18"/>
  <c r="O9" i="18"/>
  <c r="B84" i="18"/>
  <c r="B82" i="18"/>
  <c r="B80" i="18"/>
  <c r="B78" i="18"/>
  <c r="B76" i="18"/>
  <c r="B74" i="18"/>
  <c r="B72" i="18"/>
  <c r="B70" i="18"/>
  <c r="B68" i="18"/>
  <c r="B67" i="18"/>
  <c r="B65" i="18"/>
  <c r="C85" i="18"/>
  <c r="B79" i="18"/>
  <c r="C78" i="18"/>
  <c r="C77" i="18"/>
  <c r="B71" i="18"/>
  <c r="C70" i="18"/>
  <c r="C69" i="18"/>
  <c r="C65" i="18"/>
  <c r="B85" i="18"/>
  <c r="C84" i="18"/>
  <c r="C83" i="18"/>
  <c r="B77" i="18"/>
  <c r="C76" i="18"/>
  <c r="C75" i="18"/>
  <c r="B69" i="18"/>
  <c r="C67" i="18"/>
  <c r="B81" i="18"/>
  <c r="C80" i="18"/>
  <c r="C79" i="18"/>
  <c r="B73" i="18"/>
  <c r="C72" i="18"/>
  <c r="C71" i="18"/>
  <c r="B66" i="18"/>
  <c r="C73" i="18"/>
  <c r="B83" i="18"/>
  <c r="C68" i="18"/>
  <c r="C81" i="18"/>
  <c r="C74" i="18"/>
  <c r="C82" i="18"/>
  <c r="C66" i="18"/>
  <c r="B75" i="18"/>
  <c r="CO9" i="17"/>
  <c r="CP10" i="17"/>
  <c r="AQ7" i="17"/>
  <c r="BP3" i="17" s="1"/>
  <c r="B4" i="22"/>
  <c r="C4" i="22" s="1"/>
  <c r="B3" i="16"/>
  <c r="H34" i="18"/>
  <c r="H24" i="18"/>
  <c r="H60" i="18"/>
  <c r="H52" i="18"/>
  <c r="H16" i="18"/>
  <c r="O6" i="18"/>
  <c r="H42" i="18"/>
  <c r="BI13" i="17"/>
  <c r="BH12" i="17"/>
  <c r="O236" i="18"/>
  <c r="B245" i="21" s="1"/>
  <c r="A177" i="21"/>
  <c r="I24" i="18"/>
  <c r="P24" i="18" s="1"/>
  <c r="F37" i="15"/>
  <c r="DX23" i="17"/>
  <c r="DX24" i="17" s="1"/>
  <c r="DX25" i="17" s="1"/>
  <c r="DX7" i="17"/>
  <c r="DX8" i="17" s="1"/>
  <c r="O212" i="18"/>
  <c r="B210" i="21" s="1"/>
  <c r="A144" i="21"/>
  <c r="AR7" i="17"/>
  <c r="BQ3" i="17" s="1"/>
  <c r="BD4" i="17"/>
  <c r="AZ4" i="17"/>
  <c r="AV4" i="17"/>
  <c r="AR4" i="17"/>
  <c r="AN4" i="17"/>
  <c r="BC4" i="17"/>
  <c r="AY4" i="17"/>
  <c r="AU4" i="17"/>
  <c r="AQ4" i="17"/>
  <c r="AM4" i="17"/>
  <c r="BE4" i="17"/>
  <c r="BA4" i="17"/>
  <c r="AW4" i="17"/>
  <c r="AS4" i="17"/>
  <c r="AO4" i="17"/>
  <c r="AT4" i="17"/>
  <c r="BB4" i="17"/>
  <c r="AX4" i="17"/>
  <c r="BF4" i="17"/>
  <c r="AP4" i="17"/>
  <c r="BA7" i="17"/>
  <c r="BZ3" i="17" s="1"/>
  <c r="F37" i="24"/>
  <c r="D39" i="24"/>
  <c r="D41" i="24"/>
  <c r="D42" i="24"/>
  <c r="D38" i="24"/>
  <c r="I16" i="18"/>
  <c r="P16" i="18" s="1"/>
  <c r="F36" i="15"/>
  <c r="A136" i="19"/>
  <c r="AO7" i="17"/>
  <c r="BN3" i="17" s="1"/>
  <c r="A1" i="24"/>
  <c r="A11" i="24" s="1"/>
  <c r="A2" i="21"/>
  <c r="A2" i="19"/>
  <c r="B2" i="15"/>
  <c r="A15" i="25"/>
  <c r="DX29" i="17"/>
  <c r="DX30" i="17" s="1"/>
  <c r="DX31" i="17" s="1"/>
  <c r="DX13" i="17"/>
  <c r="DX14" i="17" s="1"/>
  <c r="B30" i="18"/>
  <c r="H4" i="18"/>
  <c r="B34" i="18"/>
  <c r="B14" i="18"/>
  <c r="C14" i="18" s="1"/>
  <c r="I22" i="18" s="1"/>
  <c r="P22" i="18" s="1"/>
  <c r="B24" i="18"/>
  <c r="B10" i="18"/>
  <c r="C10" i="18" s="1"/>
  <c r="I14" i="18" s="1"/>
  <c r="P14" i="18" s="1"/>
  <c r="B20" i="18"/>
  <c r="A73" i="15"/>
  <c r="A7" i="15"/>
  <c r="A135" i="15"/>
  <c r="A39" i="15"/>
  <c r="C32" i="18"/>
  <c r="C22" i="18"/>
  <c r="CO13" i="17"/>
  <c r="CP14" i="17"/>
  <c r="CO14" i="17" s="1"/>
  <c r="BI4" i="17"/>
  <c r="BH3" i="17"/>
  <c r="A102" i="19"/>
  <c r="BH7" i="17"/>
  <c r="BI8" i="17"/>
  <c r="BH8" i="17" s="1"/>
  <c r="BE7" i="17"/>
  <c r="CD3" i="17" s="1"/>
  <c r="BF7" i="17"/>
  <c r="CE3" i="17" s="1"/>
  <c r="C6" i="18"/>
  <c r="H78" i="18" l="1"/>
  <c r="H83" i="18"/>
  <c r="C4" i="18"/>
  <c r="C137" i="15"/>
  <c r="F136" i="15"/>
  <c r="F135" i="15"/>
  <c r="H75" i="18"/>
  <c r="C136" i="15"/>
  <c r="BT6" i="17"/>
  <c r="EH3" i="17"/>
  <c r="CZ3" i="17"/>
  <c r="CT3" i="17"/>
  <c r="EB3" i="17"/>
  <c r="CH3" i="17"/>
  <c r="BN6" i="17"/>
  <c r="DJ3" i="17"/>
  <c r="ER3" i="17"/>
  <c r="CD6" i="17"/>
  <c r="EA3" i="17"/>
  <c r="CG3" i="17"/>
  <c r="BM6" i="17"/>
  <c r="CS3" i="17"/>
  <c r="CY3" i="17"/>
  <c r="BS6" i="17"/>
  <c r="F141" i="24"/>
  <c r="A76" i="24"/>
  <c r="A41" i="24"/>
  <c r="A24" i="24"/>
  <c r="A8" i="24"/>
  <c r="A12" i="24" s="1"/>
  <c r="A38" i="24"/>
  <c r="F139" i="24"/>
  <c r="CO10" i="17"/>
  <c r="CP11" i="17"/>
  <c r="CO11" i="17" s="1"/>
  <c r="DC3" i="17"/>
  <c r="BW6" i="17"/>
  <c r="EK3" i="17"/>
  <c r="D4" i="18"/>
  <c r="J4" i="18" s="1"/>
  <c r="Q4" i="18" s="1"/>
  <c r="A35" i="19"/>
  <c r="CP20" i="17"/>
  <c r="CO20" i="17" s="1"/>
  <c r="CO19" i="17"/>
  <c r="BI17" i="17"/>
  <c r="BH17" i="17" s="1"/>
  <c r="BH16" i="17"/>
  <c r="DK3" i="17"/>
  <c r="CE6" i="17"/>
  <c r="ES3" i="17"/>
  <c r="H40" i="18"/>
  <c r="H14" i="18"/>
  <c r="O4" i="18"/>
  <c r="H50" i="18"/>
  <c r="H32" i="18"/>
  <c r="H22" i="18"/>
  <c r="H58" i="18"/>
  <c r="E6" i="18"/>
  <c r="E6" i="15" s="1"/>
  <c r="I6" i="18"/>
  <c r="C8" i="15"/>
  <c r="BP6" i="17"/>
  <c r="ED3" i="17"/>
  <c r="CV3" i="17"/>
  <c r="CM3" i="17"/>
  <c r="I52" i="18"/>
  <c r="P52" i="18" s="1"/>
  <c r="G70" i="15"/>
  <c r="CU3" i="17"/>
  <c r="BO6" i="17"/>
  <c r="EC3" i="17"/>
  <c r="D40" i="15"/>
  <c r="EI3" i="17"/>
  <c r="BU6" i="17"/>
  <c r="DA3" i="17"/>
  <c r="H80" i="18"/>
  <c r="H89" i="18"/>
  <c r="H87" i="18"/>
  <c r="H73" i="18"/>
  <c r="H81" i="18"/>
  <c r="J6" i="18"/>
  <c r="Q6" i="18" s="1"/>
  <c r="F8" i="15"/>
  <c r="DF3" i="17"/>
  <c r="EN3" i="17"/>
  <c r="BZ6" i="17"/>
  <c r="BI20" i="17"/>
  <c r="BH20" i="17" s="1"/>
  <c r="BH19" i="17"/>
  <c r="I60" i="18"/>
  <c r="P60" i="18" s="1"/>
  <c r="G71" i="15"/>
  <c r="C34" i="18"/>
  <c r="I58" i="18" s="1"/>
  <c r="P58" i="18" s="1"/>
  <c r="C24" i="18"/>
  <c r="I40" i="18" s="1"/>
  <c r="P40" i="18" s="1"/>
  <c r="CB6" i="17"/>
  <c r="EP3" i="17"/>
  <c r="DH3" i="17"/>
  <c r="C31" i="18"/>
  <c r="I51" i="18" s="1"/>
  <c r="P51" i="18" s="1"/>
  <c r="C21" i="18"/>
  <c r="I33" i="18" s="1"/>
  <c r="P33" i="18" s="1"/>
  <c r="O63" i="18"/>
  <c r="O37" i="18"/>
  <c r="O27" i="18"/>
  <c r="O55" i="18"/>
  <c r="O45" i="18"/>
  <c r="O19" i="18"/>
  <c r="E4" i="18"/>
  <c r="I4" i="18"/>
  <c r="EM3" i="17"/>
  <c r="BY6" i="17"/>
  <c r="DE3" i="17"/>
  <c r="CI3" i="17"/>
  <c r="CX3" i="17"/>
  <c r="BR6" i="17"/>
  <c r="H72" i="18"/>
  <c r="H70" i="18"/>
  <c r="H82" i="18"/>
  <c r="H84" i="18"/>
  <c r="H77" i="18"/>
  <c r="H85" i="18"/>
  <c r="D41" i="15"/>
  <c r="D5" i="18"/>
  <c r="J5" i="18" s="1"/>
  <c r="Q5" i="18" s="1"/>
  <c r="C5" i="18"/>
  <c r="C35" i="18"/>
  <c r="I59" i="18" s="1"/>
  <c r="P59" i="18" s="1"/>
  <c r="C25" i="18"/>
  <c r="I41" i="18" s="1"/>
  <c r="P41" i="18" s="1"/>
  <c r="CP17" i="17"/>
  <c r="CO17" i="17" s="1"/>
  <c r="CO16" i="17"/>
  <c r="BX6" i="17"/>
  <c r="EL3" i="17"/>
  <c r="DD3" i="17"/>
  <c r="BF6" i="17"/>
  <c r="BB6" i="17"/>
  <c r="AX6" i="17"/>
  <c r="AX8" i="17" s="1"/>
  <c r="BW4" i="17" s="1"/>
  <c r="AT6" i="17"/>
  <c r="AT8" i="17" s="1"/>
  <c r="BS4" i="17" s="1"/>
  <c r="AP6" i="17"/>
  <c r="AP8" i="17" s="1"/>
  <c r="BO4" i="17" s="1"/>
  <c r="BE6" i="17"/>
  <c r="BE8" i="17" s="1"/>
  <c r="CD4" i="17" s="1"/>
  <c r="CD5" i="17" s="1"/>
  <c r="BA6" i="17"/>
  <c r="BA8" i="17" s="1"/>
  <c r="BZ4" i="17" s="1"/>
  <c r="AW6" i="17"/>
  <c r="AW8" i="17" s="1"/>
  <c r="BV4" i="17" s="1"/>
  <c r="AS6" i="17"/>
  <c r="AS8" i="17" s="1"/>
  <c r="BR4" i="17" s="1"/>
  <c r="AO6" i="17"/>
  <c r="BC6" i="17"/>
  <c r="BC8" i="17" s="1"/>
  <c r="CB4" i="17" s="1"/>
  <c r="AY6" i="17"/>
  <c r="AY8" i="17" s="1"/>
  <c r="BX4" i="17" s="1"/>
  <c r="AU6" i="17"/>
  <c r="AU8" i="17" s="1"/>
  <c r="BT4" i="17" s="1"/>
  <c r="BT5" i="17" s="1"/>
  <c r="AQ6" i="17"/>
  <c r="AQ8" i="17" s="1"/>
  <c r="BP4" i="17" s="1"/>
  <c r="AM6" i="17"/>
  <c r="AM8" i="17" s="1"/>
  <c r="BL4" i="17" s="1"/>
  <c r="AZ6" i="17"/>
  <c r="AZ8" i="17" s="1"/>
  <c r="BY4" i="17" s="1"/>
  <c r="AV6" i="17"/>
  <c r="AR6" i="17"/>
  <c r="AR8" i="17" s="1"/>
  <c r="BQ4" i="17" s="1"/>
  <c r="BD6" i="17"/>
  <c r="BD8" i="17" s="1"/>
  <c r="CC4" i="17" s="1"/>
  <c r="AN6" i="17"/>
  <c r="AN8" i="17" s="1"/>
  <c r="BM4" i="17" s="1"/>
  <c r="DB3" i="17"/>
  <c r="EJ3" i="17"/>
  <c r="BV6" i="17"/>
  <c r="BI5" i="17"/>
  <c r="BH5" i="17" s="1"/>
  <c r="BH4" i="17"/>
  <c r="BB8" i="17"/>
  <c r="CA4" i="17" s="1"/>
  <c r="I85" i="18" s="1"/>
  <c r="BH13" i="17"/>
  <c r="BI14" i="17"/>
  <c r="BH14" i="17" s="1"/>
  <c r="EQ3" i="17"/>
  <c r="CC6" i="17"/>
  <c r="DI3" i="17"/>
  <c r="H59" i="18"/>
  <c r="H51" i="18"/>
  <c r="H33" i="18"/>
  <c r="O5" i="18"/>
  <c r="H23" i="18"/>
  <c r="H41" i="18"/>
  <c r="H15" i="18"/>
  <c r="C20" i="18"/>
  <c r="I32" i="18" s="1"/>
  <c r="P32" i="18" s="1"/>
  <c r="C30" i="18"/>
  <c r="I50" i="18" s="1"/>
  <c r="P50" i="18" s="1"/>
  <c r="ET3" i="17"/>
  <c r="DL3" i="17"/>
  <c r="I34" i="18"/>
  <c r="P34" i="18" s="1"/>
  <c r="C70" i="15"/>
  <c r="DG3" i="17"/>
  <c r="CA6" i="17"/>
  <c r="CJ3" i="17"/>
  <c r="EO3" i="17"/>
  <c r="BF8" i="17"/>
  <c r="CE4" i="17" s="1"/>
  <c r="AO8" i="17"/>
  <c r="BN4" i="17" s="1"/>
  <c r="AV8" i="17"/>
  <c r="BU4" i="17" s="1"/>
  <c r="I79" i="18" s="1"/>
  <c r="H74" i="18"/>
  <c r="H88" i="18"/>
  <c r="H76" i="18"/>
  <c r="H71" i="18"/>
  <c r="H79" i="18"/>
  <c r="H86" i="18"/>
  <c r="O34" i="18"/>
  <c r="O60" i="18"/>
  <c r="O52" i="18"/>
  <c r="O16" i="18"/>
  <c r="O42" i="18"/>
  <c r="O24" i="18"/>
  <c r="BQ6" i="17"/>
  <c r="CW3" i="17"/>
  <c r="O35" i="18"/>
  <c r="O25" i="18"/>
  <c r="O61" i="18"/>
  <c r="O53" i="18"/>
  <c r="O43" i="18"/>
  <c r="O17" i="18"/>
  <c r="I42" i="18"/>
  <c r="P42" i="18" s="1"/>
  <c r="C71" i="15"/>
  <c r="O28" i="18"/>
  <c r="O64" i="18"/>
  <c r="O56" i="18"/>
  <c r="O20" i="18"/>
  <c r="A77" i="21" s="1"/>
  <c r="O46" i="18"/>
  <c r="O38" i="18"/>
  <c r="A111" i="21" s="1"/>
  <c r="O54" i="18"/>
  <c r="O44" i="18"/>
  <c r="O62" i="18"/>
  <c r="O36" i="18"/>
  <c r="O18" i="18"/>
  <c r="O26" i="18"/>
  <c r="CP8" i="17"/>
  <c r="CO8" i="17" s="1"/>
  <c r="CO7" i="17"/>
  <c r="I76" i="18" l="1"/>
  <c r="CV4" i="17"/>
  <c r="CV5" i="17" s="1"/>
  <c r="BP7" i="17"/>
  <c r="BQ10" i="17" s="1"/>
  <c r="CM4" i="17"/>
  <c r="ED4" i="17"/>
  <c r="BO5" i="17"/>
  <c r="EN4" i="17"/>
  <c r="EN5" i="17" s="1"/>
  <c r="BZ7" i="17"/>
  <c r="DF4" i="17"/>
  <c r="BY5" i="17"/>
  <c r="DC4" i="17"/>
  <c r="DC5" i="17" s="1"/>
  <c r="EK4" i="17"/>
  <c r="BW7" i="17"/>
  <c r="BX10" i="17" s="1"/>
  <c r="BV5" i="17"/>
  <c r="I80" i="18"/>
  <c r="ER4" i="17"/>
  <c r="CD7" i="17"/>
  <c r="CE10" i="17" s="1"/>
  <c r="DJ4" i="17"/>
  <c r="DJ5" i="17" s="1"/>
  <c r="CC5" i="17"/>
  <c r="BM7" i="17"/>
  <c r="EA4" i="17"/>
  <c r="CG4" i="17"/>
  <c r="CS4" i="17"/>
  <c r="CS5" i="17" s="1"/>
  <c r="BL5" i="17"/>
  <c r="DG4" i="17"/>
  <c r="EO4" i="17"/>
  <c r="CA7" i="17"/>
  <c r="CB10" i="17" s="1"/>
  <c r="CC13" i="17" s="1"/>
  <c r="CD16" i="17" s="1"/>
  <c r="CE19" i="17" s="1"/>
  <c r="I209" i="18" s="1"/>
  <c r="CJ4" i="17"/>
  <c r="I84" i="18"/>
  <c r="BZ5" i="17"/>
  <c r="DD4" i="17"/>
  <c r="BX7" i="17"/>
  <c r="I106" i="18" s="1"/>
  <c r="EL4" i="17"/>
  <c r="BW5" i="17"/>
  <c r="BR7" i="17"/>
  <c r="BS10" i="17" s="1"/>
  <c r="BT13" i="17" s="1"/>
  <c r="BU16" i="17" s="1"/>
  <c r="BV19" i="17" s="1"/>
  <c r="I200" i="18" s="1"/>
  <c r="CX4" i="17"/>
  <c r="CX5" i="17" s="1"/>
  <c r="BQ5" i="17"/>
  <c r="BQ7" i="17"/>
  <c r="BR10" i="17" s="1"/>
  <c r="BS13" i="17" s="1"/>
  <c r="BT16" i="17" s="1"/>
  <c r="BU19" i="17" s="1"/>
  <c r="I199" i="18" s="1"/>
  <c r="CW4" i="17"/>
  <c r="CW5" i="17" s="1"/>
  <c r="BP5" i="17"/>
  <c r="EB4" i="17"/>
  <c r="CH4" i="17"/>
  <c r="BN7" i="17"/>
  <c r="BO10" i="17" s="1"/>
  <c r="I121" i="18" s="1"/>
  <c r="CT4" i="17"/>
  <c r="CT5" i="17" s="1"/>
  <c r="BM5" i="17"/>
  <c r="I71" i="18"/>
  <c r="BY7" i="17"/>
  <c r="BZ10" i="17" s="1"/>
  <c r="EM4" i="17"/>
  <c r="EM5" i="17" s="1"/>
  <c r="DE4" i="17"/>
  <c r="CI4" i="17"/>
  <c r="BX5" i="17"/>
  <c r="CZ4" i="17"/>
  <c r="CZ5" i="17" s="1"/>
  <c r="BT7" i="17"/>
  <c r="BU10" i="17" s="1"/>
  <c r="EH4" i="17"/>
  <c r="BS5" i="17"/>
  <c r="CC7" i="17"/>
  <c r="CD10" i="17" s="1"/>
  <c r="CE13" i="17" s="1"/>
  <c r="I161" i="18" s="1"/>
  <c r="EQ4" i="17"/>
  <c r="DI4" i="17"/>
  <c r="DI5" i="17" s="1"/>
  <c r="CB5" i="17"/>
  <c r="I86" i="18"/>
  <c r="BS9" i="17"/>
  <c r="EM20" i="17"/>
  <c r="EX3" i="17"/>
  <c r="EN6" i="17"/>
  <c r="DI6" i="17"/>
  <c r="O85" i="18"/>
  <c r="EK20" i="17"/>
  <c r="EL6" i="17"/>
  <c r="EH20" i="17"/>
  <c r="EI6" i="17"/>
  <c r="EH5" i="17"/>
  <c r="BR9" i="17"/>
  <c r="H124" i="18" s="1"/>
  <c r="I78" i="18"/>
  <c r="CU4" i="17"/>
  <c r="CU5" i="17" s="1"/>
  <c r="EC4" i="17"/>
  <c r="EC5" i="17" s="1"/>
  <c r="BO7" i="17"/>
  <c r="DC6" i="17"/>
  <c r="O79" i="18"/>
  <c r="CI6" i="17"/>
  <c r="BY9" i="17"/>
  <c r="H131" i="18" s="1"/>
  <c r="I73" i="18"/>
  <c r="BZ9" i="17"/>
  <c r="H132" i="18" s="1"/>
  <c r="CC9" i="17"/>
  <c r="EN20" i="17"/>
  <c r="EO6" i="17"/>
  <c r="I137" i="18"/>
  <c r="I124" i="18"/>
  <c r="BP9" i="17"/>
  <c r="CM6" i="17"/>
  <c r="D7" i="15"/>
  <c r="ES20" i="17"/>
  <c r="ET6" i="17"/>
  <c r="DD6" i="17"/>
  <c r="O80" i="18"/>
  <c r="CT6" i="17"/>
  <c r="DN3" i="17"/>
  <c r="O70" i="18"/>
  <c r="EA20" i="17"/>
  <c r="EV3" i="17"/>
  <c r="EB6" i="17"/>
  <c r="EA5" i="17"/>
  <c r="DA6" i="17"/>
  <c r="O77" i="18"/>
  <c r="EJ4" i="17"/>
  <c r="EJ5" i="17" s="1"/>
  <c r="BV7" i="17"/>
  <c r="BW10" i="17" s="1"/>
  <c r="BX13" i="17" s="1"/>
  <c r="DB4" i="17"/>
  <c r="DB5" i="17" s="1"/>
  <c r="DE6" i="17"/>
  <c r="O81" i="18"/>
  <c r="BU7" i="17"/>
  <c r="BV10" i="17" s="1"/>
  <c r="BW13" i="17" s="1"/>
  <c r="BX16" i="17" s="1"/>
  <c r="I178" i="18" s="1"/>
  <c r="EI4" i="17"/>
  <c r="EI5" i="17" s="1"/>
  <c r="DA4" i="17"/>
  <c r="DA5" i="17" s="1"/>
  <c r="DG6" i="17"/>
  <c r="DF5" i="17"/>
  <c r="O83" i="18"/>
  <c r="BV9" i="17"/>
  <c r="H128" i="18" s="1"/>
  <c r="BR5" i="17"/>
  <c r="ER20" i="17"/>
  <c r="ES6" i="17"/>
  <c r="EP6" i="17"/>
  <c r="EO5" i="17"/>
  <c r="EY3" i="17"/>
  <c r="EO20" i="17"/>
  <c r="DG5" i="17"/>
  <c r="DQ3" i="17"/>
  <c r="DH6" i="17"/>
  <c r="O84" i="18"/>
  <c r="ET20" i="17"/>
  <c r="O33" i="18"/>
  <c r="O59" i="18"/>
  <c r="O51" i="18"/>
  <c r="O41" i="18"/>
  <c r="O23" i="18"/>
  <c r="O15" i="18"/>
  <c r="EQ20" i="17"/>
  <c r="EQ5" i="17"/>
  <c r="ER6" i="17"/>
  <c r="DH4" i="17"/>
  <c r="DH5" i="17" s="1"/>
  <c r="CB7" i="17"/>
  <c r="CC10" i="17" s="1"/>
  <c r="CD13" i="17" s="1"/>
  <c r="CE16" i="17" s="1"/>
  <c r="I185" i="18" s="1"/>
  <c r="EP4" i="17"/>
  <c r="EP5" i="17" s="1"/>
  <c r="BU5" i="17"/>
  <c r="EL20" i="17"/>
  <c r="EM6" i="17"/>
  <c r="EL5" i="17"/>
  <c r="I75" i="18"/>
  <c r="DF6" i="17"/>
  <c r="DP3" i="17"/>
  <c r="O82" i="18"/>
  <c r="K4" i="18"/>
  <c r="R4" i="18" s="1"/>
  <c r="P4" i="18"/>
  <c r="EP20" i="17"/>
  <c r="EQ6" i="17"/>
  <c r="E75" i="15"/>
  <c r="CJ6" i="17"/>
  <c r="CA9" i="17"/>
  <c r="H133" i="18" s="1"/>
  <c r="I87" i="18"/>
  <c r="EI20" i="17"/>
  <c r="EJ6" i="17"/>
  <c r="EC20" i="17"/>
  <c r="ED6" i="17"/>
  <c r="CW6" i="17"/>
  <c r="DT3" i="17"/>
  <c r="O73" i="18"/>
  <c r="BT9" i="17"/>
  <c r="CH6" i="17"/>
  <c r="BN9" i="17"/>
  <c r="H120" i="18" s="1"/>
  <c r="DK6" i="17"/>
  <c r="O87" i="18"/>
  <c r="EB20" i="17"/>
  <c r="EC6" i="17"/>
  <c r="EW3" i="17"/>
  <c r="DL4" i="17"/>
  <c r="P89" i="18" s="1"/>
  <c r="ET4" i="17"/>
  <c r="ET21" i="17" s="1"/>
  <c r="CB9" i="17"/>
  <c r="CA8" i="17"/>
  <c r="DL5" i="17"/>
  <c r="O89" i="18"/>
  <c r="CD9" i="17"/>
  <c r="BW9" i="17"/>
  <c r="H129" i="18" s="1"/>
  <c r="I5" i="18"/>
  <c r="E5" i="18"/>
  <c r="CY4" i="17"/>
  <c r="CY5" i="17" s="1"/>
  <c r="BS7" i="17"/>
  <c r="BT10" i="17" s="1"/>
  <c r="BU13" i="17" s="1"/>
  <c r="BV16" i="17" s="1"/>
  <c r="BW19" i="17" s="1"/>
  <c r="I201" i="18" s="1"/>
  <c r="CV6" i="17"/>
  <c r="O72" i="18"/>
  <c r="BQ9" i="17"/>
  <c r="O32" i="18"/>
  <c r="O58" i="18"/>
  <c r="O50" i="18"/>
  <c r="O40" i="18"/>
  <c r="O22" i="18"/>
  <c r="O14" i="18"/>
  <c r="CX6" i="17"/>
  <c r="O74" i="18"/>
  <c r="DK4" i="17"/>
  <c r="DK5" i="17" s="1"/>
  <c r="ES4" i="17"/>
  <c r="CE7" i="17"/>
  <c r="CE8" i="17" s="1"/>
  <c r="CE5" i="17"/>
  <c r="DJ6" i="17"/>
  <c r="O86" i="18"/>
  <c r="H100" i="18"/>
  <c r="H97" i="18"/>
  <c r="H98" i="18"/>
  <c r="I99" i="18"/>
  <c r="H113" i="18"/>
  <c r="H111" i="18"/>
  <c r="I129" i="18"/>
  <c r="I83" i="18"/>
  <c r="I72" i="18"/>
  <c r="I70" i="18"/>
  <c r="H103" i="18"/>
  <c r="I112" i="18"/>
  <c r="H112" i="18"/>
  <c r="I130" i="18"/>
  <c r="I88" i="18"/>
  <c r="I74" i="18"/>
  <c r="H104" i="18"/>
  <c r="I105" i="18"/>
  <c r="I98" i="18"/>
  <c r="H99" i="18"/>
  <c r="H102" i="18"/>
  <c r="I103" i="18"/>
  <c r="H101" i="18"/>
  <c r="H95" i="18"/>
  <c r="H105" i="18"/>
  <c r="H108" i="18"/>
  <c r="H110" i="18"/>
  <c r="H106" i="18"/>
  <c r="H107" i="18"/>
  <c r="H135" i="18"/>
  <c r="I81" i="18"/>
  <c r="H96" i="18"/>
  <c r="H109" i="18"/>
  <c r="EJ20" i="17"/>
  <c r="EK6" i="17"/>
  <c r="H125" i="18"/>
  <c r="CY6" i="17"/>
  <c r="O75" i="18"/>
  <c r="CA5" i="17"/>
  <c r="I128" i="18"/>
  <c r="I89" i="18"/>
  <c r="I82" i="18"/>
  <c r="I77" i="18"/>
  <c r="DB6" i="17"/>
  <c r="O78" i="18"/>
  <c r="BN5" i="17"/>
  <c r="E74" i="15"/>
  <c r="ED20" i="17"/>
  <c r="ED5" i="17"/>
  <c r="P6" i="18"/>
  <c r="K6" i="18"/>
  <c r="R6" i="18" s="1"/>
  <c r="DL6" i="17"/>
  <c r="O88" i="18"/>
  <c r="BX9" i="17"/>
  <c r="BW8" i="17"/>
  <c r="CZ6" i="17"/>
  <c r="O76" i="18"/>
  <c r="CE9" i="17"/>
  <c r="CD8" i="17"/>
  <c r="BO9" i="17"/>
  <c r="H121" i="18" s="1"/>
  <c r="DO3" i="17"/>
  <c r="CU6" i="17"/>
  <c r="O71" i="18"/>
  <c r="BU9" i="17"/>
  <c r="H127" i="18" s="1"/>
  <c r="BP8" i="17" l="1"/>
  <c r="I110" i="18"/>
  <c r="BX8" i="17"/>
  <c r="O231" i="18"/>
  <c r="I104" i="18"/>
  <c r="C105" i="19" s="1"/>
  <c r="I153" i="18"/>
  <c r="BV8" i="17"/>
  <c r="O233" i="18"/>
  <c r="I150" i="18"/>
  <c r="I100" i="18"/>
  <c r="I101" i="18"/>
  <c r="O222" i="18" s="1"/>
  <c r="I107" i="18"/>
  <c r="O228" i="18" s="1"/>
  <c r="I96" i="18"/>
  <c r="O217" i="18" s="1"/>
  <c r="I126" i="18"/>
  <c r="BN8" i="17"/>
  <c r="I151" i="18"/>
  <c r="I176" i="18"/>
  <c r="O226" i="18"/>
  <c r="I175" i="18"/>
  <c r="I125" i="18"/>
  <c r="I43" i="18"/>
  <c r="P43" i="18" s="1"/>
  <c r="O221" i="18"/>
  <c r="ET5" i="17"/>
  <c r="BR8" i="17"/>
  <c r="BY8" i="17"/>
  <c r="CH5" i="17"/>
  <c r="I25" i="18" s="1"/>
  <c r="P25" i="18" s="1"/>
  <c r="DO5" i="17"/>
  <c r="Q25" i="18" s="1"/>
  <c r="BR12" i="17"/>
  <c r="BQ11" i="17"/>
  <c r="DT5" i="17"/>
  <c r="DF9" i="17"/>
  <c r="DP6" i="17"/>
  <c r="O106" i="18"/>
  <c r="EB23" i="17"/>
  <c r="EC9" i="17"/>
  <c r="EW6" i="17"/>
  <c r="DE9" i="17"/>
  <c r="O105" i="18"/>
  <c r="BP10" i="17"/>
  <c r="CM10" i="17" s="1"/>
  <c r="CM7" i="17"/>
  <c r="DE7" i="17"/>
  <c r="DE8" i="17" s="1"/>
  <c r="P81" i="18"/>
  <c r="BN10" i="17"/>
  <c r="CH7" i="17"/>
  <c r="BK4" i="17"/>
  <c r="BK3" i="17"/>
  <c r="BT8" i="17"/>
  <c r="CE11" i="17"/>
  <c r="H137" i="18"/>
  <c r="I35" i="18"/>
  <c r="P35" i="18" s="1"/>
  <c r="BX11" i="17"/>
  <c r="BY12" i="17"/>
  <c r="CI9" i="17"/>
  <c r="H130" i="18"/>
  <c r="DC9" i="17"/>
  <c r="O103" i="18"/>
  <c r="EK23" i="17"/>
  <c r="EL9" i="17"/>
  <c r="O227" i="18"/>
  <c r="I102" i="18"/>
  <c r="O220" i="18"/>
  <c r="C104" i="19"/>
  <c r="I111" i="18"/>
  <c r="O232" i="18" s="1"/>
  <c r="I184" i="18"/>
  <c r="I109" i="18"/>
  <c r="O230" i="18" s="1"/>
  <c r="CW9" i="17"/>
  <c r="DT6" i="17"/>
  <c r="O97" i="18"/>
  <c r="CZ7" i="17"/>
  <c r="CZ8" i="17" s="1"/>
  <c r="P76" i="18"/>
  <c r="BX12" i="17"/>
  <c r="BW11" i="17"/>
  <c r="EW20" i="17"/>
  <c r="BO12" i="17"/>
  <c r="BN11" i="17"/>
  <c r="BT11" i="17"/>
  <c r="BU12" i="17"/>
  <c r="H126" i="18"/>
  <c r="ED23" i="17"/>
  <c r="CB12" i="17"/>
  <c r="DG9" i="17"/>
  <c r="O107" i="18"/>
  <c r="ER23" i="17"/>
  <c r="ES9" i="17"/>
  <c r="DI9" i="17"/>
  <c r="O109" i="18"/>
  <c r="ES23" i="17"/>
  <c r="ET9" i="17"/>
  <c r="BU8" i="17"/>
  <c r="DB7" i="17"/>
  <c r="P78" i="18"/>
  <c r="DD5" i="17"/>
  <c r="EJ21" i="17"/>
  <c r="EJ22" i="17" s="1"/>
  <c r="EK7" i="17"/>
  <c r="ET23" i="17"/>
  <c r="CB8" i="17"/>
  <c r="BZ12" i="17"/>
  <c r="BQ8" i="17"/>
  <c r="EI23" i="17"/>
  <c r="EJ9" i="17"/>
  <c r="EN23" i="17"/>
  <c r="EO9" i="17"/>
  <c r="EQ21" i="17"/>
  <c r="EQ22" i="17" s="1"/>
  <c r="ER7" i="17"/>
  <c r="EH21" i="17"/>
  <c r="EH22" i="17" s="1"/>
  <c r="EI7" i="17"/>
  <c r="BY10" i="17"/>
  <c r="CI7" i="17"/>
  <c r="CG5" i="17"/>
  <c r="I17" i="18" s="1"/>
  <c r="P17" i="18" s="1"/>
  <c r="EV4" i="17"/>
  <c r="EA21" i="17"/>
  <c r="EA22" i="17" s="1"/>
  <c r="EB7" i="17"/>
  <c r="BY13" i="17"/>
  <c r="DG7" i="17"/>
  <c r="DG8" i="17" s="1"/>
  <c r="P83" i="18"/>
  <c r="ED21" i="17"/>
  <c r="ED22" i="17" s="1"/>
  <c r="EJ23" i="17"/>
  <c r="EK9" i="17"/>
  <c r="EP21" i="17"/>
  <c r="EP22" i="17" s="1"/>
  <c r="EQ7" i="17"/>
  <c r="EQ8" i="17" s="1"/>
  <c r="BQ12" i="17"/>
  <c r="H122" i="18"/>
  <c r="BV13" i="17"/>
  <c r="I127" i="18"/>
  <c r="DP4" i="17"/>
  <c r="DF7" i="17"/>
  <c r="P82" i="18"/>
  <c r="EB21" i="17"/>
  <c r="EC7" i="17"/>
  <c r="EC8" i="17" s="1"/>
  <c r="EW4" i="17"/>
  <c r="ER21" i="17"/>
  <c r="ER22" i="17" s="1"/>
  <c r="ES7" i="17"/>
  <c r="ES8" i="17" s="1"/>
  <c r="EK21" i="17"/>
  <c r="EK22" i="17" s="1"/>
  <c r="EL7" i="17"/>
  <c r="EL8" i="17" s="1"/>
  <c r="I113" i="18"/>
  <c r="O234" i="18" s="1"/>
  <c r="I95" i="18"/>
  <c r="O216" i="18" s="1"/>
  <c r="O224" i="18"/>
  <c r="I134" i="18"/>
  <c r="O219" i="18"/>
  <c r="ES21" i="17"/>
  <c r="ES22" i="17" s="1"/>
  <c r="ET7" i="17"/>
  <c r="ET24" i="17" s="1"/>
  <c r="CY9" i="17"/>
  <c r="O99" i="18"/>
  <c r="K5" i="18"/>
  <c r="R5" i="18" s="1"/>
  <c r="P5" i="18"/>
  <c r="CC8" i="17"/>
  <c r="CB11" i="17"/>
  <c r="CC12" i="17"/>
  <c r="EB5" i="17"/>
  <c r="EW5" i="17" s="1"/>
  <c r="BM8" i="17"/>
  <c r="CX9" i="17"/>
  <c r="O98" i="18"/>
  <c r="H134" i="18"/>
  <c r="EM23" i="17"/>
  <c r="EN9" i="17"/>
  <c r="EX6" i="17"/>
  <c r="ET22" i="17"/>
  <c r="DQ5" i="17"/>
  <c r="EP23" i="17"/>
  <c r="EQ9" i="17"/>
  <c r="BY19" i="17"/>
  <c r="I203" i="18" s="1"/>
  <c r="DC7" i="17"/>
  <c r="DC8" i="17" s="1"/>
  <c r="P79" i="18"/>
  <c r="DN5" i="17"/>
  <c r="Q17" i="18" s="1"/>
  <c r="I149" i="18"/>
  <c r="H123" i="18"/>
  <c r="I135" i="18"/>
  <c r="EC21" i="17"/>
  <c r="EC22" i="17" s="1"/>
  <c r="ED7" i="17"/>
  <c r="EK5" i="17"/>
  <c r="BT12" i="17"/>
  <c r="BS11" i="17"/>
  <c r="DA7" i="17"/>
  <c r="DA8" i="17" s="1"/>
  <c r="P77" i="18"/>
  <c r="EM21" i="17"/>
  <c r="EM22" i="17" s="1"/>
  <c r="EX4" i="17"/>
  <c r="EN7" i="17"/>
  <c r="CU7" i="17"/>
  <c r="CU8" i="17" s="1"/>
  <c r="DO4" i="17"/>
  <c r="P71" i="18"/>
  <c r="CJ5" i="17"/>
  <c r="EO21" i="17"/>
  <c r="EP7" i="17"/>
  <c r="EY4" i="17"/>
  <c r="CT7" i="17"/>
  <c r="CT8" i="17" s="1"/>
  <c r="DN4" i="17"/>
  <c r="P70" i="18"/>
  <c r="DD7" i="17"/>
  <c r="DD8" i="17" s="1"/>
  <c r="P80" i="18"/>
  <c r="EN21" i="17"/>
  <c r="EN22" i="17" s="1"/>
  <c r="EO7" i="17"/>
  <c r="EO8" i="17" s="1"/>
  <c r="BR13" i="17"/>
  <c r="I123" i="18"/>
  <c r="BP12" i="17"/>
  <c r="BO11" i="17"/>
  <c r="CM9" i="17"/>
  <c r="CE12" i="17"/>
  <c r="CD11" i="17"/>
  <c r="H136" i="18"/>
  <c r="EQ23" i="17"/>
  <c r="ER9" i="17"/>
  <c r="EI21" i="17"/>
  <c r="EI22" i="17" s="1"/>
  <c r="EJ7" i="17"/>
  <c r="EO23" i="17"/>
  <c r="EP9" i="17"/>
  <c r="EY6" i="17"/>
  <c r="CA12" i="17"/>
  <c r="BZ11" i="17"/>
  <c r="CJ9" i="17"/>
  <c r="DD9" i="17"/>
  <c r="O104" i="18"/>
  <c r="CA10" i="17"/>
  <c r="CJ10" i="17" s="1"/>
  <c r="CJ7" i="17"/>
  <c r="BV12" i="17"/>
  <c r="BU11" i="17"/>
  <c r="CV9" i="17"/>
  <c r="O96" i="18"/>
  <c r="DA9" i="17"/>
  <c r="O101" i="18"/>
  <c r="CZ9" i="17"/>
  <c r="O100" i="18"/>
  <c r="O113" i="18"/>
  <c r="I97" i="18"/>
  <c r="O218" i="18" s="1"/>
  <c r="I108" i="18"/>
  <c r="I174" i="18"/>
  <c r="DK9" i="17"/>
  <c r="O111" i="18"/>
  <c r="DL7" i="17"/>
  <c r="P113" i="18" s="1"/>
  <c r="P88" i="18"/>
  <c r="EC23" i="17"/>
  <c r="ED9" i="17"/>
  <c r="DL9" i="17"/>
  <c r="O112" i="18"/>
  <c r="BS8" i="17"/>
  <c r="I159" i="18"/>
  <c r="BZ8" i="17"/>
  <c r="DE5" i="17"/>
  <c r="DP5" i="17" s="1"/>
  <c r="DI7" i="17"/>
  <c r="DI8" i="17" s="1"/>
  <c r="P85" i="18"/>
  <c r="EY20" i="17"/>
  <c r="EO22" i="17"/>
  <c r="ER5" i="17"/>
  <c r="BW12" i="17"/>
  <c r="BV11" i="17"/>
  <c r="DQ6" i="17"/>
  <c r="DH9" i="17"/>
  <c r="O108" i="18"/>
  <c r="BY16" i="17"/>
  <c r="I154" i="18"/>
  <c r="DB9" i="17"/>
  <c r="O102" i="18"/>
  <c r="EV20" i="17"/>
  <c r="CU9" i="17"/>
  <c r="DO6" i="17"/>
  <c r="O95" i="18"/>
  <c r="ES5" i="17"/>
  <c r="BO8" i="17"/>
  <c r="CD12" i="17"/>
  <c r="CC11" i="17"/>
  <c r="I160" i="18"/>
  <c r="CV7" i="17"/>
  <c r="P72" i="18"/>
  <c r="BS12" i="17"/>
  <c r="BR11" i="17"/>
  <c r="EL23" i="17"/>
  <c r="EM9" i="17"/>
  <c r="DJ9" i="17"/>
  <c r="O110" i="18"/>
  <c r="EX20" i="17"/>
  <c r="DJ7" i="17"/>
  <c r="P86" i="18"/>
  <c r="CI5" i="17"/>
  <c r="CA13" i="17"/>
  <c r="I132" i="18"/>
  <c r="BP13" i="17"/>
  <c r="CX7" i="17"/>
  <c r="P74" i="18"/>
  <c r="CY7" i="17"/>
  <c r="P75" i="18"/>
  <c r="EL21" i="17"/>
  <c r="EL22" i="17" s="1"/>
  <c r="EM7" i="17"/>
  <c r="DH7" i="17"/>
  <c r="DQ4" i="17"/>
  <c r="P84" i="18"/>
  <c r="DK7" i="17"/>
  <c r="P87" i="18"/>
  <c r="CM5" i="17"/>
  <c r="DT4" i="17"/>
  <c r="CW7" i="17"/>
  <c r="P73" i="18"/>
  <c r="O225" i="18" l="1"/>
  <c r="CH8" i="17"/>
  <c r="I26" i="18" s="1"/>
  <c r="P26" i="18" s="1"/>
  <c r="G104" i="19"/>
  <c r="BP11" i="17"/>
  <c r="CM11" i="17" s="1"/>
  <c r="CM8" i="17"/>
  <c r="O223" i="18"/>
  <c r="EW21" i="17"/>
  <c r="EX5" i="17"/>
  <c r="I36" i="18"/>
  <c r="P36" i="18" s="1"/>
  <c r="ET8" i="17"/>
  <c r="ET25" i="17"/>
  <c r="P234" i="18"/>
  <c r="Q43" i="18"/>
  <c r="Q35" i="18"/>
  <c r="ED24" i="17"/>
  <c r="ED25" i="17" s="1"/>
  <c r="EQ26" i="17"/>
  <c r="ER12" i="17"/>
  <c r="DI10" i="17"/>
  <c r="DI11" i="17" s="1"/>
  <c r="P109" i="18"/>
  <c r="P230" i="18" s="1"/>
  <c r="BQ16" i="17"/>
  <c r="I146" i="18"/>
  <c r="CX10" i="17"/>
  <c r="CX11" i="17" s="1"/>
  <c r="P98" i="18"/>
  <c r="P219" i="18" s="1"/>
  <c r="DL10" i="17"/>
  <c r="P137" i="18" s="1"/>
  <c r="P112" i="18"/>
  <c r="P233" i="18" s="1"/>
  <c r="EM24" i="17"/>
  <c r="EM25" i="17" s="1"/>
  <c r="EN10" i="17"/>
  <c r="EX7" i="17"/>
  <c r="CD14" i="17"/>
  <c r="CE15" i="17"/>
  <c r="H160" i="18"/>
  <c r="O257" i="18" s="1"/>
  <c r="DI12" i="17"/>
  <c r="O133" i="18"/>
  <c r="BW14" i="17"/>
  <c r="BX15" i="17"/>
  <c r="H153" i="18"/>
  <c r="O250" i="18" s="1"/>
  <c r="O229" i="18"/>
  <c r="DL8" i="17"/>
  <c r="CW12" i="17"/>
  <c r="DT9" i="17"/>
  <c r="O121" i="18"/>
  <c r="EJ24" i="17"/>
  <c r="EK10" i="17"/>
  <c r="EK11" i="17" s="1"/>
  <c r="CU10" i="17"/>
  <c r="CU11" i="17" s="1"/>
  <c r="DO7" i="17"/>
  <c r="P95" i="18"/>
  <c r="P216" i="18" s="1"/>
  <c r="EN24" i="17"/>
  <c r="EN25" i="17" s="1"/>
  <c r="EO10" i="17"/>
  <c r="EO11" i="17" s="1"/>
  <c r="DB10" i="17"/>
  <c r="DB11" i="17" s="1"/>
  <c r="P102" i="18"/>
  <c r="P223" i="18" s="1"/>
  <c r="CW8" i="17"/>
  <c r="CD15" i="17"/>
  <c r="CC14" i="17"/>
  <c r="H159" i="18"/>
  <c r="O256" i="18" s="1"/>
  <c r="ES24" i="17"/>
  <c r="ES25" i="17" s="1"/>
  <c r="ET10" i="17"/>
  <c r="ET27" i="17" s="1"/>
  <c r="EC24" i="17"/>
  <c r="EC25" i="17" s="1"/>
  <c r="ED10" i="17"/>
  <c r="ED11" i="17" s="1"/>
  <c r="BR15" i="17"/>
  <c r="H147" i="18"/>
  <c r="EQ24" i="17"/>
  <c r="EQ25" i="17" s="1"/>
  <c r="ER10" i="17"/>
  <c r="EJ25" i="17"/>
  <c r="DH10" i="17"/>
  <c r="DH11" i="17" s="1"/>
  <c r="DQ7" i="17"/>
  <c r="P108" i="18"/>
  <c r="P229" i="18" s="1"/>
  <c r="EV21" i="17"/>
  <c r="EO26" i="17"/>
  <c r="EP12" i="17"/>
  <c r="EY9" i="17"/>
  <c r="EJ26" i="17"/>
  <c r="EK12" i="17"/>
  <c r="CA15" i="17"/>
  <c r="CJ12" i="17"/>
  <c r="H156" i="18"/>
  <c r="EV5" i="17"/>
  <c r="ET26" i="17"/>
  <c r="DH8" i="17"/>
  <c r="CA11" i="17"/>
  <c r="CJ11" i="17" s="1"/>
  <c r="BO13" i="17"/>
  <c r="BO14" i="17" s="1"/>
  <c r="I120" i="18"/>
  <c r="BR14" i="17"/>
  <c r="BS15" i="17"/>
  <c r="H148" i="18"/>
  <c r="CY10" i="17"/>
  <c r="CY11" i="17" s="1"/>
  <c r="P99" i="18"/>
  <c r="P220" i="18" s="1"/>
  <c r="DT7" i="17"/>
  <c r="CW10" i="17"/>
  <c r="CW11" i="17" s="1"/>
  <c r="P97" i="18"/>
  <c r="P218" i="18" s="1"/>
  <c r="BS16" i="17"/>
  <c r="I148" i="18"/>
  <c r="CI10" i="17"/>
  <c r="ER24" i="17"/>
  <c r="ER25" i="17" s="1"/>
  <c r="ES10" i="17"/>
  <c r="ES11" i="17" s="1"/>
  <c r="EK24" i="17"/>
  <c r="EK25" i="17" s="1"/>
  <c r="EL10" i="17"/>
  <c r="EL11" i="17" s="1"/>
  <c r="CM12" i="17"/>
  <c r="BP15" i="17"/>
  <c r="H145" i="18"/>
  <c r="CI12" i="17"/>
  <c r="BY15" i="17"/>
  <c r="BX14" i="17"/>
  <c r="H154" i="18"/>
  <c r="BL6" i="17"/>
  <c r="BK5" i="17"/>
  <c r="CF5" i="17" s="1"/>
  <c r="CL5" i="17" s="1"/>
  <c r="DZ3" i="17"/>
  <c r="CF3" i="17"/>
  <c r="CR3" i="17"/>
  <c r="H69" i="18"/>
  <c r="BK6" i="17"/>
  <c r="BK7" i="17"/>
  <c r="EC26" i="17"/>
  <c r="ED12" i="17"/>
  <c r="G103" i="19"/>
  <c r="DK10" i="17"/>
  <c r="DK11" i="17" s="1"/>
  <c r="P111" i="18"/>
  <c r="P232" i="18" s="1"/>
  <c r="ED26" i="17"/>
  <c r="CY12" i="17"/>
  <c r="O123" i="18"/>
  <c r="BZ13" i="17"/>
  <c r="I131" i="18"/>
  <c r="DC10" i="17"/>
  <c r="DC11" i="17" s="1"/>
  <c r="P103" i="18"/>
  <c r="P224" i="18" s="1"/>
  <c r="CC15" i="17"/>
  <c r="H158" i="18"/>
  <c r="BK10" i="17"/>
  <c r="BK9" i="17"/>
  <c r="DK12" i="17"/>
  <c r="O135" i="18"/>
  <c r="DO8" i="17"/>
  <c r="Q26" i="18" s="1"/>
  <c r="BZ19" i="17"/>
  <c r="I179" i="18"/>
  <c r="EY22" i="17"/>
  <c r="CJ8" i="17"/>
  <c r="O137" i="18"/>
  <c r="DJ8" i="17"/>
  <c r="I44" i="18"/>
  <c r="P44" i="18" s="1"/>
  <c r="DA12" i="17"/>
  <c r="O125" i="18"/>
  <c r="DB12" i="17"/>
  <c r="O126" i="18"/>
  <c r="EP26" i="17"/>
  <c r="EQ12" i="17"/>
  <c r="CE14" i="17"/>
  <c r="H161" i="18"/>
  <c r="O258" i="18" s="1"/>
  <c r="EO24" i="17"/>
  <c r="EP10" i="17"/>
  <c r="EP11" i="17" s="1"/>
  <c r="EY7" i="17"/>
  <c r="EP24" i="17"/>
  <c r="EP25" i="17" s="1"/>
  <c r="EQ10" i="17"/>
  <c r="EQ11" i="17" s="1"/>
  <c r="EX21" i="17"/>
  <c r="BU15" i="17"/>
  <c r="BT14" i="17"/>
  <c r="H150" i="18"/>
  <c r="O247" i="18" s="1"/>
  <c r="DD10" i="17"/>
  <c r="DD11" i="17" s="1"/>
  <c r="P104" i="18"/>
  <c r="P225" i="18" s="1"/>
  <c r="EP8" i="17"/>
  <c r="EX23" i="17"/>
  <c r="CZ12" i="17"/>
  <c r="O124" i="18"/>
  <c r="EL24" i="17"/>
  <c r="EL25" i="17" s="1"/>
  <c r="EM10" i="17"/>
  <c r="BW16" i="17"/>
  <c r="I152" i="18"/>
  <c r="EJ8" i="17"/>
  <c r="BZ16" i="17"/>
  <c r="I155" i="18"/>
  <c r="ER8" i="17"/>
  <c r="DH12" i="17"/>
  <c r="DQ9" i="17"/>
  <c r="O132" i="18"/>
  <c r="BV15" i="17"/>
  <c r="BU14" i="17"/>
  <c r="H151" i="18"/>
  <c r="CV8" i="17"/>
  <c r="EK8" i="17"/>
  <c r="DD12" i="17"/>
  <c r="O128" i="18"/>
  <c r="BZ15" i="17"/>
  <c r="BY14" i="17"/>
  <c r="H155" i="18"/>
  <c r="CR4" i="17"/>
  <c r="BL7" i="17"/>
  <c r="CF4" i="17"/>
  <c r="DZ4" i="17"/>
  <c r="I69" i="18"/>
  <c r="J7" i="18" s="1"/>
  <c r="Q7" i="18" s="1"/>
  <c r="DF10" i="17"/>
  <c r="DP7" i="17"/>
  <c r="P106" i="18"/>
  <c r="P227" i="18" s="1"/>
  <c r="BQ13" i="17"/>
  <c r="I122" i="18"/>
  <c r="DF12" i="17"/>
  <c r="DP9" i="17"/>
  <c r="O130" i="18"/>
  <c r="EW23" i="17"/>
  <c r="DG12" i="17"/>
  <c r="O131" i="18"/>
  <c r="CB16" i="17"/>
  <c r="I157" i="18"/>
  <c r="CV12" i="17"/>
  <c r="O120" i="18"/>
  <c r="CB13" i="17"/>
  <c r="I133" i="18"/>
  <c r="ER26" i="17"/>
  <c r="ES12" i="17"/>
  <c r="ER11" i="17"/>
  <c r="DE10" i="17"/>
  <c r="DE11" i="17" s="1"/>
  <c r="P105" i="18"/>
  <c r="P226" i="18" s="1"/>
  <c r="EN26" i="17"/>
  <c r="EO12" i="17"/>
  <c r="EN11" i="17"/>
  <c r="DJ12" i="17"/>
  <c r="O134" i="18"/>
  <c r="CZ10" i="17"/>
  <c r="CZ11" i="17" s="1"/>
  <c r="P100" i="18"/>
  <c r="P221" i="18" s="1"/>
  <c r="CK5" i="17"/>
  <c r="EX22" i="17"/>
  <c r="EM26" i="17"/>
  <c r="EN12" i="17"/>
  <c r="EX9" i="17"/>
  <c r="EM11" i="17"/>
  <c r="BS14" i="17"/>
  <c r="BT15" i="17"/>
  <c r="H149" i="18"/>
  <c r="DC12" i="17"/>
  <c r="O127" i="18"/>
  <c r="DJ10" i="17"/>
  <c r="DJ11" i="17" s="1"/>
  <c r="P110" i="18"/>
  <c r="P231" i="18" s="1"/>
  <c r="DK8" i="17"/>
  <c r="DL12" i="17"/>
  <c r="O136" i="18"/>
  <c r="CY8" i="17"/>
  <c r="BV14" i="17"/>
  <c r="BW15" i="17"/>
  <c r="H152" i="18"/>
  <c r="DE12" i="17"/>
  <c r="O129" i="18"/>
  <c r="CA14" i="17"/>
  <c r="CB15" i="17"/>
  <c r="H157" i="18"/>
  <c r="EY23" i="17"/>
  <c r="BQ15" i="17"/>
  <c r="BP14" i="17"/>
  <c r="H146" i="18"/>
  <c r="EY21" i="17"/>
  <c r="CV10" i="17"/>
  <c r="P96" i="18"/>
  <c r="P217" i="18" s="1"/>
  <c r="CI8" i="17"/>
  <c r="EM8" i="17"/>
  <c r="CX8" i="17"/>
  <c r="DG10" i="17"/>
  <c r="DG11" i="17" s="1"/>
  <c r="P107" i="18"/>
  <c r="P228" i="18" s="1"/>
  <c r="EY5" i="17"/>
  <c r="EL12" i="17"/>
  <c r="EK26" i="17"/>
  <c r="EB24" i="17"/>
  <c r="EW24" i="17" s="1"/>
  <c r="EC10" i="17"/>
  <c r="EC11" i="17" s="1"/>
  <c r="EW7" i="17"/>
  <c r="EI24" i="17"/>
  <c r="EI25" i="17" s="1"/>
  <c r="EJ10" i="17"/>
  <c r="EN8" i="17"/>
  <c r="EI8" i="17"/>
  <c r="BY11" i="17"/>
  <c r="CI11" i="17" s="1"/>
  <c r="ES26" i="17"/>
  <c r="ET12" i="17"/>
  <c r="DF8" i="17"/>
  <c r="ED8" i="17"/>
  <c r="EB22" i="17"/>
  <c r="EW22" i="17" s="1"/>
  <c r="DA10" i="17"/>
  <c r="P101" i="18"/>
  <c r="P222" i="18" s="1"/>
  <c r="CX12" i="17"/>
  <c r="O122" i="18"/>
  <c r="EL26" i="17"/>
  <c r="EM12" i="17"/>
  <c r="DB8" i="17"/>
  <c r="EB8" i="17"/>
  <c r="EW8" i="17" s="1"/>
  <c r="DL11" i="17" l="1"/>
  <c r="ET11" i="17"/>
  <c r="ET28" i="17"/>
  <c r="O252" i="18"/>
  <c r="O243" i="18"/>
  <c r="DQ8" i="17"/>
  <c r="EY24" i="17"/>
  <c r="DP8" i="17"/>
  <c r="O249" i="18"/>
  <c r="EY8" i="17"/>
  <c r="EO25" i="17"/>
  <c r="EY25" i="17" s="1"/>
  <c r="O245" i="18"/>
  <c r="Q44" i="18"/>
  <c r="Q36" i="18"/>
  <c r="DQ11" i="17"/>
  <c r="BW17" i="17"/>
  <c r="BX18" i="17"/>
  <c r="H177" i="18"/>
  <c r="DK15" i="17"/>
  <c r="O159" i="18"/>
  <c r="ES29" i="17"/>
  <c r="DT12" i="17"/>
  <c r="CW15" i="17"/>
  <c r="O145" i="18"/>
  <c r="EB25" i="17"/>
  <c r="EW25" i="17" s="1"/>
  <c r="DB13" i="17"/>
  <c r="P126" i="18"/>
  <c r="EX8" i="17"/>
  <c r="O254" i="18"/>
  <c r="EX26" i="17"/>
  <c r="DA13" i="17"/>
  <c r="DA14" i="17" s="1"/>
  <c r="P125" i="18"/>
  <c r="DG15" i="17"/>
  <c r="O155" i="18"/>
  <c r="CL4" i="17"/>
  <c r="CK4" i="17"/>
  <c r="DE15" i="17"/>
  <c r="O153" i="18"/>
  <c r="CA19" i="17"/>
  <c r="I205" i="18" s="1"/>
  <c r="I180" i="18"/>
  <c r="BX19" i="17"/>
  <c r="I177" i="18"/>
  <c r="EQ29" i="17"/>
  <c r="I204" i="18"/>
  <c r="CJ13" i="17"/>
  <c r="CA16" i="17"/>
  <c r="CA17" i="17" s="1"/>
  <c r="I156" i="18"/>
  <c r="CI13" i="17"/>
  <c r="BL10" i="17"/>
  <c r="CF7" i="17"/>
  <c r="I93" i="18"/>
  <c r="CK3" i="17"/>
  <c r="CL3" i="17"/>
  <c r="BY17" i="17"/>
  <c r="BZ18" i="17"/>
  <c r="H179" i="18"/>
  <c r="CR7" i="17"/>
  <c r="CR6" i="17"/>
  <c r="BT18" i="17"/>
  <c r="BS17" i="17"/>
  <c r="H173" i="18"/>
  <c r="EK29" i="17"/>
  <c r="EP29" i="17"/>
  <c r="ER27" i="17"/>
  <c r="ER28" i="17" s="1"/>
  <c r="ES13" i="17"/>
  <c r="ES30" i="17" s="1"/>
  <c r="BS18" i="17"/>
  <c r="H172" i="18"/>
  <c r="CE18" i="17"/>
  <c r="CD17" i="17"/>
  <c r="H184" i="18"/>
  <c r="CX15" i="17"/>
  <c r="O146" i="18"/>
  <c r="BR19" i="17"/>
  <c r="I196" i="18" s="1"/>
  <c r="I171" i="18"/>
  <c r="ET29" i="17"/>
  <c r="DH13" i="17"/>
  <c r="DH14" i="17" s="1"/>
  <c r="DQ10" i="17"/>
  <c r="P132" i="18"/>
  <c r="BQ17" i="17"/>
  <c r="BR18" i="17"/>
  <c r="H171" i="18"/>
  <c r="DP12" i="17"/>
  <c r="DF15" i="17"/>
  <c r="O154" i="18"/>
  <c r="DK13" i="17"/>
  <c r="DK14" i="17" s="1"/>
  <c r="P135" i="18"/>
  <c r="EX11" i="17"/>
  <c r="DH15" i="17"/>
  <c r="DQ12" i="17"/>
  <c r="O156" i="18"/>
  <c r="DG13" i="17"/>
  <c r="P131" i="18"/>
  <c r="BM10" i="17"/>
  <c r="CG7" i="17"/>
  <c r="I94" i="18"/>
  <c r="CA18" i="17"/>
  <c r="BZ17" i="17"/>
  <c r="CJ15" i="17"/>
  <c r="H180" i="18"/>
  <c r="BV17" i="17"/>
  <c r="BW18" i="17"/>
  <c r="H176" i="18"/>
  <c r="DI15" i="17"/>
  <c r="O157" i="18"/>
  <c r="EN13" i="17"/>
  <c r="EN30" i="17" s="1"/>
  <c r="EM27" i="17"/>
  <c r="EX10" i="17"/>
  <c r="DA15" i="17"/>
  <c r="O149" i="18"/>
  <c r="BU17" i="17"/>
  <c r="BV18" i="17"/>
  <c r="H175" i="18"/>
  <c r="DD13" i="17"/>
  <c r="P128" i="18"/>
  <c r="BL9" i="17"/>
  <c r="CF6" i="17"/>
  <c r="BK8" i="17"/>
  <c r="H93" i="18"/>
  <c r="DZ20" i="17"/>
  <c r="EA6" i="17"/>
  <c r="DZ5" i="17"/>
  <c r="ES27" i="17"/>
  <c r="ES28" i="17" s="1"/>
  <c r="ET13" i="17"/>
  <c r="ET30" i="17" s="1"/>
  <c r="CM13" i="17"/>
  <c r="BP16" i="17"/>
  <c r="I145" i="18"/>
  <c r="O242" i="18" s="1"/>
  <c r="CB18" i="17"/>
  <c r="H181" i="18"/>
  <c r="EY26" i="17"/>
  <c r="DC13" i="17"/>
  <c r="DC14" i="17" s="1"/>
  <c r="P127" i="18"/>
  <c r="EK27" i="17"/>
  <c r="EK28" i="17" s="1"/>
  <c r="EL13" i="17"/>
  <c r="EL30" i="17" s="1"/>
  <c r="CE17" i="17"/>
  <c r="H185" i="18"/>
  <c r="EN27" i="17"/>
  <c r="EN28" i="17" s="1"/>
  <c r="EO13" i="17"/>
  <c r="EO14" i="17" s="1"/>
  <c r="ER29" i="17"/>
  <c r="EM29" i="17"/>
  <c r="EX12" i="17"/>
  <c r="CC18" i="17"/>
  <c r="CB17" i="17"/>
  <c r="H182" i="18"/>
  <c r="DF13" i="17"/>
  <c r="DP10" i="17"/>
  <c r="P130" i="18"/>
  <c r="CY15" i="17"/>
  <c r="O147" i="18"/>
  <c r="EC27" i="17"/>
  <c r="ED13" i="17"/>
  <c r="ED14" i="17" s="1"/>
  <c r="EL29" i="17"/>
  <c r="EL14" i="17"/>
  <c r="O161" i="18"/>
  <c r="O246" i="18"/>
  <c r="G138" i="19"/>
  <c r="EO29" i="17"/>
  <c r="EY12" i="17"/>
  <c r="CC16" i="17"/>
  <c r="I158" i="18"/>
  <c r="O255" i="18" s="1"/>
  <c r="CC19" i="17"/>
  <c r="I207" i="18" s="1"/>
  <c r="I182" i="18"/>
  <c r="DF11" i="17"/>
  <c r="DP11" i="17" s="1"/>
  <c r="BR16" i="17"/>
  <c r="BR17" i="17" s="1"/>
  <c r="I147" i="18"/>
  <c r="O244" i="18" s="1"/>
  <c r="DM4" i="17"/>
  <c r="CS7" i="17"/>
  <c r="P69" i="18"/>
  <c r="T7" i="18" s="1"/>
  <c r="DT8" i="17"/>
  <c r="DE13" i="17"/>
  <c r="P129" i="18"/>
  <c r="EP27" i="17"/>
  <c r="EP28" i="17" s="1"/>
  <c r="EQ13" i="17"/>
  <c r="EQ30" i="17" s="1"/>
  <c r="DA11" i="17"/>
  <c r="DB15" i="17"/>
  <c r="O150" i="18"/>
  <c r="BL12" i="17"/>
  <c r="BK11" i="17"/>
  <c r="H117" i="18"/>
  <c r="CB14" i="17"/>
  <c r="CZ15" i="17"/>
  <c r="O148" i="18"/>
  <c r="DL13" i="17"/>
  <c r="P161" i="18" s="1"/>
  <c r="P136" i="18"/>
  <c r="ED29" i="17"/>
  <c r="I7" i="18"/>
  <c r="I53" i="18"/>
  <c r="P53" i="18" s="1"/>
  <c r="I61" i="18"/>
  <c r="P61" i="18" s="1"/>
  <c r="O251" i="18"/>
  <c r="CZ13" i="17"/>
  <c r="P124" i="18"/>
  <c r="BZ14" i="17"/>
  <c r="DI13" i="17"/>
  <c r="DI14" i="17" s="1"/>
  <c r="P133" i="18"/>
  <c r="ED27" i="17"/>
  <c r="ED28" i="17" s="1"/>
  <c r="EO27" i="17"/>
  <c r="EP13" i="17"/>
  <c r="EP30" i="17" s="1"/>
  <c r="EY10" i="17"/>
  <c r="BY18" i="17"/>
  <c r="CI15" i="17"/>
  <c r="BX17" i="17"/>
  <c r="H178" i="18"/>
  <c r="DJ15" i="17"/>
  <c r="O158" i="18"/>
  <c r="EX24" i="17"/>
  <c r="CY13" i="17"/>
  <c r="CY14" i="17" s="1"/>
  <c r="P123" i="18"/>
  <c r="DJ13" i="17"/>
  <c r="P134" i="18"/>
  <c r="DT10" i="17"/>
  <c r="CW13" i="17"/>
  <c r="P121" i="18"/>
  <c r="EJ27" i="17"/>
  <c r="EJ28" i="17" s="1"/>
  <c r="EK13" i="17"/>
  <c r="EK30" i="17" s="1"/>
  <c r="DD15" i="17"/>
  <c r="O152" i="18"/>
  <c r="BU18" i="17"/>
  <c r="BT17" i="17"/>
  <c r="H174" i="18"/>
  <c r="EN29" i="17"/>
  <c r="DZ21" i="17"/>
  <c r="EA7" i="17"/>
  <c r="O248" i="18"/>
  <c r="C139" i="19"/>
  <c r="EQ27" i="17"/>
  <c r="EQ28" i="17" s="1"/>
  <c r="ER13" i="17"/>
  <c r="ER30" i="17" s="1"/>
  <c r="DC15" i="17"/>
  <c r="DB14" i="17"/>
  <c r="O151" i="18"/>
  <c r="DL15" i="17"/>
  <c r="O160" i="18"/>
  <c r="BL13" i="17"/>
  <c r="I117" i="18"/>
  <c r="CC17" i="17"/>
  <c r="CD18" i="17"/>
  <c r="H183" i="18"/>
  <c r="EC28" i="17"/>
  <c r="CS6" i="17"/>
  <c r="CR5" i="17"/>
  <c r="DM5" i="17" s="1"/>
  <c r="DM3" i="17"/>
  <c r="O69" i="18"/>
  <c r="BL8" i="17"/>
  <c r="CG8" i="17" s="1"/>
  <c r="I18" i="18" s="1"/>
  <c r="P18" i="18" s="1"/>
  <c r="BM9" i="17"/>
  <c r="CG6" i="17"/>
  <c r="H94" i="18"/>
  <c r="BQ18" i="17"/>
  <c r="BP17" i="17"/>
  <c r="H170" i="18"/>
  <c r="EL27" i="17"/>
  <c r="EL28" i="17" s="1"/>
  <c r="EM13" i="17"/>
  <c r="BT19" i="17"/>
  <c r="I198" i="18" s="1"/>
  <c r="I173" i="18"/>
  <c r="CX13" i="17"/>
  <c r="P122" i="18"/>
  <c r="EJ11" i="17"/>
  <c r="EY11" i="17"/>
  <c r="BQ14" i="17"/>
  <c r="CM14" i="17" s="1"/>
  <c r="CV13" i="17"/>
  <c r="P120" i="18"/>
  <c r="CV11" i="17"/>
  <c r="DT11" i="17" s="1"/>
  <c r="EV22" i="17"/>
  <c r="CI14" i="17" l="1"/>
  <c r="G137" i="19"/>
  <c r="CF10" i="17"/>
  <c r="CL10" i="17" s="1"/>
  <c r="EN31" i="17"/>
  <c r="EN14" i="17"/>
  <c r="I38" i="18"/>
  <c r="P38" i="18" s="1"/>
  <c r="C138" i="19"/>
  <c r="CJ14" i="17"/>
  <c r="EL31" i="17"/>
  <c r="I46" i="18"/>
  <c r="P46" i="18" s="1"/>
  <c r="O215" i="18"/>
  <c r="O253" i="18"/>
  <c r="EX25" i="17"/>
  <c r="EY27" i="17"/>
  <c r="CW16" i="17"/>
  <c r="DT13" i="17"/>
  <c r="P145" i="18"/>
  <c r="P242" i="18" s="1"/>
  <c r="CY16" i="17"/>
  <c r="CY17" i="17" s="1"/>
  <c r="P147" i="18"/>
  <c r="P244" i="18" s="1"/>
  <c r="EM30" i="17"/>
  <c r="EM31" i="17" s="1"/>
  <c r="EX13" i="17"/>
  <c r="H195" i="18"/>
  <c r="BN12" i="17"/>
  <c r="BM11" i="17"/>
  <c r="CH11" i="17" s="1"/>
  <c r="I27" i="18" s="1"/>
  <c r="P27" i="18" s="1"/>
  <c r="CH9" i="17"/>
  <c r="H119" i="18"/>
  <c r="DS5" i="17"/>
  <c r="DR5" i="17"/>
  <c r="DD18" i="17"/>
  <c r="O176" i="18"/>
  <c r="DE18" i="17"/>
  <c r="O177" i="18"/>
  <c r="CX16" i="17"/>
  <c r="CX17" i="17" s="1"/>
  <c r="P146" i="18"/>
  <c r="P243" i="18" s="1"/>
  <c r="DK16" i="17"/>
  <c r="DK17" i="17" s="1"/>
  <c r="P159" i="18"/>
  <c r="P256" i="18" s="1"/>
  <c r="CI17" i="17"/>
  <c r="DA16" i="17"/>
  <c r="DA17" i="17" s="1"/>
  <c r="P149" i="18"/>
  <c r="P246" i="18" s="1"/>
  <c r="K7" i="18"/>
  <c r="R7" i="18" s="1"/>
  <c r="P7" i="18"/>
  <c r="DC18" i="17"/>
  <c r="O175" i="18"/>
  <c r="DP13" i="17"/>
  <c r="DF16" i="17"/>
  <c r="DF17" i="17" s="1"/>
  <c r="P154" i="18"/>
  <c r="ED30" i="17"/>
  <c r="CC20" i="17"/>
  <c r="H207" i="18"/>
  <c r="EO28" i="17"/>
  <c r="EY28" i="17" s="1"/>
  <c r="H206" i="18"/>
  <c r="BK13" i="17"/>
  <c r="BK12" i="17"/>
  <c r="DZ22" i="17"/>
  <c r="BL11" i="17"/>
  <c r="BM12" i="17"/>
  <c r="DW10" i="17" s="1"/>
  <c r="DW16" i="17" s="1"/>
  <c r="CG9" i="17"/>
  <c r="H118" i="18"/>
  <c r="I9" i="18" s="1"/>
  <c r="DJ18" i="17"/>
  <c r="O182" i="18"/>
  <c r="CA20" i="17"/>
  <c r="H205" i="18"/>
  <c r="EP31" i="17"/>
  <c r="CS9" i="17"/>
  <c r="DM6" i="17"/>
  <c r="CR8" i="17"/>
  <c r="O93" i="18"/>
  <c r="J8" i="18"/>
  <c r="DC16" i="17"/>
  <c r="P151" i="18"/>
  <c r="P248" i="18" s="1"/>
  <c r="BX20" i="17"/>
  <c r="CI18" i="17"/>
  <c r="H202" i="18"/>
  <c r="CT9" i="17"/>
  <c r="DN6" i="17"/>
  <c r="CS8" i="17"/>
  <c r="DN8" i="17" s="1"/>
  <c r="Q18" i="18" s="1"/>
  <c r="O94" i="18"/>
  <c r="O185" i="18"/>
  <c r="EA24" i="17"/>
  <c r="EV24" i="17" s="1"/>
  <c r="EB10" i="17"/>
  <c r="EV7" i="17"/>
  <c r="BU20" i="17"/>
  <c r="H199" i="18"/>
  <c r="CR10" i="17"/>
  <c r="CR9" i="17"/>
  <c r="DK18" i="17"/>
  <c r="O183" i="18"/>
  <c r="DA18" i="17"/>
  <c r="O173" i="18"/>
  <c r="CF9" i="17"/>
  <c r="BS19" i="17"/>
  <c r="I197" i="18" s="1"/>
  <c r="I172" i="18"/>
  <c r="CX14" i="17"/>
  <c r="DG16" i="17"/>
  <c r="DG17" i="17" s="1"/>
  <c r="P155" i="18"/>
  <c r="P252" i="18" s="1"/>
  <c r="EM14" i="17"/>
  <c r="ER14" i="17"/>
  <c r="O214" i="18"/>
  <c r="I8" i="18"/>
  <c r="I62" i="18"/>
  <c r="P62" i="18" s="1"/>
  <c r="I54" i="18"/>
  <c r="P54" i="18" s="1"/>
  <c r="EX27" i="17"/>
  <c r="DH16" i="17"/>
  <c r="DH17" i="17" s="1"/>
  <c r="DQ13" i="17"/>
  <c r="P156" i="18"/>
  <c r="DG14" i="17"/>
  <c r="DG18" i="17"/>
  <c r="O179" i="18"/>
  <c r="BR20" i="17"/>
  <c r="H196" i="18"/>
  <c r="DI16" i="17"/>
  <c r="DI17" i="17" s="1"/>
  <c r="P157" i="18"/>
  <c r="P254" i="18" s="1"/>
  <c r="CY18" i="17"/>
  <c r="O171" i="18"/>
  <c r="CE20" i="17"/>
  <c r="I136" i="18" s="1"/>
  <c r="H209" i="18"/>
  <c r="EK14" i="17"/>
  <c r="CS10" i="17"/>
  <c r="DM7" i="17"/>
  <c r="P93" i="18"/>
  <c r="CK7" i="17"/>
  <c r="CL7" i="17"/>
  <c r="CB19" i="17"/>
  <c r="CB20" i="17" s="1"/>
  <c r="I181" i="18"/>
  <c r="CI16" i="17"/>
  <c r="I202" i="18"/>
  <c r="DF14" i="17"/>
  <c r="DB16" i="17"/>
  <c r="DB17" i="17" s="1"/>
  <c r="P150" i="18"/>
  <c r="P247" i="18" s="1"/>
  <c r="CV14" i="17"/>
  <c r="DJ14" i="17"/>
  <c r="S7" i="18"/>
  <c r="U7" i="18" s="1"/>
  <c r="Q53" i="18"/>
  <c r="Q61" i="18"/>
  <c r="H208" i="18"/>
  <c r="BM16" i="17"/>
  <c r="I142" i="18"/>
  <c r="CZ16" i="17"/>
  <c r="CZ17" i="17" s="1"/>
  <c r="P148" i="18"/>
  <c r="P245" i="18" s="1"/>
  <c r="BY20" i="17"/>
  <c r="H203" i="18"/>
  <c r="BM15" i="17"/>
  <c r="BL14" i="17"/>
  <c r="CG12" i="17"/>
  <c r="H142" i="18"/>
  <c r="O239" i="18" s="1"/>
  <c r="Q45" i="18"/>
  <c r="CT10" i="17"/>
  <c r="DN7" i="17"/>
  <c r="P94" i="18"/>
  <c r="EY29" i="17"/>
  <c r="P258" i="18"/>
  <c r="CZ18" i="17"/>
  <c r="O172" i="18"/>
  <c r="ER31" i="17"/>
  <c r="DD16" i="17"/>
  <c r="DD17" i="17" s="1"/>
  <c r="P152" i="18"/>
  <c r="P249" i="18" s="1"/>
  <c r="EA23" i="17"/>
  <c r="EB9" i="17"/>
  <c r="EA8" i="17"/>
  <c r="EV8" i="17" s="1"/>
  <c r="EV6" i="17"/>
  <c r="CF8" i="17"/>
  <c r="DE16" i="17"/>
  <c r="DE17" i="17" s="1"/>
  <c r="P153" i="18"/>
  <c r="P250" i="18" s="1"/>
  <c r="DB18" i="17"/>
  <c r="O174" i="18"/>
  <c r="Q37" i="18"/>
  <c r="ET14" i="17"/>
  <c r="CW14" i="17"/>
  <c r="EK31" i="17"/>
  <c r="BM13" i="17"/>
  <c r="CG10" i="17"/>
  <c r="I118" i="18"/>
  <c r="EQ14" i="17"/>
  <c r="DP15" i="17"/>
  <c r="DF18" i="17"/>
  <c r="O178" i="18"/>
  <c r="DH18" i="17"/>
  <c r="DQ15" i="17"/>
  <c r="O180" i="18"/>
  <c r="ES31" i="17"/>
  <c r="DL18" i="17"/>
  <c r="O184" i="18"/>
  <c r="DR3" i="17"/>
  <c r="DS3" i="17"/>
  <c r="DJ16" i="17"/>
  <c r="DJ17" i="17" s="1"/>
  <c r="P158" i="18"/>
  <c r="P255" i="18" s="1"/>
  <c r="ED31" i="17"/>
  <c r="DR4" i="17"/>
  <c r="DS4" i="17"/>
  <c r="CD19" i="17"/>
  <c r="I208" i="18" s="1"/>
  <c r="I183" i="18"/>
  <c r="DL14" i="17"/>
  <c r="EX29" i="17"/>
  <c r="EO30" i="17"/>
  <c r="EY30" i="17" s="1"/>
  <c r="EY13" i="17"/>
  <c r="BQ19" i="17"/>
  <c r="I195" i="18" s="1"/>
  <c r="I170" i="18"/>
  <c r="CK6" i="17"/>
  <c r="CL6" i="17"/>
  <c r="BV20" i="17"/>
  <c r="H200" i="18"/>
  <c r="CZ14" i="17"/>
  <c r="BW20" i="17"/>
  <c r="H201" i="18"/>
  <c r="CJ17" i="17"/>
  <c r="BN13" i="17"/>
  <c r="CH10" i="17"/>
  <c r="I119" i="18"/>
  <c r="DI18" i="17"/>
  <c r="O181" i="18"/>
  <c r="DL16" i="17"/>
  <c r="P185" i="18" s="1"/>
  <c r="P160" i="18"/>
  <c r="P257" i="18" s="1"/>
  <c r="DE14" i="17"/>
  <c r="ET31" i="17"/>
  <c r="H197" i="18"/>
  <c r="EP14" i="17"/>
  <c r="BT20" i="17"/>
  <c r="H198" i="18"/>
  <c r="BZ20" i="17"/>
  <c r="CJ18" i="17"/>
  <c r="H204" i="18"/>
  <c r="EQ31" i="17"/>
  <c r="CJ16" i="17"/>
  <c r="DD14" i="17"/>
  <c r="EM28" i="17"/>
  <c r="CX18" i="17"/>
  <c r="CW17" i="17"/>
  <c r="O170" i="18"/>
  <c r="ES14" i="17"/>
  <c r="DW7" i="17" l="1"/>
  <c r="CK10" i="17"/>
  <c r="EX28" i="17"/>
  <c r="DW8" i="17"/>
  <c r="C70" i="19"/>
  <c r="CG11" i="17"/>
  <c r="I19" i="18" s="1"/>
  <c r="P19" i="18" s="1"/>
  <c r="DP14" i="17"/>
  <c r="J9" i="18"/>
  <c r="Q9" i="18" s="1"/>
  <c r="C71" i="19"/>
  <c r="EY14" i="17"/>
  <c r="EO31" i="17"/>
  <c r="EX31" i="17" s="1"/>
  <c r="Q38" i="18"/>
  <c r="C112" i="21" s="1"/>
  <c r="Q46" i="18"/>
  <c r="C113" i="21" s="1"/>
  <c r="P251" i="18"/>
  <c r="T8" i="18"/>
  <c r="P214" i="18"/>
  <c r="S8" i="18"/>
  <c r="Q54" i="18"/>
  <c r="Q62" i="18"/>
  <c r="P253" i="18"/>
  <c r="O207" i="18"/>
  <c r="O195" i="18"/>
  <c r="O209" i="18"/>
  <c r="CU13" i="17"/>
  <c r="DO10" i="17"/>
  <c r="P119" i="18"/>
  <c r="O198" i="18"/>
  <c r="BO16" i="17"/>
  <c r="I144" i="18"/>
  <c r="DE19" i="17"/>
  <c r="P177" i="18"/>
  <c r="O197" i="18"/>
  <c r="BM17" i="17"/>
  <c r="BN18" i="17"/>
  <c r="H167" i="18"/>
  <c r="CD20" i="17"/>
  <c r="CJ20" i="17" s="1"/>
  <c r="I206" i="18"/>
  <c r="CJ19" i="17"/>
  <c r="DR7" i="17"/>
  <c r="DS7" i="17"/>
  <c r="I55" i="18"/>
  <c r="P55" i="18" s="1"/>
  <c r="I63" i="18"/>
  <c r="P63" i="18" s="1"/>
  <c r="I37" i="18"/>
  <c r="P37" i="18" s="1"/>
  <c r="I45" i="18"/>
  <c r="P45" i="18" s="1"/>
  <c r="DQ14" i="17"/>
  <c r="P8" i="18"/>
  <c r="K8" i="18"/>
  <c r="C8" i="19"/>
  <c r="O208" i="18"/>
  <c r="DD19" i="17"/>
  <c r="P201" i="18" s="1"/>
  <c r="P176" i="18"/>
  <c r="DM8" i="17"/>
  <c r="BN15" i="17"/>
  <c r="CH15" i="17" s="1"/>
  <c r="CH12" i="17"/>
  <c r="BM14" i="17"/>
  <c r="H143" i="18"/>
  <c r="BK14" i="17"/>
  <c r="CF12" i="17"/>
  <c r="BL15" i="17"/>
  <c r="H141" i="18"/>
  <c r="CY19" i="17"/>
  <c r="P196" i="18" s="1"/>
  <c r="P171" i="18"/>
  <c r="BQ20" i="17"/>
  <c r="CZ19" i="17"/>
  <c r="P197" i="18" s="1"/>
  <c r="P172" i="18"/>
  <c r="CR12" i="17"/>
  <c r="CR13" i="17"/>
  <c r="O199" i="18"/>
  <c r="DT14" i="17"/>
  <c r="O196" i="18"/>
  <c r="DH19" i="17"/>
  <c r="P205" i="18" s="1"/>
  <c r="DQ16" i="17"/>
  <c r="P180" i="18"/>
  <c r="O206" i="18"/>
  <c r="BN16" i="17"/>
  <c r="CH16" i="17" s="1"/>
  <c r="CH13" i="17"/>
  <c r="I143" i="18"/>
  <c r="DF19" i="17"/>
  <c r="P203" i="18" s="1"/>
  <c r="DP16" i="17"/>
  <c r="P178" i="18"/>
  <c r="EB26" i="17"/>
  <c r="EC12" i="17"/>
  <c r="EB11" i="17"/>
  <c r="EW11" i="17" s="1"/>
  <c r="EW9" i="17"/>
  <c r="DA19" i="17"/>
  <c r="P198" i="18" s="1"/>
  <c r="P173" i="18"/>
  <c r="BN19" i="17"/>
  <c r="I192" i="18" s="1"/>
  <c r="I167" i="18"/>
  <c r="DC19" i="17"/>
  <c r="P200" i="18" s="1"/>
  <c r="P175" i="18"/>
  <c r="CI19" i="17"/>
  <c r="CT13" i="17"/>
  <c r="DN10" i="17"/>
  <c r="P118" i="18"/>
  <c r="DJ19" i="17"/>
  <c r="P207" i="18" s="1"/>
  <c r="P182" i="18"/>
  <c r="EX14" i="17"/>
  <c r="CL9" i="17"/>
  <c r="CK9" i="17"/>
  <c r="CS12" i="17"/>
  <c r="CR11" i="17"/>
  <c r="DM9" i="17"/>
  <c r="O117" i="18"/>
  <c r="DL17" i="17"/>
  <c r="DP17" i="17" s="1"/>
  <c r="CT11" i="17"/>
  <c r="DO11" i="17" s="1"/>
  <c r="Q27" i="18" s="1"/>
  <c r="DO9" i="17"/>
  <c r="CU12" i="17"/>
  <c r="O119" i="18"/>
  <c r="DS6" i="17"/>
  <c r="DR6" i="17"/>
  <c r="CF13" i="17"/>
  <c r="BL16" i="17"/>
  <c r="I141" i="18"/>
  <c r="DG19" i="17"/>
  <c r="P179" i="18"/>
  <c r="O200" i="18"/>
  <c r="O201" i="18"/>
  <c r="CX19" i="17"/>
  <c r="P195" i="18" s="1"/>
  <c r="P170" i="18"/>
  <c r="DK19" i="17"/>
  <c r="P208" i="18" s="1"/>
  <c r="P183" i="18"/>
  <c r="O205" i="18"/>
  <c r="CG14" i="17"/>
  <c r="I20" i="18" s="1"/>
  <c r="DI19" i="17"/>
  <c r="P206" i="18" s="1"/>
  <c r="P181" i="18"/>
  <c r="BS20" i="17"/>
  <c r="P9" i="18"/>
  <c r="O203" i="18"/>
  <c r="CL8" i="17"/>
  <c r="CK8" i="17"/>
  <c r="EV23" i="17"/>
  <c r="EA25" i="17"/>
  <c r="EV25" i="17" s="1"/>
  <c r="CG13" i="17"/>
  <c r="DQ18" i="17"/>
  <c r="O204" i="18"/>
  <c r="CS13" i="17"/>
  <c r="DM10" i="17"/>
  <c r="P117" i="18"/>
  <c r="EB27" i="17"/>
  <c r="EW27" i="17" s="1"/>
  <c r="EW10" i="17"/>
  <c r="EC13" i="17"/>
  <c r="EC30" i="17" s="1"/>
  <c r="P215" i="18"/>
  <c r="Q8" i="18"/>
  <c r="F8" i="19"/>
  <c r="CT12" i="17"/>
  <c r="DN9" i="17"/>
  <c r="CS11" i="17"/>
  <c r="O118" i="18"/>
  <c r="CF11" i="17"/>
  <c r="DB19" i="17"/>
  <c r="P199" i="18" s="1"/>
  <c r="P174" i="18"/>
  <c r="DL19" i="17"/>
  <c r="P209" i="18" s="1"/>
  <c r="P184" i="18"/>
  <c r="DP18" i="17"/>
  <c r="DE20" i="17"/>
  <c r="O202" i="18"/>
  <c r="DC17" i="17"/>
  <c r="BN14" i="17"/>
  <c r="BO15" i="17"/>
  <c r="H144" i="18"/>
  <c r="EX30" i="17"/>
  <c r="DH20" i="17" l="1"/>
  <c r="U8" i="18"/>
  <c r="D43" i="21" s="1"/>
  <c r="K9" i="18"/>
  <c r="R9" i="18" s="1"/>
  <c r="O241" i="18"/>
  <c r="DW9" i="17"/>
  <c r="EY31" i="17"/>
  <c r="J10" i="18"/>
  <c r="Q10" i="18" s="1"/>
  <c r="CI20" i="17"/>
  <c r="DI20" i="17"/>
  <c r="CY20" i="17"/>
  <c r="DD20" i="17"/>
  <c r="T9" i="18"/>
  <c r="DQ19" i="17"/>
  <c r="P204" i="18"/>
  <c r="CL13" i="17"/>
  <c r="CK13" i="17"/>
  <c r="CU15" i="17"/>
  <c r="CT14" i="17"/>
  <c r="DO12" i="17"/>
  <c r="O143" i="18"/>
  <c r="DS10" i="17"/>
  <c r="DR10" i="17"/>
  <c r="CS14" i="17"/>
  <c r="DN12" i="17"/>
  <c r="CT15" i="17"/>
  <c r="O142" i="18"/>
  <c r="DO13" i="17"/>
  <c r="CU16" i="17"/>
  <c r="P143" i="18"/>
  <c r="EB28" i="17"/>
  <c r="EW28" i="17" s="1"/>
  <c r="EW26" i="17"/>
  <c r="CS16" i="17"/>
  <c r="DM13" i="17"/>
  <c r="P141" i="18"/>
  <c r="O238" i="18"/>
  <c r="I10" i="18"/>
  <c r="I64" i="18"/>
  <c r="I56" i="18"/>
  <c r="O240" i="18"/>
  <c r="DR8" i="17"/>
  <c r="DS8" i="17"/>
  <c r="DP19" i="17"/>
  <c r="P202" i="18"/>
  <c r="BP19" i="17"/>
  <c r="I194" i="18" s="1"/>
  <c r="CM16" i="17"/>
  <c r="I169" i="18"/>
  <c r="DL20" i="17"/>
  <c r="CX20" i="17"/>
  <c r="BP18" i="17"/>
  <c r="BO17" i="17"/>
  <c r="CM17" i="17" s="1"/>
  <c r="CM15" i="17"/>
  <c r="H169" i="18"/>
  <c r="DM11" i="17"/>
  <c r="EC29" i="17"/>
  <c r="EC31" i="17" s="1"/>
  <c r="EC14" i="17"/>
  <c r="CK11" i="17"/>
  <c r="CL11" i="17"/>
  <c r="DN13" i="17"/>
  <c r="CT16" i="17"/>
  <c r="P142" i="18"/>
  <c r="DG20" i="17"/>
  <c r="DF20" i="17"/>
  <c r="DC20" i="17"/>
  <c r="CV15" i="17"/>
  <c r="CU14" i="17"/>
  <c r="O144" i="18"/>
  <c r="S9" i="18"/>
  <c r="Q55" i="18"/>
  <c r="Q63" i="18"/>
  <c r="DB20" i="17"/>
  <c r="DM12" i="17"/>
  <c r="CR14" i="17"/>
  <c r="CS15" i="17"/>
  <c r="O141" i="18"/>
  <c r="BM18" i="17"/>
  <c r="CG15" i="17"/>
  <c r="BL17" i="17"/>
  <c r="CG17" i="17" s="1"/>
  <c r="H166" i="18"/>
  <c r="CH14" i="17"/>
  <c r="I28" i="18" s="1"/>
  <c r="DK20" i="17"/>
  <c r="BN20" i="17"/>
  <c r="H192" i="18"/>
  <c r="CV16" i="17"/>
  <c r="P144" i="18"/>
  <c r="DQ17" i="17"/>
  <c r="P20" i="18"/>
  <c r="F36" i="19"/>
  <c r="F40" i="19" s="1"/>
  <c r="DN11" i="17"/>
  <c r="Q19" i="18" s="1"/>
  <c r="BM19" i="17"/>
  <c r="CG16" i="17"/>
  <c r="I166" i="18"/>
  <c r="DR9" i="17"/>
  <c r="DS9" i="17"/>
  <c r="BO19" i="17"/>
  <c r="I168" i="18"/>
  <c r="CL12" i="17"/>
  <c r="CK12" i="17"/>
  <c r="CZ20" i="17"/>
  <c r="DA20" i="17"/>
  <c r="CF14" i="17"/>
  <c r="BO18" i="17"/>
  <c r="BN17" i="17"/>
  <c r="H168" i="18"/>
  <c r="R8" i="18"/>
  <c r="D6" i="19"/>
  <c r="D7" i="19" s="1"/>
  <c r="CH17" i="17"/>
  <c r="DJ20" i="17"/>
  <c r="DW17" i="17" l="1"/>
  <c r="DX1" i="17" s="1"/>
  <c r="F12" i="19"/>
  <c r="D46" i="21"/>
  <c r="DP20" i="17"/>
  <c r="U9" i="18"/>
  <c r="T10" i="18"/>
  <c r="P240" i="18"/>
  <c r="P239" i="18"/>
  <c r="P28" i="18"/>
  <c r="F37" i="19"/>
  <c r="F41" i="19" s="1"/>
  <c r="BM20" i="17"/>
  <c r="CH20" i="17" s="1"/>
  <c r="CH18" i="17"/>
  <c r="H191" i="18"/>
  <c r="DS12" i="17"/>
  <c r="DR12" i="17"/>
  <c r="P241" i="18"/>
  <c r="BP20" i="17"/>
  <c r="H194" i="18"/>
  <c r="DN14" i="17"/>
  <c r="Q20" i="18" s="1"/>
  <c r="F78" i="21" s="1"/>
  <c r="C82" i="21" s="1"/>
  <c r="CU17" i="17"/>
  <c r="CV18" i="17"/>
  <c r="O168" i="18"/>
  <c r="DQ20" i="17"/>
  <c r="CM19" i="17"/>
  <c r="I193" i="18"/>
  <c r="P238" i="18"/>
  <c r="S10" i="18"/>
  <c r="Q56" i="18"/>
  <c r="Q64" i="18"/>
  <c r="P56" i="18"/>
  <c r="E74" i="19"/>
  <c r="G70" i="19"/>
  <c r="BO20" i="17"/>
  <c r="CM20" i="17" s="1"/>
  <c r="CM18" i="17"/>
  <c r="H193" i="18"/>
  <c r="CS17" i="17"/>
  <c r="CT18" i="17"/>
  <c r="DN15" i="17"/>
  <c r="O166" i="18"/>
  <c r="DT15" i="17"/>
  <c r="CW18" i="17"/>
  <c r="CV17" i="17"/>
  <c r="DT17" i="17" s="1"/>
  <c r="O169" i="18"/>
  <c r="BK16" i="17"/>
  <c r="BK15" i="17"/>
  <c r="P64" i="18"/>
  <c r="G71" i="19"/>
  <c r="E75" i="19"/>
  <c r="DS13" i="17"/>
  <c r="DR13" i="17"/>
  <c r="CU18" i="17"/>
  <c r="DO15" i="17"/>
  <c r="CT17" i="17"/>
  <c r="O167" i="18"/>
  <c r="CW19" i="17"/>
  <c r="P194" i="18" s="1"/>
  <c r="DT16" i="17"/>
  <c r="P169" i="18"/>
  <c r="CK14" i="17"/>
  <c r="CL14" i="17"/>
  <c r="CH19" i="17"/>
  <c r="I191" i="18"/>
  <c r="DM14" i="17"/>
  <c r="CU19" i="17"/>
  <c r="P192" i="18" s="1"/>
  <c r="DO16" i="17"/>
  <c r="P167" i="18"/>
  <c r="DR11" i="17"/>
  <c r="DS11" i="17"/>
  <c r="P10" i="18"/>
  <c r="K10" i="18"/>
  <c r="C12" i="19"/>
  <c r="CT19" i="17"/>
  <c r="DN16" i="17"/>
  <c r="P166" i="18"/>
  <c r="CV19" i="17"/>
  <c r="P168" i="18"/>
  <c r="DO14" i="17"/>
  <c r="Q28" i="18" s="1"/>
  <c r="F79" i="21" s="1"/>
  <c r="EE10" i="17" l="1"/>
  <c r="EF13" i="17" s="1"/>
  <c r="EF30" i="17" s="1"/>
  <c r="EE4" i="17"/>
  <c r="EF7" i="17" s="1"/>
  <c r="EE9" i="17"/>
  <c r="EF12" i="17" s="1"/>
  <c r="EG3" i="17"/>
  <c r="EH6" i="17" s="1"/>
  <c r="EE3" i="17"/>
  <c r="EE20" i="17" s="1"/>
  <c r="C37" i="21"/>
  <c r="C39" i="21" s="1"/>
  <c r="EE13" i="17"/>
  <c r="EE30" i="17" s="1"/>
  <c r="EG4" i="17"/>
  <c r="EH7" i="17" s="1"/>
  <c r="EE7" i="17"/>
  <c r="EF10" i="17" s="1"/>
  <c r="EE12" i="17"/>
  <c r="EE29" i="17" s="1"/>
  <c r="DX18" i="17"/>
  <c r="EF3" i="17"/>
  <c r="EG6" i="17" s="1"/>
  <c r="EE6" i="17"/>
  <c r="EE8" i="17" s="1"/>
  <c r="EF4" i="17"/>
  <c r="EF21" i="17" s="1"/>
  <c r="DO17" i="17"/>
  <c r="C83" i="21"/>
  <c r="EE24" i="17"/>
  <c r="EE27" i="17"/>
  <c r="EE21" i="17"/>
  <c r="EF9" i="17"/>
  <c r="EE23" i="17"/>
  <c r="U10" i="18"/>
  <c r="D44" i="21" s="1"/>
  <c r="DR14" i="17"/>
  <c r="DS14" i="17"/>
  <c r="R10" i="18"/>
  <c r="D10" i="19"/>
  <c r="D11" i="19" s="1"/>
  <c r="CR16" i="17"/>
  <c r="CR15" i="17"/>
  <c r="BL19" i="17"/>
  <c r="CF16" i="17"/>
  <c r="I165" i="18"/>
  <c r="DN17" i="17"/>
  <c r="E117" i="21"/>
  <c r="G113" i="21"/>
  <c r="CU20" i="17"/>
  <c r="O192" i="18"/>
  <c r="G112" i="21"/>
  <c r="E116" i="21"/>
  <c r="DO19" i="17"/>
  <c r="P191" i="18"/>
  <c r="DT19" i="17"/>
  <c r="P193" i="18"/>
  <c r="BK17" i="17"/>
  <c r="CF17" i="17" s="1"/>
  <c r="BL18" i="17"/>
  <c r="CF15" i="17"/>
  <c r="H165" i="18"/>
  <c r="CW20" i="17"/>
  <c r="O194" i="18"/>
  <c r="CT20" i="17"/>
  <c r="DO18" i="17"/>
  <c r="O191" i="18"/>
  <c r="BK19" i="17"/>
  <c r="BK18" i="17"/>
  <c r="CV20" i="17"/>
  <c r="DT18" i="17"/>
  <c r="O193" i="18"/>
  <c r="D39" i="21" l="1"/>
  <c r="D38" i="21"/>
  <c r="C38" i="21"/>
  <c r="EF20" i="17"/>
  <c r="EG5" i="17"/>
  <c r="D37" i="21"/>
  <c r="EU4" i="17"/>
  <c r="FA4" i="17" s="1"/>
  <c r="FB4" i="17"/>
  <c r="EG20" i="17"/>
  <c r="EE14" i="17"/>
  <c r="EG21" i="17"/>
  <c r="FB21" i="17" s="1"/>
  <c r="EG7" i="17"/>
  <c r="EG8" i="17" s="1"/>
  <c r="EE11" i="17"/>
  <c r="EF5" i="17"/>
  <c r="EE5" i="17"/>
  <c r="FB5" i="17" s="1"/>
  <c r="EF6" i="17"/>
  <c r="EF8" i="17" s="1"/>
  <c r="EU3" i="17"/>
  <c r="EZ3" i="17" s="1"/>
  <c r="FB3" i="17"/>
  <c r="EE26" i="17"/>
  <c r="EE28" i="17" s="1"/>
  <c r="DO20" i="17"/>
  <c r="EI9" i="17"/>
  <c r="EH23" i="17"/>
  <c r="EH8" i="17"/>
  <c r="EF29" i="17"/>
  <c r="EF31" i="17" s="1"/>
  <c r="EF14" i="17"/>
  <c r="EG12" i="17"/>
  <c r="EF26" i="17"/>
  <c r="EE25" i="17"/>
  <c r="EH24" i="17"/>
  <c r="EI10" i="17"/>
  <c r="EF24" i="17"/>
  <c r="EG10" i="17"/>
  <c r="EF11" i="17"/>
  <c r="EF27" i="17"/>
  <c r="EG13" i="17"/>
  <c r="EH9" i="17"/>
  <c r="EG23" i="17"/>
  <c r="EE31" i="17"/>
  <c r="EU20" i="17"/>
  <c r="EE22" i="17"/>
  <c r="FB7" i="17"/>
  <c r="D47" i="21"/>
  <c r="CK17" i="17"/>
  <c r="CL17" i="17"/>
  <c r="CK15" i="17"/>
  <c r="CL15" i="17"/>
  <c r="DT20" i="17"/>
  <c r="BL20" i="17"/>
  <c r="CG20" i="17" s="1"/>
  <c r="CG18" i="17"/>
  <c r="H190" i="18"/>
  <c r="CS18" i="17"/>
  <c r="CR17" i="17"/>
  <c r="DM17" i="17" s="1"/>
  <c r="DM15" i="17"/>
  <c r="O165" i="18"/>
  <c r="CS19" i="17"/>
  <c r="DM16" i="17"/>
  <c r="P165" i="18"/>
  <c r="CF18" i="17"/>
  <c r="BK20" i="17"/>
  <c r="H189" i="18"/>
  <c r="CF19" i="17"/>
  <c r="I189" i="18"/>
  <c r="CR19" i="17"/>
  <c r="CR18" i="17"/>
  <c r="CK16" i="17"/>
  <c r="CL16" i="17"/>
  <c r="CG19" i="17"/>
  <c r="I190" i="18"/>
  <c r="FB20" i="17" l="1"/>
  <c r="EZ4" i="17"/>
  <c r="EG24" i="17"/>
  <c r="EF22" i="17"/>
  <c r="EH10" i="17"/>
  <c r="EH27" i="17" s="1"/>
  <c r="EG22" i="17"/>
  <c r="FB22" i="17" s="1"/>
  <c r="EU21" i="17"/>
  <c r="EF23" i="17"/>
  <c r="FB23" i="17" s="1"/>
  <c r="FA3" i="17"/>
  <c r="EU5" i="17"/>
  <c r="EZ5" i="17" s="1"/>
  <c r="FB6" i="17"/>
  <c r="EG9" i="17"/>
  <c r="EG26" i="17" s="1"/>
  <c r="CF20" i="17"/>
  <c r="CK20" i="17" s="1"/>
  <c r="FB8" i="17"/>
  <c r="EH25" i="17"/>
  <c r="FB24" i="17"/>
  <c r="EH11" i="17"/>
  <c r="EI13" i="17"/>
  <c r="EI30" i="17" s="1"/>
  <c r="EH26" i="17"/>
  <c r="EI12" i="17"/>
  <c r="EH13" i="17"/>
  <c r="EH30" i="17" s="1"/>
  <c r="EG27" i="17"/>
  <c r="FB27" i="17" s="1"/>
  <c r="FB10" i="17"/>
  <c r="EF28" i="17"/>
  <c r="FA20" i="17"/>
  <c r="EZ20" i="17"/>
  <c r="EI27" i="17"/>
  <c r="EJ13" i="17"/>
  <c r="EJ30" i="17" s="1"/>
  <c r="EG25" i="17"/>
  <c r="EJ12" i="17"/>
  <c r="EI11" i="17"/>
  <c r="EI26" i="17"/>
  <c r="EH12" i="17"/>
  <c r="DZ7" i="17"/>
  <c r="DZ6" i="17"/>
  <c r="FB13" i="17"/>
  <c r="EG30" i="17"/>
  <c r="FB30" i="17" s="1"/>
  <c r="EG29" i="17"/>
  <c r="EG14" i="17"/>
  <c r="FB14" i="17" s="1"/>
  <c r="FB12" i="17"/>
  <c r="FA21" i="17"/>
  <c r="EZ21" i="17"/>
  <c r="DS16" i="17"/>
  <c r="DR16" i="17"/>
  <c r="CL20" i="17"/>
  <c r="DN19" i="17"/>
  <c r="P190" i="18"/>
  <c r="DS15" i="17"/>
  <c r="DR15" i="17"/>
  <c r="CR20" i="17"/>
  <c r="DM18" i="17"/>
  <c r="O189" i="18"/>
  <c r="DM19" i="17"/>
  <c r="P189" i="18"/>
  <c r="CL19" i="17"/>
  <c r="CK19" i="17"/>
  <c r="CK18" i="17"/>
  <c r="CL18" i="17"/>
  <c r="DR17" i="17"/>
  <c r="DS17" i="17"/>
  <c r="DN18" i="17"/>
  <c r="CS20" i="17"/>
  <c r="DN20" i="17" s="1"/>
  <c r="O190" i="18"/>
  <c r="FA5" i="17" l="1"/>
  <c r="EU22" i="17"/>
  <c r="EZ22" i="17" s="1"/>
  <c r="FB9" i="17"/>
  <c r="EF25" i="17"/>
  <c r="FB25" i="17" s="1"/>
  <c r="EG11" i="17"/>
  <c r="FB11" i="17" s="1"/>
  <c r="EI28" i="17"/>
  <c r="EH14" i="17"/>
  <c r="EH29" i="17"/>
  <c r="EH31" i="17" s="1"/>
  <c r="DZ12" i="17"/>
  <c r="DZ13" i="17"/>
  <c r="EG31" i="17"/>
  <c r="FB31" i="17" s="1"/>
  <c r="H36" i="21"/>
  <c r="FA22" i="17"/>
  <c r="EG28" i="17"/>
  <c r="FB28" i="17" s="1"/>
  <c r="FB26" i="17"/>
  <c r="FB29" i="17"/>
  <c r="DZ23" i="17"/>
  <c r="DZ8" i="17"/>
  <c r="EU8" i="17" s="1"/>
  <c r="EU6" i="17"/>
  <c r="EA9" i="17"/>
  <c r="EJ29" i="17"/>
  <c r="EJ31" i="17" s="1"/>
  <c r="EJ14" i="17"/>
  <c r="EI29" i="17"/>
  <c r="EI31" i="17" s="1"/>
  <c r="EI14" i="17"/>
  <c r="DZ24" i="17"/>
  <c r="EU24" i="17" s="1"/>
  <c r="EA10" i="17"/>
  <c r="EU7" i="17"/>
  <c r="DZ10" i="17"/>
  <c r="DZ9" i="17"/>
  <c r="EH28" i="17"/>
  <c r="DM20" i="17"/>
  <c r="DR20" i="17" s="1"/>
  <c r="DS19" i="17"/>
  <c r="DR19" i="17"/>
  <c r="DS18" i="17"/>
  <c r="DR18" i="17"/>
  <c r="DS20" i="17" l="1"/>
  <c r="EA26" i="17"/>
  <c r="EV9" i="17"/>
  <c r="EB12" i="17"/>
  <c r="EA11" i="17"/>
  <c r="EV11" i="17" s="1"/>
  <c r="EZ7" i="17"/>
  <c r="FA7" i="17"/>
  <c r="FA6" i="17"/>
  <c r="EZ6" i="17"/>
  <c r="EA13" i="17"/>
  <c r="EU10" i="17"/>
  <c r="DZ27" i="17"/>
  <c r="DZ29" i="17"/>
  <c r="DZ14" i="17"/>
  <c r="EV10" i="17"/>
  <c r="EA27" i="17"/>
  <c r="EV27" i="17" s="1"/>
  <c r="EB13" i="17"/>
  <c r="FA8" i="17"/>
  <c r="EZ8" i="17"/>
  <c r="DZ11" i="17"/>
  <c r="DZ26" i="17"/>
  <c r="EA12" i="17"/>
  <c r="EU9" i="17"/>
  <c r="FA24" i="17"/>
  <c r="EZ24" i="17"/>
  <c r="DZ25" i="17"/>
  <c r="EU25" i="17" s="1"/>
  <c r="EU23" i="17"/>
  <c r="DZ30" i="17"/>
  <c r="EU11" i="17" l="1"/>
  <c r="EZ11" i="17" s="1"/>
  <c r="EU13" i="17"/>
  <c r="EZ13" i="17" s="1"/>
  <c r="DZ31" i="17"/>
  <c r="EZ23" i="17"/>
  <c r="FA23" i="17"/>
  <c r="EW12" i="17"/>
  <c r="EB29" i="17"/>
  <c r="EB14" i="17"/>
  <c r="EW14" i="17" s="1"/>
  <c r="FA25" i="17"/>
  <c r="EZ25" i="17"/>
  <c r="H37" i="21"/>
  <c r="EA29" i="17"/>
  <c r="EV12" i="17"/>
  <c r="EA14" i="17"/>
  <c r="EU12" i="17"/>
  <c r="FA10" i="17"/>
  <c r="EZ10" i="17"/>
  <c r="EZ9" i="17"/>
  <c r="FA9" i="17"/>
  <c r="EU27" i="17"/>
  <c r="EU26" i="17"/>
  <c r="DZ28" i="17"/>
  <c r="EB30" i="17"/>
  <c r="EW30" i="17" s="1"/>
  <c r="EW13" i="17"/>
  <c r="EV13" i="17"/>
  <c r="EA30" i="17"/>
  <c r="EV26" i="17"/>
  <c r="EA28" i="17"/>
  <c r="EV28" i="17" s="1"/>
  <c r="FA11" i="17" l="1"/>
  <c r="FA13" i="17"/>
  <c r="EU29" i="17"/>
  <c r="EZ29" i="17" s="1"/>
  <c r="EV30" i="17"/>
  <c r="EU28" i="17"/>
  <c r="EZ28" i="17" s="1"/>
  <c r="EZ12" i="17"/>
  <c r="FA12" i="17"/>
  <c r="EW29" i="17"/>
  <c r="EB31" i="17"/>
  <c r="EW31" i="17" s="1"/>
  <c r="EA31" i="17"/>
  <c r="EV29" i="17"/>
  <c r="H38" i="21"/>
  <c r="FA28" i="17"/>
  <c r="EZ27" i="17"/>
  <c r="FA27" i="17"/>
  <c r="EV14" i="17"/>
  <c r="EU14" i="17"/>
  <c r="FA26" i="17"/>
  <c r="EZ26" i="17"/>
  <c r="EU30" i="17"/>
  <c r="FA29" i="17" l="1"/>
  <c r="FA14" i="17"/>
  <c r="EZ14" i="17"/>
  <c r="EZ30" i="17"/>
  <c r="FA30" i="17"/>
  <c r="EU31" i="17"/>
  <c r="EV31" i="17"/>
  <c r="EZ31" i="17" l="1"/>
  <c r="FA31" i="17"/>
  <c r="H39" i="21"/>
</calcChain>
</file>

<file path=xl/sharedStrings.xml><?xml version="1.0" encoding="utf-8"?>
<sst xmlns="http://schemas.openxmlformats.org/spreadsheetml/2006/main" count="1351" uniqueCount="440">
  <si>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</si>
  <si>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</si>
  <si>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</si>
  <si>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</si>
  <si>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</si>
  <si>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</si>
  <si>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</si>
  <si>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</si>
  <si>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</si>
  <si>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</si>
  <si>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</si>
  <si>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</si>
  <si>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</si>
  <si>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</si>
  <si>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</si>
  <si>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</si>
  <si>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</si>
  <si>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</si>
  <si>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</si>
  <si>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</si>
  <si>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</si>
  <si>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</si>
  <si>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</si>
  <si>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</si>
  <si>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</si>
  <si>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</si>
  <si>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</si>
  <si>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</si>
  <si>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</si>
  <si>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</si>
  <si>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</si>
  <si>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</si>
  <si>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</si>
  <si>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</si>
  <si>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</si>
  <si>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</si>
  <si>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</si>
  <si>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</si>
  <si>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</si>
  <si>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</si>
  <si>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</si>
  <si>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</si>
  <si>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</si>
  <si>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</si>
  <si>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</si>
  <si>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</si>
  <si>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</si>
  <si>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</si>
  <si>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</si>
  <si>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</si>
  <si>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</si>
  <si>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</si>
  <si>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</si>
  <si>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</si>
  <si>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</si>
  <si>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</si>
  <si>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</si>
  <si>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</si>
  <si>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</si>
  <si>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</si>
  <si>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</si>
  <si>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</si>
  <si>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</si>
  <si>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</si>
  <si>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</si>
  <si>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</si>
  <si>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</si>
  <si>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</si>
  <si>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</si>
  <si>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</si>
  <si>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</si>
  <si>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</si>
  <si>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</si>
  <si>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</si>
  <si>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</si>
  <si>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</si>
  <si>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</si>
  <si>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</si>
  <si>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</si>
  <si>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</si>
  <si>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</si>
  <si>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</si>
  <si>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</si>
  <si>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</si>
  <si>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</si>
  <si>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</si>
  <si>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</si>
  <si>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</si>
  <si>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</si>
  <si>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</si>
  <si>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</si>
  <si>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</si>
  <si>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</si>
  <si>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</si>
  <si>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</si>
  <si>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</si>
  <si>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</si>
  <si>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</si>
  <si>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</si>
  <si>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</si>
  <si>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</si>
  <si>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</si>
  <si>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</si>
  <si>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</si>
  <si>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</si>
  <si>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</si>
  <si>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</si>
  <si>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</si>
  <si>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</si>
  <si>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</si>
  <si>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</si>
  <si>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</si>
  <si>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</si>
  <si>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</si>
  <si>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</si>
  <si>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</si>
  <si>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</si>
  <si>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</si>
  <si>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</si>
  <si>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</si>
  <si>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</si>
  <si>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</si>
  <si>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</si>
  <si>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</si>
  <si>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</si>
  <si>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</si>
  <si>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</si>
  <si>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</si>
  <si>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</si>
  <si>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</si>
  <si>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</si>
  <si>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</si>
  <si>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</si>
  <si>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</si>
  <si>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</si>
  <si>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</si>
  <si>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</si>
  <si>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</si>
  <si>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</si>
  <si>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</si>
  <si>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</si>
  <si>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</si>
  <si>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</si>
  <si>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</si>
  <si>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</si>
  <si>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</si>
  <si>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</si>
  <si>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</si>
  <si>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</si>
  <si>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</si>
  <si>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</si>
  <si>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</si>
  <si>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</si>
  <si>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</si>
  <si>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</si>
  <si>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</si>
  <si>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</si>
  <si>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</si>
  <si>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</si>
  <si>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</si>
  <si>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</si>
  <si>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</si>
  <si>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</si>
  <si>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</si>
  <si>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</si>
  <si>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</si>
  <si>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</si>
  <si>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</si>
  <si>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</si>
  <si>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</si>
  <si>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</si>
  <si>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</si>
  <si>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</si>
  <si>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</si>
  <si>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</si>
  <si>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</si>
  <si>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</si>
  <si>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</si>
  <si>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</si>
  <si>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</si>
  <si>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</si>
  <si>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</si>
  <si>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</si>
  <si>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</si>
  <si>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</si>
  <si>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</si>
  <si>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</si>
  <si>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</si>
  <si>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</si>
  <si>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</si>
  <si>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</si>
  <si>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</si>
  <si>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</si>
  <si>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</si>
  <si>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</si>
  <si>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</si>
  <si>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</si>
  <si>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</si>
  <si>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</si>
  <si>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</si>
  <si>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</si>
  <si>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</si>
  <si>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</si>
  <si>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</si>
  <si>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</si>
  <si>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</si>
  <si>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</si>
  <si>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</si>
  <si>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</si>
  <si>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</si>
  <si>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</si>
  <si>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</si>
  <si>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</si>
  <si>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</si>
  <si>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</si>
  <si>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</si>
  <si>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</si>
  <si>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</si>
  <si>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</si>
  <si>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</si>
  <si>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</si>
  <si>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</si>
  <si>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</si>
  <si>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</si>
  <si>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</si>
  <si>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</si>
  <si>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</si>
  <si>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</si>
  <si>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</si>
  <si>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</si>
  <si>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</si>
  <si>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</si>
  <si>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</si>
  <si>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</si>
  <si>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</si>
  <si>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</si>
  <si>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</si>
  <si>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</si>
  <si>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</si>
  <si>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</si>
  <si>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</si>
  <si>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</si>
  <si>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</si>
  <si>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</si>
  <si>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</si>
  <si>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</si>
  <si>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</si>
  <si>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</si>
  <si>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</si>
  <si>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</si>
  <si>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</si>
  <si>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</si>
  <si>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</si>
  <si>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</si>
  <si>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</si>
  <si>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</si>
  <si>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</si>
  <si>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</si>
  <si>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</si>
  <si>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</si>
  <si>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</si>
  <si>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</si>
  <si>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</si>
  <si>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</si>
  <si>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</si>
  <si>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</si>
  <si>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</si>
  <si>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</si>
  <si>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</si>
  <si>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</si>
  <si>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</si>
  <si>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</si>
  <si>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</si>
  <si>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</si>
  <si>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</si>
  <si>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</si>
  <si>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</si>
  <si>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</si>
  <si>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</si>
  <si>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</si>
  <si>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</si>
  <si>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</si>
  <si>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</si>
  <si>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</si>
  <si>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</si>
  <si>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</si>
  <si>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</si>
  <si>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</si>
  <si>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</si>
  <si>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</si>
  <si>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</si>
  <si>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</si>
  <si>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</si>
  <si>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</si>
  <si>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</si>
  <si>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</si>
  <si>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</si>
  <si>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</si>
  <si>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</si>
  <si>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</si>
  <si>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</si>
  <si>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</si>
  <si>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</si>
  <si>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</si>
  <si>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</si>
  <si>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</si>
  <si>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</si>
  <si>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</si>
  <si>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</si>
  <si>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</si>
  <si>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</si>
  <si>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</si>
  <si>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</si>
  <si>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</si>
  <si>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</si>
  <si>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</si>
  <si>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</si>
  <si>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</si>
  <si>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</si>
  <si>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</si>
  <si>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</si>
  <si>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</si>
  <si>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</si>
  <si>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</si>
  <si>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</si>
  <si>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</si>
  <si>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</si>
  <si>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</si>
  <si>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</si>
  <si>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</si>
  <si>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</si>
  <si>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</si>
  <si>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</si>
  <si>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</si>
  <si>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</si>
  <si>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</si>
  <si>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</si>
  <si>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</si>
  <si>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</si>
  <si>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</si>
  <si>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</si>
  <si>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</si>
  <si>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</si>
  <si>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</si>
  <si>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</si>
  <si>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</si>
  <si>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</si>
  <si>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</si>
  <si>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</si>
  <si>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</si>
  <si>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</si>
  <si>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</si>
  <si>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</si>
  <si>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</si>
  <si>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</si>
  <si>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</si>
  <si>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</si>
  <si>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</si>
  <si>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</si>
  <si>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</si>
  <si>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</si>
  <si>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</si>
  <si>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</si>
  <si>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</si>
  <si>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</si>
  <si>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</si>
  <si>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</si>
  <si>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</si>
  <si>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</si>
  <si>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</si>
  <si>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</si>
  <si>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</si>
  <si>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</si>
  <si>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</si>
  <si>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</si>
  <si>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</si>
  <si>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</si>
  <si>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</si>
  <si>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</si>
  <si>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</si>
  <si>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</si>
  <si>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</si>
  <si>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</si>
  <si>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</si>
  <si>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</si>
  <si>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</si>
  <si>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</si>
  <si>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</si>
  <si>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</si>
  <si>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</si>
  <si>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</si>
  <si>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</si>
  <si>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</si>
  <si>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</si>
  <si>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</si>
  <si>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</si>
  <si>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</si>
  <si>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</si>
  <si>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</si>
  <si>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</si>
  <si>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</si>
  <si>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</si>
  <si>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</si>
  <si>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</si>
  <si>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</si>
  <si>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</si>
  <si>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</si>
  <si>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</si>
  <si>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</si>
  <si>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</si>
  <si>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</si>
  <si>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</si>
  <si>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</si>
  <si>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</si>
  <si>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</si>
  <si>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</si>
  <si>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</si>
  <si>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</si>
  <si>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</si>
  <si>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</si>
  <si>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</si>
  <si>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</si>
  <si>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</si>
  <si>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</si>
  <si>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</si>
  <si>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</si>
  <si>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</si>
  <si>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</si>
  <si>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45209_1</t>
  </si>
  <si>
    <t>えびの市</t>
    <rPh sb="3" eb="4">
      <t>シ</t>
    </rPh>
    <phoneticPr fontId="1"/>
  </si>
  <si>
    <t>飯野中学校区</t>
  </si>
  <si>
    <t>45209_2</t>
  </si>
  <si>
    <t>上江小・中学校区</t>
  </si>
  <si>
    <t>45209_3</t>
  </si>
  <si>
    <t>加久藤中学校区</t>
  </si>
  <si>
    <t>45209_4</t>
  </si>
  <si>
    <t>真幸中学校区</t>
  </si>
  <si>
    <t>45209_2</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</si>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</sst>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sz val="15"/>
      <color rgb="FFFF0000"/>
      <name val="HG丸ｺﾞｼｯｸM-PRO"/>
      <family val="3"/>
      <charset val="128"/>
    </font>
    <font>
      <b/>
      <sz val="18"/>
      <color rgb="FFFF0000"/>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4">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178" fontId="38" fillId="5" borderId="0" xfId="2" applyNumberFormat="1" applyFont="1" applyFill="1" applyAlignment="1">
      <alignment vertical="center"/>
    </xf>
    <xf numFmtId="0" fontId="44" fillId="5" borderId="0" xfId="0" applyFont="1" applyFill="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45"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38" fillId="5" borderId="0" xfId="0"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119</c:v>
                </c:pt>
                <c:pt idx="1">
                  <c:v>117</c:v>
                </c:pt>
                <c:pt idx="2">
                  <c:v>102</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138399016"/>
        <c:axId val="318454776"/>
      </c:barChart>
      <c:catAx>
        <c:axId val="138399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18454776"/>
        <c:crosses val="autoZero"/>
        <c:auto val="1"/>
        <c:lblAlgn val="ctr"/>
        <c:lblOffset val="100"/>
        <c:noMultiLvlLbl val="0"/>
      </c:catAx>
      <c:valAx>
        <c:axId val="3184547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383990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62</c:v>
                </c:pt>
                <c:pt idx="1">
                  <c:v>51</c:v>
                </c:pt>
                <c:pt idx="2">
                  <c:v>51</c:v>
                </c:pt>
                <c:pt idx="3">
                  <c:v>42</c:v>
                </c:pt>
                <c:pt idx="4">
                  <c:v>30</c:v>
                </c:pt>
                <c:pt idx="5">
                  <c:v>21</c:v>
                </c:pt>
                <c:pt idx="6">
                  <c:v>15</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58319648"/>
        <c:axId val="458322784"/>
      </c:barChart>
      <c:catAx>
        <c:axId val="458319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322784"/>
        <c:crosses val="autoZero"/>
        <c:auto val="1"/>
        <c:lblAlgn val="ctr"/>
        <c:lblOffset val="100"/>
        <c:noMultiLvlLbl val="0"/>
      </c:catAx>
      <c:valAx>
        <c:axId val="4583227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3196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0.35</c:v>
                </c:pt>
                <c:pt idx="1">
                  <c:v>0.38</c:v>
                </c:pt>
                <c:pt idx="2">
                  <c:v>0.44</c:v>
                </c:pt>
                <c:pt idx="3">
                  <c:v>0.5</c:v>
                </c:pt>
                <c:pt idx="4">
                  <c:v>0.52</c:v>
                </c:pt>
                <c:pt idx="5">
                  <c:v>0.53</c:v>
                </c:pt>
                <c:pt idx="6">
                  <c:v>0.54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8316904"/>
        <c:axId val="458317296"/>
      </c:barChart>
      <c:catAx>
        <c:axId val="458316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317296"/>
        <c:crosses val="autoZero"/>
        <c:auto val="1"/>
        <c:lblAlgn val="ctr"/>
        <c:lblOffset val="100"/>
        <c:noMultiLvlLbl val="0"/>
      </c:catAx>
      <c:valAx>
        <c:axId val="458317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3169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0.21</c:v>
                </c:pt>
                <c:pt idx="1">
                  <c:v>0.22</c:v>
                </c:pt>
                <c:pt idx="2">
                  <c:v>0.23</c:v>
                </c:pt>
                <c:pt idx="3">
                  <c:v>0.26</c:v>
                </c:pt>
                <c:pt idx="4">
                  <c:v>0.31</c:v>
                </c:pt>
                <c:pt idx="5">
                  <c:v>0.36</c:v>
                </c:pt>
                <c:pt idx="6">
                  <c:v>0.37</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8318864"/>
        <c:axId val="458318472"/>
      </c:barChart>
      <c:catAx>
        <c:axId val="458318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318472"/>
        <c:crosses val="autoZero"/>
        <c:auto val="1"/>
        <c:lblAlgn val="ctr"/>
        <c:lblOffset val="100"/>
        <c:noMultiLvlLbl val="0"/>
      </c:catAx>
      <c:valAx>
        <c:axId val="4583184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3188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2.1730974234373227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880-483B-B6CC-EA03DD682D80}"/>
                </c:ext>
                <c:ext xmlns:c15="http://schemas.microsoft.com/office/drawing/2012/chart" uri="{CE6537A1-D6FC-4f65-9D91-7224C49458BB}"/>
              </c:extLst>
            </c:dLbl>
            <c:dLbl>
              <c:idx val="20"/>
              <c:layout>
                <c:manualLayout>
                  <c:x val="-3.6707588031232245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880-483B-B6CC-EA03DD682D8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13</c:v>
                </c:pt>
                <c:pt idx="1">
                  <c:v>21</c:v>
                </c:pt>
                <c:pt idx="2">
                  <c:v>29</c:v>
                </c:pt>
                <c:pt idx="3">
                  <c:v>28</c:v>
                </c:pt>
                <c:pt idx="4">
                  <c:v>19</c:v>
                </c:pt>
                <c:pt idx="5">
                  <c:v>29</c:v>
                </c:pt>
                <c:pt idx="6">
                  <c:v>21</c:v>
                </c:pt>
                <c:pt idx="7">
                  <c:v>33</c:v>
                </c:pt>
                <c:pt idx="8">
                  <c:v>36</c:v>
                </c:pt>
                <c:pt idx="9">
                  <c:v>59</c:v>
                </c:pt>
                <c:pt idx="10">
                  <c:v>60</c:v>
                </c:pt>
                <c:pt idx="11">
                  <c:v>64</c:v>
                </c:pt>
                <c:pt idx="12">
                  <c:v>51</c:v>
                </c:pt>
                <c:pt idx="13">
                  <c:v>65</c:v>
                </c:pt>
                <c:pt idx="14">
                  <c:v>95</c:v>
                </c:pt>
                <c:pt idx="15">
                  <c:v>125</c:v>
                </c:pt>
                <c:pt idx="16">
                  <c:v>81</c:v>
                </c:pt>
                <c:pt idx="17">
                  <c:v>34</c:v>
                </c:pt>
                <c:pt idx="18">
                  <c:v>16</c:v>
                </c:pt>
                <c:pt idx="19">
                  <c:v>5</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8317688"/>
        <c:axId val="45832396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12</c:v>
                </c:pt>
                <c:pt idx="1">
                  <c:v>16</c:v>
                </c:pt>
                <c:pt idx="2">
                  <c:v>22</c:v>
                </c:pt>
                <c:pt idx="3">
                  <c:v>22</c:v>
                </c:pt>
                <c:pt idx="4">
                  <c:v>17</c:v>
                </c:pt>
                <c:pt idx="5">
                  <c:v>13</c:v>
                </c:pt>
                <c:pt idx="6">
                  <c:v>11</c:v>
                </c:pt>
                <c:pt idx="7">
                  <c:v>18</c:v>
                </c:pt>
                <c:pt idx="8">
                  <c:v>36</c:v>
                </c:pt>
                <c:pt idx="9">
                  <c:v>38</c:v>
                </c:pt>
                <c:pt idx="10">
                  <c:v>42</c:v>
                </c:pt>
                <c:pt idx="11">
                  <c:v>44</c:v>
                </c:pt>
                <c:pt idx="12">
                  <c:v>61</c:v>
                </c:pt>
                <c:pt idx="13">
                  <c:v>80</c:v>
                </c:pt>
                <c:pt idx="14">
                  <c:v>118</c:v>
                </c:pt>
                <c:pt idx="15">
                  <c:v>91</c:v>
                </c:pt>
                <c:pt idx="16">
                  <c:v>85</c:v>
                </c:pt>
                <c:pt idx="17">
                  <c:v>48</c:v>
                </c:pt>
                <c:pt idx="18">
                  <c:v>36</c:v>
                </c:pt>
                <c:pt idx="19">
                  <c:v>13</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8320432"/>
        <c:axId val="458322392"/>
      </c:barChart>
      <c:catAx>
        <c:axId val="4583176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323960"/>
        <c:crosses val="autoZero"/>
        <c:auto val="1"/>
        <c:lblAlgn val="ctr"/>
        <c:lblOffset val="100"/>
        <c:noMultiLvlLbl val="0"/>
      </c:catAx>
      <c:valAx>
        <c:axId val="45832396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317688"/>
        <c:crosses val="autoZero"/>
        <c:crossBetween val="between"/>
        <c:majorUnit val="100"/>
      </c:valAx>
      <c:valAx>
        <c:axId val="45832239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320432"/>
        <c:crosses val="max"/>
        <c:crossBetween val="between"/>
        <c:majorUnit val="100"/>
      </c:valAx>
      <c:catAx>
        <c:axId val="458320432"/>
        <c:scaling>
          <c:orientation val="minMax"/>
        </c:scaling>
        <c:delete val="1"/>
        <c:axPos val="l"/>
        <c:numFmt formatCode="General" sourceLinked="1"/>
        <c:majorTickMark val="out"/>
        <c:minorTickMark val="none"/>
        <c:tickLblPos val="nextTo"/>
        <c:crossAx val="4583223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597-4DF2-83BB-80FDA9851E91}"/>
                </c:ext>
                <c:ext xmlns:c15="http://schemas.microsoft.com/office/drawing/2012/chart" uri="{CE6537A1-D6FC-4f65-9D91-7224C49458BB}"/>
              </c:extLst>
            </c:dLbl>
            <c:dLbl>
              <c:idx val="20"/>
              <c:layout>
                <c:manualLayout>
                  <c:x val="-3.5663609784195353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597-4DF2-83BB-80FDA9851E9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9</c:v>
                </c:pt>
                <c:pt idx="1">
                  <c:v>12</c:v>
                </c:pt>
                <c:pt idx="2">
                  <c:v>15</c:v>
                </c:pt>
                <c:pt idx="3">
                  <c:v>14</c:v>
                </c:pt>
                <c:pt idx="4">
                  <c:v>11</c:v>
                </c:pt>
                <c:pt idx="5">
                  <c:v>19</c:v>
                </c:pt>
                <c:pt idx="6">
                  <c:v>18</c:v>
                </c:pt>
                <c:pt idx="7">
                  <c:v>26</c:v>
                </c:pt>
                <c:pt idx="8">
                  <c:v>26</c:v>
                </c:pt>
                <c:pt idx="9">
                  <c:v>39</c:v>
                </c:pt>
                <c:pt idx="10">
                  <c:v>36</c:v>
                </c:pt>
                <c:pt idx="11">
                  <c:v>57</c:v>
                </c:pt>
                <c:pt idx="12">
                  <c:v>59</c:v>
                </c:pt>
                <c:pt idx="13">
                  <c:v>61</c:v>
                </c:pt>
                <c:pt idx="14">
                  <c:v>46</c:v>
                </c:pt>
                <c:pt idx="15">
                  <c:v>56</c:v>
                </c:pt>
                <c:pt idx="16">
                  <c:v>67</c:v>
                </c:pt>
                <c:pt idx="17">
                  <c:v>56</c:v>
                </c:pt>
                <c:pt idx="18">
                  <c:v>23</c:v>
                </c:pt>
                <c:pt idx="19">
                  <c:v>4</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8320824"/>
        <c:axId val="45832160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8</c:v>
                </c:pt>
                <c:pt idx="1">
                  <c:v>9</c:v>
                </c:pt>
                <c:pt idx="2">
                  <c:v>11</c:v>
                </c:pt>
                <c:pt idx="3">
                  <c:v>10</c:v>
                </c:pt>
                <c:pt idx="4">
                  <c:v>8</c:v>
                </c:pt>
                <c:pt idx="5">
                  <c:v>10</c:v>
                </c:pt>
                <c:pt idx="6">
                  <c:v>12</c:v>
                </c:pt>
                <c:pt idx="7">
                  <c:v>12</c:v>
                </c:pt>
                <c:pt idx="8">
                  <c:v>10</c:v>
                </c:pt>
                <c:pt idx="9">
                  <c:v>16</c:v>
                </c:pt>
                <c:pt idx="10">
                  <c:v>32</c:v>
                </c:pt>
                <c:pt idx="11">
                  <c:v>37</c:v>
                </c:pt>
                <c:pt idx="12">
                  <c:v>42</c:v>
                </c:pt>
                <c:pt idx="13">
                  <c:v>45</c:v>
                </c:pt>
                <c:pt idx="14">
                  <c:v>59</c:v>
                </c:pt>
                <c:pt idx="15">
                  <c:v>69</c:v>
                </c:pt>
                <c:pt idx="16">
                  <c:v>88</c:v>
                </c:pt>
                <c:pt idx="17">
                  <c:v>56</c:v>
                </c:pt>
                <c:pt idx="18">
                  <c:v>30</c:v>
                </c:pt>
                <c:pt idx="19">
                  <c:v>7</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8324352"/>
        <c:axId val="458322000"/>
      </c:barChart>
      <c:catAx>
        <c:axId val="4583208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321608"/>
        <c:crosses val="autoZero"/>
        <c:auto val="1"/>
        <c:lblAlgn val="ctr"/>
        <c:lblOffset val="100"/>
        <c:noMultiLvlLbl val="0"/>
      </c:catAx>
      <c:valAx>
        <c:axId val="45832160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320824"/>
        <c:crosses val="autoZero"/>
        <c:crossBetween val="between"/>
        <c:majorUnit val="100"/>
      </c:valAx>
      <c:valAx>
        <c:axId val="45832200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324352"/>
        <c:crosses val="max"/>
        <c:crossBetween val="between"/>
        <c:majorUnit val="100"/>
      </c:valAx>
      <c:catAx>
        <c:axId val="458324352"/>
        <c:scaling>
          <c:orientation val="minMax"/>
        </c:scaling>
        <c:delete val="1"/>
        <c:axPos val="l"/>
        <c:numFmt formatCode="General" sourceLinked="1"/>
        <c:majorTickMark val="out"/>
        <c:minorTickMark val="none"/>
        <c:tickLblPos val="nextTo"/>
        <c:crossAx val="4583220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2740</c:v>
                </c:pt>
                <c:pt idx="1">
                  <c:v>2537</c:v>
                </c:pt>
                <c:pt idx="2">
                  <c:v>2252</c:v>
                </c:pt>
                <c:pt idx="3">
                  <c:v>1977</c:v>
                </c:pt>
                <c:pt idx="4">
                  <c:v>1707</c:v>
                </c:pt>
                <c:pt idx="5">
                  <c:v>1458</c:v>
                </c:pt>
                <c:pt idx="6">
                  <c:v>1225</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9D2-42C3-BEBB-5401FC58434C}"/>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9D2-42C3-BEBB-5401FC58434C}"/>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9D2-42C3-BEBB-5401FC58434C}"/>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9D2-42C3-BEBB-5401FC58434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1986</c:v>
                </c:pt>
                <c:pt idx="4" formatCode="#,##0_);[Red]\(#,##0\)">
                  <c:v>1725</c:v>
                </c:pt>
                <c:pt idx="5" formatCode="#,##0_);[Red]\(#,##0\)">
                  <c:v>1487</c:v>
                </c:pt>
                <c:pt idx="6" formatCode="#,##0_);[Red]\(#,##0\)">
                  <c:v>1268</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9499336"/>
        <c:axId val="459497376"/>
      </c:barChart>
      <c:catAx>
        <c:axId val="459499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7376"/>
        <c:crosses val="autoZero"/>
        <c:auto val="1"/>
        <c:lblAlgn val="ctr"/>
        <c:lblOffset val="100"/>
        <c:noMultiLvlLbl val="0"/>
      </c:catAx>
      <c:valAx>
        <c:axId val="4594973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933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119</c:v>
                </c:pt>
                <c:pt idx="1">
                  <c:v>117</c:v>
                </c:pt>
                <c:pt idx="2">
                  <c:v>102</c:v>
                </c:pt>
                <c:pt idx="3">
                  <c:v>77</c:v>
                </c:pt>
                <c:pt idx="4">
                  <c:v>53</c:v>
                </c:pt>
                <c:pt idx="5">
                  <c:v>38</c:v>
                </c:pt>
                <c:pt idx="6">
                  <c:v>29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78</c:v>
                </c:pt>
                <c:pt idx="4">
                  <c:v>56</c:v>
                </c:pt>
                <c:pt idx="5">
                  <c:v>43</c:v>
                </c:pt>
                <c:pt idx="6">
                  <c:v>35</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9496200"/>
        <c:axId val="459493064"/>
      </c:barChart>
      <c:catAx>
        <c:axId val="459496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3064"/>
        <c:crosses val="autoZero"/>
        <c:auto val="1"/>
        <c:lblAlgn val="ctr"/>
        <c:lblOffset val="100"/>
        <c:noMultiLvlLbl val="0"/>
      </c:catAx>
      <c:valAx>
        <c:axId val="4594930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6200"/>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0.35</c:v>
                </c:pt>
                <c:pt idx="1">
                  <c:v>0.38</c:v>
                </c:pt>
                <c:pt idx="2">
                  <c:v>0.44</c:v>
                </c:pt>
                <c:pt idx="3">
                  <c:v>0.5</c:v>
                </c:pt>
                <c:pt idx="4">
                  <c:v>0.52</c:v>
                </c:pt>
                <c:pt idx="5">
                  <c:v>0.53</c:v>
                </c:pt>
                <c:pt idx="6">
                  <c:v>0.54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261-449E-8DB1-2A12C6D8FF06}"/>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61-449E-8DB1-2A12C6D8FF06}"/>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261-449E-8DB1-2A12C6D8FF06}"/>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61-449E-8DB1-2A12C6D8FF0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0.49</c:v>
                </c:pt>
                <c:pt idx="4" formatCode="0%">
                  <c:v>0.52</c:v>
                </c:pt>
                <c:pt idx="5" formatCode="0%">
                  <c:v>0.52</c:v>
                </c:pt>
                <c:pt idx="6" formatCode="0%">
                  <c:v>0.53</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9493456"/>
        <c:axId val="459495808"/>
      </c:barChart>
      <c:catAx>
        <c:axId val="459493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5808"/>
        <c:crosses val="autoZero"/>
        <c:auto val="1"/>
        <c:lblAlgn val="ctr"/>
        <c:lblOffset val="100"/>
        <c:noMultiLvlLbl val="0"/>
      </c:catAx>
      <c:valAx>
        <c:axId val="4594958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345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0.21</c:v>
                </c:pt>
                <c:pt idx="1">
                  <c:v>0.22</c:v>
                </c:pt>
                <c:pt idx="2">
                  <c:v>0.23</c:v>
                </c:pt>
                <c:pt idx="3">
                  <c:v>0.26</c:v>
                </c:pt>
                <c:pt idx="4">
                  <c:v>0.31</c:v>
                </c:pt>
                <c:pt idx="5">
                  <c:v>0.36</c:v>
                </c:pt>
                <c:pt idx="6">
                  <c:v>0.37</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BCB-48DB-B790-E84DFFA13A05}"/>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BCB-48DB-B790-E84DFFA13A05}"/>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BCB-48DB-B790-E84DFFA13A05}"/>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BCB-48DB-B790-E84DFFA13A0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0.26</c:v>
                </c:pt>
                <c:pt idx="4" formatCode="0%">
                  <c:v>0.31</c:v>
                </c:pt>
                <c:pt idx="5" formatCode="0%">
                  <c:v>0.36</c:v>
                </c:pt>
                <c:pt idx="6" formatCode="0%">
                  <c:v>0.36</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9494240"/>
        <c:axId val="459500120"/>
      </c:barChart>
      <c:catAx>
        <c:axId val="459494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00120"/>
        <c:crosses val="autoZero"/>
        <c:auto val="1"/>
        <c:lblAlgn val="ctr"/>
        <c:lblOffset val="100"/>
        <c:noMultiLvlLbl val="0"/>
      </c:catAx>
      <c:valAx>
        <c:axId val="4595001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424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62</c:v>
                </c:pt>
                <c:pt idx="1">
                  <c:v>51</c:v>
                </c:pt>
                <c:pt idx="2">
                  <c:v>51</c:v>
                </c:pt>
                <c:pt idx="3">
                  <c:v>42</c:v>
                </c:pt>
                <c:pt idx="4">
                  <c:v>30</c:v>
                </c:pt>
                <c:pt idx="5">
                  <c:v>21</c:v>
                </c:pt>
                <c:pt idx="6">
                  <c:v>15</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43</c:v>
                </c:pt>
                <c:pt idx="4">
                  <c:v>32</c:v>
                </c:pt>
                <c:pt idx="5">
                  <c:v>23</c:v>
                </c:pt>
                <c:pt idx="6">
                  <c:v>18</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9496984"/>
        <c:axId val="459500512"/>
      </c:barChart>
      <c:catAx>
        <c:axId val="459496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00512"/>
        <c:crosses val="autoZero"/>
        <c:auto val="1"/>
        <c:lblAlgn val="ctr"/>
        <c:lblOffset val="100"/>
        <c:noMultiLvlLbl val="0"/>
      </c:catAx>
      <c:valAx>
        <c:axId val="4595005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6984"/>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62</c:v>
                </c:pt>
                <c:pt idx="1">
                  <c:v>51</c:v>
                </c:pt>
                <c:pt idx="2">
                  <c:v>51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18455952"/>
        <c:axId val="318453992"/>
      </c:barChart>
      <c:catAx>
        <c:axId val="318455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18453992"/>
        <c:crosses val="autoZero"/>
        <c:auto val="1"/>
        <c:lblAlgn val="ctr"/>
        <c:lblOffset val="100"/>
        <c:noMultiLvlLbl val="0"/>
      </c:catAx>
      <c:valAx>
        <c:axId val="3184539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18455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1806099838270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B31-4561-9DCA-5E70F81B627B}"/>
                </c:ext>
                <c:ext xmlns:c15="http://schemas.microsoft.com/office/drawing/2012/chart" uri="{CE6537A1-D6FC-4f65-9D91-7224C49458BB}"/>
              </c:extLst>
            </c:dLbl>
            <c:dLbl>
              <c:idx val="20"/>
              <c:layout>
                <c:manualLayout>
                  <c:x val="-3.8529828573688384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B31-4561-9DCA-5E70F81B627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15</c:v>
                </c:pt>
                <c:pt idx="1">
                  <c:v>22</c:v>
                </c:pt>
                <c:pt idx="2">
                  <c:v>30</c:v>
                </c:pt>
                <c:pt idx="3">
                  <c:v>29</c:v>
                </c:pt>
                <c:pt idx="4">
                  <c:v>19</c:v>
                </c:pt>
                <c:pt idx="5">
                  <c:v>31</c:v>
                </c:pt>
                <c:pt idx="6">
                  <c:v>22</c:v>
                </c:pt>
                <c:pt idx="7">
                  <c:v>33</c:v>
                </c:pt>
                <c:pt idx="8">
                  <c:v>36</c:v>
                </c:pt>
                <c:pt idx="9">
                  <c:v>59</c:v>
                </c:pt>
                <c:pt idx="10">
                  <c:v>60</c:v>
                </c:pt>
                <c:pt idx="11">
                  <c:v>64</c:v>
                </c:pt>
                <c:pt idx="12">
                  <c:v>51</c:v>
                </c:pt>
                <c:pt idx="13">
                  <c:v>65</c:v>
                </c:pt>
                <c:pt idx="14">
                  <c:v>95</c:v>
                </c:pt>
                <c:pt idx="15">
                  <c:v>125</c:v>
                </c:pt>
                <c:pt idx="16">
                  <c:v>81</c:v>
                </c:pt>
                <c:pt idx="17">
                  <c:v>34</c:v>
                </c:pt>
                <c:pt idx="18">
                  <c:v>16</c:v>
                </c:pt>
                <c:pt idx="19">
                  <c:v>5</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9498552"/>
        <c:axId val="459493848"/>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13</c:v>
                </c:pt>
                <c:pt idx="1">
                  <c:v>17</c:v>
                </c:pt>
                <c:pt idx="2">
                  <c:v>23</c:v>
                </c:pt>
                <c:pt idx="3">
                  <c:v>23</c:v>
                </c:pt>
                <c:pt idx="4">
                  <c:v>17</c:v>
                </c:pt>
                <c:pt idx="5">
                  <c:v>15</c:v>
                </c:pt>
                <c:pt idx="6">
                  <c:v>13</c:v>
                </c:pt>
                <c:pt idx="7">
                  <c:v>18</c:v>
                </c:pt>
                <c:pt idx="8">
                  <c:v>37</c:v>
                </c:pt>
                <c:pt idx="9">
                  <c:v>39</c:v>
                </c:pt>
                <c:pt idx="10">
                  <c:v>42</c:v>
                </c:pt>
                <c:pt idx="11">
                  <c:v>44</c:v>
                </c:pt>
                <c:pt idx="12">
                  <c:v>61</c:v>
                </c:pt>
                <c:pt idx="13">
                  <c:v>80</c:v>
                </c:pt>
                <c:pt idx="14">
                  <c:v>118</c:v>
                </c:pt>
                <c:pt idx="15">
                  <c:v>91</c:v>
                </c:pt>
                <c:pt idx="16">
                  <c:v>85</c:v>
                </c:pt>
                <c:pt idx="17">
                  <c:v>48</c:v>
                </c:pt>
                <c:pt idx="18">
                  <c:v>36</c:v>
                </c:pt>
                <c:pt idx="19">
                  <c:v>13</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9495024"/>
        <c:axId val="459498944"/>
      </c:barChart>
      <c:catAx>
        <c:axId val="4594985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3848"/>
        <c:crosses val="autoZero"/>
        <c:auto val="1"/>
        <c:lblAlgn val="ctr"/>
        <c:lblOffset val="100"/>
        <c:noMultiLvlLbl val="0"/>
      </c:catAx>
      <c:valAx>
        <c:axId val="45949384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8552"/>
        <c:crosses val="autoZero"/>
        <c:crossBetween val="between"/>
        <c:majorUnit val="100"/>
      </c:valAx>
      <c:valAx>
        <c:axId val="45949894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5024"/>
        <c:crosses val="max"/>
        <c:crossBetween val="between"/>
        <c:majorUnit val="100"/>
      </c:valAx>
      <c:catAx>
        <c:axId val="459495024"/>
        <c:scaling>
          <c:orientation val="minMax"/>
        </c:scaling>
        <c:delete val="1"/>
        <c:axPos val="l"/>
        <c:numFmt formatCode="General" sourceLinked="1"/>
        <c:majorTickMark val="out"/>
        <c:minorTickMark val="none"/>
        <c:tickLblPos val="nextTo"/>
        <c:crossAx val="4594989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182-4665-8BAE-266B1AA5DA14}"/>
                </c:ext>
                <c:ext xmlns:c15="http://schemas.microsoft.com/office/drawing/2012/chart" uri="{CE6537A1-D6FC-4f65-9D91-7224C49458BB}"/>
              </c:extLst>
            </c:dLbl>
            <c:dLbl>
              <c:idx val="20"/>
              <c:layout>
                <c:manualLayout>
                  <c:x val="-3.8530005121656559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182-4665-8BAE-266B1AA5DA1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12</c:v>
                </c:pt>
                <c:pt idx="1">
                  <c:v>15</c:v>
                </c:pt>
                <c:pt idx="2">
                  <c:v>18</c:v>
                </c:pt>
                <c:pt idx="3">
                  <c:v>16</c:v>
                </c:pt>
                <c:pt idx="4">
                  <c:v>12</c:v>
                </c:pt>
                <c:pt idx="5">
                  <c:v>22</c:v>
                </c:pt>
                <c:pt idx="6">
                  <c:v>19</c:v>
                </c:pt>
                <c:pt idx="7">
                  <c:v>28</c:v>
                </c:pt>
                <c:pt idx="8">
                  <c:v>28</c:v>
                </c:pt>
                <c:pt idx="9">
                  <c:v>39</c:v>
                </c:pt>
                <c:pt idx="10">
                  <c:v>36</c:v>
                </c:pt>
                <c:pt idx="11">
                  <c:v>57</c:v>
                </c:pt>
                <c:pt idx="12">
                  <c:v>59</c:v>
                </c:pt>
                <c:pt idx="13">
                  <c:v>61</c:v>
                </c:pt>
                <c:pt idx="14">
                  <c:v>46</c:v>
                </c:pt>
                <c:pt idx="15">
                  <c:v>56</c:v>
                </c:pt>
                <c:pt idx="16">
                  <c:v>67</c:v>
                </c:pt>
                <c:pt idx="17">
                  <c:v>56</c:v>
                </c:pt>
                <c:pt idx="18">
                  <c:v>23</c:v>
                </c:pt>
                <c:pt idx="19">
                  <c:v>4</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555072"/>
        <c:axId val="45955977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11</c:v>
                </c:pt>
                <c:pt idx="1">
                  <c:v>12</c:v>
                </c:pt>
                <c:pt idx="2">
                  <c:v>14</c:v>
                </c:pt>
                <c:pt idx="3">
                  <c:v>11</c:v>
                </c:pt>
                <c:pt idx="4">
                  <c:v>9</c:v>
                </c:pt>
                <c:pt idx="5">
                  <c:v>13</c:v>
                </c:pt>
                <c:pt idx="6">
                  <c:v>14</c:v>
                </c:pt>
                <c:pt idx="7">
                  <c:v>13</c:v>
                </c:pt>
                <c:pt idx="8">
                  <c:v>13</c:v>
                </c:pt>
                <c:pt idx="9">
                  <c:v>17</c:v>
                </c:pt>
                <c:pt idx="10">
                  <c:v>33</c:v>
                </c:pt>
                <c:pt idx="11">
                  <c:v>38</c:v>
                </c:pt>
                <c:pt idx="12">
                  <c:v>42</c:v>
                </c:pt>
                <c:pt idx="13">
                  <c:v>45</c:v>
                </c:pt>
                <c:pt idx="14">
                  <c:v>59</c:v>
                </c:pt>
                <c:pt idx="15">
                  <c:v>69</c:v>
                </c:pt>
                <c:pt idx="16">
                  <c:v>88</c:v>
                </c:pt>
                <c:pt idx="17">
                  <c:v>56</c:v>
                </c:pt>
                <c:pt idx="18">
                  <c:v>30</c:v>
                </c:pt>
                <c:pt idx="19">
                  <c:v>7</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557032"/>
        <c:axId val="459557424"/>
      </c:barChart>
      <c:catAx>
        <c:axId val="4595550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59776"/>
        <c:crosses val="autoZero"/>
        <c:auto val="1"/>
        <c:lblAlgn val="ctr"/>
        <c:lblOffset val="100"/>
        <c:noMultiLvlLbl val="0"/>
      </c:catAx>
      <c:valAx>
        <c:axId val="45955977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55072"/>
        <c:crosses val="autoZero"/>
        <c:crossBetween val="between"/>
        <c:majorUnit val="100"/>
      </c:valAx>
      <c:valAx>
        <c:axId val="45955742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57032"/>
        <c:crosses val="max"/>
        <c:crossBetween val="between"/>
        <c:majorUnit val="100"/>
      </c:valAx>
      <c:catAx>
        <c:axId val="459557032"/>
        <c:scaling>
          <c:orientation val="minMax"/>
        </c:scaling>
        <c:delete val="1"/>
        <c:axPos val="l"/>
        <c:numFmt formatCode="General" sourceLinked="1"/>
        <c:majorTickMark val="out"/>
        <c:minorTickMark val="none"/>
        <c:tickLblPos val="nextTo"/>
        <c:crossAx val="4595574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3.801241938573526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02B-4505-9363-627839A4917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25</c:v>
                </c:pt>
                <c:pt idx="1">
                  <c:v>37</c:v>
                </c:pt>
                <c:pt idx="2">
                  <c:v>51</c:v>
                </c:pt>
                <c:pt idx="3">
                  <c:v>50</c:v>
                </c:pt>
                <c:pt idx="4">
                  <c:v>36</c:v>
                </c:pt>
                <c:pt idx="5">
                  <c:v>42</c:v>
                </c:pt>
                <c:pt idx="6">
                  <c:v>32</c:v>
                </c:pt>
                <c:pt idx="7">
                  <c:v>51</c:v>
                </c:pt>
                <c:pt idx="8">
                  <c:v>72</c:v>
                </c:pt>
                <c:pt idx="9">
                  <c:v>97</c:v>
                </c:pt>
                <c:pt idx="10">
                  <c:v>102</c:v>
                </c:pt>
                <c:pt idx="11">
                  <c:v>108</c:v>
                </c:pt>
                <c:pt idx="12">
                  <c:v>112</c:v>
                </c:pt>
                <c:pt idx="13">
                  <c:v>145</c:v>
                </c:pt>
                <c:pt idx="14">
                  <c:v>213</c:v>
                </c:pt>
                <c:pt idx="15">
                  <c:v>216</c:v>
                </c:pt>
                <c:pt idx="16">
                  <c:v>166</c:v>
                </c:pt>
                <c:pt idx="17">
                  <c:v>82</c:v>
                </c:pt>
                <c:pt idx="18">
                  <c:v>52</c:v>
                </c:pt>
                <c:pt idx="19">
                  <c:v>18</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558600"/>
        <c:axId val="45956134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28</c:v>
                </c:pt>
                <c:pt idx="1">
                  <c:v>39</c:v>
                </c:pt>
                <c:pt idx="2">
                  <c:v>53</c:v>
                </c:pt>
                <c:pt idx="3">
                  <c:v>52</c:v>
                </c:pt>
                <c:pt idx="4">
                  <c:v>36</c:v>
                </c:pt>
                <c:pt idx="5">
                  <c:v>46</c:v>
                </c:pt>
                <c:pt idx="6">
                  <c:v>35</c:v>
                </c:pt>
                <c:pt idx="7">
                  <c:v>51</c:v>
                </c:pt>
                <c:pt idx="8">
                  <c:v>73</c:v>
                </c:pt>
                <c:pt idx="9">
                  <c:v>98</c:v>
                </c:pt>
                <c:pt idx="10">
                  <c:v>102</c:v>
                </c:pt>
                <c:pt idx="11">
                  <c:v>108</c:v>
                </c:pt>
                <c:pt idx="12">
                  <c:v>112</c:v>
                </c:pt>
                <c:pt idx="13">
                  <c:v>145</c:v>
                </c:pt>
                <c:pt idx="14">
                  <c:v>213</c:v>
                </c:pt>
                <c:pt idx="15">
                  <c:v>216</c:v>
                </c:pt>
                <c:pt idx="16">
                  <c:v>166</c:v>
                </c:pt>
                <c:pt idx="17">
                  <c:v>82</c:v>
                </c:pt>
                <c:pt idx="18">
                  <c:v>52</c:v>
                </c:pt>
                <c:pt idx="19">
                  <c:v>18</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555856"/>
        <c:axId val="459555464"/>
      </c:barChart>
      <c:catAx>
        <c:axId val="4595586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61344"/>
        <c:crosses val="autoZero"/>
        <c:auto val="1"/>
        <c:lblAlgn val="ctr"/>
        <c:lblOffset val="100"/>
        <c:noMultiLvlLbl val="0"/>
      </c:catAx>
      <c:valAx>
        <c:axId val="45956134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58600"/>
        <c:crosses val="autoZero"/>
        <c:crossBetween val="between"/>
        <c:majorUnit val="250"/>
      </c:valAx>
      <c:valAx>
        <c:axId val="45955546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55856"/>
        <c:crosses val="max"/>
        <c:crossBetween val="between"/>
        <c:majorUnit val="250"/>
      </c:valAx>
      <c:catAx>
        <c:axId val="459555856"/>
        <c:scaling>
          <c:orientation val="minMax"/>
        </c:scaling>
        <c:delete val="1"/>
        <c:axPos val="l"/>
        <c:numFmt formatCode="General" sourceLinked="1"/>
        <c:majorTickMark val="out"/>
        <c:minorTickMark val="none"/>
        <c:tickLblPos val="nextTo"/>
        <c:crossAx val="45955546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138-454C-BA77-65D2C9EBE2A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17</c:v>
                </c:pt>
                <c:pt idx="1">
                  <c:v>21</c:v>
                </c:pt>
                <c:pt idx="2">
                  <c:v>26</c:v>
                </c:pt>
                <c:pt idx="3">
                  <c:v>24</c:v>
                </c:pt>
                <c:pt idx="4">
                  <c:v>19</c:v>
                </c:pt>
                <c:pt idx="5">
                  <c:v>29</c:v>
                </c:pt>
                <c:pt idx="6">
                  <c:v>30</c:v>
                </c:pt>
                <c:pt idx="7">
                  <c:v>38</c:v>
                </c:pt>
                <c:pt idx="8">
                  <c:v>36</c:v>
                </c:pt>
                <c:pt idx="9">
                  <c:v>55</c:v>
                </c:pt>
                <c:pt idx="10">
                  <c:v>68</c:v>
                </c:pt>
                <c:pt idx="11">
                  <c:v>94</c:v>
                </c:pt>
                <c:pt idx="12">
                  <c:v>101</c:v>
                </c:pt>
                <c:pt idx="13">
                  <c:v>106</c:v>
                </c:pt>
                <c:pt idx="14">
                  <c:v>105</c:v>
                </c:pt>
                <c:pt idx="15">
                  <c:v>125</c:v>
                </c:pt>
                <c:pt idx="16">
                  <c:v>155</c:v>
                </c:pt>
                <c:pt idx="17">
                  <c:v>112</c:v>
                </c:pt>
                <c:pt idx="18">
                  <c:v>53</c:v>
                </c:pt>
                <c:pt idx="19">
                  <c:v>11</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9561736"/>
        <c:axId val="45955428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23</c:v>
                </c:pt>
                <c:pt idx="1">
                  <c:v>27</c:v>
                </c:pt>
                <c:pt idx="2">
                  <c:v>32</c:v>
                </c:pt>
                <c:pt idx="3">
                  <c:v>27</c:v>
                </c:pt>
                <c:pt idx="4">
                  <c:v>21</c:v>
                </c:pt>
                <c:pt idx="5">
                  <c:v>35</c:v>
                </c:pt>
                <c:pt idx="6">
                  <c:v>33</c:v>
                </c:pt>
                <c:pt idx="7">
                  <c:v>41</c:v>
                </c:pt>
                <c:pt idx="8">
                  <c:v>41</c:v>
                </c:pt>
                <c:pt idx="9">
                  <c:v>56</c:v>
                </c:pt>
                <c:pt idx="10">
                  <c:v>69</c:v>
                </c:pt>
                <c:pt idx="11">
                  <c:v>95</c:v>
                </c:pt>
                <c:pt idx="12">
                  <c:v>101</c:v>
                </c:pt>
                <c:pt idx="13">
                  <c:v>106</c:v>
                </c:pt>
                <c:pt idx="14">
                  <c:v>105</c:v>
                </c:pt>
                <c:pt idx="15">
                  <c:v>125</c:v>
                </c:pt>
                <c:pt idx="16">
                  <c:v>155</c:v>
                </c:pt>
                <c:pt idx="17">
                  <c:v>112</c:v>
                </c:pt>
                <c:pt idx="18">
                  <c:v>53</c:v>
                </c:pt>
                <c:pt idx="19">
                  <c:v>11</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9556248"/>
        <c:axId val="459554680"/>
      </c:barChart>
      <c:catAx>
        <c:axId val="4595617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54288"/>
        <c:crosses val="autoZero"/>
        <c:auto val="1"/>
        <c:lblAlgn val="ctr"/>
        <c:lblOffset val="100"/>
        <c:noMultiLvlLbl val="0"/>
      </c:catAx>
      <c:valAx>
        <c:axId val="45955428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61736"/>
        <c:crosses val="autoZero"/>
        <c:crossBetween val="between"/>
        <c:majorUnit val="250"/>
      </c:valAx>
      <c:valAx>
        <c:axId val="45955468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56248"/>
        <c:crosses val="max"/>
        <c:crossBetween val="between"/>
        <c:majorUnit val="250"/>
      </c:valAx>
      <c:catAx>
        <c:axId val="459556248"/>
        <c:scaling>
          <c:orientation val="minMax"/>
        </c:scaling>
        <c:delete val="1"/>
        <c:axPos val="l"/>
        <c:numFmt formatCode="General" sourceLinked="1"/>
        <c:majorTickMark val="out"/>
        <c:minorTickMark val="none"/>
        <c:tickLblPos val="nextTo"/>
        <c:crossAx val="45955468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えびの市平均</c:v>
                </c:pt>
                <c:pt idx="2">
                  <c:v>上江小・中学校区</c:v>
                </c:pt>
              </c:strCache>
            </c:strRef>
          </c:cat>
          <c:val>
            <c:numRef>
              <c:f>管理者用地域特徴シート!$H$3:$H$5</c:f>
              <c:numCache>
                <c:formatCode>0.0%</c:formatCode>
                <c:ptCount val="3"/>
                <c:pt idx="0">
                  <c:v>0.46108733927332846</c:v>
                </c:pt>
                <c:pt idx="1">
                  <c:v>0.61318051575931232</c:v>
                </c:pt>
                <c:pt idx="2">
                  <c:v>0.67117988394584138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9556640"/>
        <c:axId val="459558992"/>
      </c:barChart>
      <c:catAx>
        <c:axId val="4595566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58992"/>
        <c:crosses val="autoZero"/>
        <c:auto val="1"/>
        <c:lblAlgn val="ctr"/>
        <c:lblOffset val="100"/>
        <c:noMultiLvlLbl val="0"/>
      </c:catAx>
      <c:valAx>
        <c:axId val="4595589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566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えびの市平均</c:v>
                </c:pt>
                <c:pt idx="2">
                  <c:v>上江小・中学校区</c:v>
                </c:pt>
              </c:strCache>
            </c:strRef>
          </c:cat>
          <c:val>
            <c:numRef>
              <c:f>管理者用地域特徴シート!$J$3:$J$5</c:f>
              <c:numCache>
                <c:formatCode>0.0%</c:formatCode>
                <c:ptCount val="3"/>
                <c:pt idx="0">
                  <c:v>0.15075281438403673</c:v>
                </c:pt>
                <c:pt idx="1">
                  <c:v>0.22362028154976954</c:v>
                </c:pt>
                <c:pt idx="2">
                  <c:v>0.22147001934235977</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9560560"/>
        <c:axId val="459560952"/>
      </c:barChart>
      <c:catAx>
        <c:axId val="4595605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60952"/>
        <c:crosses val="autoZero"/>
        <c:auto val="1"/>
        <c:lblAlgn val="ctr"/>
        <c:lblOffset val="100"/>
        <c:noMultiLvlLbl val="0"/>
      </c:catAx>
      <c:valAx>
        <c:axId val="4595609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605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えびの市平均</c:v>
                </c:pt>
                <c:pt idx="2">
                  <c:v>上江小・中学校区</c:v>
                </c:pt>
              </c:strCache>
            </c:strRef>
          </c:cat>
          <c:val>
            <c:numRef>
              <c:f>管理者用地域特徴シート!$P$3:$P$5</c:f>
              <c:numCache>
                <c:formatCode>0.0%</c:formatCode>
                <c:ptCount val="3"/>
                <c:pt idx="0">
                  <c:v>0.34758352842621743</c:v>
                </c:pt>
                <c:pt idx="1">
                  <c:v>0.26176437237782063</c:v>
                </c:pt>
                <c:pt idx="2">
                  <c:v>0.18165706690296854</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0092512"/>
        <c:axId val="460095648"/>
      </c:barChart>
      <c:catAx>
        <c:axId val="4600925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95648"/>
        <c:crosses val="autoZero"/>
        <c:auto val="1"/>
        <c:lblAlgn val="ctr"/>
        <c:lblOffset val="100"/>
        <c:noMultiLvlLbl val="0"/>
      </c:catAx>
      <c:valAx>
        <c:axId val="4600956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925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えびの市平均</c:v>
                </c:pt>
                <c:pt idx="2">
                  <c:v>上江小・中学校区</c:v>
                </c:pt>
              </c:strCache>
            </c:strRef>
          </c:cat>
          <c:val>
            <c:numRef>
              <c:f>管理者用地域特徴シート!$AO$3:$AO$5</c:f>
              <c:numCache>
                <c:formatCode>0.0%</c:formatCode>
                <c:ptCount val="3"/>
                <c:pt idx="0">
                  <c:v>0.5259093009439566</c:v>
                </c:pt>
                <c:pt idx="1">
                  <c:v>0.51207729468599039</c:v>
                </c:pt>
                <c:pt idx="2">
                  <c:v>0.5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0099568"/>
        <c:axId val="460097608"/>
      </c:barChart>
      <c:catAx>
        <c:axId val="4600995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97608"/>
        <c:crosses val="autoZero"/>
        <c:auto val="1"/>
        <c:lblAlgn val="ctr"/>
        <c:lblOffset val="100"/>
        <c:noMultiLvlLbl val="0"/>
      </c:catAx>
      <c:valAx>
        <c:axId val="46009760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995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上江小・中学校区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0.32358003442340794</c:v>
                </c:pt>
                <c:pt idx="1">
                  <c:v>0</c:v>
                </c:pt>
                <c:pt idx="2">
                  <c:v>0</c:v>
                </c:pt>
                <c:pt idx="3">
                  <c:v>7.4010327022375214E-2</c:v>
                </c:pt>
                <c:pt idx="4">
                  <c:v>0.1333907056798623</c:v>
                </c:pt>
                <c:pt idx="5">
                  <c:v>0</c:v>
                </c:pt>
                <c:pt idx="6">
                  <c:v>2.5817555938037868E-3</c:v>
                </c:pt>
                <c:pt idx="7">
                  <c:v>3.8726333907056799E-2</c:v>
                </c:pt>
                <c:pt idx="8">
                  <c:v>8.6919104991394144E-2</c:v>
                </c:pt>
                <c:pt idx="9">
                  <c:v>4.3029259896729772E-3</c:v>
                </c:pt>
                <c:pt idx="10">
                  <c:v>6.024096385542169E-3</c:v>
                </c:pt>
                <c:pt idx="11">
                  <c:v>1.2048192771084338E-2</c:v>
                </c:pt>
                <c:pt idx="12">
                  <c:v>3.614457831325301E-2</c:v>
                </c:pt>
                <c:pt idx="13">
                  <c:v>2.5817555938037865E-2</c:v>
                </c:pt>
                <c:pt idx="14">
                  <c:v>2.323580034423408E-2</c:v>
                </c:pt>
                <c:pt idx="15">
                  <c:v>0.11531841652323579</c:v>
                </c:pt>
                <c:pt idx="16">
                  <c:v>2.2375215146299483E-2</c:v>
                </c:pt>
                <c:pt idx="17">
                  <c:v>4.5611015490533563E-2</c:v>
                </c:pt>
                <c:pt idx="18">
                  <c:v>4.5611015490533563E-2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えびの市平均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0.21834776503627429</c:v>
                </c:pt>
                <c:pt idx="1">
                  <c:v>3.5104142288790077E-4</c:v>
                </c:pt>
                <c:pt idx="2">
                  <c:v>0</c:v>
                </c:pt>
                <c:pt idx="3">
                  <c:v>8.1090568687105083E-2</c:v>
                </c:pt>
                <c:pt idx="4">
                  <c:v>0.11713082143692956</c:v>
                </c:pt>
                <c:pt idx="5">
                  <c:v>2.2232623449567048E-3</c:v>
                </c:pt>
                <c:pt idx="6">
                  <c:v>2.8083313831032061E-3</c:v>
                </c:pt>
                <c:pt idx="7">
                  <c:v>3.4168031827755678E-2</c:v>
                </c:pt>
                <c:pt idx="8">
                  <c:v>0.10566346828925813</c:v>
                </c:pt>
                <c:pt idx="9">
                  <c:v>9.244090802714721E-3</c:v>
                </c:pt>
                <c:pt idx="10">
                  <c:v>7.4888836882752163E-3</c:v>
                </c:pt>
                <c:pt idx="11">
                  <c:v>1.1701380762930026E-2</c:v>
                </c:pt>
                <c:pt idx="12">
                  <c:v>4.7156564474608004E-2</c:v>
                </c:pt>
                <c:pt idx="13">
                  <c:v>2.9136438099695763E-2</c:v>
                </c:pt>
                <c:pt idx="14">
                  <c:v>3.2880879943833374E-2</c:v>
                </c:pt>
                <c:pt idx="15">
                  <c:v>0.14076761057804821</c:v>
                </c:pt>
                <c:pt idx="16">
                  <c:v>2.4923941025040953E-2</c:v>
                </c:pt>
                <c:pt idx="17">
                  <c:v>4.4582260706763396E-2</c:v>
                </c:pt>
                <c:pt idx="18">
                  <c:v>8.1909665340510182E-2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0097216"/>
        <c:axId val="460099960"/>
      </c:barChart>
      <c:catAx>
        <c:axId val="460097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99960"/>
        <c:crosses val="autoZero"/>
        <c:auto val="1"/>
        <c:lblAlgn val="ctr"/>
        <c:lblOffset val="100"/>
        <c:noMultiLvlLbl val="0"/>
      </c:catAx>
      <c:valAx>
        <c:axId val="46009996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97216"/>
        <c:crosses val="autoZero"/>
        <c:crossBetween val="between"/>
      </c:valAx>
      <c:spPr>
        <a:noFill/>
        <a:ln>
          <a:noFill/>
        </a:ln>
        <a:effectLst/>
      </c:spPr>
    </c:plotArea>
    <c:legend>
      <c:legendPos val="b"/>
      <c:layout>
        <c:manualLayout>
          <c:xMode val="edge"/>
          <c:yMode val="edge"/>
          <c:x val="0.61529510923810582"/>
          <c:y val="9.3136467443597437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えびの市平均</c:v>
                </c:pt>
                <c:pt idx="2">
                  <c:v>上江小・中学校区</c:v>
                </c:pt>
              </c:strCache>
            </c:strRef>
          </c:cat>
          <c:val>
            <c:numRef>
              <c:f>管理者用地域特徴シート!$CK$3:$CK$5</c:f>
              <c:numCache>
                <c:formatCode>0.0%</c:formatCode>
                <c:ptCount val="3"/>
                <c:pt idx="0">
                  <c:v>0.82747216160708559</c:v>
                </c:pt>
                <c:pt idx="1">
                  <c:v>0.80411888602855142</c:v>
                </c:pt>
                <c:pt idx="2">
                  <c:v>0.80464716006884685</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0092904"/>
        <c:axId val="460096040"/>
      </c:barChart>
      <c:catAx>
        <c:axId val="4600929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96040"/>
        <c:crosses val="autoZero"/>
        <c:auto val="1"/>
        <c:lblAlgn val="ctr"/>
        <c:lblOffset val="100"/>
        <c:noMultiLvlLbl val="0"/>
      </c:catAx>
      <c:valAx>
        <c:axId val="4600960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092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0.35</c:v>
                </c:pt>
                <c:pt idx="1">
                  <c:v>0.38</c:v>
                </c:pt>
                <c:pt idx="2">
                  <c:v>0.44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18452032"/>
        <c:axId val="318456344"/>
      </c:barChart>
      <c:catAx>
        <c:axId val="318452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18456344"/>
        <c:crosses val="autoZero"/>
        <c:auto val="1"/>
        <c:lblAlgn val="ctr"/>
        <c:lblOffset val="100"/>
        <c:noMultiLvlLbl val="0"/>
      </c:catAx>
      <c:valAx>
        <c:axId val="318456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184520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0.21</c:v>
                </c:pt>
                <c:pt idx="1">
                  <c:v>0.22</c:v>
                </c:pt>
                <c:pt idx="2">
                  <c:v>0.23</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18452424"/>
        <c:axId val="318454384"/>
      </c:barChart>
      <c:catAx>
        <c:axId val="318452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18454384"/>
        <c:crosses val="autoZero"/>
        <c:auto val="1"/>
        <c:lblAlgn val="ctr"/>
        <c:lblOffset val="100"/>
        <c:noMultiLvlLbl val="0"/>
      </c:catAx>
      <c:valAx>
        <c:axId val="318454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184524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5029493439727673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FE7-45C3-98E7-7C77C8392F7C}"/>
                </c:ext>
                <c:ext xmlns:c15="http://schemas.microsoft.com/office/drawing/2012/chart" uri="{CE6537A1-D6FC-4f65-9D91-7224C49458BB}"/>
              </c:extLst>
            </c:dLbl>
            <c:dLbl>
              <c:idx val="20"/>
              <c:layout>
                <c:manualLayout>
                  <c:x val="-3.4931655210291346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FE7-45C3-98E7-7C77C8392F7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41</c:v>
                </c:pt>
                <c:pt idx="1">
                  <c:v>50</c:v>
                </c:pt>
                <c:pt idx="2">
                  <c:v>59</c:v>
                </c:pt>
                <c:pt idx="3">
                  <c:v>60</c:v>
                </c:pt>
                <c:pt idx="4">
                  <c:v>36</c:v>
                </c:pt>
                <c:pt idx="5">
                  <c:v>52</c:v>
                </c:pt>
                <c:pt idx="6">
                  <c:v>43</c:v>
                </c:pt>
                <c:pt idx="7">
                  <c:v>64</c:v>
                </c:pt>
                <c:pt idx="8">
                  <c:v>52</c:v>
                </c:pt>
                <c:pt idx="9">
                  <c:v>68</c:v>
                </c:pt>
                <c:pt idx="10">
                  <c:v>101</c:v>
                </c:pt>
                <c:pt idx="11">
                  <c:v>155</c:v>
                </c:pt>
                <c:pt idx="12">
                  <c:v>130</c:v>
                </c:pt>
                <c:pt idx="13">
                  <c:v>88</c:v>
                </c:pt>
                <c:pt idx="14">
                  <c:v>81</c:v>
                </c:pt>
                <c:pt idx="15">
                  <c:v>102</c:v>
                </c:pt>
                <c:pt idx="16">
                  <c:v>65</c:v>
                </c:pt>
                <c:pt idx="17">
                  <c:v>45</c:v>
                </c:pt>
                <c:pt idx="18">
                  <c:v>10</c:v>
                </c:pt>
                <c:pt idx="19">
                  <c:v>2</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18451248"/>
        <c:axId val="31845556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46</c:v>
                </c:pt>
                <c:pt idx="1">
                  <c:v>45</c:v>
                </c:pt>
                <c:pt idx="2">
                  <c:v>45</c:v>
                </c:pt>
                <c:pt idx="3">
                  <c:v>39</c:v>
                </c:pt>
                <c:pt idx="4">
                  <c:v>45</c:v>
                </c:pt>
                <c:pt idx="5">
                  <c:v>66</c:v>
                </c:pt>
                <c:pt idx="6">
                  <c:v>44</c:v>
                </c:pt>
                <c:pt idx="7">
                  <c:v>55</c:v>
                </c:pt>
                <c:pt idx="8">
                  <c:v>59</c:v>
                </c:pt>
                <c:pt idx="9">
                  <c:v>84</c:v>
                </c:pt>
                <c:pt idx="10">
                  <c:v>120</c:v>
                </c:pt>
                <c:pt idx="11">
                  <c:v>103</c:v>
                </c:pt>
                <c:pt idx="12">
                  <c:v>123</c:v>
                </c:pt>
                <c:pt idx="13">
                  <c:v>89</c:v>
                </c:pt>
                <c:pt idx="14">
                  <c:v>135</c:v>
                </c:pt>
                <c:pt idx="15">
                  <c:v>130</c:v>
                </c:pt>
                <c:pt idx="16">
                  <c:v>112</c:v>
                </c:pt>
                <c:pt idx="17">
                  <c:v>62</c:v>
                </c:pt>
                <c:pt idx="18">
                  <c:v>22</c:v>
                </c:pt>
                <c:pt idx="19">
                  <c:v>10</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18457128"/>
        <c:axId val="318453208"/>
      </c:barChart>
      <c:catAx>
        <c:axId val="3184512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18455560"/>
        <c:crosses val="autoZero"/>
        <c:auto val="1"/>
        <c:lblAlgn val="ctr"/>
        <c:lblOffset val="100"/>
        <c:noMultiLvlLbl val="0"/>
      </c:catAx>
      <c:valAx>
        <c:axId val="31845556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18451248"/>
        <c:crosses val="autoZero"/>
        <c:crossBetween val="between"/>
        <c:majorUnit val="100"/>
      </c:valAx>
      <c:valAx>
        <c:axId val="31845320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18457128"/>
        <c:crosses val="max"/>
        <c:crossBetween val="between"/>
        <c:majorUnit val="100"/>
      </c:valAx>
      <c:catAx>
        <c:axId val="318457128"/>
        <c:scaling>
          <c:orientation val="minMax"/>
        </c:scaling>
        <c:delete val="1"/>
        <c:axPos val="l"/>
        <c:numFmt formatCode="General" sourceLinked="1"/>
        <c:majorTickMark val="out"/>
        <c:minorTickMark val="none"/>
        <c:tickLblPos val="nextTo"/>
        <c:crossAx val="3184532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1304</c:v>
                </c:pt>
                <c:pt idx="1">
                  <c:v>1237</c:v>
                </c:pt>
                <c:pt idx="2">
                  <c:v>1109</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1436</c:v>
                </c:pt>
                <c:pt idx="1">
                  <c:v>1300</c:v>
                </c:pt>
                <c:pt idx="2">
                  <c:v>1143</c:v>
                </c:pt>
              </c:numCache>
            </c:numRef>
          </c:val>
          <c:extLst xmlns:c16r2="http://schemas.microsoft.com/office/drawing/2015/06/chart">
            <c:ext xmlns:c16="http://schemas.microsoft.com/office/drawing/2014/chart" uri="{C3380CC4-5D6E-409C-BE32-E72D297353CC}">
              <c16:uniqueId val="{00000000-D134-41B8-A98E-8FF40A8D3631}"/>
            </c:ext>
          </c:extLst>
        </c:ser>
        <c:dLbls>
          <c:showLegendKey val="0"/>
          <c:showVal val="0"/>
          <c:showCatName val="0"/>
          <c:showSerName val="0"/>
          <c:showPercent val="0"/>
          <c:showBubbleSize val="0"/>
        </c:dLbls>
        <c:gapWidth val="219"/>
        <c:overlap val="100"/>
        <c:axId val="145533176"/>
        <c:axId val="14553396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7.2063956248209729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134-41B8-A98E-8FF40A8D3631}"/>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2740</c:v>
                </c:pt>
                <c:pt idx="1">
                  <c:v>2537</c:v>
                </c:pt>
                <c:pt idx="2">
                  <c:v>2252</c:v>
                </c:pt>
              </c:numCache>
            </c:numRef>
          </c:val>
          <c:smooth val="0"/>
          <c:extLst xmlns:c16r2="http://schemas.microsoft.com/office/drawing/2015/06/chart">
            <c:ext xmlns:c16="http://schemas.microsoft.com/office/drawing/2014/chart" uri="{C3380CC4-5D6E-409C-BE32-E72D297353CC}">
              <c16:uniqueId val="{00000002-D134-41B8-A98E-8FF40A8D3631}"/>
            </c:ext>
          </c:extLst>
        </c:ser>
        <c:dLbls>
          <c:showLegendKey val="0"/>
          <c:showVal val="0"/>
          <c:showCatName val="0"/>
          <c:showSerName val="0"/>
          <c:showPercent val="0"/>
          <c:showBubbleSize val="0"/>
        </c:dLbls>
        <c:marker val="1"/>
        <c:smooth val="0"/>
        <c:axId val="145533176"/>
        <c:axId val="145533960"/>
      </c:lineChart>
      <c:catAx>
        <c:axId val="145533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45533960"/>
        <c:crosses val="autoZero"/>
        <c:auto val="1"/>
        <c:lblAlgn val="ctr"/>
        <c:lblOffset val="100"/>
        <c:noMultiLvlLbl val="0"/>
      </c:catAx>
      <c:valAx>
        <c:axId val="1455339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4553317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1062367364974768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4DF-4222-95BF-6FEF12FDFBB8}"/>
                </c:ext>
                <c:ext xmlns:c15="http://schemas.microsoft.com/office/drawing/2012/chart" uri="{CE6537A1-D6FC-4f65-9D91-7224C49458BB}"/>
              </c:extLst>
            </c:dLbl>
            <c:dLbl>
              <c:idx val="20"/>
              <c:layout>
                <c:manualLayout>
                  <c:x val="-3.6946723058564925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4DF-4222-95BF-6FEF12FDFBB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26</c:v>
                </c:pt>
                <c:pt idx="1">
                  <c:v>42</c:v>
                </c:pt>
                <c:pt idx="2">
                  <c:v>48</c:v>
                </c:pt>
                <c:pt idx="3">
                  <c:v>43</c:v>
                </c:pt>
                <c:pt idx="4">
                  <c:v>22</c:v>
                </c:pt>
                <c:pt idx="5">
                  <c:v>37</c:v>
                </c:pt>
                <c:pt idx="6">
                  <c:v>28</c:v>
                </c:pt>
                <c:pt idx="7">
                  <c:v>50</c:v>
                </c:pt>
                <c:pt idx="8">
                  <c:v>59</c:v>
                </c:pt>
                <c:pt idx="9">
                  <c:v>67</c:v>
                </c:pt>
                <c:pt idx="10">
                  <c:v>51</c:v>
                </c:pt>
                <c:pt idx="11">
                  <c:v>68</c:v>
                </c:pt>
                <c:pt idx="12">
                  <c:v>105</c:v>
                </c:pt>
                <c:pt idx="13">
                  <c:v>145</c:v>
                </c:pt>
                <c:pt idx="14">
                  <c:v>117</c:v>
                </c:pt>
                <c:pt idx="15">
                  <c:v>75</c:v>
                </c:pt>
                <c:pt idx="16">
                  <c:v>57</c:v>
                </c:pt>
                <c:pt idx="17">
                  <c:v>45</c:v>
                </c:pt>
                <c:pt idx="18">
                  <c:v>17</c:v>
                </c:pt>
                <c:pt idx="19">
                  <c:v>7</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145531216"/>
        <c:axId val="14553239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23</c:v>
                </c:pt>
                <c:pt idx="1">
                  <c:v>35</c:v>
                </c:pt>
                <c:pt idx="2">
                  <c:v>44</c:v>
                </c:pt>
                <c:pt idx="3">
                  <c:v>28</c:v>
                </c:pt>
                <c:pt idx="4">
                  <c:v>15</c:v>
                </c:pt>
                <c:pt idx="5">
                  <c:v>21</c:v>
                </c:pt>
                <c:pt idx="6">
                  <c:v>38</c:v>
                </c:pt>
                <c:pt idx="7">
                  <c:v>44</c:v>
                </c:pt>
                <c:pt idx="8">
                  <c:v>47</c:v>
                </c:pt>
                <c:pt idx="9">
                  <c:v>45</c:v>
                </c:pt>
                <c:pt idx="10">
                  <c:v>61</c:v>
                </c:pt>
                <c:pt idx="11">
                  <c:v>79</c:v>
                </c:pt>
                <c:pt idx="12">
                  <c:v>124</c:v>
                </c:pt>
                <c:pt idx="13">
                  <c:v>105</c:v>
                </c:pt>
                <c:pt idx="14">
                  <c:v>114</c:v>
                </c:pt>
                <c:pt idx="15">
                  <c:v>77</c:v>
                </c:pt>
                <c:pt idx="16">
                  <c:v>104</c:v>
                </c:pt>
                <c:pt idx="17">
                  <c:v>85</c:v>
                </c:pt>
                <c:pt idx="18">
                  <c:v>46</c:v>
                </c:pt>
                <c:pt idx="19">
                  <c:v>6</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145532000"/>
        <c:axId val="145532784"/>
      </c:barChart>
      <c:catAx>
        <c:axId val="1455312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45532392"/>
        <c:crosses val="autoZero"/>
        <c:auto val="1"/>
        <c:lblAlgn val="ctr"/>
        <c:lblOffset val="100"/>
        <c:noMultiLvlLbl val="0"/>
      </c:catAx>
      <c:valAx>
        <c:axId val="14553239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45531216"/>
        <c:crosses val="autoZero"/>
        <c:crossBetween val="between"/>
        <c:majorUnit val="100"/>
      </c:valAx>
      <c:valAx>
        <c:axId val="14553278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45532000"/>
        <c:crosses val="max"/>
        <c:crossBetween val="between"/>
        <c:majorUnit val="100"/>
      </c:valAx>
      <c:catAx>
        <c:axId val="145532000"/>
        <c:scaling>
          <c:orientation val="minMax"/>
        </c:scaling>
        <c:delete val="1"/>
        <c:axPos val="l"/>
        <c:numFmt formatCode="General" sourceLinked="1"/>
        <c:majorTickMark val="out"/>
        <c:minorTickMark val="none"/>
        <c:tickLblPos val="nextTo"/>
        <c:crossAx val="1455327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74DD-46AB-BA0D-293C5A15B56C}"/>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74DD-46AB-BA0D-293C5A15B56C}"/>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74DD-46AB-BA0D-293C5A15B56C}"/>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4DD-46AB-BA0D-293C5A15B56C}"/>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4DD-46AB-BA0D-293C5A15B56C}"/>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1304</c:v>
                </c:pt>
                <c:pt idx="1">
                  <c:v>1237</c:v>
                </c:pt>
                <c:pt idx="2">
                  <c:v>1109</c:v>
                </c:pt>
                <c:pt idx="3">
                  <c:v>1000</c:v>
                </c:pt>
                <c:pt idx="4">
                  <c:v>884</c:v>
                </c:pt>
                <c:pt idx="5">
                  <c:v>766</c:v>
                </c:pt>
                <c:pt idx="6">
                  <c:v>654</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74DD-46AB-BA0D-293C5A15B56C}"/>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74DD-46AB-BA0D-293C5A15B56C}"/>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74DD-46AB-BA0D-293C5A15B56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1436</c:v>
                </c:pt>
                <c:pt idx="1">
                  <c:v>1300</c:v>
                </c:pt>
                <c:pt idx="2">
                  <c:v>1143</c:v>
                </c:pt>
                <c:pt idx="3">
                  <c:v>977</c:v>
                </c:pt>
                <c:pt idx="4">
                  <c:v>823</c:v>
                </c:pt>
                <c:pt idx="5">
                  <c:v>692</c:v>
                </c:pt>
                <c:pt idx="6">
                  <c:v>571</c:v>
                </c:pt>
              </c:numCache>
            </c:numRef>
          </c:val>
          <c:extLst xmlns:c16r2="http://schemas.microsoft.com/office/drawing/2015/06/chart">
            <c:ext xmlns:c16="http://schemas.microsoft.com/office/drawing/2014/chart" uri="{C3380CC4-5D6E-409C-BE32-E72D297353CC}">
              <c16:uniqueId val="{00000010-74DD-46AB-BA0D-293C5A15B56C}"/>
            </c:ext>
          </c:extLst>
        </c:ser>
        <c:dLbls>
          <c:showLegendKey val="0"/>
          <c:showVal val="0"/>
          <c:showCatName val="0"/>
          <c:showSerName val="0"/>
          <c:showPercent val="0"/>
          <c:showBubbleSize val="0"/>
        </c:dLbls>
        <c:gapWidth val="219"/>
        <c:overlap val="100"/>
        <c:axId val="318451640"/>
        <c:axId val="31845281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2740</c:v>
                </c:pt>
                <c:pt idx="1">
                  <c:v>2537</c:v>
                </c:pt>
                <c:pt idx="2">
                  <c:v>2252</c:v>
                </c:pt>
                <c:pt idx="3">
                  <c:v>1977</c:v>
                </c:pt>
                <c:pt idx="4">
                  <c:v>1707</c:v>
                </c:pt>
                <c:pt idx="5">
                  <c:v>1458</c:v>
                </c:pt>
                <c:pt idx="6">
                  <c:v>1225</c:v>
                </c:pt>
              </c:numCache>
            </c:numRef>
          </c:val>
          <c:smooth val="0"/>
          <c:extLst xmlns:c16r2="http://schemas.microsoft.com/office/drawing/2015/06/chart">
            <c:ext xmlns:c16="http://schemas.microsoft.com/office/drawing/2014/chart" uri="{C3380CC4-5D6E-409C-BE32-E72D297353CC}">
              <c16:uniqueId val="{00000011-74DD-46AB-BA0D-293C5A15B56C}"/>
            </c:ext>
          </c:extLst>
        </c:ser>
        <c:dLbls>
          <c:showLegendKey val="0"/>
          <c:showVal val="0"/>
          <c:showCatName val="0"/>
          <c:showSerName val="0"/>
          <c:showPercent val="0"/>
          <c:showBubbleSize val="0"/>
        </c:dLbls>
        <c:marker val="1"/>
        <c:smooth val="0"/>
        <c:axId val="318451640"/>
        <c:axId val="318452816"/>
      </c:lineChart>
      <c:catAx>
        <c:axId val="318451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18452816"/>
        <c:crosses val="autoZero"/>
        <c:auto val="1"/>
        <c:lblAlgn val="ctr"/>
        <c:lblOffset val="100"/>
        <c:noMultiLvlLbl val="0"/>
      </c:catAx>
      <c:valAx>
        <c:axId val="3184528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1845164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119</c:v>
                </c:pt>
                <c:pt idx="1">
                  <c:v>117</c:v>
                </c:pt>
                <c:pt idx="2">
                  <c:v>102</c:v>
                </c:pt>
                <c:pt idx="3">
                  <c:v>77</c:v>
                </c:pt>
                <c:pt idx="4">
                  <c:v>53</c:v>
                </c:pt>
                <c:pt idx="5">
                  <c:v>38</c:v>
                </c:pt>
                <c:pt idx="6">
                  <c:v>29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18456736"/>
        <c:axId val="145533568"/>
      </c:barChart>
      <c:catAx>
        <c:axId val="318456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145533568"/>
        <c:crosses val="autoZero"/>
        <c:auto val="1"/>
        <c:lblAlgn val="ctr"/>
        <c:lblOffset val="100"/>
        <c:noMultiLvlLbl val="0"/>
      </c:catAx>
      <c:valAx>
        <c:axId val="1455335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184567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上江小・中学校区</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0"/>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5" t="s">
        <v>127</v>
      </c>
      <c r="B1" s="326" t="s">
        <v>128</v>
      </c>
      <c r="C1" s="328" t="s">
        <v>129</v>
      </c>
      <c r="D1" s="330" t="s">
        <v>130</v>
      </c>
      <c r="E1" s="330"/>
      <c r="F1" s="330"/>
      <c r="G1" s="330"/>
      <c r="H1" s="330"/>
      <c r="I1" s="330"/>
      <c r="J1" s="330"/>
      <c r="K1" s="307" t="s">
        <v>131</v>
      </c>
      <c r="L1" s="307"/>
      <c r="M1" s="307"/>
      <c r="N1" s="307"/>
      <c r="O1" s="307"/>
      <c r="P1" s="307"/>
      <c r="Q1" s="307"/>
      <c r="R1" s="331" t="s">
        <v>132</v>
      </c>
      <c r="S1" s="332"/>
      <c r="T1" s="332"/>
      <c r="U1" s="332"/>
      <c r="V1" s="332"/>
      <c r="W1" s="332"/>
      <c r="X1" s="332"/>
      <c r="Y1" s="332"/>
      <c r="Z1" s="332"/>
      <c r="AA1" s="332"/>
      <c r="AB1" s="332"/>
      <c r="AC1" s="332"/>
      <c r="AD1" s="332"/>
      <c r="AE1" s="332"/>
      <c r="AF1" s="332"/>
      <c r="AG1" s="332"/>
      <c r="AH1" s="332"/>
      <c r="AI1" s="332"/>
      <c r="AJ1" s="332"/>
      <c r="AK1" s="332"/>
      <c r="AL1" s="332"/>
      <c r="AM1" s="332"/>
      <c r="AN1" s="332"/>
      <c r="AO1" s="333"/>
      <c r="AP1" s="319" t="s">
        <v>133</v>
      </c>
      <c r="AQ1" s="320"/>
      <c r="AR1" s="320"/>
      <c r="AS1" s="320"/>
      <c r="AT1" s="320"/>
      <c r="AU1" s="320"/>
      <c r="AV1" s="320"/>
      <c r="AW1" s="320"/>
      <c r="AX1" s="320"/>
      <c r="AY1" s="320"/>
      <c r="AZ1" s="320"/>
      <c r="BA1" s="320"/>
      <c r="BB1" s="320"/>
      <c r="BC1" s="320"/>
      <c r="BD1" s="320"/>
      <c r="BE1" s="320"/>
      <c r="BF1" s="320"/>
      <c r="BG1" s="320"/>
      <c r="BH1" s="320"/>
      <c r="BI1" s="320"/>
      <c r="BJ1" s="320"/>
      <c r="BK1" s="320"/>
      <c r="BL1" s="320"/>
      <c r="BM1" s="320"/>
      <c r="BN1" s="320"/>
      <c r="BO1" s="320"/>
      <c r="BP1" s="320"/>
      <c r="BQ1" s="320"/>
      <c r="BR1" s="320"/>
      <c r="BS1" s="320"/>
      <c r="BT1" s="320"/>
      <c r="BU1" s="320"/>
      <c r="BV1" s="320"/>
      <c r="BW1" s="320"/>
      <c r="BX1" s="320"/>
      <c r="BY1" s="320"/>
      <c r="BZ1" s="320"/>
      <c r="CA1" s="320"/>
      <c r="CB1" s="321"/>
      <c r="CC1" s="322" t="s">
        <v>134</v>
      </c>
      <c r="CD1" s="323"/>
      <c r="CE1" s="323"/>
      <c r="CF1" s="323"/>
      <c r="CG1" s="323"/>
      <c r="CH1" s="323"/>
      <c r="CI1" s="323"/>
      <c r="CJ1" s="323"/>
      <c r="CK1" s="323"/>
      <c r="CL1" s="323"/>
      <c r="CM1" s="323"/>
      <c r="CN1" s="323"/>
      <c r="CO1" s="323"/>
      <c r="CP1" s="324"/>
    </row>
    <row r="2" spans="1:94" s="80" customFormat="1" ht="60" x14ac:dyDescent="0.15">
      <c r="A2" s="326"/>
      <c r="B2" s="327"/>
      <c r="C2" s="329"/>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えびの市平均</v>
      </c>
      <c r="C4" s="88" t="str">
        <f>B4</f>
        <v>えびの市平均</v>
      </c>
      <c r="D4" s="185">
        <f>SUM(D7:D70)</f>
        <v>8027</v>
      </c>
      <c r="E4" s="186">
        <f>SUM(E7:E70)</f>
        <v>4922</v>
      </c>
      <c r="F4" s="186">
        <f>SUM(F7:F70)</f>
        <v>1662</v>
      </c>
      <c r="G4" s="187">
        <f>SUM(G7:G70)</f>
        <v>1795</v>
      </c>
      <c r="H4" s="148">
        <f>E4/D4</f>
        <v>0.61318051575931232</v>
      </c>
      <c r="I4" s="149">
        <f>F4/D4</f>
        <v>0.20705120219259998</v>
      </c>
      <c r="J4" s="150">
        <f>G4/D4</f>
        <v>0.22362028154976954</v>
      </c>
      <c r="K4" s="185">
        <f>SUM(K7:K70)</f>
        <v>17638</v>
      </c>
      <c r="L4" s="186">
        <f>SUM(L7:L70)</f>
        <v>2797</v>
      </c>
      <c r="M4" s="186">
        <f>SUM(M7:M70)</f>
        <v>4617</v>
      </c>
      <c r="N4" s="187">
        <f>SUM(N7:N70)</f>
        <v>10017</v>
      </c>
      <c r="O4" s="148">
        <f>L4/K4</f>
        <v>0.15857807007597233</v>
      </c>
      <c r="P4" s="149">
        <f>M4/K4</f>
        <v>0.26176437237782063</v>
      </c>
      <c r="Q4" s="150">
        <f>N4/K4</f>
        <v>0.56792153305363424</v>
      </c>
      <c r="R4" s="185">
        <f>SUM(R7:R70)</f>
        <v>17638</v>
      </c>
      <c r="S4" s="145">
        <f>SUM(S7:S70)</f>
        <v>1314</v>
      </c>
      <c r="T4" s="145">
        <f>SUM(T7:T70)</f>
        <v>467</v>
      </c>
      <c r="U4" s="144">
        <f>SUM(U7:U70)</f>
        <v>808</v>
      </c>
      <c r="V4" s="144">
        <f>SUM(V7:V70)</f>
        <v>102</v>
      </c>
      <c r="W4" s="146">
        <f>S4+T4+U4+V4</f>
        <v>2691</v>
      </c>
      <c r="X4" s="143">
        <f>SUM(X7:X70)</f>
        <v>8339</v>
      </c>
      <c r="Y4" s="144">
        <f>SUM(Y7:Y70)</f>
        <v>575</v>
      </c>
      <c r="Z4" s="144">
        <f>SUM(Z7:Z70)</f>
        <v>243</v>
      </c>
      <c r="AA4" s="144">
        <f>SUM(AA7:AA70)</f>
        <v>477</v>
      </c>
      <c r="AB4" s="144">
        <f>SUM(AB7:AB70)</f>
        <v>18</v>
      </c>
      <c r="AC4" s="146">
        <f>Y4+Z4+AA4+AB4</f>
        <v>1313</v>
      </c>
      <c r="AD4" s="143">
        <f>SUM(AD7:AD70)</f>
        <v>9299</v>
      </c>
      <c r="AE4" s="143">
        <f>SUM(AE7:AE70)</f>
        <v>739</v>
      </c>
      <c r="AF4" s="143">
        <f>SUM(AF7:AF70)</f>
        <v>224</v>
      </c>
      <c r="AG4" s="143">
        <f>SUM(AG7:AG70)</f>
        <v>331</v>
      </c>
      <c r="AH4" s="143">
        <f>SUM(AH7:AH70)</f>
        <v>84</v>
      </c>
      <c r="AI4" s="146">
        <f>AE4+AF4+AG4+AH4</f>
        <v>1378</v>
      </c>
      <c r="AJ4" s="148">
        <f>W4/R4</f>
        <v>0.15256831840344709</v>
      </c>
      <c r="AK4" s="149">
        <f>T4/W4</f>
        <v>0.17354143441099962</v>
      </c>
      <c r="AL4" s="149">
        <f>U4/W4</f>
        <v>0.30026012634708288</v>
      </c>
      <c r="AM4" s="149">
        <f>V4/W4</f>
        <v>3.79041248606466E-2</v>
      </c>
      <c r="AN4" s="147">
        <f>AC4/W4</f>
        <v>0.48792270531400966</v>
      </c>
      <c r="AO4" s="150">
        <f>AI4/W4</f>
        <v>0.51207729468599039</v>
      </c>
      <c r="AP4" s="143">
        <f>SUM(AP7:AP70)</f>
        <v>8546</v>
      </c>
      <c r="AQ4" s="144">
        <f t="shared" ref="AQ4:BI4" si="0">SUM(AQ7:AQ70)</f>
        <v>1866</v>
      </c>
      <c r="AR4" s="144">
        <f t="shared" si="0"/>
        <v>3</v>
      </c>
      <c r="AS4" s="144">
        <f t="shared" si="0"/>
        <v>0</v>
      </c>
      <c r="AT4" s="144">
        <f t="shared" si="0"/>
        <v>693</v>
      </c>
      <c r="AU4" s="144">
        <f t="shared" si="0"/>
        <v>1001</v>
      </c>
      <c r="AV4" s="144">
        <f t="shared" si="0"/>
        <v>19</v>
      </c>
      <c r="AW4" s="144">
        <f t="shared" si="0"/>
        <v>24</v>
      </c>
      <c r="AX4" s="144">
        <f t="shared" si="0"/>
        <v>292</v>
      </c>
      <c r="AY4" s="144">
        <f t="shared" si="0"/>
        <v>903</v>
      </c>
      <c r="AZ4" s="144">
        <f t="shared" si="0"/>
        <v>79</v>
      </c>
      <c r="BA4" s="144">
        <f t="shared" si="0"/>
        <v>64</v>
      </c>
      <c r="BB4" s="144">
        <f t="shared" si="0"/>
        <v>100</v>
      </c>
      <c r="BC4" s="144">
        <f t="shared" si="0"/>
        <v>403</v>
      </c>
      <c r="BD4" s="144">
        <f t="shared" si="0"/>
        <v>249</v>
      </c>
      <c r="BE4" s="144">
        <f t="shared" si="0"/>
        <v>281</v>
      </c>
      <c r="BF4" s="144">
        <f t="shared" si="0"/>
        <v>1203</v>
      </c>
      <c r="BG4" s="144">
        <f t="shared" si="0"/>
        <v>213</v>
      </c>
      <c r="BH4" s="144">
        <f t="shared" si="0"/>
        <v>381</v>
      </c>
      <c r="BI4" s="146">
        <f t="shared" si="0"/>
        <v>700</v>
      </c>
      <c r="BJ4" s="147">
        <f>IF($AP4=0,0,AQ4/$AP4)</f>
        <v>0.21834776503627429</v>
      </c>
      <c r="BK4" s="149">
        <f t="shared" ref="BK4:CB4" si="1">IF($AP4=0,0,AR4/$AP4)</f>
        <v>3.5104142288790077E-4</v>
      </c>
      <c r="BL4" s="149">
        <f t="shared" si="1"/>
        <v>0</v>
      </c>
      <c r="BM4" s="149">
        <f t="shared" si="1"/>
        <v>8.1090568687105083E-2</v>
      </c>
      <c r="BN4" s="149">
        <f t="shared" si="1"/>
        <v>0.11713082143692956</v>
      </c>
      <c r="BO4" s="149">
        <f t="shared" si="1"/>
        <v>2.2232623449567048E-3</v>
      </c>
      <c r="BP4" s="149">
        <f t="shared" si="1"/>
        <v>2.8083313831032061E-3</v>
      </c>
      <c r="BQ4" s="149">
        <f t="shared" si="1"/>
        <v>3.4168031827755678E-2</v>
      </c>
      <c r="BR4" s="149">
        <f t="shared" si="1"/>
        <v>0.10566346828925813</v>
      </c>
      <c r="BS4" s="149">
        <f t="shared" si="1"/>
        <v>9.244090802714721E-3</v>
      </c>
      <c r="BT4" s="149">
        <f t="shared" si="1"/>
        <v>7.4888836882752163E-3</v>
      </c>
      <c r="BU4" s="149">
        <f t="shared" si="1"/>
        <v>1.1701380762930026E-2</v>
      </c>
      <c r="BV4" s="149">
        <f t="shared" si="1"/>
        <v>4.7156564474608004E-2</v>
      </c>
      <c r="BW4" s="149">
        <f t="shared" si="1"/>
        <v>2.9136438099695763E-2</v>
      </c>
      <c r="BX4" s="149">
        <f t="shared" si="1"/>
        <v>3.2880879943833374E-2</v>
      </c>
      <c r="BY4" s="149">
        <f t="shared" si="1"/>
        <v>0.14076761057804821</v>
      </c>
      <c r="BZ4" s="149">
        <f t="shared" si="1"/>
        <v>2.4923941025040953E-2</v>
      </c>
      <c r="CA4" s="149">
        <f t="shared" si="1"/>
        <v>4.4582260706763396E-2</v>
      </c>
      <c r="CB4" s="150">
        <f t="shared" si="1"/>
        <v>8.1909665340510182E-2</v>
      </c>
      <c r="CC4" s="143">
        <f>SUM(CC7:CC70)</f>
        <v>8546</v>
      </c>
      <c r="CD4" s="144">
        <f t="shared" ref="CD4:CI4" si="2">SUM(CD7:CD70)</f>
        <v>6872</v>
      </c>
      <c r="CE4" s="144">
        <f t="shared" si="2"/>
        <v>1286</v>
      </c>
      <c r="CF4" s="144">
        <f t="shared" si="2"/>
        <v>315</v>
      </c>
      <c r="CG4" s="143">
        <f t="shared" si="2"/>
        <v>564</v>
      </c>
      <c r="CH4" s="144">
        <f t="shared" si="2"/>
        <v>270</v>
      </c>
      <c r="CI4" s="144">
        <f t="shared" si="2"/>
        <v>245</v>
      </c>
      <c r="CJ4" s="144">
        <f>SUM(CJ7:CJ70)</f>
        <v>36</v>
      </c>
      <c r="CK4" s="148">
        <f>IF($CC4=0,0,CD4/$CC4)</f>
        <v>0.80411888602855142</v>
      </c>
      <c r="CL4" s="149">
        <f>IF($CC4=0,0,CE4/$CC4)</f>
        <v>0.15047975661128013</v>
      </c>
      <c r="CM4" s="150">
        <f>IF($CC4=0,0,CF4/$CC4)</f>
        <v>3.6859349403229581E-2</v>
      </c>
      <c r="CN4" s="148">
        <f>IF($CG4=0,0,CH4/$CG4)</f>
        <v>0.47872340425531917</v>
      </c>
      <c r="CO4" s="149">
        <f>IF($CG4=0,0,CI4/$CG4)</f>
        <v>0.43439716312056736</v>
      </c>
      <c r="CP4" s="150">
        <f>IF($CG4=0,0,CJ4/$CG4)</f>
        <v>6.3829787234042548E-2</v>
      </c>
    </row>
    <row r="5" spans="1:94" s="181" customFormat="1" x14ac:dyDescent="0.15">
      <c r="A5" s="183" t="str">
        <f>管理者入力シート!B2</f>
        <v>45209_2</v>
      </c>
      <c r="B5" s="201" t="str">
        <f>VLOOKUP($A$5,$A$7:$CP$50,2,FALSE)</f>
        <v>えびの市</v>
      </c>
      <c r="C5" s="201" t="str">
        <f>VLOOKUP($A$5,$A$7:$CP$50,3,FALSE)</f>
        <v>上江小・中学校区</v>
      </c>
      <c r="D5" s="188">
        <f>VLOOKUP($A$5,$A$7:$CP$70,4,FALSE)</f>
        <v>1034</v>
      </c>
      <c r="E5" s="189">
        <f>VLOOKUP($A$5,$A$7:$CP$70,5,FALSE)</f>
        <v>694</v>
      </c>
      <c r="F5" s="189">
        <f>VLOOKUP($A$5,$A$7:$CP$70,6,FALSE)</f>
        <v>234</v>
      </c>
      <c r="G5" s="190">
        <f>VLOOKUP($A$5,$A$7:$CP$70,7,FALSE)</f>
        <v>229</v>
      </c>
      <c r="H5" s="178">
        <f>VLOOKUP($A$5,$A$7:$CP$70,8,FALSE)</f>
        <v>0.67117988394584138</v>
      </c>
      <c r="I5" s="179">
        <f>VLOOKUP($A$5,$A$7:$CP$70,9,FALSE)</f>
        <v>0.22630560928433269</v>
      </c>
      <c r="J5" s="180">
        <f>VLOOKUP($A$5,$A$7:$CP$70,10,FALSE)</f>
        <v>0.22147001934235977</v>
      </c>
      <c r="K5" s="188">
        <f>VLOOKUP($A$5,$A$7:$CP$70,11,FALSE)</f>
        <v>2257</v>
      </c>
      <c r="L5" s="189">
        <f>VLOOKUP($A$5,$A$7:$CP$70,12,FALSE)</f>
        <v>435</v>
      </c>
      <c r="M5" s="189">
        <f>VLOOKUP($A$5,$A$7:$CP$70,13,FALSE)</f>
        <v>410</v>
      </c>
      <c r="N5" s="190">
        <f>VLOOKUP($A$5,$A$7:$CP$70,14,FALSE)</f>
        <v>1403</v>
      </c>
      <c r="O5" s="178">
        <f>VLOOKUP($A$5,$A$7:$CP$70,15,FALSE)</f>
        <v>0.19273371732388125</v>
      </c>
      <c r="P5" s="179">
        <f>VLOOKUP($A$5,$A$7:$CP$70,16,FALSE)</f>
        <v>0.18165706690296854</v>
      </c>
      <c r="Q5" s="180">
        <f>VLOOKUP($A$5,$A$7:$CP$70,17,FALSE)</f>
        <v>0.6216216216216216</v>
      </c>
      <c r="R5" s="188">
        <f>VLOOKUP($A$5,$A$7:$CP$70,18,FALSE)</f>
        <v>2257</v>
      </c>
      <c r="S5" s="189">
        <f>VLOOKUP($A$5,$A$7:$CP$70,19,FALSE)</f>
        <v>87</v>
      </c>
      <c r="T5" s="189">
        <f>VLOOKUP($A$5,$A$7:$CP$70,20,FALSE)</f>
        <v>34</v>
      </c>
      <c r="U5" s="189">
        <f>VLOOKUP($A$5,$A$7:$CP$70,21,FALSE)</f>
        <v>66</v>
      </c>
      <c r="V5" s="189">
        <f>VLOOKUP($A$5,$A$7:$CP$70,22,FALSE)</f>
        <v>11</v>
      </c>
      <c r="W5" s="190">
        <f>VLOOKUP($A$5,$A$7:$CP$70,23,FALSE)</f>
        <v>198</v>
      </c>
      <c r="X5" s="188">
        <f>VLOOKUP($A$5,$A$7:$CP$70,24,FALSE)</f>
        <v>1112</v>
      </c>
      <c r="Y5" s="189">
        <f>VLOOKUP($A$5,$A$7:$CP$70,25,FALSE)</f>
        <v>41</v>
      </c>
      <c r="Z5" s="189">
        <f>VLOOKUP($A$5,$A$7:$CP$70,26,FALSE)</f>
        <v>19</v>
      </c>
      <c r="AA5" s="189">
        <f>VLOOKUP($A$5,$A$7:$CP$70,27,FALSE)</f>
        <v>37</v>
      </c>
      <c r="AB5" s="189">
        <f>VLOOKUP($A$5,$A$7:$CP$70,28,FALSE)</f>
        <v>2</v>
      </c>
      <c r="AC5" s="191">
        <f>VLOOKUP($A$5,$A$7:$CP$70,29,FALSE)</f>
        <v>99</v>
      </c>
      <c r="AD5" s="188">
        <f>VLOOKUP($A$5,$A$7:$CP$70,30,FALSE)</f>
        <v>1145</v>
      </c>
      <c r="AE5" s="189">
        <f>VLOOKUP($A$5,$A$7:$CP$70,31,FALSE)</f>
        <v>46</v>
      </c>
      <c r="AF5" s="189">
        <f>VLOOKUP($A$5,$A$7:$CP$70,32,FALSE)</f>
        <v>15</v>
      </c>
      <c r="AG5" s="189">
        <f>VLOOKUP($A$5,$A$7:$CP$70,33,FALSE)</f>
        <v>29</v>
      </c>
      <c r="AH5" s="189">
        <f>VLOOKUP($A$5,$A$7:$CP$70,34,FALSE)</f>
        <v>9</v>
      </c>
      <c r="AI5" s="191">
        <f>VLOOKUP($A$5,$A$7:$CP$70,35,FALSE)</f>
        <v>99</v>
      </c>
      <c r="AJ5" s="178">
        <f>VLOOKUP($A$5,$A$7:$CP$70,36,FALSE)</f>
        <v>8.7727071333628712E-2</v>
      </c>
      <c r="AK5" s="179">
        <f>VLOOKUP($A$5,$A$7:$CP$70,37,FALSE)</f>
        <v>0.17171717171717171</v>
      </c>
      <c r="AL5" s="179">
        <f>VLOOKUP($A$5,$A$7:$CP$70,38,FALSE)</f>
        <v>0.33333333333333331</v>
      </c>
      <c r="AM5" s="179">
        <f>VLOOKUP($A$5,$A$7:$CP$70,39,FALSE)</f>
        <v>5.5555555555555552E-2</v>
      </c>
      <c r="AN5" s="182">
        <f>VLOOKUP($A$5,$A$7:$CP$70,40,FALSE)</f>
        <v>0.5</v>
      </c>
      <c r="AO5" s="180">
        <f>VLOOKUP($A$5,$A$7:$CP$70,41,FALSE)</f>
        <v>0.5</v>
      </c>
      <c r="AP5" s="192">
        <f>VLOOKUP($A$5,$A$7:$CP$70,42,FALSE)</f>
        <v>1162</v>
      </c>
      <c r="AQ5" s="189">
        <f>VLOOKUP($A$5,$A$7:$CP$70,43,FALSE)</f>
        <v>376</v>
      </c>
      <c r="AR5" s="189">
        <f>VLOOKUP($A$5,$A$7:$CP$70,44,FALSE)</f>
        <v>0</v>
      </c>
      <c r="AS5" s="189">
        <f>VLOOKUP($A$5,$A$7:$CP$70,45,FALSE)</f>
        <v>0</v>
      </c>
      <c r="AT5" s="189">
        <f>VLOOKUP($A$5,$A$7:$CP$70,46,FALSE)</f>
        <v>86</v>
      </c>
      <c r="AU5" s="189">
        <f>VLOOKUP($A$5,$A$7:$CP$70,47,FALSE)</f>
        <v>155</v>
      </c>
      <c r="AV5" s="189">
        <f>VLOOKUP($A$5,$A$7:$CP$70,48,FALSE)</f>
        <v>0</v>
      </c>
      <c r="AW5" s="189">
        <f>VLOOKUP($A$5,$A$7:$CP$70,49,FALSE)</f>
        <v>3</v>
      </c>
      <c r="AX5" s="189">
        <f>VLOOKUP($A$5,$A$7:$CP$70,50,FALSE)</f>
        <v>45</v>
      </c>
      <c r="AY5" s="189">
        <f>VLOOKUP($A$5,$A$7:$CP$70,51,FALSE)</f>
        <v>101</v>
      </c>
      <c r="AZ5" s="189">
        <f>VLOOKUP($A$5,$A$7:$CP$70,52,FALSE)</f>
        <v>5</v>
      </c>
      <c r="BA5" s="189">
        <f>VLOOKUP($A$5,$A$7:$CP$70,53,FALSE)</f>
        <v>7</v>
      </c>
      <c r="BB5" s="189">
        <f>VLOOKUP($A$5,$A$7:$CP$70,54,FALSE)</f>
        <v>14</v>
      </c>
      <c r="BC5" s="189">
        <f>VLOOKUP($A$5,$A$7:$CP$70,55,FALSE)</f>
        <v>42</v>
      </c>
      <c r="BD5" s="189">
        <f>VLOOKUP($A$5,$A$7:$CP$70,56,FALSE)</f>
        <v>30</v>
      </c>
      <c r="BE5" s="189">
        <f>VLOOKUP($A$5,$A$7:$CP$70,57,FALSE)</f>
        <v>27</v>
      </c>
      <c r="BF5" s="189">
        <f>VLOOKUP($A$5,$A$7:$CP$70,58,FALSE)</f>
        <v>134</v>
      </c>
      <c r="BG5" s="189">
        <f>VLOOKUP($A$5,$A$7:$CP$70,59,FALSE)</f>
        <v>26</v>
      </c>
      <c r="BH5" s="189">
        <f>VLOOKUP($A$5,$A$7:$CP$70,60,FALSE)</f>
        <v>53</v>
      </c>
      <c r="BI5" s="189">
        <f>VLOOKUP($A$5,$A$7:$CP$70,61,FALSE)</f>
        <v>53</v>
      </c>
      <c r="BJ5" s="178">
        <f>VLOOKUP($A$5,$A$7:$CP$70,62,FALSE)</f>
        <v>0.32358003442340794</v>
      </c>
      <c r="BK5" s="179">
        <f>VLOOKUP($A$5,$A$7:$CP$70,63,FALSE)</f>
        <v>0</v>
      </c>
      <c r="BL5" s="179">
        <f>VLOOKUP($A$5,$A$7:$CP$70,64,FALSE)</f>
        <v>0</v>
      </c>
      <c r="BM5" s="179">
        <f>VLOOKUP($A$5,$A$7:$CP$70,65,FALSE)</f>
        <v>7.4010327022375214E-2</v>
      </c>
      <c r="BN5" s="179">
        <f>VLOOKUP($A$5,$A$7:$CP$70,66,FALSE)</f>
        <v>0.1333907056798623</v>
      </c>
      <c r="BO5" s="179">
        <f>VLOOKUP($A$5,$A$7:$CP$70,67,FALSE)</f>
        <v>0</v>
      </c>
      <c r="BP5" s="179">
        <f>VLOOKUP($A$5,$A$7:$CP$70,68,FALSE)</f>
        <v>2.5817555938037868E-3</v>
      </c>
      <c r="BQ5" s="179">
        <f>VLOOKUP($A$5,$A$7:$CP$70,69,FALSE)</f>
        <v>3.8726333907056799E-2</v>
      </c>
      <c r="BR5" s="179">
        <f>VLOOKUP($A$5,$A$7:$CP$70,70,FALSE)</f>
        <v>8.6919104991394144E-2</v>
      </c>
      <c r="BS5" s="179">
        <f>VLOOKUP($A$5,$A$7:$CP$70,71,FALSE)</f>
        <v>4.3029259896729772E-3</v>
      </c>
      <c r="BT5" s="179">
        <f>VLOOKUP($A$5,$A$7:$CP$70,72,FALSE)</f>
        <v>6.024096385542169E-3</v>
      </c>
      <c r="BU5" s="179">
        <f>VLOOKUP($A$5,$A$7:$CP$70,73,FALSE)</f>
        <v>1.2048192771084338E-2</v>
      </c>
      <c r="BV5" s="179">
        <f>VLOOKUP($A$5,$A$7:$CP$70,74,FALSE)</f>
        <v>3.614457831325301E-2</v>
      </c>
      <c r="BW5" s="179">
        <f>VLOOKUP($A$5,$A$7:$CP$70,75,FALSE)</f>
        <v>2.5817555938037865E-2</v>
      </c>
      <c r="BX5" s="179">
        <f>VLOOKUP($A$5,$A$7:$CP$70,76,FALSE)</f>
        <v>2.323580034423408E-2</v>
      </c>
      <c r="BY5" s="179">
        <f>VLOOKUP($A$5,$A$7:$CP$70,77,FALSE)</f>
        <v>0.11531841652323579</v>
      </c>
      <c r="BZ5" s="179">
        <f>VLOOKUP($A$5,$A$7:$CP$70,78,FALSE)</f>
        <v>2.2375215146299483E-2</v>
      </c>
      <c r="CA5" s="179">
        <f>VLOOKUP($A$5,$A$7:$CP$70,79,FALSE)</f>
        <v>4.5611015490533563E-2</v>
      </c>
      <c r="CB5" s="180">
        <f>VLOOKUP($A$5,$A$7:$CP$70,80,FALSE)</f>
        <v>4.5611015490533563E-2</v>
      </c>
      <c r="CC5" s="188">
        <f>VLOOKUP($A$5,$A$7:$CP$70,81,FALSE)</f>
        <v>1162</v>
      </c>
      <c r="CD5" s="190">
        <f>VLOOKUP($A$5,$A$7:$CP$70,82,FALSE)</f>
        <v>935</v>
      </c>
      <c r="CE5" s="189">
        <f>VLOOKUP($A$5,$A$7:$CP$70,83,FALSE)</f>
        <v>187</v>
      </c>
      <c r="CF5" s="191">
        <f>VLOOKUP($A$5,$A$7:$CP$70,84,FALSE)</f>
        <v>33</v>
      </c>
      <c r="CG5" s="188">
        <f>VLOOKUP($A$5,$A$7:$CP$70,85,FALSE)</f>
        <v>66</v>
      </c>
      <c r="CH5" s="189">
        <f>VLOOKUP($A$5,$A$7:$CP$70,86,FALSE)</f>
        <v>30</v>
      </c>
      <c r="CI5" s="189">
        <f>VLOOKUP($A$5,$A$7:$CP$70,87,FALSE)</f>
        <v>34</v>
      </c>
      <c r="CJ5" s="191">
        <f>VLOOKUP($A$5,$A$7:$CP$70,88,FALSE)</f>
        <v>1</v>
      </c>
      <c r="CK5" s="178">
        <f>VLOOKUP($A$5,$A$7:$CP$70,89,FALSE)</f>
        <v>0.80464716006884685</v>
      </c>
      <c r="CL5" s="179">
        <f>VLOOKUP($A$5,$A$7:$CP$70,90,FALSE)</f>
        <v>0.16092943201376936</v>
      </c>
      <c r="CM5" s="180">
        <f>VLOOKUP($A$5,$A$7:$CP$70,91,FALSE)</f>
        <v>2.8399311531841654E-2</v>
      </c>
      <c r="CN5" s="178">
        <f>VLOOKUP($A$5,$A$7:$CP$70,92,FALSE)</f>
        <v>0.45454545454545453</v>
      </c>
      <c r="CO5" s="179">
        <f>VLOOKUP($A$5,$A$7:$CP$70,93,FALSE)</f>
        <v>0.51515151515151514</v>
      </c>
      <c r="CP5" s="180">
        <f>VLOOKUP($A$5,$A$7:$CP$70,94,FALSE)</f>
        <v>1.5151515151515152E-2</v>
      </c>
    </row>
    <row r="6" spans="1:94" s="241" customFormat="1" x14ac:dyDescent="0.15"/>
    <row r="7" spans="1:94" x14ac:dyDescent="0.15">
      <c r="A7" t="s">
        <v>428</v>
      </c>
      <c r="B7" t="s">
        <v>429</v>
      </c>
      <c r="C7" t="s">
        <v>430</v>
      </c>
      <c r="D7">
        <v>3299</v>
      </c>
      <c r="E7">
        <v>1878</v>
      </c>
      <c r="F7">
        <v>629</v>
      </c>
      <c r="G7">
        <v>704</v>
      </c>
      <c r="H7">
        <v>0.56926341315550166</v>
      </c>
      <c r="I7">
        <v>0.19066383752652319</v>
      </c>
      <c r="J7">
        <v>0.21339799939375567</v>
      </c>
      <c r="K7">
        <v>7287</v>
      </c>
      <c r="L7">
        <v>1058</v>
      </c>
      <c r="M7">
        <v>2132</v>
      </c>
      <c r="N7">
        <v>3972</v>
      </c>
      <c r="O7">
        <v>0.14519006449842184</v>
      </c>
      <c r="P7">
        <v>0.29257581995334159</v>
      </c>
      <c r="Q7">
        <v>0.54508027995059694</v>
      </c>
      <c r="R7">
        <v>7287</v>
      </c>
      <c r="S7">
        <v>551</v>
      </c>
      <c r="T7">
        <v>247</v>
      </c>
      <c r="U7">
        <v>441</v>
      </c>
      <c r="V7">
        <v>25</v>
      </c>
      <c r="W7">
        <v>1264</v>
      </c>
      <c r="X7">
        <v>3507</v>
      </c>
      <c r="Y7">
        <v>254</v>
      </c>
      <c r="Z7">
        <v>135</v>
      </c>
      <c r="AA7">
        <v>273</v>
      </c>
      <c r="AB7">
        <v>3</v>
      </c>
      <c r="AC7">
        <v>665</v>
      </c>
      <c r="AD7">
        <v>3780</v>
      </c>
      <c r="AE7">
        <v>297</v>
      </c>
      <c r="AF7">
        <v>112</v>
      </c>
      <c r="AG7">
        <v>168</v>
      </c>
      <c r="AH7">
        <v>22</v>
      </c>
      <c r="AI7">
        <v>599</v>
      </c>
      <c r="AJ7">
        <v>0.17345958556333196</v>
      </c>
      <c r="AK7">
        <v>0.19541139240506328</v>
      </c>
      <c r="AL7">
        <v>0.34889240506329117</v>
      </c>
      <c r="AM7">
        <v>1.9778481012658229E-2</v>
      </c>
      <c r="AN7">
        <v>0.52610759493670889</v>
      </c>
      <c r="AO7">
        <v>0.47389240506329117</v>
      </c>
      <c r="AP7">
        <v>3667</v>
      </c>
      <c r="AQ7">
        <v>713</v>
      </c>
      <c r="AR7">
        <v>3</v>
      </c>
      <c r="AS7">
        <v>0</v>
      </c>
      <c r="AT7">
        <v>264</v>
      </c>
      <c r="AU7">
        <v>389</v>
      </c>
      <c r="AV7">
        <v>11</v>
      </c>
      <c r="AW7">
        <v>14</v>
      </c>
      <c r="AX7">
        <v>119</v>
      </c>
      <c r="AY7">
        <v>393</v>
      </c>
      <c r="AZ7">
        <v>36</v>
      </c>
      <c r="BA7">
        <v>28</v>
      </c>
      <c r="BB7">
        <v>40</v>
      </c>
      <c r="BC7">
        <v>157</v>
      </c>
      <c r="BD7">
        <v>116</v>
      </c>
      <c r="BE7">
        <v>115</v>
      </c>
      <c r="BF7">
        <v>542</v>
      </c>
      <c r="BG7">
        <v>91</v>
      </c>
      <c r="BH7">
        <v>161</v>
      </c>
      <c r="BI7">
        <v>440</v>
      </c>
      <c r="BJ7">
        <v>0.19443686937551133</v>
      </c>
      <c r="BK7">
        <v>8.181074447777475E-4</v>
      </c>
      <c r="BL7">
        <v>0</v>
      </c>
      <c r="BM7">
        <v>7.1993455140441781E-2</v>
      </c>
      <c r="BN7">
        <v>0.10608126533951459</v>
      </c>
      <c r="BO7">
        <v>2.9997272975184073E-3</v>
      </c>
      <c r="BP7">
        <v>3.8178347422961551E-3</v>
      </c>
      <c r="BQ7">
        <v>3.2451595309517314E-2</v>
      </c>
      <c r="BR7">
        <v>0.10717207526588492</v>
      </c>
      <c r="BS7">
        <v>9.8172893373329705E-3</v>
      </c>
      <c r="BT7">
        <v>7.6356694845923102E-3</v>
      </c>
      <c r="BU7">
        <v>1.09080992637033E-2</v>
      </c>
      <c r="BV7">
        <v>4.2814289610035451E-2</v>
      </c>
      <c r="BW7">
        <v>3.1633487864739566E-2</v>
      </c>
      <c r="BX7">
        <v>3.1360785383146988E-2</v>
      </c>
      <c r="BY7">
        <v>0.14780474502317972</v>
      </c>
      <c r="BZ7">
        <v>2.4815925824925006E-2</v>
      </c>
      <c r="CA7">
        <v>4.3905099536405784E-2</v>
      </c>
      <c r="CB7">
        <v>0.1199890919007363</v>
      </c>
      <c r="CC7">
        <v>3667</v>
      </c>
      <c r="CD7">
        <v>2864</v>
      </c>
      <c r="CE7">
        <v>689</v>
      </c>
      <c r="CF7">
        <v>77</v>
      </c>
      <c r="CG7">
        <v>249</v>
      </c>
      <c r="CH7">
        <v>124</v>
      </c>
      <c r="CI7">
        <v>103</v>
      </c>
      <c r="CJ7">
        <v>14</v>
      </c>
      <c r="CK7">
        <v>0.78101990728115622</v>
      </c>
      <c r="CL7">
        <v>0.18789200981728935</v>
      </c>
      <c r="CM7">
        <v>2.0998091082628852E-2</v>
      </c>
      <c r="CN7">
        <v>0.49799196787148592</v>
      </c>
      <c r="CO7">
        <v>0.41365461847389556</v>
      </c>
      <c r="CP7">
        <v>5.6224899598393573E-2</v>
      </c>
    </row>
    <row r="8" spans="1:94" x14ac:dyDescent="0.15">
      <c r="A8" t="s">
        <v>431</v>
      </c>
      <c r="B8" t="s">
        <v>429</v>
      </c>
      <c r="C8" t="s">
        <v>432</v>
      </c>
      <c r="D8">
        <v>1034</v>
      </c>
      <c r="E8">
        <v>694</v>
      </c>
      <c r="F8">
        <v>234</v>
      </c>
      <c r="G8">
        <v>229</v>
      </c>
      <c r="H8">
        <v>0.67117988394584138</v>
      </c>
      <c r="I8">
        <v>0.22630560928433269</v>
      </c>
      <c r="J8">
        <v>0.22147001934235977</v>
      </c>
      <c r="K8">
        <v>2257</v>
      </c>
      <c r="L8">
        <v>435</v>
      </c>
      <c r="M8">
        <v>410</v>
      </c>
      <c r="N8">
        <v>1403</v>
      </c>
      <c r="O8">
        <v>0.19273371732388125</v>
      </c>
      <c r="P8">
        <v>0.18165706690296854</v>
      </c>
      <c r="Q8">
        <v>0.6216216216216216</v>
      </c>
      <c r="R8">
        <v>2257</v>
      </c>
      <c r="S8">
        <v>87</v>
      </c>
      <c r="T8">
        <v>34</v>
      </c>
      <c r="U8">
        <v>66</v>
      </c>
      <c r="V8">
        <v>11</v>
      </c>
      <c r="W8">
        <v>198</v>
      </c>
      <c r="X8">
        <v>1112</v>
      </c>
      <c r="Y8">
        <v>41</v>
      </c>
      <c r="Z8">
        <v>19</v>
      </c>
      <c r="AA8">
        <v>37</v>
      </c>
      <c r="AB8">
        <v>2</v>
      </c>
      <c r="AC8">
        <v>99</v>
      </c>
      <c r="AD8">
        <v>1145</v>
      </c>
      <c r="AE8">
        <v>46</v>
      </c>
      <c r="AF8">
        <v>15</v>
      </c>
      <c r="AG8">
        <v>29</v>
      </c>
      <c r="AH8">
        <v>9</v>
      </c>
      <c r="AI8">
        <v>99</v>
      </c>
      <c r="AJ8">
        <v>8.7727071333628712E-2</v>
      </c>
      <c r="AK8">
        <v>0.17171717171717171</v>
      </c>
      <c r="AL8">
        <v>0.33333333333333331</v>
      </c>
      <c r="AM8">
        <v>5.5555555555555552E-2</v>
      </c>
      <c r="AN8">
        <v>0.5</v>
      </c>
      <c r="AO8">
        <v>0.5</v>
      </c>
      <c r="AP8">
        <v>1162</v>
      </c>
      <c r="AQ8">
        <v>376</v>
      </c>
      <c r="AR8">
        <v>0</v>
      </c>
      <c r="AS8">
        <v>0</v>
      </c>
      <c r="AT8">
        <v>86</v>
      </c>
      <c r="AU8">
        <v>155</v>
      </c>
      <c r="AV8">
        <v>0</v>
      </c>
      <c r="AW8">
        <v>3</v>
      </c>
      <c r="AX8">
        <v>45</v>
      </c>
      <c r="AY8">
        <v>101</v>
      </c>
      <c r="AZ8">
        <v>5</v>
      </c>
      <c r="BA8">
        <v>7</v>
      </c>
      <c r="BB8">
        <v>14</v>
      </c>
      <c r="BC8">
        <v>42</v>
      </c>
      <c r="BD8">
        <v>30</v>
      </c>
      <c r="BE8">
        <v>27</v>
      </c>
      <c r="BF8">
        <v>134</v>
      </c>
      <c r="BG8">
        <v>26</v>
      </c>
      <c r="BH8">
        <v>53</v>
      </c>
      <c r="BI8">
        <v>53</v>
      </c>
      <c r="BJ8">
        <v>0.32358003442340794</v>
      </c>
      <c r="BK8">
        <v>0</v>
      </c>
      <c r="BL8">
        <v>0</v>
      </c>
      <c r="BM8">
        <v>7.4010327022375214E-2</v>
      </c>
      <c r="BN8">
        <v>0.1333907056798623</v>
      </c>
      <c r="BO8">
        <v>0</v>
      </c>
      <c r="BP8">
        <v>2.5817555938037868E-3</v>
      </c>
      <c r="BQ8">
        <v>3.8726333907056799E-2</v>
      </c>
      <c r="BR8">
        <v>8.6919104991394144E-2</v>
      </c>
      <c r="BS8">
        <v>4.3029259896729772E-3</v>
      </c>
      <c r="BT8">
        <v>6.024096385542169E-3</v>
      </c>
      <c r="BU8">
        <v>1.2048192771084338E-2</v>
      </c>
      <c r="BV8">
        <v>3.614457831325301E-2</v>
      </c>
      <c r="BW8">
        <v>2.5817555938037865E-2</v>
      </c>
      <c r="BX8">
        <v>2.323580034423408E-2</v>
      </c>
      <c r="BY8">
        <v>0.11531841652323579</v>
      </c>
      <c r="BZ8">
        <v>2.2375215146299483E-2</v>
      </c>
      <c r="CA8">
        <v>4.5611015490533563E-2</v>
      </c>
      <c r="CB8">
        <v>4.5611015490533563E-2</v>
      </c>
      <c r="CC8">
        <v>1162</v>
      </c>
      <c r="CD8">
        <v>935</v>
      </c>
      <c r="CE8">
        <v>187</v>
      </c>
      <c r="CF8">
        <v>33</v>
      </c>
      <c r="CG8">
        <v>66</v>
      </c>
      <c r="CH8">
        <v>30</v>
      </c>
      <c r="CI8">
        <v>34</v>
      </c>
      <c r="CJ8">
        <v>1</v>
      </c>
      <c r="CK8">
        <v>0.80464716006884685</v>
      </c>
      <c r="CL8">
        <v>0.16092943201376936</v>
      </c>
      <c r="CM8">
        <v>2.8399311531841654E-2</v>
      </c>
      <c r="CN8">
        <v>0.45454545454545453</v>
      </c>
      <c r="CO8">
        <v>0.51515151515151514</v>
      </c>
      <c r="CP8">
        <v>1.5151515151515152E-2</v>
      </c>
    </row>
    <row r="9" spans="1:94" x14ac:dyDescent="0.15">
      <c r="A9" t="s">
        <v>433</v>
      </c>
      <c r="B9" t="s">
        <v>429</v>
      </c>
      <c r="C9" t="s">
        <v>434</v>
      </c>
      <c r="D9">
        <v>1687</v>
      </c>
      <c r="E9">
        <v>1046</v>
      </c>
      <c r="F9">
        <v>354</v>
      </c>
      <c r="G9">
        <v>372</v>
      </c>
      <c r="H9">
        <v>0.6200355660936574</v>
      </c>
      <c r="I9">
        <v>0.20983995257854179</v>
      </c>
      <c r="J9">
        <v>0.22050978067575577</v>
      </c>
      <c r="K9">
        <v>3771</v>
      </c>
      <c r="L9">
        <v>669</v>
      </c>
      <c r="M9">
        <v>954</v>
      </c>
      <c r="N9">
        <v>2118</v>
      </c>
      <c r="O9">
        <v>0.17740652346857597</v>
      </c>
      <c r="P9">
        <v>0.2529832935560859</v>
      </c>
      <c r="Q9">
        <v>0.56165473349244233</v>
      </c>
      <c r="R9">
        <v>3771</v>
      </c>
      <c r="S9">
        <v>284</v>
      </c>
      <c r="T9">
        <v>110</v>
      </c>
      <c r="U9">
        <v>126</v>
      </c>
      <c r="V9">
        <v>40</v>
      </c>
      <c r="W9">
        <v>560</v>
      </c>
      <c r="X9">
        <v>1743</v>
      </c>
      <c r="Y9">
        <v>121</v>
      </c>
      <c r="Z9">
        <v>51</v>
      </c>
      <c r="AA9">
        <v>69</v>
      </c>
      <c r="AB9">
        <v>10</v>
      </c>
      <c r="AC9">
        <v>251</v>
      </c>
      <c r="AD9">
        <v>2028</v>
      </c>
      <c r="AE9">
        <v>163</v>
      </c>
      <c r="AF9">
        <v>59</v>
      </c>
      <c r="AG9">
        <v>57</v>
      </c>
      <c r="AH9">
        <v>30</v>
      </c>
      <c r="AI9">
        <v>309</v>
      </c>
      <c r="AJ9">
        <v>0.14850172368072129</v>
      </c>
      <c r="AK9">
        <v>0.19642857142857142</v>
      </c>
      <c r="AL9">
        <v>0.22500000000000001</v>
      </c>
      <c r="AM9">
        <v>7.1428571428571425E-2</v>
      </c>
      <c r="AN9">
        <v>0.44821428571428573</v>
      </c>
      <c r="AO9">
        <v>0.55178571428571432</v>
      </c>
      <c r="AP9">
        <v>1834</v>
      </c>
      <c r="AQ9">
        <v>435</v>
      </c>
      <c r="AR9">
        <v>0</v>
      </c>
      <c r="AS9">
        <v>0</v>
      </c>
      <c r="AT9">
        <v>156</v>
      </c>
      <c r="AU9">
        <v>195</v>
      </c>
      <c r="AV9">
        <v>6</v>
      </c>
      <c r="AW9">
        <v>6</v>
      </c>
      <c r="AX9">
        <v>57</v>
      </c>
      <c r="AY9">
        <v>191</v>
      </c>
      <c r="AZ9">
        <v>22</v>
      </c>
      <c r="BA9">
        <v>10</v>
      </c>
      <c r="BB9">
        <v>24</v>
      </c>
      <c r="BC9">
        <v>71</v>
      </c>
      <c r="BD9">
        <v>46</v>
      </c>
      <c r="BE9">
        <v>65</v>
      </c>
      <c r="BF9">
        <v>267</v>
      </c>
      <c r="BG9">
        <v>57</v>
      </c>
      <c r="BH9">
        <v>83</v>
      </c>
      <c r="BI9">
        <v>123</v>
      </c>
      <c r="BJ9">
        <v>0.23718647764449291</v>
      </c>
      <c r="BK9">
        <v>0</v>
      </c>
      <c r="BL9">
        <v>0</v>
      </c>
      <c r="BM9">
        <v>8.5059978189749183E-2</v>
      </c>
      <c r="BN9">
        <v>0.10632497273718648</v>
      </c>
      <c r="BO9">
        <v>3.2715376226826608E-3</v>
      </c>
      <c r="BP9">
        <v>3.2715376226826608E-3</v>
      </c>
      <c r="BQ9">
        <v>3.1079607415485277E-2</v>
      </c>
      <c r="BR9">
        <v>0.10414394765539804</v>
      </c>
      <c r="BS9">
        <v>1.1995637949836423E-2</v>
      </c>
      <c r="BT9">
        <v>5.4525627044711015E-3</v>
      </c>
      <c r="BU9">
        <v>1.3086150490730643E-2</v>
      </c>
      <c r="BV9">
        <v>3.8713195201744821E-2</v>
      </c>
      <c r="BW9">
        <v>2.5081788440567066E-2</v>
      </c>
      <c r="BX9">
        <v>3.5441657579062161E-2</v>
      </c>
      <c r="BY9">
        <v>0.14558342420937842</v>
      </c>
      <c r="BZ9">
        <v>3.1079607415485277E-2</v>
      </c>
      <c r="CA9">
        <v>4.5256270447110142E-2</v>
      </c>
      <c r="CB9">
        <v>6.7066521264994544E-2</v>
      </c>
      <c r="CC9">
        <v>1834</v>
      </c>
      <c r="CD9">
        <v>1533</v>
      </c>
      <c r="CE9">
        <v>220</v>
      </c>
      <c r="CF9">
        <v>64</v>
      </c>
      <c r="CG9">
        <v>128</v>
      </c>
      <c r="CH9">
        <v>59</v>
      </c>
      <c r="CI9">
        <v>53</v>
      </c>
      <c r="CJ9">
        <v>14</v>
      </c>
      <c r="CK9">
        <v>0.83587786259541985</v>
      </c>
      <c r="CL9">
        <v>0.11995637949836423</v>
      </c>
      <c r="CM9">
        <v>3.4896401308615051E-2</v>
      </c>
      <c r="CN9">
        <v>0.4609375</v>
      </c>
      <c r="CO9">
        <v>0.4140625</v>
      </c>
      <c r="CP9">
        <v>0.109375</v>
      </c>
    </row>
    <row r="10" spans="1:94" x14ac:dyDescent="0.15">
      <c r="A10" t="s">
        <v>435</v>
      </c>
      <c r="B10" t="s">
        <v>429</v>
      </c>
      <c r="C10" t="s">
        <v>436</v>
      </c>
      <c r="D10">
        <v>2007</v>
      </c>
      <c r="E10">
        <v>1304</v>
      </c>
      <c r="F10">
        <v>445</v>
      </c>
      <c r="G10">
        <v>490</v>
      </c>
      <c r="H10">
        <v>0.64972595914299947</v>
      </c>
      <c r="I10">
        <v>0.22172396611858494</v>
      </c>
      <c r="J10">
        <v>0.24414549078226208</v>
      </c>
      <c r="K10">
        <v>4323</v>
      </c>
      <c r="L10">
        <v>635</v>
      </c>
      <c r="M10">
        <v>1121</v>
      </c>
      <c r="N10">
        <v>2524</v>
      </c>
      <c r="O10">
        <v>0.14688873467499422</v>
      </c>
      <c r="P10">
        <v>0.25931066389081658</v>
      </c>
      <c r="Q10">
        <v>0.58385380522785102</v>
      </c>
      <c r="R10">
        <v>4323</v>
      </c>
      <c r="S10">
        <v>392</v>
      </c>
      <c r="T10">
        <v>76</v>
      </c>
      <c r="U10">
        <v>175</v>
      </c>
      <c r="V10">
        <v>26</v>
      </c>
      <c r="W10">
        <v>669</v>
      </c>
      <c r="X10">
        <v>1977</v>
      </c>
      <c r="Y10">
        <v>159</v>
      </c>
      <c r="Z10">
        <v>38</v>
      </c>
      <c r="AA10">
        <v>98</v>
      </c>
      <c r="AB10">
        <v>3</v>
      </c>
      <c r="AC10">
        <v>298</v>
      </c>
      <c r="AD10">
        <v>2346</v>
      </c>
      <c r="AE10">
        <v>233</v>
      </c>
      <c r="AF10">
        <v>38</v>
      </c>
      <c r="AG10">
        <v>77</v>
      </c>
      <c r="AH10">
        <v>23</v>
      </c>
      <c r="AI10">
        <v>371</v>
      </c>
      <c r="AJ10">
        <v>0.15475364330326163</v>
      </c>
      <c r="AK10">
        <v>0.11360239162929746</v>
      </c>
      <c r="AL10">
        <v>0.26158445440956651</v>
      </c>
      <c r="AM10">
        <v>3.8863976083707022E-2</v>
      </c>
      <c r="AN10">
        <v>0.44544095665171901</v>
      </c>
      <c r="AO10">
        <v>0.55455904334828099</v>
      </c>
      <c r="AP10">
        <v>1883</v>
      </c>
      <c r="AQ10">
        <v>342</v>
      </c>
      <c r="AR10">
        <v>0</v>
      </c>
      <c r="AS10">
        <v>0</v>
      </c>
      <c r="AT10">
        <v>187</v>
      </c>
      <c r="AU10">
        <v>262</v>
      </c>
      <c r="AV10">
        <v>2</v>
      </c>
      <c r="AW10">
        <v>1</v>
      </c>
      <c r="AX10">
        <v>71</v>
      </c>
      <c r="AY10">
        <v>218</v>
      </c>
      <c r="AZ10">
        <v>16</v>
      </c>
      <c r="BA10">
        <v>19</v>
      </c>
      <c r="BB10">
        <v>22</v>
      </c>
      <c r="BC10">
        <v>133</v>
      </c>
      <c r="BD10">
        <v>57</v>
      </c>
      <c r="BE10">
        <v>74</v>
      </c>
      <c r="BF10">
        <v>260</v>
      </c>
      <c r="BG10">
        <v>39</v>
      </c>
      <c r="BH10">
        <v>84</v>
      </c>
      <c r="BI10">
        <v>84</v>
      </c>
      <c r="BJ10">
        <v>0.18162506638343071</v>
      </c>
      <c r="BK10">
        <v>0</v>
      </c>
      <c r="BL10">
        <v>0</v>
      </c>
      <c r="BM10">
        <v>9.930961232076474E-2</v>
      </c>
      <c r="BN10">
        <v>0.13913967073818376</v>
      </c>
      <c r="BO10">
        <v>1.0621348911311736E-3</v>
      </c>
      <c r="BP10">
        <v>5.3106744556558679E-4</v>
      </c>
      <c r="BQ10">
        <v>3.7705788635156667E-2</v>
      </c>
      <c r="BR10">
        <v>0.11577270313329793</v>
      </c>
      <c r="BS10">
        <v>8.4970791290493886E-3</v>
      </c>
      <c r="BT10">
        <v>1.009028146574615E-2</v>
      </c>
      <c r="BU10">
        <v>1.168348380244291E-2</v>
      </c>
      <c r="BV10">
        <v>7.0631970260223054E-2</v>
      </c>
      <c r="BW10">
        <v>3.0270844397238449E-2</v>
      </c>
      <c r="BX10">
        <v>3.9298990971853423E-2</v>
      </c>
      <c r="BY10">
        <v>0.13807753584705257</v>
      </c>
      <c r="BZ10">
        <v>2.0711630377057887E-2</v>
      </c>
      <c r="CA10">
        <v>4.4609665427509292E-2</v>
      </c>
      <c r="CB10">
        <v>4.4609665427509292E-2</v>
      </c>
      <c r="CC10">
        <v>1883</v>
      </c>
      <c r="CD10">
        <v>1540</v>
      </c>
      <c r="CE10">
        <v>190</v>
      </c>
      <c r="CF10">
        <v>141</v>
      </c>
      <c r="CG10">
        <v>121</v>
      </c>
      <c r="CH10">
        <v>57</v>
      </c>
      <c r="CI10">
        <v>55</v>
      </c>
      <c r="CJ10">
        <v>7</v>
      </c>
      <c r="CK10">
        <v>0.81784386617100369</v>
      </c>
      <c r="CL10">
        <v>0.1009028146574615</v>
      </c>
      <c r="CM10">
        <v>7.488050982474774E-2</v>
      </c>
      <c r="CN10">
        <v>0.47107438016528924</v>
      </c>
      <c r="CO10">
        <v>0.45454545454545453</v>
      </c>
      <c r="CP10">
        <v>5.7851239669421489E-2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2" t="str">
        <f>管理者入力シート!B4</f>
        <v>上江小・中学校区</v>
      </c>
      <c r="C2" s="252"/>
      <c r="D2" s="252"/>
      <c r="E2" s="251" t="s">
        <v>225</v>
      </c>
      <c r="F2" s="251"/>
      <c r="G2" s="251"/>
      <c r="H2" s="251"/>
      <c r="I2" s="251"/>
    </row>
    <row r="3" spans="1:10" ht="22.5" customHeight="1" x14ac:dyDescent="0.15">
      <c r="B3" s="252"/>
      <c r="C3" s="252"/>
      <c r="D3" s="252"/>
      <c r="E3" s="251"/>
      <c r="F3" s="251"/>
      <c r="G3" s="251"/>
      <c r="H3" s="251"/>
      <c r="I3" s="251"/>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7">
        <f>管理者用グラフシート!E6</f>
        <v>2252</v>
      </c>
      <c r="F6" s="257"/>
      <c r="G6" s="20" t="s">
        <v>54</v>
      </c>
    </row>
    <row r="7" spans="1:10" ht="22.5" customHeight="1" x14ac:dyDescent="0.15">
      <c r="A7" s="250">
        <f>管理者用グラフシート!B4</f>
        <v>2010</v>
      </c>
      <c r="B7" s="250"/>
      <c r="C7" s="82" t="s">
        <v>226</v>
      </c>
      <c r="D7" s="249">
        <f>E6-管理者用グラフシート!E4</f>
        <v>-488</v>
      </c>
      <c r="E7" s="249"/>
      <c r="F7" s="20" t="s">
        <v>356</v>
      </c>
    </row>
    <row r="8" spans="1:10" ht="22.5" customHeight="1" x14ac:dyDescent="0.15">
      <c r="A8" s="258" t="s">
        <v>380</v>
      </c>
      <c r="B8" s="258"/>
      <c r="C8" s="203">
        <f>管理者用グラフシート!C6-管理者用グラフシート!C4</f>
        <v>-195</v>
      </c>
      <c r="D8" s="206" t="s">
        <v>381</v>
      </c>
      <c r="F8" s="203">
        <f>管理者用グラフシート!D6-管理者用グラフシート!D4</f>
        <v>-293</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4">
        <f>管理者用グラフシート!C12</f>
        <v>102</v>
      </c>
      <c r="G36" s="254"/>
      <c r="H36" s="20" t="s">
        <v>54</v>
      </c>
    </row>
    <row r="37" spans="1:9" ht="22.5" customHeight="1" x14ac:dyDescent="0.15">
      <c r="A37" s="20" t="s">
        <v>66</v>
      </c>
      <c r="F37" s="254">
        <f>管理者用グラフシート!C16</f>
        <v>51</v>
      </c>
      <c r="G37" s="254"/>
      <c r="H37" s="20" t="s">
        <v>54</v>
      </c>
    </row>
    <row r="38" spans="1:9" ht="22.5" customHeight="1" x14ac:dyDescent="0.15">
      <c r="D38" s="256"/>
      <c r="E38" s="256"/>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49">
        <f>F36-管理者用グラフシート!C10</f>
        <v>-17</v>
      </c>
      <c r="E40" s="249"/>
      <c r="F40" s="20" t="s">
        <v>60</v>
      </c>
    </row>
    <row r="41" spans="1:9" ht="22.5" customHeight="1" x14ac:dyDescent="0.15">
      <c r="B41" s="20" t="s">
        <v>69</v>
      </c>
      <c r="D41" s="249">
        <f>F37-管理者用グラフシート!C14</f>
        <v>-11</v>
      </c>
      <c r="E41" s="249"/>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4">
        <f>管理者用グラフシート!C22</f>
        <v>1002</v>
      </c>
      <c r="D70" s="254"/>
      <c r="E70" s="20" t="s">
        <v>76</v>
      </c>
      <c r="F70" s="37"/>
      <c r="G70" s="253">
        <f>管理者用グラフシート!C32</f>
        <v>0.44</v>
      </c>
      <c r="H70" s="253"/>
      <c r="I70" s="20" t="s">
        <v>77</v>
      </c>
    </row>
    <row r="71" spans="1:9" ht="22.5" customHeight="1" x14ac:dyDescent="0.15">
      <c r="A71" s="20" t="s">
        <v>78</v>
      </c>
      <c r="C71" s="254">
        <f>管理者用グラフシート!C26</f>
        <v>521</v>
      </c>
      <c r="D71" s="254"/>
      <c r="E71" s="20" t="s">
        <v>76</v>
      </c>
      <c r="F71" s="37"/>
      <c r="G71" s="253">
        <f>管理者用グラフシート!C36</f>
        <v>0.23</v>
      </c>
      <c r="H71" s="253"/>
      <c r="I71" s="20" t="s">
        <v>77</v>
      </c>
    </row>
    <row r="72" spans="1:9" ht="22.5" customHeight="1" x14ac:dyDescent="0.15">
      <c r="D72" s="256"/>
      <c r="E72" s="256"/>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4"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9ポイント上昇</v>
      </c>
      <c r="F74" s="254"/>
      <c r="G74" s="254"/>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4.15"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5">
        <f>SUM(管理者用グラフシート!B93:C94)-SUM(管理者用グラフシート!B45:C46)</f>
        <v>-104</v>
      </c>
      <c r="G135" s="207" t="s">
        <v>386</v>
      </c>
      <c r="H135" s="111"/>
    </row>
    <row r="136" spans="1:8" ht="22.5" customHeight="1" x14ac:dyDescent="0.15">
      <c r="A136" s="35" t="s">
        <v>387</v>
      </c>
      <c r="C136" s="205">
        <f>SUM(管理者用グラフシート!B95:C96)-SUM(管理者用グラフシート!B47:C48)</f>
        <v>-46</v>
      </c>
      <c r="D136" s="20" t="s">
        <v>388</v>
      </c>
      <c r="E136" s="34"/>
      <c r="F136" s="205">
        <f>SUM(管理者用グラフシート!B97:C98)-SUM(管理者用グラフシート!B49:C50)</f>
        <v>-45</v>
      </c>
      <c r="G136" s="20" t="s">
        <v>386</v>
      </c>
    </row>
    <row r="137" spans="1:8" ht="18.75" x14ac:dyDescent="0.15">
      <c r="A137" s="20" t="s">
        <v>389</v>
      </c>
      <c r="C137" s="205">
        <f>SUM(管理者用グラフシート!B99:C100)-SUM(管理者用グラフシート!B51:C52)</f>
        <v>-220</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2" t="str">
        <f>管理者入力シート!B4</f>
        <v>上江小・中学校区</v>
      </c>
      <c r="B2" s="252"/>
      <c r="C2" s="252"/>
      <c r="D2" s="251" t="s">
        <v>230</v>
      </c>
      <c r="E2" s="251"/>
      <c r="F2" s="251"/>
      <c r="G2" s="251"/>
      <c r="H2" s="251"/>
      <c r="I2" s="251"/>
    </row>
    <row r="3" spans="1:9" ht="27.75" customHeight="1" x14ac:dyDescent="0.15">
      <c r="A3" s="252"/>
      <c r="B3" s="252"/>
      <c r="C3" s="252"/>
      <c r="D3" s="251"/>
      <c r="E3" s="251"/>
      <c r="F3" s="251"/>
      <c r="G3" s="251"/>
      <c r="H3" s="251"/>
      <c r="I3" s="251"/>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4">
        <f>管理者用グラフシート!K8</f>
        <v>1707</v>
      </c>
      <c r="E6" s="254"/>
      <c r="F6" s="20" t="s">
        <v>231</v>
      </c>
      <c r="H6" s="34"/>
      <c r="I6" s="34"/>
    </row>
    <row r="7" spans="1:9" ht="22.5" customHeight="1" x14ac:dyDescent="0.15">
      <c r="A7" s="250">
        <f>管理者入力シート!B5</f>
        <v>2020</v>
      </c>
      <c r="B7" s="250"/>
      <c r="C7" s="195" t="s">
        <v>362</v>
      </c>
      <c r="D7" s="249">
        <f>D6-現況シート!E6</f>
        <v>-545</v>
      </c>
      <c r="E7" s="249"/>
      <c r="F7" s="20" t="s">
        <v>232</v>
      </c>
      <c r="I7" s="34"/>
    </row>
    <row r="8" spans="1:9" ht="22.5" customHeight="1" x14ac:dyDescent="0.15">
      <c r="A8" s="258" t="s">
        <v>397</v>
      </c>
      <c r="B8" s="258"/>
      <c r="C8" s="205">
        <f>管理者用グラフシート!I8-管理者用グラフシート!C6</f>
        <v>-225</v>
      </c>
      <c r="D8" s="206" t="s">
        <v>398</v>
      </c>
      <c r="F8" s="259">
        <f>管理者用グラフシート!J8-管理者用グラフシート!D6</f>
        <v>-320</v>
      </c>
      <c r="G8" s="259"/>
      <c r="H8" s="20" t="s">
        <v>399</v>
      </c>
    </row>
    <row r="10" spans="1:9" ht="22.5" customHeight="1" x14ac:dyDescent="0.15">
      <c r="A10" s="250">
        <f>管理者入力シート!B11</f>
        <v>2040</v>
      </c>
      <c r="B10" s="250"/>
      <c r="C10" s="20" t="s">
        <v>361</v>
      </c>
      <c r="D10" s="254">
        <f>管理者用グラフシート!K10</f>
        <v>1225</v>
      </c>
      <c r="E10" s="254"/>
      <c r="F10" s="20" t="s">
        <v>231</v>
      </c>
      <c r="H10" s="34"/>
    </row>
    <row r="11" spans="1:9" ht="22.5" customHeight="1" x14ac:dyDescent="0.15">
      <c r="A11" s="250">
        <f>管理者入力シート!B5</f>
        <v>2020</v>
      </c>
      <c r="B11" s="250"/>
      <c r="C11" s="195" t="s">
        <v>362</v>
      </c>
      <c r="D11" s="249">
        <f>D10-現況シート!E6</f>
        <v>-1027</v>
      </c>
      <c r="E11" s="249"/>
      <c r="F11" s="20" t="s">
        <v>232</v>
      </c>
      <c r="H11" s="34"/>
    </row>
    <row r="12" spans="1:9" ht="22.5" customHeight="1" x14ac:dyDescent="0.15">
      <c r="A12" s="258" t="s">
        <v>397</v>
      </c>
      <c r="B12" s="258"/>
      <c r="C12" s="205">
        <f>管理者用グラフシート!I10-管理者用グラフシート!C6</f>
        <v>-455</v>
      </c>
      <c r="D12" s="206" t="s">
        <v>398</v>
      </c>
      <c r="F12" s="259">
        <f>管理者用グラフシート!J10-管理者用グラフシート!D6</f>
        <v>-572</v>
      </c>
      <c r="G12" s="259"/>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60" t="s">
        <v>363</v>
      </c>
      <c r="D35" s="260"/>
      <c r="F35" s="36"/>
      <c r="G35" s="36"/>
      <c r="H35" s="257"/>
      <c r="I35" s="256"/>
    </row>
    <row r="36" spans="1:9" ht="22.5" customHeight="1" x14ac:dyDescent="0.15">
      <c r="A36" s="20" t="s">
        <v>237</v>
      </c>
      <c r="F36" s="254">
        <f>管理者用グラフシート!I20</f>
        <v>29</v>
      </c>
      <c r="G36" s="254"/>
      <c r="H36" s="82" t="s">
        <v>233</v>
      </c>
      <c r="I36" s="34"/>
    </row>
    <row r="37" spans="1:9" ht="22.5" customHeight="1" x14ac:dyDescent="0.15">
      <c r="A37" s="20" t="s">
        <v>234</v>
      </c>
      <c r="F37" s="254">
        <f>管理者用グラフシート!I28</f>
        <v>15</v>
      </c>
      <c r="G37" s="254"/>
      <c r="H37" s="109" t="s">
        <v>235</v>
      </c>
      <c r="I37" s="86"/>
    </row>
    <row r="38" spans="1:9" ht="22.5" customHeight="1" x14ac:dyDescent="0.15">
      <c r="D38" s="256"/>
      <c r="E38" s="256"/>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9">
        <f>F36-現況シート!F36</f>
        <v>-73</v>
      </c>
      <c r="G40" s="249"/>
      <c r="H40" s="35" t="s">
        <v>60</v>
      </c>
    </row>
    <row r="41" spans="1:9" ht="22.5" customHeight="1" x14ac:dyDescent="0.15">
      <c r="A41" s="20" t="s">
        <v>69</v>
      </c>
      <c r="C41" s="199">
        <f>管理者入力シート!B5</f>
        <v>2020</v>
      </c>
      <c r="D41" s="20" t="s">
        <v>374</v>
      </c>
      <c r="F41" s="249">
        <f>F37-現況シート!F37</f>
        <v>-36</v>
      </c>
      <c r="G41" s="249"/>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60" t="s">
        <v>363</v>
      </c>
      <c r="D69" s="260"/>
      <c r="F69" s="34"/>
      <c r="G69" s="37"/>
      <c r="H69" s="67"/>
      <c r="I69" s="71"/>
    </row>
    <row r="70" spans="1:9" ht="22.5" customHeight="1" x14ac:dyDescent="0.15">
      <c r="A70" s="20" t="s">
        <v>238</v>
      </c>
      <c r="C70" s="254">
        <f>管理者用グラフシート!I38</f>
        <v>667</v>
      </c>
      <c r="D70" s="254"/>
      <c r="E70" s="82" t="s">
        <v>239</v>
      </c>
      <c r="F70" s="34"/>
      <c r="G70" s="253">
        <f>管理者用グラフシート!I56</f>
        <v>0.54</v>
      </c>
      <c r="H70" s="253"/>
      <c r="I70" s="110" t="s">
        <v>240</v>
      </c>
    </row>
    <row r="71" spans="1:9" ht="22.5" customHeight="1" x14ac:dyDescent="0.15">
      <c r="A71" s="20" t="s">
        <v>241</v>
      </c>
      <c r="C71" s="254">
        <f>管理者用グラフシート!I46</f>
        <v>456</v>
      </c>
      <c r="D71" s="254"/>
      <c r="E71" s="20" t="s">
        <v>239</v>
      </c>
      <c r="G71" s="261">
        <f>管理者用グラフシート!I64</f>
        <v>0.37</v>
      </c>
      <c r="H71" s="256"/>
      <c r="I71" s="20" t="s">
        <v>242</v>
      </c>
    </row>
    <row r="72" spans="1:9" ht="27.75" customHeight="1" x14ac:dyDescent="0.15">
      <c r="C72" s="81"/>
      <c r="D72" s="81"/>
      <c r="G72" s="262" t="s">
        <v>236</v>
      </c>
      <c r="H72" s="262"/>
      <c r="I72" s="262"/>
    </row>
    <row r="73" spans="1:9" ht="22.5" customHeight="1" x14ac:dyDescent="0.15">
      <c r="A73" s="250">
        <f>管理者入力シート!B5</f>
        <v>2020</v>
      </c>
      <c r="B73" s="250"/>
      <c r="C73" s="20" t="s">
        <v>228</v>
      </c>
      <c r="D73" s="34"/>
      <c r="E73" s="34"/>
      <c r="F73" s="35"/>
    </row>
    <row r="74" spans="1:9" ht="22.5" customHeight="1" x14ac:dyDescent="0.15">
      <c r="B74" s="20" t="s">
        <v>81</v>
      </c>
      <c r="D74" s="37"/>
      <c r="E74" s="254"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10ポイント上昇</v>
      </c>
      <c r="F74" s="254"/>
      <c r="G74" s="254"/>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14ポイント上昇</v>
      </c>
      <c r="F75" s="255"/>
      <c r="G75" s="255"/>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5">
        <f>SUM(管理者用グラフシート!H97:I98)-SUM(管理者用グラフシート!B93:C94)</f>
        <v>-17</v>
      </c>
      <c r="H103" s="207" t="s">
        <v>60</v>
      </c>
    </row>
    <row r="104" spans="1:8" ht="22.5" customHeight="1" x14ac:dyDescent="0.15">
      <c r="A104" s="35" t="s">
        <v>387</v>
      </c>
      <c r="C104" s="205">
        <f>SUM(管理者用グラフシート!H99:I100)-SUM(管理者用グラフシート!B95:C96)</f>
        <v>-77</v>
      </c>
      <c r="D104" s="20" t="s">
        <v>423</v>
      </c>
      <c r="E104" s="34"/>
      <c r="G104" s="205">
        <f>SUM(管理者用グラフシート!H101:I102)-SUM(管理者用グラフシート!B97:C98)</f>
        <v>-49</v>
      </c>
      <c r="H104" s="20" t="s">
        <v>60</v>
      </c>
    </row>
    <row r="105" spans="1:8" ht="22.5" customHeight="1" x14ac:dyDescent="0.15">
      <c r="A105" s="20" t="s">
        <v>389</v>
      </c>
      <c r="C105" s="205">
        <f>SUM(管理者用グラフシート!H103:I104)-SUM(管理者用グラフシート!B99:C100)</f>
        <v>-49</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5">
        <f>SUM(管理者用グラフシート!H145:I146)-SUM(管理者用グラフシート!B93:C94)</f>
        <v>-47</v>
      </c>
      <c r="H137" s="207" t="s">
        <v>60</v>
      </c>
    </row>
    <row r="138" spans="1:8" ht="22.5" customHeight="1" x14ac:dyDescent="0.15">
      <c r="A138" s="35" t="s">
        <v>387</v>
      </c>
      <c r="C138" s="205">
        <f>SUM(管理者用グラフシート!H147:I148)-SUM(管理者用グラフシート!B95:C96)</f>
        <v>-92</v>
      </c>
      <c r="D138" s="20" t="s">
        <v>423</v>
      </c>
      <c r="E138" s="34"/>
      <c r="G138" s="205">
        <f>SUM(管理者用グラフシート!H149:I150)-SUM(管理者用グラフシート!B97:C98)</f>
        <v>-127</v>
      </c>
      <c r="H138" s="20" t="s">
        <v>60</v>
      </c>
    </row>
    <row r="139" spans="1:8" ht="22.5" customHeight="1" x14ac:dyDescent="0.15">
      <c r="A139" s="20" t="s">
        <v>389</v>
      </c>
      <c r="C139" s="205">
        <f>SUM(管理者用グラフシート!H151:I152)-SUM(管理者用グラフシート!B99:C100)</f>
        <v>-97</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3" t="str">
        <f>管理者入力シート!B4</f>
        <v>上江小・中学校区</v>
      </c>
      <c r="B2" s="263"/>
      <c r="C2" s="263"/>
      <c r="D2" s="251" t="s">
        <v>249</v>
      </c>
      <c r="E2" s="251"/>
      <c r="F2" s="251"/>
      <c r="G2" s="251"/>
      <c r="H2" s="251"/>
      <c r="I2" s="251"/>
    </row>
    <row r="3" spans="1:9" ht="31.5" customHeight="1" x14ac:dyDescent="0.15">
      <c r="A3" s="263"/>
      <c r="B3" s="263"/>
      <c r="C3" s="263"/>
      <c r="D3" s="251"/>
      <c r="E3" s="251"/>
      <c r="F3" s="251"/>
      <c r="G3" s="251"/>
      <c r="H3" s="251"/>
      <c r="I3" s="251"/>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7" t="s">
        <v>254</v>
      </c>
      <c r="B15" s="267"/>
      <c r="C15" s="267"/>
      <c r="D15" s="268" t="s">
        <v>258</v>
      </c>
      <c r="E15" s="269"/>
      <c r="F15" s="264" t="s">
        <v>257</v>
      </c>
      <c r="G15" s="265"/>
      <c r="H15" s="266"/>
    </row>
    <row r="16" spans="1:9" ht="17.25" customHeight="1" x14ac:dyDescent="0.15">
      <c r="A16" s="124" t="s">
        <v>254</v>
      </c>
      <c r="B16" s="124" t="s">
        <v>21</v>
      </c>
      <c r="C16" s="124" t="s">
        <v>22</v>
      </c>
      <c r="D16" s="268"/>
      <c r="E16" s="269"/>
      <c r="F16" s="126"/>
      <c r="G16" s="127" t="s">
        <v>21</v>
      </c>
      <c r="H16" s="128" t="s">
        <v>22</v>
      </c>
    </row>
    <row r="17" spans="1:9" ht="18.75" customHeight="1" x14ac:dyDescent="0.15">
      <c r="A17" s="125" t="s">
        <v>0</v>
      </c>
      <c r="B17" s="116">
        <v>1</v>
      </c>
      <c r="C17" s="116">
        <v>1</v>
      </c>
      <c r="D17" s="268"/>
      <c r="E17" s="269"/>
      <c r="F17" s="119" t="s">
        <v>0</v>
      </c>
      <c r="G17" s="116">
        <v>1</v>
      </c>
      <c r="H17" s="118">
        <v>1</v>
      </c>
    </row>
    <row r="18" spans="1:9" ht="18.75" customHeight="1" x14ac:dyDescent="0.15">
      <c r="A18" s="125" t="s">
        <v>1</v>
      </c>
      <c r="B18" s="116"/>
      <c r="C18" s="116"/>
      <c r="D18" s="268"/>
      <c r="E18" s="269"/>
      <c r="F18" s="119" t="s">
        <v>1</v>
      </c>
      <c r="G18" s="116"/>
      <c r="H18" s="118"/>
    </row>
    <row r="19" spans="1:9" ht="18.75" customHeight="1" x14ac:dyDescent="0.15">
      <c r="A19" s="125" t="s">
        <v>2</v>
      </c>
      <c r="B19" s="73">
        <v>1</v>
      </c>
      <c r="C19" s="73">
        <v>1</v>
      </c>
      <c r="D19" s="268"/>
      <c r="E19" s="26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8">
        <f>管理者入力シート!B5</f>
        <v>2020</v>
      </c>
      <c r="C31" s="278"/>
      <c r="D31" s="83" t="s">
        <v>412</v>
      </c>
      <c r="E31" s="131"/>
      <c r="F31" s="131"/>
      <c r="G31" s="131"/>
      <c r="H31" s="131"/>
      <c r="I31" s="236"/>
    </row>
    <row r="32" spans="1:9" s="131" customFormat="1" ht="17.25" customHeight="1" x14ac:dyDescent="0.15">
      <c r="A32" s="159" t="s">
        <v>409</v>
      </c>
      <c r="B32" s="277">
        <f>管理者入力シート!B5</f>
        <v>2020</v>
      </c>
      <c r="C32" s="277"/>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4" t="s">
        <v>257</v>
      </c>
      <c r="C35" s="275"/>
      <c r="D35" s="276"/>
      <c r="F35" s="162"/>
      <c r="G35" s="239"/>
      <c r="H35" s="279" t="s">
        <v>410</v>
      </c>
      <c r="I35" s="280"/>
    </row>
    <row r="36" spans="1:9" s="132" customFormat="1" ht="17.25" customHeight="1" x14ac:dyDescent="0.15">
      <c r="A36" s="160"/>
      <c r="B36" s="214"/>
      <c r="C36" s="127" t="s">
        <v>21</v>
      </c>
      <c r="D36" s="215" t="s">
        <v>22</v>
      </c>
      <c r="F36" s="162"/>
      <c r="G36" s="237">
        <f>管理者入力シート!B8</f>
        <v>2025</v>
      </c>
      <c r="H36" s="270">
        <f>管理者用人口入力シート!EU22</f>
        <v>2151</v>
      </c>
      <c r="I36" s="271"/>
    </row>
    <row r="37" spans="1:9" s="130" customFormat="1" ht="17.25" customHeight="1" x14ac:dyDescent="0.15">
      <c r="A37" s="165"/>
      <c r="B37" s="225" t="s">
        <v>5</v>
      </c>
      <c r="C37" s="226">
        <f>管理者用人口入力シート!DX1</f>
        <v>29</v>
      </c>
      <c r="D37" s="227">
        <f>C37</f>
        <v>29</v>
      </c>
      <c r="F37" s="162"/>
      <c r="G37" s="237">
        <f>管理者入力シート!B9</f>
        <v>2030</v>
      </c>
      <c r="H37" s="270">
        <f>管理者用人口入力シート!EU25</f>
        <v>2111</v>
      </c>
      <c r="I37" s="271"/>
    </row>
    <row r="38" spans="1:9" s="132" customFormat="1" ht="17.25" customHeight="1" x14ac:dyDescent="0.15">
      <c r="A38" s="160"/>
      <c r="B38" s="225" t="s">
        <v>6</v>
      </c>
      <c r="C38" s="226">
        <f>C37</f>
        <v>29</v>
      </c>
      <c r="D38" s="227">
        <f>C37</f>
        <v>29</v>
      </c>
      <c r="F38" s="162"/>
      <c r="G38" s="237">
        <f>管理者入力シート!B10</f>
        <v>2035</v>
      </c>
      <c r="H38" s="270">
        <f>管理者用人口入力シート!EU28</f>
        <v>2111</v>
      </c>
      <c r="I38" s="271"/>
    </row>
    <row r="39" spans="1:9" ht="17.25" customHeight="1" thickBot="1" x14ac:dyDescent="0.2">
      <c r="A39" s="166"/>
      <c r="B39" s="228" t="s">
        <v>7</v>
      </c>
      <c r="C39" s="229">
        <f>C37</f>
        <v>29</v>
      </c>
      <c r="D39" s="230">
        <f>C37</f>
        <v>29</v>
      </c>
      <c r="F39" s="162"/>
      <c r="G39" s="238">
        <f>管理者入力シート!B11</f>
        <v>2040</v>
      </c>
      <c r="H39" s="272">
        <f>管理者用人口入力シート!EU31</f>
        <v>2126</v>
      </c>
      <c r="I39" s="273"/>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50">
        <f>管理者入力シート!B9</f>
        <v>2030</v>
      </c>
      <c r="B43" s="250"/>
      <c r="C43" s="20" t="s">
        <v>417</v>
      </c>
      <c r="D43" s="254">
        <f>管理者用グラフシート!U8</f>
        <v>1725</v>
      </c>
      <c r="E43" s="254"/>
      <c r="F43" s="20" t="s">
        <v>231</v>
      </c>
      <c r="H43" s="34"/>
      <c r="I43" s="34"/>
    </row>
    <row r="44" spans="1:9" ht="22.5" customHeight="1" x14ac:dyDescent="0.15">
      <c r="A44" s="250">
        <f>管理者入力シート!B11</f>
        <v>2040</v>
      </c>
      <c r="B44" s="250"/>
      <c r="C44" s="20" t="s">
        <v>417</v>
      </c>
      <c r="D44" s="254">
        <f>管理者用グラフシート!U10</f>
        <v>1268</v>
      </c>
      <c r="E44" s="254"/>
      <c r="F44" s="20" t="s">
        <v>231</v>
      </c>
      <c r="H44" s="34"/>
      <c r="I44" s="34"/>
    </row>
    <row r="45" spans="1:9" ht="22.5" customHeight="1" x14ac:dyDescent="0.15">
      <c r="A45" s="20" t="s">
        <v>121</v>
      </c>
    </row>
    <row r="46" spans="1:9" ht="22.5" customHeight="1" x14ac:dyDescent="0.15">
      <c r="A46" s="250">
        <f>管理者入力シート!B9</f>
        <v>2030</v>
      </c>
      <c r="B46" s="250"/>
      <c r="C46" s="20" t="s">
        <v>418</v>
      </c>
      <c r="D46" s="257">
        <f>D43-将来予測シート①!D6</f>
        <v>18</v>
      </c>
      <c r="E46" s="257"/>
      <c r="F46" s="20" t="s">
        <v>122</v>
      </c>
    </row>
    <row r="47" spans="1:9" ht="22.5" customHeight="1" x14ac:dyDescent="0.15">
      <c r="A47" s="250">
        <f>管理者入力シート!B11</f>
        <v>2040</v>
      </c>
      <c r="B47" s="250"/>
      <c r="C47" s="20" t="s">
        <v>418</v>
      </c>
      <c r="D47" s="257">
        <f>D44-将来予測シート①!D10</f>
        <v>43</v>
      </c>
      <c r="E47" s="257"/>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4">
        <f>管理者用グラフシート!Q20</f>
        <v>35</v>
      </c>
      <c r="G78" s="254"/>
      <c r="H78" s="82" t="s">
        <v>264</v>
      </c>
      <c r="I78" s="34"/>
    </row>
    <row r="79" spans="1:9" ht="22.5" customHeight="1" x14ac:dyDescent="0.15">
      <c r="A79" s="20" t="s">
        <v>234</v>
      </c>
      <c r="F79" s="254">
        <f>管理者用グラフシート!Q28</f>
        <v>18</v>
      </c>
      <c r="G79" s="254"/>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9">
        <f>F78-将来予測シート①!F36</f>
        <v>6</v>
      </c>
      <c r="D82" s="249"/>
      <c r="E82" s="20" t="s">
        <v>60</v>
      </c>
    </row>
    <row r="83" spans="1:13" ht="22.5" customHeight="1" x14ac:dyDescent="0.15">
      <c r="A83" s="20" t="s">
        <v>69</v>
      </c>
      <c r="C83" s="249">
        <f>F79-将来予測シート①!F37</f>
        <v>3</v>
      </c>
      <c r="D83" s="249"/>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4">
        <f>管理者用グラフシート!Q38</f>
        <v>667</v>
      </c>
      <c r="D112" s="254"/>
      <c r="E112" s="20" t="s">
        <v>270</v>
      </c>
      <c r="F112" s="36"/>
      <c r="G112" s="111">
        <f>管理者用グラフシート!Q56</f>
        <v>0.53</v>
      </c>
      <c r="H112" s="82" t="s">
        <v>271</v>
      </c>
      <c r="I112" s="34"/>
    </row>
    <row r="113" spans="1:9" ht="22.5" customHeight="1" x14ac:dyDescent="0.15">
      <c r="A113" s="20" t="s">
        <v>268</v>
      </c>
      <c r="C113" s="254">
        <f>管理者用グラフシート!Q46</f>
        <v>456</v>
      </c>
      <c r="D113" s="254"/>
      <c r="E113" s="82" t="s">
        <v>270</v>
      </c>
      <c r="F113" s="34"/>
      <c r="G113" s="111">
        <f>管理者用グラフシート!Q64</f>
        <v>0.36</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4"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4"/>
      <c r="G116" s="254"/>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2"/>
      <c r="F178" s="262"/>
      <c r="G178" s="262"/>
      <c r="H178" s="262"/>
      <c r="I178" s="262"/>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438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1" style="20" customWidth="1"/>
    <col min="7" max="7" width="12.25" style="20" customWidth="1"/>
    <col min="8" max="8" width="12.75" style="20" customWidth="1"/>
    <col min="9" max="16384" width="9" style="20"/>
  </cols>
  <sheetData>
    <row r="1" spans="1:8" ht="22.5" customHeight="1" x14ac:dyDescent="0.15">
      <c r="A1" s="252" t="str">
        <f>管理者入力シート!B4</f>
        <v>上江小・中学校区</v>
      </c>
      <c r="B1" s="252"/>
      <c r="C1" s="252"/>
      <c r="D1" s="251" t="s">
        <v>278</v>
      </c>
      <c r="E1" s="251"/>
      <c r="F1" s="251"/>
      <c r="G1" s="251"/>
      <c r="H1" s="251"/>
    </row>
    <row r="2" spans="1:8" ht="22.5" customHeight="1" x14ac:dyDescent="0.15">
      <c r="A2" s="252"/>
      <c r="B2" s="252"/>
      <c r="C2" s="252"/>
      <c r="D2" s="251"/>
      <c r="E2" s="251"/>
      <c r="F2" s="251"/>
      <c r="G2" s="251"/>
      <c r="H2" s="251"/>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0.67117988394584138</v>
      </c>
      <c r="G7" s="281"/>
      <c r="H7" s="20" t="s">
        <v>282</v>
      </c>
    </row>
    <row r="8" spans="1:8" ht="22.5" customHeight="1" x14ac:dyDescent="0.15">
      <c r="A8" s="244" t="str">
        <f>管理者入力シート!B3</f>
        <v>えびの市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83" t="str">
        <f>地域特徴シート!A1</f>
        <v>上江小・中学校区</v>
      </c>
      <c r="B11" s="283"/>
      <c r="C11" s="257">
        <f>管理者用地域特徴シート!D5</f>
        <v>1034</v>
      </c>
      <c r="D11" s="256"/>
      <c r="E11" s="20" t="s">
        <v>413</v>
      </c>
    </row>
    <row r="12" spans="1:8" ht="22.5" customHeight="1" x14ac:dyDescent="0.15">
      <c r="A12" s="256" t="str">
        <f>A8</f>
        <v>えびの市</v>
      </c>
      <c r="B12" s="256"/>
      <c r="C12" s="257">
        <f>管理者用地域特徴シート!D4</f>
        <v>8027</v>
      </c>
      <c r="D12" s="256"/>
      <c r="E12" s="20" t="s">
        <v>413</v>
      </c>
    </row>
    <row r="13" spans="1:8" ht="22.5" customHeight="1" x14ac:dyDescent="0.15">
      <c r="A13" s="256" t="s">
        <v>414</v>
      </c>
      <c r="B13" s="256"/>
      <c r="C13" s="257">
        <f>管理者用地域特徴シート!D3</f>
        <v>468575.00000000006</v>
      </c>
      <c r="D13" s="256"/>
      <c r="E13" s="20" t="s">
        <v>416</v>
      </c>
    </row>
    <row r="23" spans="1:8" ht="22.5" customHeight="1" x14ac:dyDescent="0.15">
      <c r="A23" s="20" t="s">
        <v>285</v>
      </c>
      <c r="G23" s="240">
        <f>管理者用地域特徴シート!J5</f>
        <v>0.22147001934235977</v>
      </c>
      <c r="H23" s="35" t="s">
        <v>286</v>
      </c>
    </row>
    <row r="24" spans="1:8" ht="22.5" customHeight="1" x14ac:dyDescent="0.15">
      <c r="A24" s="244" t="str">
        <f>管理者入力シート!B3</f>
        <v>えびの市</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0.18165706690296854</v>
      </c>
      <c r="G37" s="281"/>
      <c r="H37" s="20" t="s">
        <v>286</v>
      </c>
    </row>
    <row r="38" spans="1:8" ht="22.5" customHeight="1" x14ac:dyDescent="0.15">
      <c r="A38" s="244" t="str">
        <f>管理者入力シート!B3</f>
        <v>えびの市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4" t="str">
        <f>管理者入力シート!B3</f>
        <v>えびの市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198</v>
      </c>
      <c r="F70" s="282"/>
      <c r="G70" s="20" t="s">
        <v>290</v>
      </c>
    </row>
    <row r="71" spans="1:8" ht="22.5" customHeight="1" x14ac:dyDescent="0.15">
      <c r="A71" s="20" t="s">
        <v>295</v>
      </c>
      <c r="F71" s="281">
        <f>管理者用地域特徴シート!AK5</f>
        <v>0.17171717171717171</v>
      </c>
      <c r="G71" s="281"/>
      <c r="H71" s="20" t="s">
        <v>271</v>
      </c>
    </row>
    <row r="72" spans="1:8" ht="22.5" customHeight="1" x14ac:dyDescent="0.15">
      <c r="A72" s="20" t="s">
        <v>296</v>
      </c>
      <c r="F72" s="281">
        <f>管理者用地域特徴シート!AL5</f>
        <v>0.33333333333333331</v>
      </c>
      <c r="G72" s="281"/>
      <c r="H72" s="20" t="s">
        <v>297</v>
      </c>
    </row>
    <row r="73" spans="1:8" ht="22.5" customHeight="1" x14ac:dyDescent="0.15">
      <c r="A73" s="20" t="s">
        <v>298</v>
      </c>
      <c r="E73" s="281"/>
      <c r="F73" s="281"/>
    </row>
    <row r="74" spans="1:8" ht="22.5" customHeight="1" x14ac:dyDescent="0.15">
      <c r="A74" s="20" t="s">
        <v>339</v>
      </c>
      <c r="C74" s="177">
        <f>管理者用地域特徴シート!AN5</f>
        <v>0.5</v>
      </c>
      <c r="D74" s="156" t="s">
        <v>299</v>
      </c>
      <c r="E74" s="177">
        <f>管理者用地域特徴シート!AO5</f>
        <v>0.5</v>
      </c>
      <c r="F74" s="20" t="s">
        <v>291</v>
      </c>
    </row>
    <row r="76" spans="1:8" ht="22.5" customHeight="1" x14ac:dyDescent="0.15">
      <c r="A76" s="244" t="str">
        <f>管理者入力シート!B3</f>
        <v>えびの市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0.80464716006884685</v>
      </c>
      <c r="D139" s="281"/>
      <c r="E139" s="20" t="s">
        <v>316</v>
      </c>
      <c r="F139" s="243" t="str">
        <f>管理者入力シート!B3</f>
        <v>えびの市</v>
      </c>
      <c r="G139" s="158" t="s">
        <v>317</v>
      </c>
    </row>
    <row r="140" spans="1:8" ht="22.5" customHeight="1" x14ac:dyDescent="0.15">
      <c r="A140" s="20" t="s">
        <v>318</v>
      </c>
    </row>
    <row r="141" spans="1:8" ht="22.5" customHeight="1" x14ac:dyDescent="0.15">
      <c r="C141" s="281">
        <f>管理者用地域特徴シート!CN5</f>
        <v>0.45454545454545453</v>
      </c>
      <c r="D141" s="281"/>
      <c r="E141" s="20" t="s">
        <v>316</v>
      </c>
      <c r="F141" s="243" t="str">
        <f>管理者入力シート!B3</f>
        <v>えびの市</v>
      </c>
      <c r="G141" s="158" t="s">
        <v>317</v>
      </c>
    </row>
    <row r="142" spans="1:8" ht="22.5" customHeight="1" x14ac:dyDescent="0.15">
      <c r="A142" s="284" t="s">
        <v>319</v>
      </c>
      <c r="B142" s="284"/>
      <c r="C142" s="284"/>
      <c r="D142" s="284"/>
      <c r="E142" s="284"/>
      <c r="F142" s="284"/>
      <c r="G142" s="284"/>
      <c r="H142" s="284"/>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437</v>
      </c>
    </row>
    <row r="3" spans="1:3" x14ac:dyDescent="0.15">
      <c r="A3" s="202" t="s">
        <v>292</v>
      </c>
      <c r="B3" s="32" t="str">
        <f>管理者用地域特徴シート!B5</f>
        <v>えびの市</v>
      </c>
    </row>
    <row r="4" spans="1:3" x14ac:dyDescent="0.15">
      <c r="A4" s="153" t="s">
        <v>24</v>
      </c>
      <c r="B4" s="154" t="str">
        <f>管理者用地域特徴シート!C5</f>
        <v>上江小・中学校区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45209_2</v>
      </c>
      <c r="B1" s="24" t="s">
        <v>44</v>
      </c>
      <c r="C1" s="25"/>
      <c r="D1" s="305" t="s">
        <v>0</v>
      </c>
      <c r="E1" s="305" t="s">
        <v>1</v>
      </c>
      <c r="F1" s="305" t="s">
        <v>2</v>
      </c>
      <c r="G1" s="305" t="s">
        <v>3</v>
      </c>
      <c r="H1" s="305" t="s">
        <v>4</v>
      </c>
      <c r="I1" s="305" t="s">
        <v>5</v>
      </c>
      <c r="J1" s="305" t="s">
        <v>6</v>
      </c>
      <c r="K1" s="305" t="s">
        <v>7</v>
      </c>
      <c r="L1" s="305" t="s">
        <v>8</v>
      </c>
      <c r="M1" s="305" t="s">
        <v>9</v>
      </c>
      <c r="N1" s="305" t="s">
        <v>10</v>
      </c>
      <c r="O1" s="305" t="s">
        <v>11</v>
      </c>
      <c r="P1" s="305" t="s">
        <v>12</v>
      </c>
      <c r="Q1" s="305" t="s">
        <v>13</v>
      </c>
      <c r="R1" s="305" t="s">
        <v>14</v>
      </c>
      <c r="S1" s="305" t="s">
        <v>15</v>
      </c>
      <c r="T1" s="305" t="s">
        <v>16</v>
      </c>
      <c r="U1" s="305" t="s">
        <v>17</v>
      </c>
      <c r="V1" s="305" t="s">
        <v>18</v>
      </c>
      <c r="W1" s="305" t="s">
        <v>19</v>
      </c>
      <c r="X1" s="305" t="s">
        <v>20</v>
      </c>
      <c r="Y1" s="305" t="s">
        <v>23</v>
      </c>
      <c r="Z1" s="302" t="s">
        <v>50</v>
      </c>
      <c r="AA1" s="302" t="s">
        <v>51</v>
      </c>
      <c r="AB1" s="303" t="s">
        <v>79</v>
      </c>
      <c r="AC1" s="303" t="s">
        <v>80</v>
      </c>
      <c r="AD1" s="302" t="s">
        <v>48</v>
      </c>
      <c r="AE1" s="302" t="s">
        <v>49</v>
      </c>
      <c r="AF1" s="302" t="s">
        <v>97</v>
      </c>
      <c r="AH1" s="7"/>
      <c r="AI1" s="42" t="s">
        <v>25</v>
      </c>
      <c r="AJ1" s="40" t="s">
        <v>90</v>
      </c>
      <c r="AK1" s="41"/>
      <c r="AL1" s="307" t="s">
        <v>89</v>
      </c>
      <c r="AM1" s="301" t="s">
        <v>27</v>
      </c>
      <c r="AN1" s="301" t="s">
        <v>28</v>
      </c>
      <c r="AO1" s="301" t="s">
        <v>26</v>
      </c>
      <c r="AP1" s="301" t="s">
        <v>29</v>
      </c>
      <c r="AQ1" s="301" t="s">
        <v>30</v>
      </c>
      <c r="AR1" s="301" t="s">
        <v>31</v>
      </c>
      <c r="AS1" s="301" t="s">
        <v>32</v>
      </c>
      <c r="AT1" s="301" t="s">
        <v>33</v>
      </c>
      <c r="AU1" s="301" t="s">
        <v>34</v>
      </c>
      <c r="AV1" s="301" t="s">
        <v>35</v>
      </c>
      <c r="AW1" s="301" t="s">
        <v>36</v>
      </c>
      <c r="AX1" s="301" t="s">
        <v>37</v>
      </c>
      <c r="AY1" s="301" t="s">
        <v>38</v>
      </c>
      <c r="AZ1" s="301" t="s">
        <v>39</v>
      </c>
      <c r="BA1" s="301" t="s">
        <v>40</v>
      </c>
      <c r="BB1" s="301" t="s">
        <v>45</v>
      </c>
      <c r="BC1" s="301" t="s">
        <v>41</v>
      </c>
      <c r="BD1" s="301" t="s">
        <v>42</v>
      </c>
      <c r="BE1" s="301" t="s">
        <v>46</v>
      </c>
      <c r="BF1" s="301"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297" t="s">
        <v>50</v>
      </c>
      <c r="CH1" s="297" t="s">
        <v>51</v>
      </c>
      <c r="CI1" s="298" t="s">
        <v>79</v>
      </c>
      <c r="CJ1" s="298" t="s">
        <v>80</v>
      </c>
      <c r="CK1" s="297" t="s">
        <v>48</v>
      </c>
      <c r="CL1" s="297" t="s">
        <v>49</v>
      </c>
      <c r="CM1" s="297" t="s">
        <v>97</v>
      </c>
      <c r="CP1" s="74" t="s">
        <v>44</v>
      </c>
      <c r="CQ1" s="75"/>
      <c r="CR1" s="296" t="s">
        <v>0</v>
      </c>
      <c r="CS1" s="296" t="s">
        <v>1</v>
      </c>
      <c r="CT1" s="296" t="s">
        <v>2</v>
      </c>
      <c r="CU1" s="296" t="s">
        <v>3</v>
      </c>
      <c r="CV1" s="296" t="s">
        <v>4</v>
      </c>
      <c r="CW1" s="296" t="s">
        <v>5</v>
      </c>
      <c r="CX1" s="296" t="s">
        <v>6</v>
      </c>
      <c r="CY1" s="296" t="s">
        <v>7</v>
      </c>
      <c r="CZ1" s="296" t="s">
        <v>8</v>
      </c>
      <c r="DA1" s="296" t="s">
        <v>9</v>
      </c>
      <c r="DB1" s="296" t="s">
        <v>10</v>
      </c>
      <c r="DC1" s="296" t="s">
        <v>11</v>
      </c>
      <c r="DD1" s="296" t="s">
        <v>12</v>
      </c>
      <c r="DE1" s="296" t="s">
        <v>13</v>
      </c>
      <c r="DF1" s="296" t="s">
        <v>14</v>
      </c>
      <c r="DG1" s="296" t="s">
        <v>15</v>
      </c>
      <c r="DH1" s="296" t="s">
        <v>16</v>
      </c>
      <c r="DI1" s="296" t="s">
        <v>17</v>
      </c>
      <c r="DJ1" s="296" t="s">
        <v>18</v>
      </c>
      <c r="DK1" s="296" t="s">
        <v>19</v>
      </c>
      <c r="DL1" s="296" t="s">
        <v>20</v>
      </c>
      <c r="DM1" s="296" t="s">
        <v>23</v>
      </c>
      <c r="DN1" s="293" t="s">
        <v>50</v>
      </c>
      <c r="DO1" s="293" t="s">
        <v>51</v>
      </c>
      <c r="DP1" s="294" t="s">
        <v>79</v>
      </c>
      <c r="DQ1" s="294" t="s">
        <v>80</v>
      </c>
      <c r="DR1" s="293" t="s">
        <v>48</v>
      </c>
      <c r="DS1" s="293" t="s">
        <v>49</v>
      </c>
      <c r="DT1" s="293" t="s">
        <v>97</v>
      </c>
      <c r="DV1" s="313" t="s">
        <v>439</v>
      </c>
      <c r="DW1" s="314"/>
      <c r="DX1" s="309">
        <f>DW17</f>
        <v>29</v>
      </c>
      <c r="DY1" s="310"/>
      <c r="DZ1" s="306" t="s">
        <v>0</v>
      </c>
      <c r="EA1" s="306" t="s">
        <v>1</v>
      </c>
      <c r="EB1" s="306" t="s">
        <v>2</v>
      </c>
      <c r="EC1" s="306" t="s">
        <v>3</v>
      </c>
      <c r="ED1" s="306" t="s">
        <v>4</v>
      </c>
      <c r="EE1" s="306" t="s">
        <v>5</v>
      </c>
      <c r="EF1" s="306" t="s">
        <v>6</v>
      </c>
      <c r="EG1" s="306" t="s">
        <v>7</v>
      </c>
      <c r="EH1" s="306" t="s">
        <v>8</v>
      </c>
      <c r="EI1" s="306" t="s">
        <v>9</v>
      </c>
      <c r="EJ1" s="306" t="s">
        <v>10</v>
      </c>
      <c r="EK1" s="306" t="s">
        <v>11</v>
      </c>
      <c r="EL1" s="306" t="s">
        <v>12</v>
      </c>
      <c r="EM1" s="306" t="s">
        <v>13</v>
      </c>
      <c r="EN1" s="306" t="s">
        <v>14</v>
      </c>
      <c r="EO1" s="306" t="s">
        <v>15</v>
      </c>
      <c r="EP1" s="306" t="s">
        <v>16</v>
      </c>
      <c r="EQ1" s="306" t="s">
        <v>17</v>
      </c>
      <c r="ER1" s="306" t="s">
        <v>18</v>
      </c>
      <c r="ES1" s="306" t="s">
        <v>19</v>
      </c>
      <c r="ET1" s="306" t="s">
        <v>20</v>
      </c>
      <c r="EU1" s="306" t="s">
        <v>23</v>
      </c>
      <c r="EV1" s="308" t="s">
        <v>50</v>
      </c>
      <c r="EW1" s="308" t="s">
        <v>51</v>
      </c>
      <c r="EX1" s="315" t="s">
        <v>79</v>
      </c>
      <c r="EY1" s="315" t="s">
        <v>80</v>
      </c>
      <c r="EZ1" s="308" t="s">
        <v>48</v>
      </c>
      <c r="FA1" s="308" t="s">
        <v>49</v>
      </c>
      <c r="FB1" s="308" t="s">
        <v>97</v>
      </c>
    </row>
    <row r="2" spans="1:158" x14ac:dyDescent="0.15">
      <c r="A2" s="7" t="s">
        <v>56</v>
      </c>
      <c r="B2" s="26"/>
      <c r="C2" s="27"/>
      <c r="D2" s="305"/>
      <c r="E2" s="305"/>
      <c r="F2" s="305"/>
      <c r="G2" s="305"/>
      <c r="H2" s="305"/>
      <c r="I2" s="305"/>
      <c r="J2" s="305"/>
      <c r="K2" s="305"/>
      <c r="L2" s="305"/>
      <c r="M2" s="305"/>
      <c r="N2" s="305"/>
      <c r="O2" s="305"/>
      <c r="P2" s="305"/>
      <c r="Q2" s="305"/>
      <c r="R2" s="305"/>
      <c r="S2" s="305"/>
      <c r="T2" s="305"/>
      <c r="U2" s="305"/>
      <c r="V2" s="305"/>
      <c r="W2" s="305"/>
      <c r="X2" s="305"/>
      <c r="Y2" s="305"/>
      <c r="Z2" s="302"/>
      <c r="AA2" s="302"/>
      <c r="AB2" s="304"/>
      <c r="AC2" s="304"/>
      <c r="AD2" s="302"/>
      <c r="AE2" s="302"/>
      <c r="AF2" s="302"/>
      <c r="AI2" s="43"/>
      <c r="AJ2" s="44"/>
      <c r="AK2" s="45"/>
      <c r="AL2" s="307"/>
      <c r="AM2" s="301"/>
      <c r="AN2" s="301"/>
      <c r="AO2" s="301"/>
      <c r="AP2" s="301"/>
      <c r="AQ2" s="301"/>
      <c r="AR2" s="301"/>
      <c r="AS2" s="301"/>
      <c r="AT2" s="301"/>
      <c r="AU2" s="301"/>
      <c r="AV2" s="301"/>
      <c r="AW2" s="301"/>
      <c r="AX2" s="301"/>
      <c r="AY2" s="301"/>
      <c r="AZ2" s="301"/>
      <c r="BA2" s="301"/>
      <c r="BB2" s="301"/>
      <c r="BC2" s="301"/>
      <c r="BD2" s="301"/>
      <c r="BE2" s="301"/>
      <c r="BF2" s="301"/>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297"/>
      <c r="CH2" s="297"/>
      <c r="CI2" s="299"/>
      <c r="CJ2" s="299"/>
      <c r="CK2" s="297"/>
      <c r="CL2" s="297"/>
      <c r="CM2" s="297"/>
      <c r="CO2" s="7" t="s">
        <v>56</v>
      </c>
      <c r="CP2" s="76" t="s">
        <v>117</v>
      </c>
      <c r="CQ2" s="77"/>
      <c r="CR2" s="296"/>
      <c r="CS2" s="296"/>
      <c r="CT2" s="296"/>
      <c r="CU2" s="296"/>
      <c r="CV2" s="296"/>
      <c r="CW2" s="296"/>
      <c r="CX2" s="296"/>
      <c r="CY2" s="296"/>
      <c r="CZ2" s="296"/>
      <c r="DA2" s="296"/>
      <c r="DB2" s="296"/>
      <c r="DC2" s="296"/>
      <c r="DD2" s="296"/>
      <c r="DE2" s="296"/>
      <c r="DF2" s="296"/>
      <c r="DG2" s="296"/>
      <c r="DH2" s="296"/>
      <c r="DI2" s="296"/>
      <c r="DJ2" s="296"/>
      <c r="DK2" s="296"/>
      <c r="DL2" s="296"/>
      <c r="DM2" s="296"/>
      <c r="DN2" s="293"/>
      <c r="DO2" s="293"/>
      <c r="DP2" s="295"/>
      <c r="DQ2" s="295"/>
      <c r="DR2" s="293"/>
      <c r="DS2" s="293"/>
      <c r="DT2" s="293"/>
      <c r="DV2" s="313"/>
      <c r="DW2" s="314"/>
      <c r="DX2" s="311"/>
      <c r="DY2" s="312"/>
      <c r="DZ2" s="306"/>
      <c r="EA2" s="306"/>
      <c r="EB2" s="306"/>
      <c r="EC2" s="306"/>
      <c r="ED2" s="306"/>
      <c r="EE2" s="306"/>
      <c r="EF2" s="306"/>
      <c r="EG2" s="306"/>
      <c r="EH2" s="306"/>
      <c r="EI2" s="306"/>
      <c r="EJ2" s="306"/>
      <c r="EK2" s="306"/>
      <c r="EL2" s="306"/>
      <c r="EM2" s="306"/>
      <c r="EN2" s="306"/>
      <c r="EO2" s="306"/>
      <c r="EP2" s="306"/>
      <c r="EQ2" s="306"/>
      <c r="ER2" s="306"/>
      <c r="ES2" s="306"/>
      <c r="ET2" s="306"/>
      <c r="EU2" s="306"/>
      <c r="EV2" s="308"/>
      <c r="EW2" s="308"/>
      <c r="EX2" s="316"/>
      <c r="EY2" s="316"/>
      <c r="EZ2" s="308"/>
      <c r="FA2" s="308"/>
      <c r="FB2" s="308"/>
    </row>
    <row r="3" spans="1:158" x14ac:dyDescent="0.15">
      <c r="A3" s="7" t="str">
        <f>B3&amp;"_"&amp;IF(C3="男性",1,IF(C3="女性",2,IF(C3="合計",3)))</f>
        <v>2005_1</v>
      </c>
      <c r="B3" s="28">
        <v>2005</v>
      </c>
      <c r="C3" s="3" t="s">
        <v>21</v>
      </c>
      <c r="D3" s="184">
        <v>39</v>
      </c>
      <c r="E3" s="9">
        <v>54</v>
      </c>
      <c r="F3" s="9">
        <v>83</v>
      </c>
      <c r="G3" s="9">
        <v>69</v>
      </c>
      <c r="H3" s="9">
        <v>59</v>
      </c>
      <c r="I3" s="9">
        <v>46</v>
      </c>
      <c r="J3" s="9">
        <v>55</v>
      </c>
      <c r="K3" s="9">
        <v>48</v>
      </c>
      <c r="L3" s="9">
        <v>66</v>
      </c>
      <c r="M3" s="9">
        <v>95</v>
      </c>
      <c r="N3" s="9">
        <v>149</v>
      </c>
      <c r="O3" s="9">
        <v>132</v>
      </c>
      <c r="P3" s="9">
        <v>89</v>
      </c>
      <c r="Q3" s="9">
        <v>85</v>
      </c>
      <c r="R3" s="9">
        <v>124</v>
      </c>
      <c r="S3" s="9">
        <v>98</v>
      </c>
      <c r="T3" s="9">
        <v>74</v>
      </c>
      <c r="U3" s="9">
        <v>29</v>
      </c>
      <c r="V3" s="9">
        <v>11</v>
      </c>
      <c r="W3" s="9">
        <v>0</v>
      </c>
      <c r="X3" s="9">
        <v>0</v>
      </c>
      <c r="Y3" s="9">
        <f>SUM(D3:X3)</f>
        <v>1405</v>
      </c>
      <c r="Z3" s="9">
        <f>E3*3/5+F3*3/5</f>
        <v>82.199999999999989</v>
      </c>
      <c r="AA3" s="9">
        <f>F3*2/5+G3*1/5</f>
        <v>47</v>
      </c>
      <c r="AB3" s="9">
        <f t="shared" ref="AB3:AB20" si="0">SUM(Q3:X3)</f>
        <v>421</v>
      </c>
      <c r="AC3" s="9">
        <f>SUM(S3:X3)</f>
        <v>212</v>
      </c>
      <c r="AD3" s="13">
        <f>AB3/Y3</f>
        <v>0.29964412811387903</v>
      </c>
      <c r="AE3" s="13">
        <f>AC3/Y3</f>
        <v>0.15088967971530248</v>
      </c>
      <c r="AF3" s="9">
        <f>SUM(H3:K3)</f>
        <v>208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1.0173354125512586</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0.91828297946625137</v>
      </c>
      <c r="AO3" s="6">
        <f t="shared" si="1"/>
        <v>0.82147374660732653</v>
      </c>
      <c r="AP3" s="6">
        <f t="shared" si="1"/>
        <v>0.66322446001628288</v>
      </c>
      <c r="AQ3" s="6">
        <f t="shared" si="1"/>
        <v>1.2703443194010817</v>
      </c>
      <c r="AR3" s="6">
        <f t="shared" si="1"/>
        <v>0.69869997981161425</v>
      </c>
      <c r="AS3" s="6">
        <f t="shared" si="1"/>
        <v>1.0789960724169587</v>
      </c>
      <c r="AT3" s="6">
        <f t="shared" si="1"/>
        <v>1.1713460986901454</v>
      </c>
      <c r="AU3" s="6">
        <f t="shared" si="1"/>
        <v>0.96339426163012043</v>
      </c>
      <c r="AV3" s="6">
        <f t="shared" si="1"/>
        <v>0.87366903794808859</v>
      </c>
      <c r="AW3" s="6">
        <f t="shared" si="1"/>
        <v>0.95455330016002227</v>
      </c>
      <c r="AX3" s="6">
        <f t="shared" si="1"/>
        <v>0.9958568158789165</v>
      </c>
      <c r="AY3" s="6">
        <f t="shared" si="1"/>
        <v>0.95055088876345972</v>
      </c>
      <c r="AZ3" s="6">
        <f t="shared" si="1"/>
        <v>0.91976755927650855</v>
      </c>
      <c r="BA3" s="6">
        <f t="shared" si="1"/>
        <v>0.88244800586186833</v>
      </c>
      <c r="BB3" s="6">
        <f t="shared" si="1"/>
        <v>0.75794791691866914</v>
      </c>
      <c r="BC3" s="6">
        <f t="shared" si="1"/>
        <v>0.57099319010633931</v>
      </c>
      <c r="BD3" s="6">
        <f t="shared" si="1"/>
        <v>0.44781726894449031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0.28991148156732238</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18.694401627765288</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29.747213840306806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41.76974287719549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32.890195759077997</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24.581764401326698</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26.270445023352803</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29.502039802948087</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31.645430745085758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56.643906775497662</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62.130678657748547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63.937775472891659</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51.116904065769745</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67.755293693720347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100.83384950637812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137.2868132587528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106.33213024582037</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57.754456761956561</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33.267597013871459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22.270815971598825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4.1590420349538784</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7.0367346938775511E-3</v>
      </c>
      <c r="CF3" s="9">
        <f t="shared" ref="CF3:CF14" si="2">SUM(BK3:CE3)</f>
        <v>998.5975342707128</v>
      </c>
      <c r="CG3" s="9">
        <f>BL3*3/5+BM3*3/5</f>
        <v>42.910174030501381</v>
      </c>
      <c r="CH3" s="9">
        <f>BM3*2/5+BN3*1/5</f>
        <v>23.285936302693795</v>
      </c>
      <c r="CI3" s="9">
        <f t="shared" ref="CI3:CI14" si="3">SUM(BX3:CE3)</f>
        <v>461.91174152802591</v>
      </c>
      <c r="CJ3" s="9">
        <f>SUM(BZ3:CE3)</f>
        <v>223.79107876289498</v>
      </c>
      <c r="CK3" s="13">
        <f>CI3/CF3</f>
        <v>0.46256046673033829</v>
      </c>
      <c r="CL3" s="13">
        <f>CJ3/CF3</f>
        <v>0.22410537887651821</v>
      </c>
      <c r="CM3" s="9">
        <f>SUM(BO3:BR3)</f>
        <v>111.99967997271335</v>
      </c>
      <c r="CO3" s="7" t="str">
        <f>CP3&amp;"_"&amp;IF(CQ3="男性",1,IF(CQ3="女性",2,IF(CQ3="合計",3)))</f>
        <v>2025_1</v>
      </c>
      <c r="CP3" s="28">
        <f>管理者入力シート!B8</f>
        <v>2025</v>
      </c>
      <c r="CQ3" s="3" t="s">
        <v>21</v>
      </c>
      <c r="CR3" s="9">
        <f>BK3+将来予測シート②!$G17</f>
        <v>19.694401627765288</v>
      </c>
      <c r="CS3" s="9">
        <f>BL3+将来予測シート②!$G18</f>
        <v>29.747213840306806</v>
      </c>
      <c r="CT3" s="9">
        <f>BM3+将来予測シート②!$G19</f>
        <v>42.76974287719549</v>
      </c>
      <c r="CU3" s="9">
        <f>BN3+将来予測シート②!$G20</f>
        <v>32.890195759077997</v>
      </c>
      <c r="CV3" s="9">
        <f>BO3+将来予測シート②!$G21</f>
        <v>24.581764401326698</v>
      </c>
      <c r="CW3" s="9">
        <f>BP3+将来予測シート②!$G22</f>
        <v>28.270445023352803</v>
      </c>
      <c r="CX3" s="9">
        <f>BQ3+将来予測シート②!$G23</f>
        <v>29.502039802948087</v>
      </c>
      <c r="CY3" s="9">
        <f>BR3+将来予測シート②!$G24</f>
        <v>31.645430745085758</v>
      </c>
      <c r="CZ3" s="9">
        <f>BS3+将来予測シート②!$G25</f>
        <v>56.643906775497662</v>
      </c>
      <c r="DA3" s="9">
        <f>BT3+将来予測シート②!$G26</f>
        <v>62.130678657748547</v>
      </c>
      <c r="DB3" s="9">
        <f>BU3+将来予測シート②!$G27</f>
        <v>63.937775472891659</v>
      </c>
      <c r="DC3" s="9">
        <f>BV3+将来予測シート②!$G28</f>
        <v>51.116904065769745</v>
      </c>
      <c r="DD3" s="9">
        <f>BW3+将来予測シート②!$G29</f>
        <v>67.755293693720347</v>
      </c>
      <c r="DE3" s="9">
        <f>BX3</f>
        <v>100.83384950637812</v>
      </c>
      <c r="DF3" s="9">
        <f t="shared" ref="DF3:DL3" si="4">BY3</f>
        <v>137.2868132587528</v>
      </c>
      <c r="DG3" s="9">
        <f t="shared" si="4"/>
        <v>106.33213024582037</v>
      </c>
      <c r="DH3" s="9">
        <f t="shared" si="4"/>
        <v>57.754456761956561</v>
      </c>
      <c r="DI3" s="9">
        <f t="shared" si="4"/>
        <v>33.267597013871459</v>
      </c>
      <c r="DJ3" s="9">
        <f t="shared" si="4"/>
        <v>22.270815971598825</v>
      </c>
      <c r="DK3" s="9">
        <f t="shared" si="4"/>
        <v>4.1590420349538784</v>
      </c>
      <c r="DL3" s="9">
        <f t="shared" si="4"/>
        <v>7.0367346938775511E-3</v>
      </c>
      <c r="DM3" s="9">
        <f>SUM(CR3:DL3)</f>
        <v>1002.5975342707128</v>
      </c>
      <c r="DN3" s="9">
        <f>CS3*3/5+CT3*3/5</f>
        <v>43.510174030501375</v>
      </c>
      <c r="DO3" s="9">
        <f>CT3*2/5+CU3*1/5</f>
        <v>23.685936302693793</v>
      </c>
      <c r="DP3" s="9">
        <f t="shared" ref="DP3:DP14" si="5">SUM(DE3:DL3)</f>
        <v>461.91174152802591</v>
      </c>
      <c r="DQ3" s="9">
        <f>SUM(DG3:DL3)</f>
        <v>223.79107876289498</v>
      </c>
      <c r="DR3" s="13">
        <f>DP3/DM3</f>
        <v>0.46071501847849594</v>
      </c>
      <c r="DS3" s="13">
        <f>DQ3/DM3</f>
        <v>0.22321127981396854</v>
      </c>
      <c r="DT3" s="9">
        <f>SUM(CV3:CY3)</f>
        <v>113.99967997271335</v>
      </c>
      <c r="DV3" s="313"/>
      <c r="DW3" s="314"/>
      <c r="DX3" s="28">
        <f>管理者入力シート!B8</f>
        <v>2025</v>
      </c>
      <c r="DY3" s="3" t="s">
        <v>21</v>
      </c>
      <c r="DZ3" s="9">
        <f>BK$3</f>
        <v>18.694401627765288</v>
      </c>
      <c r="EA3" s="9">
        <f>BL$3</f>
        <v>29.747213840306806</v>
      </c>
      <c r="EB3" s="9">
        <f>BM$3</f>
        <v>41.76974287719549</v>
      </c>
      <c r="EC3" s="9">
        <f>BN$3</f>
        <v>32.890195759077997</v>
      </c>
      <c r="ED3" s="9">
        <f>BO$3</f>
        <v>24.581764401326698</v>
      </c>
      <c r="EE3" s="9">
        <f>BP$3+DX1</f>
        <v>55.270445023352806</v>
      </c>
      <c r="EF3" s="9">
        <f>BQ$3+DX1</f>
        <v>58.50203980294809</v>
      </c>
      <c r="EG3" s="9">
        <f>BR$3+DX1</f>
        <v>60.645430745085761</v>
      </c>
      <c r="EH3" s="9">
        <f t="shared" ref="EH3:ET3" si="6">BS$3</f>
        <v>56.643906775497662</v>
      </c>
      <c r="EI3" s="9">
        <f t="shared" si="6"/>
        <v>62.130678657748547</v>
      </c>
      <c r="EJ3" s="9">
        <f t="shared" si="6"/>
        <v>63.937775472891659</v>
      </c>
      <c r="EK3" s="9">
        <f t="shared" si="6"/>
        <v>51.116904065769745</v>
      </c>
      <c r="EL3" s="9">
        <f t="shared" si="6"/>
        <v>67.755293693720347</v>
      </c>
      <c r="EM3" s="9">
        <f t="shared" si="6"/>
        <v>100.83384950637812</v>
      </c>
      <c r="EN3" s="9">
        <f t="shared" si="6"/>
        <v>137.2868132587528</v>
      </c>
      <c r="EO3" s="9">
        <f t="shared" si="6"/>
        <v>106.33213024582037</v>
      </c>
      <c r="EP3" s="9">
        <f t="shared" si="6"/>
        <v>57.754456761956561</v>
      </c>
      <c r="EQ3" s="9">
        <f t="shared" si="6"/>
        <v>33.267597013871459</v>
      </c>
      <c r="ER3" s="9">
        <f t="shared" si="6"/>
        <v>22.270815971598825</v>
      </c>
      <c r="ES3" s="9">
        <f t="shared" si="6"/>
        <v>4.1590420349538784</v>
      </c>
      <c r="ET3" s="9">
        <f t="shared" si="6"/>
        <v>7.0367346938775511E-3</v>
      </c>
      <c r="EU3" s="9">
        <f>SUM(DZ3:ET3)</f>
        <v>1085.5975342707127</v>
      </c>
      <c r="EV3" s="9">
        <f>EA3*3/5+EB3*3/5</f>
        <v>42.910174030501381</v>
      </c>
      <c r="EW3" s="9">
        <f>EB3*2/5+EC3*1/5</f>
        <v>23.285936302693795</v>
      </c>
      <c r="EX3" s="9">
        <f t="shared" ref="EX3:EX14" si="7">SUM(EM3:ET3)</f>
        <v>461.91174152802591</v>
      </c>
      <c r="EY3" s="9">
        <f>SUM(EO3:ET3)</f>
        <v>223.79107876289498</v>
      </c>
      <c r="EZ3" s="13">
        <f>EX3/EU3</f>
        <v>0.42549077991258605</v>
      </c>
      <c r="FA3" s="13">
        <f>EY3/EU3</f>
        <v>0.20614552971809605</v>
      </c>
      <c r="FB3" s="9">
        <f>SUM(ED3:EG3)</f>
        <v>198.99967997271335</v>
      </c>
    </row>
    <row r="4" spans="1:158" x14ac:dyDescent="0.15">
      <c r="A4" s="7" t="str">
        <f t="shared" ref="A4:A14" si="8">B4&amp;"_"&amp;IF(C4="男性",1,IF(C4="女性",2,IF(C4="合計",3)))</f>
        <v>2005_2</v>
      </c>
      <c r="B4" s="29">
        <v>2005</v>
      </c>
      <c r="C4" s="4" t="s">
        <v>22</v>
      </c>
      <c r="D4" s="10">
        <v>41</v>
      </c>
      <c r="E4" s="10">
        <v>53</v>
      </c>
      <c r="F4" s="10">
        <v>55</v>
      </c>
      <c r="G4" s="10">
        <v>62</v>
      </c>
      <c r="H4" s="10">
        <v>51</v>
      </c>
      <c r="I4" s="10">
        <v>41</v>
      </c>
      <c r="J4" s="10">
        <v>52</v>
      </c>
      <c r="K4" s="10">
        <v>54</v>
      </c>
      <c r="L4" s="10">
        <v>77</v>
      </c>
      <c r="M4" s="10">
        <v>110</v>
      </c>
      <c r="N4" s="10">
        <v>112</v>
      </c>
      <c r="O4" s="10">
        <v>125</v>
      </c>
      <c r="P4" s="10">
        <v>89</v>
      </c>
      <c r="Q4" s="10">
        <v>141</v>
      </c>
      <c r="R4" s="10">
        <v>152</v>
      </c>
      <c r="S4" s="10">
        <v>153</v>
      </c>
      <c r="T4" s="10">
        <v>105</v>
      </c>
      <c r="U4" s="10">
        <v>50</v>
      </c>
      <c r="V4" s="10">
        <v>25</v>
      </c>
      <c r="W4" s="10">
        <v>6</v>
      </c>
      <c r="X4" s="10">
        <v>1</v>
      </c>
      <c r="Y4" s="10">
        <f>SUM(D4:X4)</f>
        <v>1555</v>
      </c>
      <c r="Z4" s="10">
        <f t="shared" ref="Z4:Z11" si="9">E4*3/5+F4*3/5</f>
        <v>64.8</v>
      </c>
      <c r="AA4" s="10">
        <f t="shared" ref="AA4:AA11" si="10">F4*2/5+G4*1/5</f>
        <v>34.4</v>
      </c>
      <c r="AB4" s="10">
        <f t="shared" si="0"/>
        <v>633</v>
      </c>
      <c r="AC4" s="10">
        <f t="shared" ref="AC4:AC11" si="11">SUM(S4:X4)</f>
        <v>340</v>
      </c>
      <c r="AD4" s="14">
        <f t="shared" ref="AD4:AD11" si="12">AB4/Y4</f>
        <v>0.40707395498392285</v>
      </c>
      <c r="AE4" s="14">
        <f t="shared" ref="AE4:AE11" si="13">AC4/Y4</f>
        <v>0.21864951768488747</v>
      </c>
      <c r="AF4" s="10">
        <f t="shared" ref="AF4:AF20" si="14">SUM(H4:K4)</f>
        <v>198</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0.96691419978187676</v>
      </c>
      <c r="AN4" s="193">
        <f t="shared" ref="AN4:BD6" si="15">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0.95190362157051234</v>
      </c>
      <c r="AO4" s="193">
        <f t="shared" si="15"/>
        <v>0.64684497408320907</v>
      </c>
      <c r="AP4" s="193">
        <f t="shared" si="15"/>
        <v>0.49742376986747533</v>
      </c>
      <c r="AQ4" s="193">
        <f t="shared" si="15"/>
        <v>0.77350088794376193</v>
      </c>
      <c r="AR4" s="193">
        <f t="shared" si="15"/>
        <v>0.9954544461933732</v>
      </c>
      <c r="AS4" s="193">
        <f t="shared" si="15"/>
        <v>0.81023862680103598</v>
      </c>
      <c r="AT4" s="193">
        <f t="shared" si="15"/>
        <v>0.91632661008913063</v>
      </c>
      <c r="AU4" s="193">
        <f t="shared" si="15"/>
        <v>0.77258260269392764</v>
      </c>
      <c r="AV4" s="193">
        <f t="shared" si="15"/>
        <v>1.0288852259637478</v>
      </c>
      <c r="AW4" s="193">
        <f t="shared" si="15"/>
        <v>0.93611075942657973</v>
      </c>
      <c r="AX4" s="193">
        <f t="shared" si="15"/>
        <v>1.0375992546607626</v>
      </c>
      <c r="AY4" s="193">
        <f t="shared" si="15"/>
        <v>0.97685784416631682</v>
      </c>
      <c r="AZ4" s="193">
        <f t="shared" si="15"/>
        <v>0.96321567130396557</v>
      </c>
      <c r="BA4" s="193">
        <f t="shared" si="15"/>
        <v>0.86081199470101155</v>
      </c>
      <c r="BB4" s="193">
        <f t="shared" si="15"/>
        <v>0.86314509569153497</v>
      </c>
      <c r="BC4" s="193">
        <f t="shared" si="15"/>
        <v>0.79134796022972231</v>
      </c>
      <c r="BD4" s="193">
        <f t="shared" si="15"/>
        <v>0.61170961326963458</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0.25907495733650943</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0.22112778580604195</v>
      </c>
      <c r="BH4" s="7" t="str">
        <f t="shared" ref="BH4:BH20" si="16">BI4&amp;"_"&amp;IF(BJ4="男性",1,IF(BJ4="女性",2,IF(BJ4="合計",3)))</f>
        <v>2025_2</v>
      </c>
      <c r="BI4" s="29">
        <f>BI3</f>
        <v>2025</v>
      </c>
      <c r="BJ4" s="4" t="s">
        <v>22</v>
      </c>
      <c r="BK4" s="10">
        <f>CM4*AK$14</f>
        <v>16.480491301560665</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22.641004986391579</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33.455734014925262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28.915649571626144</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16.446475083300065</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12.131163073531134</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18.998134666256842</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36.909441820686972</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43.313237994387734</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41.388174957100105</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45.755398470646661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59.143213583286574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82.236038405881629</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120.48499914073307</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103.41586410836466</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100.61345054885328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65.077003377064017</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76.204252921201899</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40.603821041320963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15.035392379675221</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8.9222196167867945E-2</v>
      </c>
      <c r="CF4" s="10">
        <f t="shared" si="2"/>
        <v>979.33816364296229</v>
      </c>
      <c r="CG4" s="10">
        <f t="shared" ref="CG4:CG14" si="17">BL4*3/5+BM4*3/5</f>
        <v>33.658043400790106</v>
      </c>
      <c r="CH4" s="10">
        <f t="shared" ref="CH4:CH14" si="18">BM4*2/5+BN4*1/5</f>
        <v>19.165423520295334</v>
      </c>
      <c r="CI4" s="10">
        <f t="shared" si="3"/>
        <v>521.52400571338092</v>
      </c>
      <c r="CJ4" s="10">
        <f t="shared" ref="CJ4:CJ14" si="19">SUM(BZ4:CE4)</f>
        <v>297.62314246428326</v>
      </c>
      <c r="CK4" s="14">
        <f t="shared" ref="CK4:CK14" si="20">CI4/CF4</f>
        <v>0.53252699126255343</v>
      </c>
      <c r="CL4" s="14">
        <f t="shared" ref="CL4:CL14" si="21">CJ4/CF4</f>
        <v>0.30390232252073029</v>
      </c>
      <c r="CM4" s="10">
        <f t="shared" ref="CM4:CM14" si="22">SUM(BO4:BR4)</f>
        <v>84.485214643775009</v>
      </c>
      <c r="CO4" s="7" t="str">
        <f t="shared" ref="CO4:CO20" si="23">CP4&amp;"_"&amp;IF(CQ4="男性",1,IF(CQ4="女性",2,IF(CQ4="合計",3)))</f>
        <v>2025_2</v>
      </c>
      <c r="CP4" s="29">
        <f>CP3</f>
        <v>2025</v>
      </c>
      <c r="CQ4" s="4" t="s">
        <v>22</v>
      </c>
      <c r="CR4" s="10">
        <f>BK4+将来予測シート②!$H17</f>
        <v>17.480491301560665</v>
      </c>
      <c r="CS4" s="10">
        <f>BL4+将来予測シート②!$H18</f>
        <v>22.641004986391579</v>
      </c>
      <c r="CT4" s="10">
        <f>BM4+将来予測シート②!$H19</f>
        <v>34.455734014925262</v>
      </c>
      <c r="CU4" s="10">
        <f>BN4+将来予測シート②!$H20</f>
        <v>28.915649571626144</v>
      </c>
      <c r="CV4" s="10">
        <f>BO4+将来予測シート②!$H21</f>
        <v>16.446475083300065</v>
      </c>
      <c r="CW4" s="10">
        <f>BP4+将来予測シート②!$H22</f>
        <v>14.131163073531134</v>
      </c>
      <c r="CX4" s="10">
        <f>BQ4+将来予測シート②!$H23</f>
        <v>18.998134666256842</v>
      </c>
      <c r="CY4" s="10">
        <f>BR4+将来予測シート②!$H24</f>
        <v>36.909441820686972</v>
      </c>
      <c r="CZ4" s="10">
        <f>BS4+将来予測シート②!$H25</f>
        <v>44.313237994387734</v>
      </c>
      <c r="DA4" s="10">
        <f>BT4+将来予測シート②!$H26</f>
        <v>41.388174957100105</v>
      </c>
      <c r="DB4" s="10">
        <f>BU4+将来予測シート②!$H27</f>
        <v>45.755398470646661</v>
      </c>
      <c r="DC4" s="10">
        <f>BV4+将来予測シート②!$H28</f>
        <v>59.143213583286574</v>
      </c>
      <c r="DD4" s="10">
        <f>BW4+将来予測シート②!$H29</f>
        <v>82.236038405881629</v>
      </c>
      <c r="DE4" s="10">
        <f>BX4</f>
        <v>120.48499914073307</v>
      </c>
      <c r="DF4" s="10">
        <f t="shared" ref="DF4:DL4" si="24">BY4</f>
        <v>103.41586410836466</v>
      </c>
      <c r="DG4" s="10">
        <f t="shared" si="24"/>
        <v>100.61345054885328</v>
      </c>
      <c r="DH4" s="10">
        <f t="shared" si="24"/>
        <v>65.077003377064017</v>
      </c>
      <c r="DI4" s="10">
        <f t="shared" si="24"/>
        <v>76.204252921201899</v>
      </c>
      <c r="DJ4" s="10">
        <f t="shared" si="24"/>
        <v>40.603821041320963</v>
      </c>
      <c r="DK4" s="10">
        <f t="shared" si="24"/>
        <v>15.035392379675221</v>
      </c>
      <c r="DL4" s="10">
        <f t="shared" si="24"/>
        <v>8.9222196167867945E-2</v>
      </c>
      <c r="DM4" s="10">
        <f>SUM(CR4:DL4)</f>
        <v>984.33816364296229</v>
      </c>
      <c r="DN4" s="10">
        <f t="shared" ref="DN4:DN14" si="25">CS4*3/5+CT4*3/5</f>
        <v>34.2580434007901</v>
      </c>
      <c r="DO4" s="10">
        <f t="shared" ref="DO4:DO14" si="26">CT4*2/5+CU4*1/5</f>
        <v>19.565423520295333</v>
      </c>
      <c r="DP4" s="10">
        <f t="shared" si="5"/>
        <v>521.52400571338092</v>
      </c>
      <c r="DQ4" s="10">
        <f t="shared" ref="DQ4:DQ14" si="27">SUM(DG4:DL4)</f>
        <v>297.62314246428326</v>
      </c>
      <c r="DR4" s="14">
        <f t="shared" ref="DR4:DR14" si="28">DP4/DM4</f>
        <v>0.52982199103533623</v>
      </c>
      <c r="DS4" s="14">
        <f t="shared" ref="DS4:DS14" si="29">DQ4/DM4</f>
        <v>0.30235863390971468</v>
      </c>
      <c r="DT4" s="10">
        <f>SUM(CV4:CY4)</f>
        <v>86.485214643775009</v>
      </c>
      <c r="DV4" s="313"/>
      <c r="DW4" s="314"/>
      <c r="DX4" s="29">
        <f>DX3</f>
        <v>2025</v>
      </c>
      <c r="DY4" s="4" t="s">
        <v>22</v>
      </c>
      <c r="DZ4" s="10">
        <f>BK$4</f>
        <v>16.480491301560665</v>
      </c>
      <c r="EA4" s="10">
        <f>BL$4</f>
        <v>22.641004986391579</v>
      </c>
      <c r="EB4" s="10">
        <f>BM$4</f>
        <v>33.455734014925262</v>
      </c>
      <c r="EC4" s="10">
        <f>BN$4</f>
        <v>28.915649571626144</v>
      </c>
      <c r="ED4" s="10">
        <f>BO$4</f>
        <v>16.446475083300065</v>
      </c>
      <c r="EE4" s="10">
        <f>BP$4+DX1</f>
        <v>41.131163073531134</v>
      </c>
      <c r="EF4" s="10">
        <f>BQ$4+DX1</f>
        <v>47.998134666256846</v>
      </c>
      <c r="EG4" s="10">
        <f>BR$4+DX1</f>
        <v>65.909441820686965</v>
      </c>
      <c r="EH4" s="10">
        <f t="shared" ref="EH4:ET4" si="30">BS$4</f>
        <v>43.313237994387734</v>
      </c>
      <c r="EI4" s="10">
        <f t="shared" si="30"/>
        <v>41.388174957100105</v>
      </c>
      <c r="EJ4" s="10">
        <f t="shared" si="30"/>
        <v>45.755398470646661</v>
      </c>
      <c r="EK4" s="10">
        <f t="shared" si="30"/>
        <v>59.143213583286574</v>
      </c>
      <c r="EL4" s="10">
        <f t="shared" si="30"/>
        <v>82.236038405881629</v>
      </c>
      <c r="EM4" s="10">
        <f t="shared" si="30"/>
        <v>120.48499914073307</v>
      </c>
      <c r="EN4" s="10">
        <f t="shared" si="30"/>
        <v>103.41586410836466</v>
      </c>
      <c r="EO4" s="10">
        <f t="shared" si="30"/>
        <v>100.61345054885328</v>
      </c>
      <c r="EP4" s="10">
        <f t="shared" si="30"/>
        <v>65.077003377064017</v>
      </c>
      <c r="EQ4" s="10">
        <f t="shared" si="30"/>
        <v>76.204252921201899</v>
      </c>
      <c r="ER4" s="10">
        <f t="shared" si="30"/>
        <v>40.603821041320963</v>
      </c>
      <c r="ES4" s="10">
        <f t="shared" si="30"/>
        <v>15.035392379675221</v>
      </c>
      <c r="ET4" s="10">
        <f t="shared" si="30"/>
        <v>8.9222196167867945E-2</v>
      </c>
      <c r="EU4" s="10">
        <f>SUM(DZ4:ET4)</f>
        <v>1066.3381636429622</v>
      </c>
      <c r="EV4" s="10">
        <f t="shared" ref="EV4:EV14" si="31">EA4*3/5+EB4*3/5</f>
        <v>33.658043400790106</v>
      </c>
      <c r="EW4" s="10">
        <f t="shared" ref="EW4:EW14" si="32">EB4*2/5+EC4*1/5</f>
        <v>19.165423520295334</v>
      </c>
      <c r="EX4" s="10">
        <f t="shared" si="7"/>
        <v>521.52400571338092</v>
      </c>
      <c r="EY4" s="10">
        <f t="shared" ref="EY4:EY14" si="33">SUM(EO4:ET4)</f>
        <v>297.62314246428326</v>
      </c>
      <c r="EZ4" s="14">
        <f t="shared" ref="EZ4:EZ14" si="34">EX4/EU4</f>
        <v>0.48907937790736405</v>
      </c>
      <c r="FA4" s="14">
        <f t="shared" ref="FA4:FA14" si="35">EY4/EU4</f>
        <v>0.27910765328655651</v>
      </c>
      <c r="FB4" s="10">
        <f>SUM(ED4:EG4)</f>
        <v>171.48521464377501</v>
      </c>
    </row>
    <row r="5" spans="1:158" x14ac:dyDescent="0.15">
      <c r="A5" s="7" t="str">
        <f t="shared" si="8"/>
        <v>2005_3</v>
      </c>
      <c r="B5" s="30">
        <v>2005</v>
      </c>
      <c r="C5" s="5" t="s">
        <v>23</v>
      </c>
      <c r="D5" s="11">
        <v>80</v>
      </c>
      <c r="E5" s="11">
        <v>107</v>
      </c>
      <c r="F5" s="11">
        <v>138</v>
      </c>
      <c r="G5" s="11">
        <v>131</v>
      </c>
      <c r="H5" s="11">
        <v>110</v>
      </c>
      <c r="I5" s="11">
        <v>87</v>
      </c>
      <c r="J5" s="11">
        <v>107</v>
      </c>
      <c r="K5" s="11">
        <v>102</v>
      </c>
      <c r="L5" s="11">
        <v>143</v>
      </c>
      <c r="M5" s="11">
        <v>205</v>
      </c>
      <c r="N5" s="11">
        <v>261</v>
      </c>
      <c r="O5" s="11">
        <v>257</v>
      </c>
      <c r="P5" s="11">
        <v>178</v>
      </c>
      <c r="Q5" s="11">
        <v>226</v>
      </c>
      <c r="R5" s="11">
        <v>276</v>
      </c>
      <c r="S5" s="11">
        <v>251</v>
      </c>
      <c r="T5" s="11">
        <v>179</v>
      </c>
      <c r="U5" s="11">
        <v>79</v>
      </c>
      <c r="V5" s="11">
        <v>36</v>
      </c>
      <c r="W5" s="11">
        <v>6</v>
      </c>
      <c r="X5" s="11">
        <v>1</v>
      </c>
      <c r="Y5" s="11">
        <f>SUM(D5:X5)</f>
        <v>2960</v>
      </c>
      <c r="Z5" s="11">
        <f t="shared" si="9"/>
        <v>147</v>
      </c>
      <c r="AA5" s="11">
        <f t="shared" si="10"/>
        <v>81.400000000000006</v>
      </c>
      <c r="AB5" s="11">
        <f t="shared" si="0"/>
        <v>1054</v>
      </c>
      <c r="AC5" s="11">
        <f t="shared" si="11"/>
        <v>552</v>
      </c>
      <c r="AD5" s="15">
        <f t="shared" si="12"/>
        <v>0.35608108108108111</v>
      </c>
      <c r="AE5" s="15">
        <f t="shared" si="13"/>
        <v>0.1864864864864865</v>
      </c>
      <c r="AF5" s="11">
        <f t="shared" si="14"/>
        <v>406</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1.2745690050804841</v>
      </c>
      <c r="AN5" s="6">
        <f t="shared" si="1"/>
        <v>1.0626173967314829</v>
      </c>
      <c r="AO5" s="6">
        <f t="shared" si="1"/>
        <v>0.56520200190259662</v>
      </c>
      <c r="AP5" s="6">
        <f t="shared" si="1"/>
        <v>0.48756193224464089</v>
      </c>
      <c r="AQ5" s="6">
        <f t="shared" si="1"/>
        <v>1.1109081784510995</v>
      </c>
      <c r="AR5" s="6">
        <f t="shared" si="1"/>
        <v>0.90040698372295136</v>
      </c>
      <c r="AS5" s="6">
        <f t="shared" si="1"/>
        <v>1.1667757939961545</v>
      </c>
      <c r="AT5" s="6">
        <f t="shared" si="1"/>
        <v>1.0831002244694521</v>
      </c>
      <c r="AU5" s="6">
        <f t="shared" si="1"/>
        <v>1.1346156818570066</v>
      </c>
      <c r="AV5" s="6">
        <f t="shared" si="1"/>
        <v>1.055208167788193</v>
      </c>
      <c r="AW5" s="6">
        <f t="shared" si="1"/>
        <v>1.0378875382264989</v>
      </c>
      <c r="AX5" s="6">
        <f t="shared" si="1"/>
        <v>0.98429101236721528</v>
      </c>
      <c r="AY5" s="6">
        <f t="shared" si="1"/>
        <v>0.97747136216609909</v>
      </c>
      <c r="AZ5" s="6">
        <f t="shared" si="1"/>
        <v>0.97515780234677873</v>
      </c>
      <c r="BA5" s="6">
        <f t="shared" si="1"/>
        <v>0.9372706733761057</v>
      </c>
      <c r="BB5" s="6">
        <f t="shared" si="1"/>
        <v>0.7738866066559289</v>
      </c>
      <c r="BC5" s="6">
        <f t="shared" si="1"/>
        <v>0.59109720345118855</v>
      </c>
      <c r="BD5" s="6">
        <f t="shared" si="1"/>
        <v>0.54382430708447227</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0.20274477996354612</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6"/>
        <v>2025_3</v>
      </c>
      <c r="BI5" s="30">
        <f>BI4</f>
        <v>2025</v>
      </c>
      <c r="BJ5" s="5" t="s">
        <v>23</v>
      </c>
      <c r="BK5" s="16">
        <f>BK3+BK4</f>
        <v>35.174892929325949</v>
      </c>
      <c r="BL5" s="16">
        <f t="shared" ref="BL5:CE5" si="36">BL3+BL4</f>
        <v>52.388218826698385</v>
      </c>
      <c r="BM5" s="16">
        <f t="shared" si="36"/>
        <v>75.225476892120753</v>
      </c>
      <c r="BN5" s="16">
        <f t="shared" si="36"/>
        <v>61.805845330704145</v>
      </c>
      <c r="BO5" s="16">
        <f t="shared" si="36"/>
        <v>41.028239484626766</v>
      </c>
      <c r="BP5" s="16">
        <f t="shared" si="36"/>
        <v>38.401608096883933</v>
      </c>
      <c r="BQ5" s="16">
        <f t="shared" si="36"/>
        <v>48.500174469204929</v>
      </c>
      <c r="BR5" s="16">
        <f t="shared" si="36"/>
        <v>68.554872565772726</v>
      </c>
      <c r="BS5" s="16">
        <f t="shared" si="36"/>
        <v>99.957144769885389</v>
      </c>
      <c r="BT5" s="16">
        <f t="shared" si="36"/>
        <v>103.51885361484865</v>
      </c>
      <c r="BU5" s="16">
        <f t="shared" si="36"/>
        <v>109.69317394353831</v>
      </c>
      <c r="BV5" s="16">
        <f t="shared" si="36"/>
        <v>110.26011764905633</v>
      </c>
      <c r="BW5" s="16">
        <f t="shared" si="36"/>
        <v>149.99133209960198</v>
      </c>
      <c r="BX5" s="16">
        <f t="shared" si="36"/>
        <v>221.31884864711117</v>
      </c>
      <c r="BY5" s="16">
        <f t="shared" si="36"/>
        <v>240.70267736711747</v>
      </c>
      <c r="BZ5" s="16">
        <f t="shared" si="36"/>
        <v>206.94558079467365</v>
      </c>
      <c r="CA5" s="16">
        <f t="shared" si="36"/>
        <v>122.83146013902058</v>
      </c>
      <c r="CB5" s="16">
        <f t="shared" si="36"/>
        <v>109.47184993507335</v>
      </c>
      <c r="CC5" s="16">
        <f t="shared" si="36"/>
        <v>62.874637012919791</v>
      </c>
      <c r="CD5" s="16">
        <f t="shared" si="36"/>
        <v>19.1944344146291</v>
      </c>
      <c r="CE5" s="16">
        <f t="shared" si="36"/>
        <v>9.6258930861745501E-2</v>
      </c>
      <c r="CF5" s="11">
        <f>SUM(BK5:CE5)</f>
        <v>1977.9356979136753</v>
      </c>
      <c r="CG5" s="11">
        <f t="shared" si="17"/>
        <v>76.568217431291487</v>
      </c>
      <c r="CH5" s="11">
        <f t="shared" si="18"/>
        <v>42.451359822989133</v>
      </c>
      <c r="CI5" s="11">
        <f t="shared" si="3"/>
        <v>983.43574724140683</v>
      </c>
      <c r="CJ5" s="11">
        <f t="shared" si="19"/>
        <v>521.41422122717825</v>
      </c>
      <c r="CK5" s="15">
        <f t="shared" si="20"/>
        <v>0.49720309324450429</v>
      </c>
      <c r="CL5" s="15">
        <f t="shared" si="21"/>
        <v>0.2636153550275499</v>
      </c>
      <c r="CM5" s="11">
        <f t="shared" si="22"/>
        <v>196.48489461648836</v>
      </c>
      <c r="CO5" s="7" t="str">
        <f t="shared" si="23"/>
        <v>2025_3</v>
      </c>
      <c r="CP5" s="30">
        <f>CP4</f>
        <v>2025</v>
      </c>
      <c r="CQ5" s="5" t="s">
        <v>23</v>
      </c>
      <c r="CR5" s="16">
        <f t="shared" ref="CR5:DL5" si="37">CR3+CR4</f>
        <v>37.174892929325949</v>
      </c>
      <c r="CS5" s="16">
        <f t="shared" si="37"/>
        <v>52.388218826698385</v>
      </c>
      <c r="CT5" s="16">
        <f t="shared" si="37"/>
        <v>77.225476892120753</v>
      </c>
      <c r="CU5" s="16">
        <f t="shared" si="37"/>
        <v>61.805845330704145</v>
      </c>
      <c r="CV5" s="16">
        <f t="shared" si="37"/>
        <v>41.028239484626766</v>
      </c>
      <c r="CW5" s="16">
        <f t="shared" si="37"/>
        <v>42.401608096883933</v>
      </c>
      <c r="CX5" s="16">
        <f t="shared" si="37"/>
        <v>48.500174469204929</v>
      </c>
      <c r="CY5" s="16">
        <f t="shared" si="37"/>
        <v>68.554872565772726</v>
      </c>
      <c r="CZ5" s="16">
        <f t="shared" si="37"/>
        <v>100.95714476988539</v>
      </c>
      <c r="DA5" s="16">
        <f t="shared" si="37"/>
        <v>103.51885361484865</v>
      </c>
      <c r="DB5" s="16">
        <f t="shared" si="37"/>
        <v>109.69317394353831</v>
      </c>
      <c r="DC5" s="16">
        <f t="shared" si="37"/>
        <v>110.26011764905633</v>
      </c>
      <c r="DD5" s="16">
        <f t="shared" si="37"/>
        <v>149.99133209960198</v>
      </c>
      <c r="DE5" s="16">
        <f t="shared" si="37"/>
        <v>221.31884864711117</v>
      </c>
      <c r="DF5" s="16">
        <f t="shared" si="37"/>
        <v>240.70267736711747</v>
      </c>
      <c r="DG5" s="16">
        <f t="shared" si="37"/>
        <v>206.94558079467365</v>
      </c>
      <c r="DH5" s="16">
        <f t="shared" si="37"/>
        <v>122.83146013902058</v>
      </c>
      <c r="DI5" s="16">
        <f t="shared" si="37"/>
        <v>109.47184993507335</v>
      </c>
      <c r="DJ5" s="16">
        <f t="shared" si="37"/>
        <v>62.874637012919791</v>
      </c>
      <c r="DK5" s="16">
        <f t="shared" si="37"/>
        <v>19.1944344146291</v>
      </c>
      <c r="DL5" s="16">
        <f t="shared" si="37"/>
        <v>9.6258930861745501E-2</v>
      </c>
      <c r="DM5" s="11">
        <f>SUM(CR5:DL5)</f>
        <v>1986.9356979136753</v>
      </c>
      <c r="DN5" s="11">
        <f t="shared" si="25"/>
        <v>77.768217431291475</v>
      </c>
      <c r="DO5" s="11">
        <f t="shared" si="26"/>
        <v>43.25135982298913</v>
      </c>
      <c r="DP5" s="11">
        <f t="shared" si="5"/>
        <v>983.43574724140683</v>
      </c>
      <c r="DQ5" s="11">
        <f t="shared" si="27"/>
        <v>521.41422122717825</v>
      </c>
      <c r="DR5" s="15">
        <f t="shared" si="28"/>
        <v>0.49495096810331368</v>
      </c>
      <c r="DS5" s="15">
        <f t="shared" si="29"/>
        <v>0.26242128609127829</v>
      </c>
      <c r="DT5" s="11">
        <f>SUM(CV5:CY5)</f>
        <v>200.48489461648836</v>
      </c>
      <c r="DV5" s="313"/>
      <c r="DW5" s="314"/>
      <c r="DX5" s="30">
        <f>DX4</f>
        <v>2025</v>
      </c>
      <c r="DY5" s="5" t="s">
        <v>23</v>
      </c>
      <c r="DZ5" s="16">
        <f>DZ3+DZ4</f>
        <v>35.174892929325949</v>
      </c>
      <c r="EA5" s="16">
        <f t="shared" ref="EA5:ET5" si="38">EA3+EA4</f>
        <v>52.388218826698385</v>
      </c>
      <c r="EB5" s="16">
        <f t="shared" si="38"/>
        <v>75.225476892120753</v>
      </c>
      <c r="EC5" s="16">
        <f t="shared" si="38"/>
        <v>61.805845330704145</v>
      </c>
      <c r="ED5" s="16">
        <f t="shared" si="38"/>
        <v>41.028239484626766</v>
      </c>
      <c r="EE5" s="16">
        <f t="shared" si="38"/>
        <v>96.401608096883933</v>
      </c>
      <c r="EF5" s="16">
        <f t="shared" si="38"/>
        <v>106.50017446920494</v>
      </c>
      <c r="EG5" s="16">
        <f t="shared" si="38"/>
        <v>126.55487256577273</v>
      </c>
      <c r="EH5" s="16">
        <f t="shared" si="38"/>
        <v>99.957144769885389</v>
      </c>
      <c r="EI5" s="16">
        <f t="shared" si="38"/>
        <v>103.51885361484865</v>
      </c>
      <c r="EJ5" s="16">
        <f t="shared" si="38"/>
        <v>109.69317394353831</v>
      </c>
      <c r="EK5" s="16">
        <f t="shared" si="38"/>
        <v>110.26011764905633</v>
      </c>
      <c r="EL5" s="16">
        <f t="shared" si="38"/>
        <v>149.99133209960198</v>
      </c>
      <c r="EM5" s="16">
        <f t="shared" si="38"/>
        <v>221.31884864711117</v>
      </c>
      <c r="EN5" s="16">
        <f t="shared" si="38"/>
        <v>240.70267736711747</v>
      </c>
      <c r="EO5" s="16">
        <f t="shared" si="38"/>
        <v>206.94558079467365</v>
      </c>
      <c r="EP5" s="16">
        <f t="shared" si="38"/>
        <v>122.83146013902058</v>
      </c>
      <c r="EQ5" s="16">
        <f t="shared" si="38"/>
        <v>109.47184993507335</v>
      </c>
      <c r="ER5" s="16">
        <f t="shared" si="38"/>
        <v>62.874637012919791</v>
      </c>
      <c r="ES5" s="16">
        <f t="shared" si="38"/>
        <v>19.1944344146291</v>
      </c>
      <c r="ET5" s="16">
        <f t="shared" si="38"/>
        <v>9.6258930861745501E-2</v>
      </c>
      <c r="EU5" s="11">
        <f>SUM(DZ5:ET5)</f>
        <v>2151.9356979136755</v>
      </c>
      <c r="EV5" s="11">
        <f t="shared" si="31"/>
        <v>76.568217431291487</v>
      </c>
      <c r="EW5" s="11">
        <f t="shared" si="32"/>
        <v>42.451359822989133</v>
      </c>
      <c r="EX5" s="11">
        <f t="shared" si="7"/>
        <v>983.43574724140683</v>
      </c>
      <c r="EY5" s="11">
        <f t="shared" si="33"/>
        <v>521.41422122717825</v>
      </c>
      <c r="EZ5" s="15">
        <f t="shared" si="34"/>
        <v>0.45700052663974033</v>
      </c>
      <c r="FA5" s="15">
        <f t="shared" si="35"/>
        <v>0.24230009369364283</v>
      </c>
      <c r="FB5" s="11">
        <f>SUM(ED5:EG5)</f>
        <v>370.48489461648836</v>
      </c>
    </row>
    <row r="6" spans="1:158" x14ac:dyDescent="0.15">
      <c r="A6" s="7" t="str">
        <f t="shared" si="8"/>
        <v>2010_1</v>
      </c>
      <c r="B6" s="28">
        <v>2010</v>
      </c>
      <c r="C6" s="3" t="s">
        <v>21</v>
      </c>
      <c r="D6" s="9">
        <v>41.240875912408761</v>
      </c>
      <c r="E6" s="9">
        <v>49.521897810218974</v>
      </c>
      <c r="F6" s="9">
        <v>58.993395898505383</v>
      </c>
      <c r="G6" s="9">
        <v>60.053180396246091</v>
      </c>
      <c r="H6" s="9">
        <v>36.336114007646856</v>
      </c>
      <c r="I6" s="9">
        <v>51.762773722627742</v>
      </c>
      <c r="J6" s="9">
        <v>43.481751824817522</v>
      </c>
      <c r="K6" s="9">
        <v>63.817865832464371</v>
      </c>
      <c r="L6" s="9">
        <v>51.807612095933266</v>
      </c>
      <c r="M6" s="9">
        <v>67.942996176572819</v>
      </c>
      <c r="N6" s="9">
        <v>101.20907194994786</v>
      </c>
      <c r="O6" s="9">
        <v>154.9363920750782</v>
      </c>
      <c r="P6" s="9">
        <v>130.04848800834202</v>
      </c>
      <c r="Q6" s="9">
        <v>87.632082029892246</v>
      </c>
      <c r="R6" s="9">
        <v>80.606882168925964</v>
      </c>
      <c r="S6" s="9">
        <v>102.12877997914494</v>
      </c>
      <c r="T6" s="9">
        <v>64.807612095933266</v>
      </c>
      <c r="U6" s="9">
        <v>44.632082029892246</v>
      </c>
      <c r="V6" s="9">
        <v>10.040145985401459</v>
      </c>
      <c r="W6" s="9">
        <v>2</v>
      </c>
      <c r="X6" s="9">
        <v>0</v>
      </c>
      <c r="Y6" s="9">
        <f t="shared" ref="Y6:Y11" si="39">SUM(D6:X6)</f>
        <v>1303</v>
      </c>
      <c r="Z6" s="9">
        <f t="shared" si="9"/>
        <v>65.10917622523462</v>
      </c>
      <c r="AA6" s="9">
        <f t="shared" si="10"/>
        <v>35.607994438651374</v>
      </c>
      <c r="AB6" s="9">
        <f t="shared" si="0"/>
        <v>391.84758428919014</v>
      </c>
      <c r="AC6" s="9">
        <f t="shared" si="11"/>
        <v>223.60862009037191</v>
      </c>
      <c r="AD6" s="13">
        <f t="shared" si="12"/>
        <v>0.3007272327622334</v>
      </c>
      <c r="AE6" s="13">
        <f t="shared" si="13"/>
        <v>0.17161060636252642</v>
      </c>
      <c r="AF6" s="9">
        <f t="shared" si="14"/>
        <v>195.3985053875565</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0.99958841891030115</v>
      </c>
      <c r="AN6" s="193">
        <f t="shared" si="15"/>
        <v>0.95660295501930703</v>
      </c>
      <c r="AO6" s="193">
        <f t="shared" si="15"/>
        <v>0.66676266101301962</v>
      </c>
      <c r="AP6" s="193">
        <f t="shared" si="15"/>
        <v>0.69359038738471446</v>
      </c>
      <c r="AQ6" s="193">
        <f t="shared" si="15"/>
        <v>0.84559332659776454</v>
      </c>
      <c r="AR6" s="193">
        <f t="shared" si="15"/>
        <v>0.819838203504757</v>
      </c>
      <c r="AS6" s="193">
        <f t="shared" si="15"/>
        <v>1.1625530217436144</v>
      </c>
      <c r="AT6" s="193">
        <f t="shared" si="15"/>
        <v>1.0575128467215029</v>
      </c>
      <c r="AU6" s="193">
        <f t="shared" si="15"/>
        <v>1.0011733763848956</v>
      </c>
      <c r="AV6" s="193">
        <f t="shared" si="15"/>
        <v>1.0008428880392255</v>
      </c>
      <c r="AW6" s="193">
        <f t="shared" si="15"/>
        <v>1.0012642641354581</v>
      </c>
      <c r="AX6" s="193">
        <f t="shared" si="15"/>
        <v>1.04118692865109</v>
      </c>
      <c r="AY6" s="193">
        <f t="shared" si="15"/>
        <v>0.96276446388886527</v>
      </c>
      <c r="AZ6" s="193">
        <f t="shared" si="15"/>
        <v>1.0031026429198537</v>
      </c>
      <c r="BA6" s="193">
        <f t="shared" si="15"/>
        <v>0.89735162677809588</v>
      </c>
      <c r="BB6" s="193">
        <f t="shared" si="15"/>
        <v>0.82498104139144679</v>
      </c>
      <c r="BC6" s="193">
        <f t="shared" si="15"/>
        <v>0.67612920033645785</v>
      </c>
      <c r="BD6" s="193">
        <f t="shared" si="15"/>
        <v>0.37199008684143026</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0.41023881029618858</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6"/>
        <v>2030_1</v>
      </c>
      <c r="BI6" s="28">
        <f>管理者入力シート!B9</f>
        <v>2030</v>
      </c>
      <c r="BJ6" s="3" t="s">
        <v>21</v>
      </c>
      <c r="BK6" s="9">
        <f>CM7*$AK$13</f>
        <v>13.206283630930532</v>
      </c>
      <c r="BL6" s="9">
        <f>IF(管理者入力シート!$B$14=1,BK3*管理者用人口入力シート!AM$3,IF(管理者入力シート!$B$14=2,BK3*管理者用人口入力シート!AM$7))</f>
        <v>21.287532617651564</v>
      </c>
      <c r="BM6" s="9">
        <f>IF(管理者入力シート!$B$14=1,BL3*管理者用人口入力シート!AN$3,IF(管理者入力シート!$B$14=2,BL3*管理者用人口入力シート!AN$7))</f>
        <v>29.384819247834997</v>
      </c>
      <c r="BN6" s="9">
        <f>IF(管理者入力シート!$B$14=1,BM3*管理者用人口入力シート!AO$3,IF(管理者入力シート!$B$14=2,BM3*管理者用人口入力シート!AO$7))</f>
        <v>28.461677398791679</v>
      </c>
      <c r="BO6" s="9">
        <f>IF(管理者入力シート!$B$14=1,BN3*管理者用人口入力シート!AP$3,IF(管理者入力シート!$B$14=2,BN3*管理者用人口入力シート!AP$7))</f>
        <v>18.703014929565139</v>
      </c>
      <c r="BP6" s="9">
        <f>IF(管理者入力シート!$B$14=1,BO3*管理者用人口入力シート!AQ$3,IF(管理者入力シート!$B$14=2,BO3*管理者用人口入力シート!AQ$7))</f>
        <v>29.202017636440132</v>
      </c>
      <c r="BQ6" s="9">
        <f>IF(管理者入力シート!$B$14=1,BP3*管理者用人口入力シート!AR$3,IF(管理者入力シート!$B$14=2,BP3*管理者用人口入力シート!AR$7))</f>
        <v>20.836857544236171</v>
      </c>
      <c r="BR6" s="9">
        <f>IF(管理者入力シート!$B$14=1,BQ3*管理者用人口入力シート!AS$3,IF(管理者入力シート!$B$14=2,BQ3*管理者用人口入力シート!AS$7))</f>
        <v>33.10211032933362</v>
      </c>
      <c r="BS6" s="9">
        <f>IF(管理者入力シート!$B$14=1,BR3*管理者用人口入力シート!AT$3,IF(管理者入力シート!$B$14=2,BR3*管理者用人口入力シート!AT$7))</f>
        <v>35.644124516004219</v>
      </c>
      <c r="BT6" s="9">
        <f>IF(管理者入力シート!$B$14=1,BS3*管理者用人口入力シート!AU$3,IF(管理者入力シート!$B$14=2,BS3*管理者用人口入力シート!AU$7))</f>
        <v>59.221529254899153</v>
      </c>
      <c r="BU6" s="9">
        <f>IF(管理者入力シート!$B$14=1,BT3*管理者用人口入力シート!AV$3,IF(管理者入力シート!$B$14=2,BT3*管理者用人口入力シート!AV$7))</f>
        <v>59.655246151924416</v>
      </c>
      <c r="BV6" s="9">
        <f>IF(管理者入力シート!$B$14=1,BU3*管理者用人口入力シート!AW$3,IF(管理者入力シート!$B$14=2,BU3*管理者用人口入力シート!AW$7))</f>
        <v>63.640379777719538</v>
      </c>
      <c r="BW6" s="9">
        <f>IF(管理者入力シート!$B$14=1,BV3*管理者用人口入力シート!AX$3,IF(管理者入力シート!$B$14=2,BV3*管理者用人口入力シート!AX$7))</f>
        <v>50.608649985215244</v>
      </c>
      <c r="BX6" s="9">
        <f>IF(管理者入力シート!$B$14=1,BW3*管理者用人口入力シート!AY$3,IF(管理者入力シート!$B$14=2,BW3*管理者用人口入力シート!AY$7))</f>
        <v>65.310489594090754</v>
      </c>
      <c r="BY6" s="9">
        <f>IF(管理者入力シート!$B$14=1,BX3*管理者用人口入力シート!AZ$3,IF(管理者入力シート!$B$14=2,BX3*管理者用人口入力シート!AZ$7))</f>
        <v>95.495485554686908</v>
      </c>
      <c r="BZ6" s="9">
        <f>IF(管理者入力シート!$B$14=1,BY3*管理者用人口入力シート!BA$3,IF(管理者入力シート!$B$14=2,BY3*管理者用人口入力シート!BA$7))</f>
        <v>124.85498919435383</v>
      </c>
      <c r="CA6" s="9">
        <f>IF(管理者入力シート!$B$14=1,BZ3*管理者用人口入力シート!BB$3,IF(管理者入力シート!$B$14=2,BZ3*管理者用人口入力シート!BB$7))</f>
        <v>81.437205346910929</v>
      </c>
      <c r="CB6" s="9">
        <f>IF(管理者入力シート!$B$14=1,CA3*管理者用人口入力シート!BC$3,IF(管理者入力シート!$B$14=2,CA3*管理者用人口入力シート!BC$7))</f>
        <v>33.55292761410039</v>
      </c>
      <c r="CC6" s="9">
        <f>IF(管理者入力シート!$B$14=1,CB3*管理者用人口入力シート!BD$3,IF(管理者入力シート!$B$14=2,CB3*管理者用人口入力シート!BD$7))</f>
        <v>16.417278219505505</v>
      </c>
      <c r="CD6" s="9">
        <f>IF(管理者入力シート!$B$14=1,CC3*管理者用人口入力シート!BE$3,IF(管理者入力シート!$B$14=2,CC3*管理者用人口入力シート!BE$7))</f>
        <v>5.3993773156990272</v>
      </c>
      <c r="CE6" s="9">
        <f>IF(管理者入力シート!$B$14=1,CD3*管理者用人口入力シート!BF$3,IF(管理者入力シート!$B$14=2,CD3*管理者用人口入力シート!BF$7))</f>
        <v>4.1590420349538783E-3</v>
      </c>
      <c r="CF6" s="9">
        <f t="shared" si="2"/>
        <v>885.42615490192873</v>
      </c>
      <c r="CG6" s="9">
        <f t="shared" si="17"/>
        <v>30.403411119291938</v>
      </c>
      <c r="CH6" s="9">
        <f t="shared" si="18"/>
        <v>17.446263178892337</v>
      </c>
      <c r="CI6" s="9">
        <f t="shared" si="3"/>
        <v>422.4719118813822</v>
      </c>
      <c r="CJ6" s="9">
        <f t="shared" si="19"/>
        <v>261.66593673260462</v>
      </c>
      <c r="CK6" s="13">
        <f t="shared" si="20"/>
        <v>0.47713963444887836</v>
      </c>
      <c r="CL6" s="13">
        <f t="shared" si="21"/>
        <v>0.2955254204813807</v>
      </c>
      <c r="CM6" s="9">
        <f t="shared" si="22"/>
        <v>101.84400043957507</v>
      </c>
      <c r="CO6" s="7" t="str">
        <f t="shared" si="23"/>
        <v>2030_1</v>
      </c>
      <c r="CP6" s="28">
        <f>管理者入力シート!B9</f>
        <v>2030</v>
      </c>
      <c r="CQ6" s="3" t="s">
        <v>21</v>
      </c>
      <c r="CR6" s="9">
        <f>DT7*$AK$13+将来予測シート②!$G17</f>
        <v>15.048625513595397</v>
      </c>
      <c r="CS6" s="9">
        <f>IF(管理者入力シート!$B$14=1,CR3*管理者用人口入力シート!AM$3,IF(管理者入力シート!$B$14=2,CR3*管理者用人口入力シート!AM$7))+将来予測シート②!$G18</f>
        <v>22.426244251301018</v>
      </c>
      <c r="CT6" s="9">
        <f>IF(管理者入力シート!$B$14=1,CS3*管理者用人口入力シート!AN$3,IF(管理者入力シート!$B$14=2,CS3*管理者用人口入力シート!AN$7))+将来予測シート②!$G19</f>
        <v>30.384819247834997</v>
      </c>
      <c r="CU6" s="9">
        <f>IF(管理者入力シート!$B$14=1,CT3*管理者用人口入力シート!AO$3,IF(管理者入力シート!$B$14=2,CT3*管理者用人口入力シート!AO$7))+将来予測シート②!$G20</f>
        <v>29.143072002595442</v>
      </c>
      <c r="CV6" s="9">
        <f>IF(管理者入力シート!$B$14=1,CU3*管理者用人口入力シート!AP$3,IF(管理者入力シート!$B$14=2,CU3*管理者用人口入力シート!AP$7))+将来予測シート②!$G21</f>
        <v>18.703014929565139</v>
      </c>
      <c r="CW6" s="9">
        <f>IF(管理者入力シート!$B$14=1,CV3*管理者用人口入力シート!AQ$3,IF(管理者入力シート!$B$14=2,CV3*管理者用人口入力シート!AQ$7))+将来予測シート②!$G22</f>
        <v>31.202017636440132</v>
      </c>
      <c r="CX6" s="9">
        <f>IF(管理者入力シート!$B$14=1,CW3*管理者用人口入力シート!AR$3,IF(管理者入力シート!$B$14=2,CW3*管理者用人口入力シート!AR$7))+将来予測シート②!$G23</f>
        <v>22.423192113423216</v>
      </c>
      <c r="CY6" s="9">
        <f>IF(管理者入力シート!$B$14=1,CX3*管理者用人口入力シート!AS$3,IF(管理者入力シート!$B$14=2,CX3*管理者用人口入力シート!AS$7))+将来予測シート②!$G24</f>
        <v>33.10211032933362</v>
      </c>
      <c r="CZ6" s="9">
        <f>IF(管理者入力シート!$B$14=1,CY3*管理者用人口入力シート!AT$3,IF(管理者入力シート!$B$14=2,CY3*管理者用人口入力シート!AT$7))+将来予測シート②!$G25</f>
        <v>35.644124516004219</v>
      </c>
      <c r="DA6" s="9">
        <f>IF(管理者入力シート!$B$14=1,CZ3*管理者用人口入力シート!AU$3,IF(管理者入力シート!$B$14=2,CZ3*管理者用人口入力シート!AU$7))+将来予測シート②!$G26</f>
        <v>59.221529254899153</v>
      </c>
      <c r="DB6" s="9">
        <f>IF(管理者入力シート!$B$14=1,DA3*管理者用人口入力シート!AV$3,IF(管理者入力シート!$B$14=2,DA3*管理者用人口入力シート!AV$7))+将来予測シート②!$G27</f>
        <v>59.655246151924416</v>
      </c>
      <c r="DC6" s="9">
        <f>IF(管理者入力シート!$B$14=1,DB3*管理者用人口入力シート!AW$3,IF(管理者入力シート!$B$14=2,DB3*管理者用人口入力シート!AW$7))+将来予測シート②!$G28</f>
        <v>63.640379777719538</v>
      </c>
      <c r="DD6" s="9">
        <f>IF(管理者入力シート!$B$14=1,DC3*管理者用人口入力シート!AX$3,IF(管理者入力シート!$B$14=2,DC3*管理者用人口入力シート!AX$7))+将来予測シート②!$G29</f>
        <v>50.608649985215244</v>
      </c>
      <c r="DE6" s="9">
        <f>IF(管理者入力シート!$B$14=1,DD3*管理者用人口入力シート!AY$3,IF(管理者入力シート!$B$14=2,DD3*管理者用人口入力シート!AY$7))</f>
        <v>65.310489594090754</v>
      </c>
      <c r="DF6" s="9">
        <f>IF(管理者入力シート!$B$14=1,DE3*管理者用人口入力シート!AZ$3,IF(管理者入力シート!$B$14=2,DE3*管理者用人口入力シート!AZ$7))</f>
        <v>95.495485554686908</v>
      </c>
      <c r="DG6" s="9">
        <f>IF(管理者入力シート!$B$14=1,DF3*管理者用人口入力シート!BA$3,IF(管理者入力シート!$B$14=2,DF3*管理者用人口入力シート!BA$7))</f>
        <v>124.85498919435383</v>
      </c>
      <c r="DH6" s="9">
        <f>IF(管理者入力シート!$B$14=1,DG3*管理者用人口入力シート!BB$3,IF(管理者入力シート!$B$14=2,DG3*管理者用人口入力シート!BB$7))</f>
        <v>81.437205346910929</v>
      </c>
      <c r="DI6" s="9">
        <f>IF(管理者入力シート!$B$14=1,DH3*管理者用人口入力シート!BC$3,IF(管理者入力シート!$B$14=2,DH3*管理者用人口入力シート!BC$7))</f>
        <v>33.55292761410039</v>
      </c>
      <c r="DJ6" s="9">
        <f>IF(管理者入力シート!$B$14=1,DI3*管理者用人口入力シート!BD$3,IF(管理者入力シート!$B$14=2,DI3*管理者用人口入力シート!BD$7))</f>
        <v>16.417278219505505</v>
      </c>
      <c r="DK6" s="9">
        <f>IF(管理者入力シート!$B$14=1,DJ3*管理者用人口入力シート!BE$3,IF(管理者入力シート!$B$14=2,DJ3*管理者用人口入力シート!BE$7))</f>
        <v>5.3993773156990272</v>
      </c>
      <c r="DL6" s="9">
        <f>IF(管理者入力シート!$B$14=1,DK3*管理者用人口入力シート!BF$3,IF(管理者入力シート!$B$14=2,DK3*管理者用人口入力シート!BF$7))</f>
        <v>4.1590420349538783E-3</v>
      </c>
      <c r="DM6" s="9">
        <f t="shared" ref="DM6:DM14" si="40">SUM(CR6:DL6)</f>
        <v>893.67493759123386</v>
      </c>
      <c r="DN6" s="9">
        <f t="shared" si="25"/>
        <v>31.686638099481613</v>
      </c>
      <c r="DO6" s="9">
        <f t="shared" si="26"/>
        <v>17.982542099653088</v>
      </c>
      <c r="DP6" s="9">
        <f t="shared" si="5"/>
        <v>422.4719118813822</v>
      </c>
      <c r="DQ6" s="9">
        <f t="shared" si="27"/>
        <v>261.66593673260462</v>
      </c>
      <c r="DR6" s="13">
        <f t="shared" si="28"/>
        <v>0.47273554858782502</v>
      </c>
      <c r="DS6" s="13">
        <f t="shared" si="29"/>
        <v>0.292797666943515</v>
      </c>
      <c r="DT6" s="9">
        <f t="shared" ref="DT6:DT14" si="41">SUM(CV6:CY6)</f>
        <v>105.43033500876211</v>
      </c>
      <c r="DV6" s="7" t="s">
        <v>400</v>
      </c>
      <c r="DX6" s="28">
        <f>管理者入力シート!B9</f>
        <v>2030</v>
      </c>
      <c r="DY6" s="3" t="s">
        <v>21</v>
      </c>
      <c r="DZ6" s="9">
        <f>FB7*$AK$13</f>
        <v>44.482047984755567</v>
      </c>
      <c r="EA6" s="129">
        <f>IF(管理者入力シート!$B$14=1,DZ3*管理者用人口入力シート!AM$3,IF(管理者入力シート!$B$14=2,DZ3*管理者用人口入力シート!AM$7))</f>
        <v>21.287532617651564</v>
      </c>
      <c r="EB6" s="9">
        <f>IF(管理者入力シート!$B$14=1,EA3*管理者用人口入力シート!AN$3,IF(管理者入力シート!$B$14=2,EA3*管理者用人口入力シート!AN$7))</f>
        <v>29.384819247834997</v>
      </c>
      <c r="EC6" s="9">
        <f>IF(管理者入力シート!$B$14=1,EB3*管理者用人口入力シート!AO$3,IF(管理者入力シート!$B$14=2,EB3*管理者用人口入力シート!AO$7))</f>
        <v>28.461677398791679</v>
      </c>
      <c r="ED6" s="9">
        <f>IF(管理者入力シート!$B$14=1,EC3*管理者用人口入力シート!AP$3,IF(管理者入力シート!$B$14=2,EC3*管理者用人口入力シート!AP$7))</f>
        <v>18.703014929565139</v>
      </c>
      <c r="EE6" s="9">
        <f>IF(管理者入力シート!$B$14=1,ED3*管理者用人口入力シート!AQ$3,IF(管理者入力シート!$B$14=2,ED3*管理者用人口入力シート!AQ$7))+DX1</f>
        <v>58.202017636440132</v>
      </c>
      <c r="EF6" s="9">
        <f>IF(管理者入力シート!$B$14=1,EE3*管理者用人口入力シート!AR$3,IF(管理者入力シート!$B$14=2,EE3*管理者用人口入力シート!AR$7))+DX1</f>
        <v>72.838708797448334</v>
      </c>
      <c r="EG6" s="9">
        <f>IF(管理者入力シート!$B$14=1,EF3*管理者用人口入力シート!AS$3,IF(管理者入力シート!$B$14=2,EF3*管理者用人口入力シート!AS$7))+DX1</f>
        <v>94.640918017293814</v>
      </c>
      <c r="EH6" s="9">
        <f>IF(管理者入力シート!$B$14=1,EG3*管理者用人口入力シート!AT$3,IF(管理者入力シート!$B$14=2,EG3*管理者用人口入力シート!AT$7))</f>
        <v>68.308543568813079</v>
      </c>
      <c r="EI6" s="9">
        <f>IF(管理者入力シート!$B$14=1,EH3*管理者用人口入力シート!AU$3,IF(管理者入力シート!$B$14=2,EH3*管理者用人口入力シート!AU$7))</f>
        <v>59.221529254899153</v>
      </c>
      <c r="EJ6" s="9">
        <f>IF(管理者入力シート!$B$14=1,EI3*管理者用人口入力シート!AV$3,IF(管理者入力シート!$B$14=2,EI3*管理者用人口入力シート!AV$7))</f>
        <v>59.655246151924416</v>
      </c>
      <c r="EK6" s="9">
        <f>IF(管理者入力シート!$B$14=1,EJ3*管理者用人口入力シート!AW$3,IF(管理者入力シート!$B$14=2,EJ3*管理者用人口入力シート!AW$7))</f>
        <v>63.640379777719538</v>
      </c>
      <c r="EL6" s="9">
        <f>IF(管理者入力シート!$B$14=1,EK3*管理者用人口入力シート!AX$3,IF(管理者入力シート!$B$14=2,EK3*管理者用人口入力シート!AX$7))</f>
        <v>50.608649985215244</v>
      </c>
      <c r="EM6" s="9">
        <f>IF(管理者入力シート!$B$14=1,EL3*管理者用人口入力シート!AY$3,IF(管理者入力シート!$B$14=2,EL3*管理者用人口入力シート!AY$7))</f>
        <v>65.310489594090754</v>
      </c>
      <c r="EN6" s="9">
        <f>IF(管理者入力シート!$B$14=1,EM3*管理者用人口入力シート!AZ$3,IF(管理者入力シート!$B$14=2,EM3*管理者用人口入力シート!AZ$7))</f>
        <v>95.495485554686908</v>
      </c>
      <c r="EO6" s="9">
        <f>IF(管理者入力シート!$B$14=1,EN3*管理者用人口入力シート!BA$3,IF(管理者入力シート!$B$14=2,EN3*管理者用人口入力シート!BA$7))</f>
        <v>124.85498919435383</v>
      </c>
      <c r="EP6" s="9">
        <f>IF(管理者入力シート!$B$14=1,EO3*管理者用人口入力シート!BB$3,IF(管理者入力シート!$B$14=2,EO3*管理者用人口入力シート!BB$7))</f>
        <v>81.437205346910929</v>
      </c>
      <c r="EQ6" s="9">
        <f>IF(管理者入力シート!$B$14=1,EP3*管理者用人口入力シート!BC$3,IF(管理者入力シート!$B$14=2,EP3*管理者用人口入力シート!BC$7))</f>
        <v>33.55292761410039</v>
      </c>
      <c r="ER6" s="9">
        <f>IF(管理者入力シート!$B$14=1,EQ3*管理者用人口入力シート!BD$3,IF(管理者入力シート!$B$14=2,EQ3*管理者用人口入力シート!BD$7))</f>
        <v>16.417278219505505</v>
      </c>
      <c r="ES6" s="9">
        <f>IF(管理者入力シート!$B$14=1,ER3*管理者用人口入力シート!BE$3,IF(管理者入力シート!$B$14=2,ER3*管理者用人口入力シート!BE$7))</f>
        <v>5.3993773156990272</v>
      </c>
      <c r="ET6" s="9">
        <f>IF(管理者入力シート!$B$14=1,ES3*管理者用人口入力シート!BF$3,IF(管理者入力シート!$B$14=2,ES3*管理者用人口入力シート!BF$7))</f>
        <v>4.1590420349538783E-3</v>
      </c>
      <c r="EU6" s="9">
        <f t="shared" ref="EU6:EU14" si="42">SUM(DZ6:ET6)</f>
        <v>1091.9069972497348</v>
      </c>
      <c r="EV6" s="9">
        <f t="shared" si="31"/>
        <v>30.403411119291938</v>
      </c>
      <c r="EW6" s="9">
        <f t="shared" si="32"/>
        <v>17.446263178892337</v>
      </c>
      <c r="EX6" s="9">
        <f t="shared" si="7"/>
        <v>422.4719118813822</v>
      </c>
      <c r="EY6" s="9">
        <f t="shared" si="33"/>
        <v>261.66593673260462</v>
      </c>
      <c r="EZ6" s="13">
        <f t="shared" si="34"/>
        <v>0.3869119924549369</v>
      </c>
      <c r="FA6" s="13">
        <f t="shared" si="35"/>
        <v>0.23964123079317337</v>
      </c>
      <c r="FB6" s="9">
        <f t="shared" ref="FB6:FB14" si="43">SUM(ED6:EG6)</f>
        <v>244.38465938074742</v>
      </c>
    </row>
    <row r="7" spans="1:158" x14ac:dyDescent="0.15">
      <c r="A7" s="7" t="str">
        <f t="shared" si="8"/>
        <v>2010_2</v>
      </c>
      <c r="B7" s="29">
        <v>2010</v>
      </c>
      <c r="C7" s="4" t="s">
        <v>22</v>
      </c>
      <c r="D7" s="10">
        <v>46.273571256329873</v>
      </c>
      <c r="E7" s="10">
        <v>45.250783699059561</v>
      </c>
      <c r="F7" s="10">
        <v>45.226549312756212</v>
      </c>
      <c r="G7" s="10">
        <v>39.198758138413311</v>
      </c>
      <c r="H7" s="10">
        <v>45.179527369182537</v>
      </c>
      <c r="I7" s="10">
        <v>66.238666505907887</v>
      </c>
      <c r="J7" s="10">
        <v>44.175970581142998</v>
      </c>
      <c r="K7" s="10">
        <v>55.188087774294672</v>
      </c>
      <c r="L7" s="10">
        <v>59.304919218712328</v>
      </c>
      <c r="M7" s="10">
        <v>84.448095008439836</v>
      </c>
      <c r="N7" s="10">
        <v>119.58560405112129</v>
      </c>
      <c r="O7" s="10">
        <v>103.44098143236074</v>
      </c>
      <c r="P7" s="10">
        <v>123.44598504943332</v>
      </c>
      <c r="Q7" s="10">
        <v>89.312032794791421</v>
      </c>
      <c r="R7" s="10">
        <v>134.50367735712564</v>
      </c>
      <c r="S7" s="10">
        <v>130.38184229563541</v>
      </c>
      <c r="T7" s="10">
        <v>111.50868097419821</v>
      </c>
      <c r="U7" s="10">
        <v>62.25789727513866</v>
      </c>
      <c r="V7" s="10">
        <v>22.047021943573668</v>
      </c>
      <c r="W7" s="10">
        <v>10.031347962382444</v>
      </c>
      <c r="X7" s="10">
        <v>2</v>
      </c>
      <c r="Y7" s="10">
        <f t="shared" si="39"/>
        <v>1439</v>
      </c>
      <c r="Z7" s="10">
        <f t="shared" si="9"/>
        <v>54.286399807089467</v>
      </c>
      <c r="AA7" s="10">
        <f t="shared" si="10"/>
        <v>25.930371352785148</v>
      </c>
      <c r="AB7" s="10">
        <f t="shared" si="0"/>
        <v>562.04250060284551</v>
      </c>
      <c r="AC7" s="10">
        <f t="shared" si="11"/>
        <v>338.22679045092838</v>
      </c>
      <c r="AD7" s="14">
        <f t="shared" si="12"/>
        <v>0.3905785271736244</v>
      </c>
      <c r="AE7" s="14">
        <f t="shared" si="13"/>
        <v>0.23504293985471048</v>
      </c>
      <c r="AF7" s="10">
        <f t="shared" si="14"/>
        <v>210.78225223052809</v>
      </c>
      <c r="AH7" s="7"/>
      <c r="AI7" s="28" t="s">
        <v>88</v>
      </c>
      <c r="AJ7" s="3">
        <f>管理者入力シート!B7</f>
        <v>2010</v>
      </c>
      <c r="AK7" s="3">
        <f>管理者入力シート!B5</f>
        <v>2020</v>
      </c>
      <c r="AL7" s="31" t="s">
        <v>21</v>
      </c>
      <c r="AM7" s="48">
        <f t="shared" ref="AM7:BF8" si="44">IF(AND(AM3&gt;0,AM5&gt;0),SQRT(AM3*AM5),IF(AND(AM3=0,AM5&gt;0),SQRT(0.001*AM5),IF(AND(AM3&gt;0,AM5=0),SQRT(AM3*0.001),IF(AND(AM3=0,AM5=0),SQRT(0.001*0.001)))))</f>
        <v>1.1387116336494509</v>
      </c>
      <c r="AN7" s="48">
        <f t="shared" si="44"/>
        <v>0.98781752824256863</v>
      </c>
      <c r="AO7" s="48">
        <f t="shared" si="44"/>
        <v>0.68139460380376315</v>
      </c>
      <c r="AP7" s="48">
        <f t="shared" si="44"/>
        <v>0.56865015540088215</v>
      </c>
      <c r="AQ7" s="48">
        <f t="shared" si="44"/>
        <v>1.187954499916372</v>
      </c>
      <c r="AR7" s="48">
        <f t="shared" si="44"/>
        <v>0.79316728459352293</v>
      </c>
      <c r="AS7" s="48">
        <f t="shared" si="44"/>
        <v>1.1220278513089723</v>
      </c>
      <c r="AT7" s="48">
        <f t="shared" si="44"/>
        <v>1.126359277683064</v>
      </c>
      <c r="AU7" s="48">
        <f t="shared" si="44"/>
        <v>1.0455057326751425</v>
      </c>
      <c r="AV7" s="48">
        <f t="shared" si="44"/>
        <v>0.96015764579910301</v>
      </c>
      <c r="AW7" s="48">
        <f t="shared" si="44"/>
        <v>0.99534866996900428</v>
      </c>
      <c r="AX7" s="48">
        <f t="shared" si="44"/>
        <v>0.99005702536482731</v>
      </c>
      <c r="AY7" s="48">
        <f t="shared" si="44"/>
        <v>0.9639171499915411</v>
      </c>
      <c r="AZ7" s="48">
        <f t="shared" si="44"/>
        <v>0.94705781860134641</v>
      </c>
      <c r="BA7" s="48">
        <f t="shared" si="44"/>
        <v>0.90944633523565044</v>
      </c>
      <c r="BB7" s="48">
        <f t="shared" si="44"/>
        <v>0.76587580027450841</v>
      </c>
      <c r="BC7" s="48">
        <f t="shared" si="44"/>
        <v>0.58095824106516469</v>
      </c>
      <c r="BD7" s="48">
        <f t="shared" si="44"/>
        <v>0.49349155614275531</v>
      </c>
      <c r="BE7" s="48">
        <f t="shared" si="44"/>
        <v>0.24244182712410089</v>
      </c>
      <c r="BF7" s="48">
        <f t="shared" si="44"/>
        <v>1E-3</v>
      </c>
      <c r="BH7" s="7" t="str">
        <f t="shared" si="16"/>
        <v>2030_2</v>
      </c>
      <c r="BI7" s="29">
        <f>BI6</f>
        <v>2030</v>
      </c>
      <c r="BJ7" s="4" t="s">
        <v>22</v>
      </c>
      <c r="BK7" s="10">
        <f>CM7*$AK$14</f>
        <v>11.642311256555089</v>
      </c>
      <c r="BL7" s="10">
        <f>IF(管理者入力シート!$B$14=1,BK4*管理者用人口入力シート!AM$4,IF(管理者入力シート!$B$14=2,BK4*管理者用人口入力シート!AM$8))</f>
        <v>16.202227702117181</v>
      </c>
      <c r="BM7" s="10">
        <f>IF(管理者入力シート!$B$14=1,BL4*管理者用人口入力シート!AN$4,IF(管理者入力シート!$B$14=2,BL4*管理者用人口入力シート!AN$8))</f>
        <v>21.605187962497226</v>
      </c>
      <c r="BN7" s="10">
        <f>IF(管理者入力シート!$B$14=1,BM4*管理者用人口入力シート!AO$4,IF(管理者入力シート!$B$14=2,BM4*管理者用人口入力シート!AO$8))</f>
        <v>21.971327736537795</v>
      </c>
      <c r="BO7" s="10">
        <f>IF(管理者入力シート!$B$14=1,BN4*管理者用人口入力シート!AP$4,IF(管理者入力シート!$B$14=2,BN4*管理者用人口入力シート!AP$8))</f>
        <v>16.98430393561377</v>
      </c>
      <c r="BP7" s="10">
        <f>IF(管理者入力シート!$B$14=1,BO4*管理者用人口入力シート!AQ$4,IF(管理者入力シート!$B$14=2,BO4*管理者用人口入力シート!AQ$8))</f>
        <v>13.300991414685308</v>
      </c>
      <c r="BQ7" s="10">
        <f>IF(管理者入力シート!$B$14=1,BP4*管理者用人口入力シート!AR$4,IF(管理者入力シート!$B$14=2,BP4*管理者用人口入力シート!AR$8))</f>
        <v>10.959158603165983</v>
      </c>
      <c r="BR7" s="10">
        <f>IF(管理者入力シート!$B$14=1,BQ4*管理者用人口入力シート!AS$4,IF(管理者入力シート!$B$14=2,BQ4*管理者用人口入力シート!AS$8))</f>
        <v>18.438424879555523</v>
      </c>
      <c r="BS7" s="10">
        <f>IF(管理者入力シート!$B$14=1,BR4*管理者用人口入力シート!AT$4,IF(管理者入力シート!$B$14=2,BR4*管理者用人口入力シート!AT$8))</f>
        <v>36.333350859532331</v>
      </c>
      <c r="BT7" s="10">
        <f>IF(管理者入力シート!$B$14=1,BS4*管理者用人口入力シート!AU$4,IF(管理者入力シート!$B$14=2,BS4*管理者用人口入力シート!AU$8))</f>
        <v>38.093226586966622</v>
      </c>
      <c r="BU7" s="10">
        <f>IF(管理者入力シート!$B$14=1,BT4*管理者用人口入力シート!AV$4,IF(管理者入力シート!$B$14=2,BT4*管理者用人口入力シート!AV$8))</f>
        <v>41.999362227091012</v>
      </c>
      <c r="BV7" s="10">
        <f>IF(管理者入力シート!$B$14=1,BU4*管理者用人口入力シート!AW$4,IF(管理者入力シート!$B$14=2,BU4*管理者用人口入力シート!AW$8))</f>
        <v>44.297612360282244</v>
      </c>
      <c r="BW7" s="10">
        <f>IF(管理者入力シート!$B$14=1,BV4*管理者用人口入力シート!AX$4,IF(管理者入力シート!$B$14=2,BV4*管理者用人口入力シート!AX$8))</f>
        <v>61.472956066161437</v>
      </c>
      <c r="BX7" s="10">
        <f>IF(管理者入力シート!$B$14=1,BW4*管理者用人口入力シート!AY$4,IF(管理者入力シート!$B$14=2,BW4*管理者用人口入力シート!AY$8))</f>
        <v>79.751321974637904</v>
      </c>
      <c r="BY7" s="10">
        <f>IF(管理者入力シート!$B$14=1,BX4*管理者用人口入力シート!AZ$4,IF(管理者入力シート!$B$14=2,BX4*管理者用人口入力シート!AZ$8))</f>
        <v>118.43155624651871</v>
      </c>
      <c r="BZ7" s="10">
        <f>IF(管理者入力シート!$B$14=1,BY4*管理者用人口入力シート!BA$4,IF(管理者入力シート!$B$14=2,BY4*管理者用人口入力シート!BA$8))</f>
        <v>90.891369526997366</v>
      </c>
      <c r="CA7" s="10">
        <f>IF(管理者入力シート!$B$14=1,BZ4*管理者用人口入力シート!BB$4,IF(管理者入力シート!$B$14=2,BZ4*管理者用人口入力シート!BB$8))</f>
        <v>84.902393012728439</v>
      </c>
      <c r="CB7" s="10">
        <f>IF(管理者入力シート!$B$14=1,CA4*管理者用人口入力シート!BC$4,IF(管理者入力シート!$B$14=2,CA4*管理者用人口入力シート!BC$8))</f>
        <v>47.602102643965566</v>
      </c>
      <c r="CC7" s="10">
        <f>IF(管理者入力シート!$B$14=1,CB4*管理者用人口入力シート!BD$4,IF(管理者入力シート!$B$14=2,CB4*管理者用人口入力シート!BD$8))</f>
        <v>36.351099040750981</v>
      </c>
      <c r="CD7" s="10">
        <f>IF(管理者入力シート!$B$14=1,CC4*管理者用人口入力シート!BE$4,IF(管理者入力シート!$B$14=2,CC4*管理者用人口入力シート!BE$8))</f>
        <v>13.237256815053408</v>
      </c>
      <c r="CE7" s="10">
        <f>IF(管理者入力シート!$B$14=1,CD4*管理者用人口入力シート!BF$4,IF(管理者入力シート!$B$14=2,CD4*管理者用人口入力シート!BF$8))</f>
        <v>0.22358178806004156</v>
      </c>
      <c r="CF7" s="10">
        <f t="shared" si="2"/>
        <v>824.69112263947397</v>
      </c>
      <c r="CG7" s="10">
        <f t="shared" si="17"/>
        <v>22.684449398768642</v>
      </c>
      <c r="CH7" s="10">
        <f t="shared" si="18"/>
        <v>13.036340732306449</v>
      </c>
      <c r="CI7" s="10">
        <f t="shared" si="3"/>
        <v>471.39068104871239</v>
      </c>
      <c r="CJ7" s="10">
        <f t="shared" si="19"/>
        <v>273.20780282755578</v>
      </c>
      <c r="CK7" s="14">
        <f t="shared" si="20"/>
        <v>0.57159664765154483</v>
      </c>
      <c r="CL7" s="14">
        <f t="shared" si="21"/>
        <v>0.33128500517034504</v>
      </c>
      <c r="CM7" s="10">
        <f t="shared" si="22"/>
        <v>59.682878833020581</v>
      </c>
      <c r="CO7" s="7" t="str">
        <f t="shared" si="23"/>
        <v>2030_2</v>
      </c>
      <c r="CP7" s="29">
        <f>CP6</f>
        <v>2030</v>
      </c>
      <c r="CQ7" s="4" t="s">
        <v>22</v>
      </c>
      <c r="CR7" s="10">
        <f>DT7*$AK$14+将来予測シート②!$H17</f>
        <v>13.384897638650381</v>
      </c>
      <c r="CS7" s="10">
        <f>IF(管理者入力シート!$B$14=1,CR4*管理者用人口入力シート!AM$4,IF(管理者入力シート!$B$14=2,CR4*管理者用人口入力シート!AM$8))+将来予測シート②!$H18</f>
        <v>17.185343278324723</v>
      </c>
      <c r="CT7" s="10">
        <f>IF(管理者入力シート!$B$14=1,CS4*管理者用人口入力シート!AN$4,IF(管理者入力シート!$B$14=2,CS4*管理者用人口入力シート!AN$8))+将来予測シート②!$H19</f>
        <v>22.605187962497226</v>
      </c>
      <c r="CU7" s="10">
        <f>IF(管理者入力シート!$B$14=1,CT4*管理者用人口入力シート!AO$4,IF(管理者入力シート!$B$14=2,CT4*管理者用人口入力シート!AO$8))+将来予測シート②!$H20</f>
        <v>22.628056048842524</v>
      </c>
      <c r="CV7" s="10">
        <f>IF(管理者入力シート!$B$14=1,CU4*管理者用人口入力シート!AP$4,IF(管理者入力シート!$B$14=2,CU4*管理者用人口入力シート!AP$8))+将来予測シート②!$H21</f>
        <v>16.98430393561377</v>
      </c>
      <c r="CW7" s="10">
        <f>IF(管理者入力シート!$B$14=1,CV4*管理者用人口入力シート!AQ$4,IF(管理者入力シート!$B$14=2,CV4*管理者用人口入力シート!AQ$8))+将来予測シート②!$H22</f>
        <v>15.300991414685308</v>
      </c>
      <c r="CX7" s="10">
        <f>IF(管理者入力シート!$B$14=1,CW4*管理者用人口入力シート!AR$4,IF(管理者入力シート!$B$14=2,CW4*管理者用人口入力シート!AR$8))+将来予測シート②!$H23</f>
        <v>12.765936491937039</v>
      </c>
      <c r="CY7" s="10">
        <f>IF(管理者入力シート!$B$14=1,CX4*管理者用人口入力シート!AS$4,IF(管理者入力シート!$B$14=2,CX4*管理者用人口入力シート!AS$8))+将来予測シート②!$H24</f>
        <v>18.438424879555523</v>
      </c>
      <c r="CZ7" s="10">
        <f>IF(管理者入力シート!$B$14=1,CY4*管理者用人口入力シート!AT$4,IF(管理者入力シート!$B$14=2,CY4*管理者用人口入力シート!AT$8))+将来予測シート②!$H25</f>
        <v>37.333350859532331</v>
      </c>
      <c r="DA7" s="10">
        <f>IF(管理者入力シート!$B$14=1,CZ4*管理者用人口入力シート!AU$4,IF(管理者入力シート!$B$14=2,CZ4*管理者用人口入力シート!AU$8))+将来予測シート②!$H26</f>
        <v>38.972708896552952</v>
      </c>
      <c r="DB7" s="10">
        <f>IF(管理者入力シート!$B$14=1,DA4*管理者用人口入力シート!AV$4,IF(管理者入力シート!$B$14=2,DA4*管理者用人口入力シート!AV$8))+将来予測シート②!$H27</f>
        <v>41.999362227091012</v>
      </c>
      <c r="DC7" s="10">
        <f>IF(管理者入力シート!$B$14=1,DB4*管理者用人口入力シート!AW$4,IF(管理者入力シート!$B$14=2,DB4*管理者用人口入力シート!AW$8))+将来予測シート②!$H28</f>
        <v>44.297612360282244</v>
      </c>
      <c r="DD7" s="10">
        <f>IF(管理者入力シート!$B$14=1,DC4*管理者用人口入力シート!AX$4,IF(管理者入力シート!$B$14=2,DC4*管理者用人口入力シート!AX$8))+将来予測シート②!$H29</f>
        <v>61.472956066161437</v>
      </c>
      <c r="DE7" s="10">
        <f>IF(管理者入力シート!$B$14=1,DD4*管理者用人口入力シート!AY$4,IF(管理者入力シート!$B$14=2,DD4*管理者用人口入力シート!AY$8))</f>
        <v>79.751321974637904</v>
      </c>
      <c r="DF7" s="10">
        <f>IF(管理者入力シート!$B$14=1,DE4*管理者用人口入力シート!AZ$4,IF(管理者入力シート!$B$14=2,DE4*管理者用人口入力シート!AZ$8))</f>
        <v>118.43155624651871</v>
      </c>
      <c r="DG7" s="10">
        <f>IF(管理者入力シート!$B$14=1,DF4*管理者用人口入力シート!BA$4,IF(管理者入力シート!$B$14=2,DF4*管理者用人口入力シート!BA$8))</f>
        <v>90.891369526997366</v>
      </c>
      <c r="DH7" s="10">
        <f>IF(管理者入力シート!$B$14=1,DG4*管理者用人口入力シート!BB$4,IF(管理者入力シート!$B$14=2,DG4*管理者用人口入力シート!BB$8))</f>
        <v>84.902393012728439</v>
      </c>
      <c r="DI7" s="10">
        <f>IF(管理者入力シート!$B$14=1,DH4*管理者用人口入力シート!BC$4,IF(管理者入力シート!$B$14=2,DH4*管理者用人口入力シート!BC$8))</f>
        <v>47.602102643965566</v>
      </c>
      <c r="DJ7" s="10">
        <f>IF(管理者入力シート!$B$14=1,DI4*管理者用人口入力シート!BD$4,IF(管理者入力シート!$B$14=2,DI4*管理者用人口入力シート!BD$8))</f>
        <v>36.351099040750981</v>
      </c>
      <c r="DK7" s="10">
        <f>IF(管理者入力シート!$B$14=1,DJ4*管理者用人口入力シート!BE$4,IF(管理者入力シート!$B$14=2,DJ4*管理者用人口入力シート!BE$8))</f>
        <v>13.237256815053408</v>
      </c>
      <c r="DL7" s="10">
        <f>IF(管理者入力シート!$B$14=1,DK4*管理者用人口入力シート!BF$4,IF(管理者入力シート!$B$14=2,DK4*管理者用人口入力シート!BF$8))</f>
        <v>0.22358178806004156</v>
      </c>
      <c r="DM7" s="10">
        <f t="shared" si="40"/>
        <v>834.75981310843883</v>
      </c>
      <c r="DN7" s="10">
        <f t="shared" si="25"/>
        <v>23.87431874449317</v>
      </c>
      <c r="DO7" s="10">
        <f t="shared" si="26"/>
        <v>13.567686394767394</v>
      </c>
      <c r="DP7" s="10">
        <f t="shared" si="5"/>
        <v>471.39068104871239</v>
      </c>
      <c r="DQ7" s="10">
        <f t="shared" si="27"/>
        <v>273.20780282755578</v>
      </c>
      <c r="DR7" s="14">
        <f t="shared" si="28"/>
        <v>0.564702173782624</v>
      </c>
      <c r="DS7" s="14">
        <f t="shared" si="29"/>
        <v>0.32728911782444053</v>
      </c>
      <c r="DT7" s="10">
        <f t="shared" si="41"/>
        <v>63.489656721791647</v>
      </c>
      <c r="DV7" s="7" t="s">
        <v>401</v>
      </c>
      <c r="DW7" s="209">
        <f>(SUM(BK12:BW12)-SUM(D12:P12))/4</f>
        <v>-76.584031860041392</v>
      </c>
      <c r="DX7" s="29">
        <f>DX6</f>
        <v>2030</v>
      </c>
      <c r="DY7" s="4" t="s">
        <v>22</v>
      </c>
      <c r="DZ7" s="10">
        <f>FB7*$AK$14</f>
        <v>39.214200030857079</v>
      </c>
      <c r="EA7" s="10">
        <f>IF(管理者入力シート!$B$14=1,DZ4*管理者用人口入力シート!AM$4,IF(管理者入力シート!$B$14=2,DZ4*管理者用人口入力シート!AM$8))</f>
        <v>16.202227702117181</v>
      </c>
      <c r="EB7" s="10">
        <f>IF(管理者入力シート!$B$14=1,EA4*管理者用人口入力シート!AN$4,IF(管理者入力シート!$B$14=2,EA4*管理者用人口入力シート!AN$8))</f>
        <v>21.605187962497226</v>
      </c>
      <c r="EC7" s="10">
        <f>IF(管理者入力シート!$B$14=1,EB4*管理者用人口入力シート!AO$4,IF(管理者入力シート!$B$14=2,EB4*管理者用人口入力シート!AO$8))</f>
        <v>21.971327736537795</v>
      </c>
      <c r="ED7" s="10">
        <f>IF(管理者入力シート!$B$14=1,EC4*管理者用人口入力シート!AP$4,IF(管理者入力シート!$B$14=2,EC4*管理者用人口入力シート!AP$8))</f>
        <v>16.98430393561377</v>
      </c>
      <c r="EE7" s="10">
        <f>IF(管理者入力シート!$B$14=1,ED4*管理者用人口入力シート!AQ$4,IF(管理者入力シート!$B$14=2,ED4*管理者用人口入力シート!AQ$8))+DX1</f>
        <v>42.300991414685306</v>
      </c>
      <c r="EF7" s="10">
        <f>IF(管理者入力シート!$B$14=1,EE4*管理者用人口入力シート!AR$4,IF(管理者入力シート!$B$14=2,EE4*管理者用人口入力シート!AR$8))+DX1</f>
        <v>66.157437990346281</v>
      </c>
      <c r="EG7" s="10">
        <f>IF(管理者入力シート!$B$14=1,EF4*管理者用人口入力シート!AS$4,IF(管理者入力シート!$B$14=2,EF4*管理者用人口入力シート!AS$8))+DX1</f>
        <v>75.584047115660226</v>
      </c>
      <c r="EH7" s="10">
        <f>IF(管理者入力シート!$B$14=1,EG4*管理者用人口入力シート!AT$4,IF(管理者入力シート!$B$14=2,EG4*管理者用人口入力シート!AT$8))</f>
        <v>64.880712264924242</v>
      </c>
      <c r="EI7" s="10">
        <f>IF(管理者入力シート!$B$14=1,EH4*管理者用人口入力シート!AU$4,IF(管理者入力シート!$B$14=2,EH4*管理者用人口入力シート!AU$8))</f>
        <v>38.093226586966622</v>
      </c>
      <c r="EJ7" s="10">
        <f>IF(管理者入力シート!$B$14=1,EI4*管理者用人口入力シート!AV$4,IF(管理者入力シート!$B$14=2,EI4*管理者用人口入力シート!AV$8))</f>
        <v>41.999362227091012</v>
      </c>
      <c r="EK7" s="10">
        <f>IF(管理者入力シート!$B$14=1,EJ4*管理者用人口入力シート!AW$4,IF(管理者入力シート!$B$14=2,EJ4*管理者用人口入力シート!AW$8))</f>
        <v>44.297612360282244</v>
      </c>
      <c r="EL7" s="10">
        <f>IF(管理者入力シート!$B$14=1,EK4*管理者用人口入力シート!AX$4,IF(管理者入力シート!$B$14=2,EK4*管理者用人口入力シート!AX$8))</f>
        <v>61.472956066161437</v>
      </c>
      <c r="EM7" s="10">
        <f>IF(管理者入力シート!$B$14=1,EL4*管理者用人口入力シート!AY$4,IF(管理者入力シート!$B$14=2,EL4*管理者用人口入力シート!AY$8))</f>
        <v>79.751321974637904</v>
      </c>
      <c r="EN7" s="10">
        <f>IF(管理者入力シート!$B$14=1,EM4*管理者用人口入力シート!AZ$4,IF(管理者入力シート!$B$14=2,EM4*管理者用人口入力シート!AZ$8))</f>
        <v>118.43155624651871</v>
      </c>
      <c r="EO7" s="10">
        <f>IF(管理者入力シート!$B$14=1,EN4*管理者用人口入力シート!BA$4,IF(管理者入力シート!$B$14=2,EN4*管理者用人口入力シート!BA$8))</f>
        <v>90.891369526997366</v>
      </c>
      <c r="EP7" s="10">
        <f>IF(管理者入力シート!$B$14=1,EO4*管理者用人口入力シート!BB$4,IF(管理者入力シート!$B$14=2,EO4*管理者用人口入力シート!BB$8))</f>
        <v>84.902393012728439</v>
      </c>
      <c r="EQ7" s="10">
        <f>IF(管理者入力シート!$B$14=1,EP4*管理者用人口入力シート!BC$4,IF(管理者入力シート!$B$14=2,EP4*管理者用人口入力シート!BC$8))</f>
        <v>47.602102643965566</v>
      </c>
      <c r="ER7" s="10">
        <f>IF(管理者入力シート!$B$14=1,EQ4*管理者用人口入力シート!BD$4,IF(管理者入力シート!$B$14=2,EQ4*管理者用人口入力シート!BD$8))</f>
        <v>36.351099040750981</v>
      </c>
      <c r="ES7" s="10">
        <f>IF(管理者入力シート!$B$14=1,ER4*管理者用人口入力シート!BE$4,IF(管理者入力シート!$B$14=2,ER4*管理者用人口入力シート!BE$8))</f>
        <v>13.237256815053408</v>
      </c>
      <c r="ET7" s="10">
        <f>IF(管理者入力シート!$B$14=1,ES4*管理者用人口入力シート!BF$4,IF(管理者入力シート!$B$14=2,ES4*管理者用人口入力シート!BF$8))</f>
        <v>0.22358178806004156</v>
      </c>
      <c r="EU7" s="10">
        <f t="shared" si="42"/>
        <v>1022.1542744424529</v>
      </c>
      <c r="EV7" s="10">
        <f t="shared" si="31"/>
        <v>22.684449398768642</v>
      </c>
      <c r="EW7" s="10">
        <f t="shared" si="32"/>
        <v>13.036340732306449</v>
      </c>
      <c r="EX7" s="10">
        <f t="shared" si="7"/>
        <v>471.39068104871239</v>
      </c>
      <c r="EY7" s="10">
        <f t="shared" si="33"/>
        <v>273.20780282755578</v>
      </c>
      <c r="EZ7" s="14">
        <f t="shared" si="34"/>
        <v>0.46117371206595842</v>
      </c>
      <c r="FA7" s="14">
        <f t="shared" si="35"/>
        <v>0.26728626945925599</v>
      </c>
      <c r="FB7" s="10">
        <f t="shared" si="43"/>
        <v>201.02678045630557</v>
      </c>
    </row>
    <row r="8" spans="1:158" x14ac:dyDescent="0.15">
      <c r="A8" s="7" t="str">
        <f t="shared" si="8"/>
        <v>2010_3</v>
      </c>
      <c r="B8" s="30">
        <v>2010</v>
      </c>
      <c r="C8" s="5" t="s">
        <v>23</v>
      </c>
      <c r="D8" s="11">
        <v>87.514447168738627</v>
      </c>
      <c r="E8" s="11">
        <v>94.772681509278527</v>
      </c>
      <c r="F8" s="11">
        <v>104.2199452112616</v>
      </c>
      <c r="G8" s="11">
        <v>99.251938534659402</v>
      </c>
      <c r="H8" s="11">
        <v>81.515641376829393</v>
      </c>
      <c r="I8" s="11">
        <v>118.00144022853563</v>
      </c>
      <c r="J8" s="11">
        <v>87.657722405960527</v>
      </c>
      <c r="K8" s="11">
        <v>119.00595360675905</v>
      </c>
      <c r="L8" s="11">
        <v>111.11253131464559</v>
      </c>
      <c r="M8" s="11">
        <v>152.39109118501267</v>
      </c>
      <c r="N8" s="11">
        <v>220.79467600106915</v>
      </c>
      <c r="O8" s="11">
        <v>258.37737350743896</v>
      </c>
      <c r="P8" s="11">
        <v>253.49447305777534</v>
      </c>
      <c r="Q8" s="11">
        <v>176.94411482468365</v>
      </c>
      <c r="R8" s="11">
        <v>215.11055952605159</v>
      </c>
      <c r="S8" s="11">
        <v>232.51062227478036</v>
      </c>
      <c r="T8" s="11">
        <v>176.31629307013148</v>
      </c>
      <c r="U8" s="11">
        <v>106.88997930503091</v>
      </c>
      <c r="V8" s="11">
        <v>32.087167928975127</v>
      </c>
      <c r="W8" s="11">
        <v>12.031347962382444</v>
      </c>
      <c r="X8" s="11">
        <v>2</v>
      </c>
      <c r="Y8" s="11">
        <f t="shared" si="39"/>
        <v>2742</v>
      </c>
      <c r="Z8" s="11">
        <f t="shared" si="9"/>
        <v>119.39557603232409</v>
      </c>
      <c r="AA8" s="11">
        <f t="shared" si="10"/>
        <v>61.538365791436519</v>
      </c>
      <c r="AB8" s="11">
        <f t="shared" si="0"/>
        <v>953.89008489203559</v>
      </c>
      <c r="AC8" s="11">
        <f t="shared" si="11"/>
        <v>561.83541054130035</v>
      </c>
      <c r="AD8" s="15">
        <f t="shared" si="12"/>
        <v>0.34788113963969203</v>
      </c>
      <c r="AE8" s="15">
        <f t="shared" si="13"/>
        <v>0.20489985796546328</v>
      </c>
      <c r="AF8" s="11">
        <f t="shared" si="14"/>
        <v>406.18075761808461</v>
      </c>
      <c r="AH8" s="7"/>
      <c r="AI8" s="30" t="s">
        <v>88</v>
      </c>
      <c r="AJ8" s="5">
        <f>AJ7</f>
        <v>2010</v>
      </c>
      <c r="AK8" s="5">
        <f>AK7</f>
        <v>2020</v>
      </c>
      <c r="AL8" s="33" t="s">
        <v>22</v>
      </c>
      <c r="AM8" s="47">
        <f t="shared" si="44"/>
        <v>0.98311557620754098</v>
      </c>
      <c r="AN8" s="47">
        <f t="shared" si="44"/>
        <v>0.95425039548743829</v>
      </c>
      <c r="AO8" s="47">
        <f t="shared" si="44"/>
        <v>0.65672831230472939</v>
      </c>
      <c r="AP8" s="47">
        <f t="shared" si="44"/>
        <v>0.58737411011785945</v>
      </c>
      <c r="AQ8" s="47">
        <f t="shared" si="44"/>
        <v>0.80874420490207555</v>
      </c>
      <c r="AR8" s="47">
        <f t="shared" si="44"/>
        <v>0.90338894438552753</v>
      </c>
      <c r="AS8" s="47">
        <f t="shared" si="44"/>
        <v>0.97053869779671387</v>
      </c>
      <c r="AT8" s="47">
        <f t="shared" si="44"/>
        <v>0.98439177259972122</v>
      </c>
      <c r="AU8" s="47">
        <f t="shared" si="44"/>
        <v>0.87948230958633267</v>
      </c>
      <c r="AV8" s="47">
        <f t="shared" si="44"/>
        <v>1.0147671954761093</v>
      </c>
      <c r="AW8" s="47">
        <f t="shared" si="44"/>
        <v>0.96813958223312979</v>
      </c>
      <c r="AX8" s="47">
        <f t="shared" si="44"/>
        <v>1.0393915437076153</v>
      </c>
      <c r="AY8" s="47">
        <f t="shared" si="44"/>
        <v>0.96978555291075386</v>
      </c>
      <c r="AZ8" s="47">
        <f t="shared" si="44"/>
        <v>0.98295685845657998</v>
      </c>
      <c r="BA8" s="47">
        <f t="shared" si="44"/>
        <v>0.87889194090914857</v>
      </c>
      <c r="BB8" s="47">
        <f t="shared" si="44"/>
        <v>0.84384734396425187</v>
      </c>
      <c r="BC8" s="47">
        <f t="shared" si="44"/>
        <v>0.73147348792557698</v>
      </c>
      <c r="BD8" s="47">
        <f t="shared" si="44"/>
        <v>0.47702192000149124</v>
      </c>
      <c r="BE8" s="47">
        <f t="shared" si="44"/>
        <v>0.3260101260317928</v>
      </c>
      <c r="BF8" s="47">
        <f t="shared" si="44"/>
        <v>1.4870366027977991E-2</v>
      </c>
      <c r="BH8" s="7" t="str">
        <f t="shared" si="16"/>
        <v>2030_3</v>
      </c>
      <c r="BI8" s="30">
        <f>BI7</f>
        <v>2030</v>
      </c>
      <c r="BJ8" s="5" t="s">
        <v>23</v>
      </c>
      <c r="BK8" s="16">
        <f t="shared" ref="BK8:CE8" si="45">BK6+BK7</f>
        <v>24.848594887485621</v>
      </c>
      <c r="BL8" s="16">
        <f t="shared" si="45"/>
        <v>37.489760319768749</v>
      </c>
      <c r="BM8" s="16">
        <f t="shared" si="45"/>
        <v>50.990007210332223</v>
      </c>
      <c r="BN8" s="16">
        <f t="shared" si="45"/>
        <v>50.433005135329473</v>
      </c>
      <c r="BO8" s="16">
        <f t="shared" si="45"/>
        <v>35.687318865178909</v>
      </c>
      <c r="BP8" s="16">
        <f t="shared" si="45"/>
        <v>42.503009051125439</v>
      </c>
      <c r="BQ8" s="16">
        <f t="shared" si="45"/>
        <v>31.796016147402156</v>
      </c>
      <c r="BR8" s="16">
        <f t="shared" si="45"/>
        <v>51.540535208889139</v>
      </c>
      <c r="BS8" s="16">
        <f t="shared" si="45"/>
        <v>71.977475375536557</v>
      </c>
      <c r="BT8" s="16">
        <f t="shared" si="45"/>
        <v>97.314755841865775</v>
      </c>
      <c r="BU8" s="16">
        <f t="shared" si="45"/>
        <v>101.65460837901543</v>
      </c>
      <c r="BV8" s="16">
        <f t="shared" si="45"/>
        <v>107.93799213800179</v>
      </c>
      <c r="BW8" s="16">
        <f t="shared" si="45"/>
        <v>112.08160605137668</v>
      </c>
      <c r="BX8" s="16">
        <f t="shared" si="45"/>
        <v>145.06181156872867</v>
      </c>
      <c r="BY8" s="16">
        <f t="shared" si="45"/>
        <v>213.92704180120563</v>
      </c>
      <c r="BZ8" s="16">
        <f t="shared" si="45"/>
        <v>215.74635872135121</v>
      </c>
      <c r="CA8" s="16">
        <f t="shared" si="45"/>
        <v>166.33959835963935</v>
      </c>
      <c r="CB8" s="16">
        <f t="shared" si="45"/>
        <v>81.155030258065949</v>
      </c>
      <c r="CC8" s="16">
        <f t="shared" si="45"/>
        <v>52.768377260256486</v>
      </c>
      <c r="CD8" s="16">
        <f t="shared" si="45"/>
        <v>18.636634130752434</v>
      </c>
      <c r="CE8" s="16">
        <f t="shared" si="45"/>
        <v>0.22774083009499543</v>
      </c>
      <c r="CF8" s="11">
        <f t="shared" si="2"/>
        <v>1710.1172775414027</v>
      </c>
      <c r="CG8" s="11">
        <f t="shared" si="17"/>
        <v>53.08786051806058</v>
      </c>
      <c r="CH8" s="11">
        <f t="shared" si="18"/>
        <v>30.482603911198787</v>
      </c>
      <c r="CI8" s="11">
        <f t="shared" si="3"/>
        <v>893.86259293009471</v>
      </c>
      <c r="CJ8" s="11">
        <f t="shared" si="19"/>
        <v>534.8737395601604</v>
      </c>
      <c r="CK8" s="15">
        <f t="shared" si="20"/>
        <v>0.52269081464119282</v>
      </c>
      <c r="CL8" s="15">
        <f t="shared" si="21"/>
        <v>0.31277020973037384</v>
      </c>
      <c r="CM8" s="11">
        <f t="shared" si="22"/>
        <v>161.52687927259564</v>
      </c>
      <c r="CO8" s="7" t="str">
        <f t="shared" si="23"/>
        <v>2030_3</v>
      </c>
      <c r="CP8" s="30">
        <f>CP7</f>
        <v>2030</v>
      </c>
      <c r="CQ8" s="5" t="s">
        <v>23</v>
      </c>
      <c r="CR8" s="16">
        <f t="shared" ref="CR8:DL8" si="46">CR6+CR7</f>
        <v>28.433523152245776</v>
      </c>
      <c r="CS8" s="16">
        <f t="shared" si="46"/>
        <v>39.611587529625737</v>
      </c>
      <c r="CT8" s="16">
        <f t="shared" si="46"/>
        <v>52.990007210332223</v>
      </c>
      <c r="CU8" s="16">
        <f t="shared" si="46"/>
        <v>51.771128051437969</v>
      </c>
      <c r="CV8" s="16">
        <f t="shared" si="46"/>
        <v>35.687318865178909</v>
      </c>
      <c r="CW8" s="16">
        <f t="shared" si="46"/>
        <v>46.503009051125439</v>
      </c>
      <c r="CX8" s="16">
        <f t="shared" si="46"/>
        <v>35.189128605360253</v>
      </c>
      <c r="CY8" s="16">
        <f t="shared" si="46"/>
        <v>51.540535208889139</v>
      </c>
      <c r="CZ8" s="16">
        <f t="shared" si="46"/>
        <v>72.977475375536557</v>
      </c>
      <c r="DA8" s="16">
        <f t="shared" si="46"/>
        <v>98.194238151452112</v>
      </c>
      <c r="DB8" s="16">
        <f t="shared" si="46"/>
        <v>101.65460837901543</v>
      </c>
      <c r="DC8" s="16">
        <f t="shared" si="46"/>
        <v>107.93799213800179</v>
      </c>
      <c r="DD8" s="16">
        <f t="shared" si="46"/>
        <v>112.08160605137668</v>
      </c>
      <c r="DE8" s="16">
        <f t="shared" si="46"/>
        <v>145.06181156872867</v>
      </c>
      <c r="DF8" s="16">
        <f t="shared" si="46"/>
        <v>213.92704180120563</v>
      </c>
      <c r="DG8" s="16">
        <f t="shared" si="46"/>
        <v>215.74635872135121</v>
      </c>
      <c r="DH8" s="16">
        <f t="shared" si="46"/>
        <v>166.33959835963935</v>
      </c>
      <c r="DI8" s="16">
        <f t="shared" si="46"/>
        <v>81.155030258065949</v>
      </c>
      <c r="DJ8" s="16">
        <f t="shared" si="46"/>
        <v>52.768377260256486</v>
      </c>
      <c r="DK8" s="16">
        <f t="shared" si="46"/>
        <v>18.636634130752434</v>
      </c>
      <c r="DL8" s="16">
        <f t="shared" si="46"/>
        <v>0.22774083009499543</v>
      </c>
      <c r="DM8" s="11">
        <f t="shared" si="40"/>
        <v>1728.4347506996726</v>
      </c>
      <c r="DN8" s="11">
        <f t="shared" si="25"/>
        <v>55.560956843974779</v>
      </c>
      <c r="DO8" s="11">
        <f t="shared" si="26"/>
        <v>31.55022849442048</v>
      </c>
      <c r="DP8" s="11">
        <f t="shared" si="5"/>
        <v>893.86259293009471</v>
      </c>
      <c r="DQ8" s="11">
        <f t="shared" si="27"/>
        <v>534.8737395601604</v>
      </c>
      <c r="DR8" s="15">
        <f t="shared" si="28"/>
        <v>0.51715148203787153</v>
      </c>
      <c r="DS8" s="15">
        <f t="shared" si="29"/>
        <v>0.30945555760415189</v>
      </c>
      <c r="DT8" s="11">
        <f t="shared" si="41"/>
        <v>168.91999173055373</v>
      </c>
      <c r="DV8" s="7" t="s">
        <v>402</v>
      </c>
      <c r="DW8" s="209">
        <f>(SUM(BK13:BW13)-SUM(D13:P13))/4</f>
        <v>-96.125182282479585</v>
      </c>
      <c r="DX8" s="30">
        <f>DX7</f>
        <v>2030</v>
      </c>
      <c r="DY8" s="5" t="s">
        <v>23</v>
      </c>
      <c r="DZ8" s="16">
        <f>DZ6+DZ7</f>
        <v>83.696248015612639</v>
      </c>
      <c r="EA8" s="16">
        <f t="shared" ref="EA8:ET8" si="47">EA6+EA7</f>
        <v>37.489760319768749</v>
      </c>
      <c r="EB8" s="16">
        <f t="shared" si="47"/>
        <v>50.990007210332223</v>
      </c>
      <c r="EC8" s="16">
        <f t="shared" si="47"/>
        <v>50.433005135329473</v>
      </c>
      <c r="ED8" s="16">
        <f t="shared" si="47"/>
        <v>35.687318865178909</v>
      </c>
      <c r="EE8" s="16">
        <f t="shared" si="47"/>
        <v>100.50300905112545</v>
      </c>
      <c r="EF8" s="16">
        <f t="shared" si="47"/>
        <v>138.9961467877946</v>
      </c>
      <c r="EG8" s="16">
        <f t="shared" si="47"/>
        <v>170.22496513295403</v>
      </c>
      <c r="EH8" s="16">
        <f t="shared" si="47"/>
        <v>133.18925583373732</v>
      </c>
      <c r="EI8" s="16">
        <f t="shared" si="47"/>
        <v>97.314755841865775</v>
      </c>
      <c r="EJ8" s="16">
        <f t="shared" si="47"/>
        <v>101.65460837901543</v>
      </c>
      <c r="EK8" s="16">
        <f t="shared" si="47"/>
        <v>107.93799213800179</v>
      </c>
      <c r="EL8" s="16">
        <f t="shared" si="47"/>
        <v>112.08160605137668</v>
      </c>
      <c r="EM8" s="16">
        <f t="shared" si="47"/>
        <v>145.06181156872867</v>
      </c>
      <c r="EN8" s="16">
        <f t="shared" si="47"/>
        <v>213.92704180120563</v>
      </c>
      <c r="EO8" s="16">
        <f t="shared" si="47"/>
        <v>215.74635872135121</v>
      </c>
      <c r="EP8" s="16">
        <f t="shared" si="47"/>
        <v>166.33959835963935</v>
      </c>
      <c r="EQ8" s="16">
        <f t="shared" si="47"/>
        <v>81.155030258065949</v>
      </c>
      <c r="ER8" s="16">
        <f t="shared" si="47"/>
        <v>52.768377260256486</v>
      </c>
      <c r="ES8" s="16">
        <f t="shared" si="47"/>
        <v>18.636634130752434</v>
      </c>
      <c r="ET8" s="16">
        <f t="shared" si="47"/>
        <v>0.22774083009499543</v>
      </c>
      <c r="EU8" s="11">
        <f t="shared" si="42"/>
        <v>2114.0612716921878</v>
      </c>
      <c r="EV8" s="11">
        <f t="shared" si="31"/>
        <v>53.08786051806058</v>
      </c>
      <c r="EW8" s="11">
        <f t="shared" si="32"/>
        <v>30.482603911198787</v>
      </c>
      <c r="EX8" s="11">
        <f t="shared" si="7"/>
        <v>893.86259293009471</v>
      </c>
      <c r="EY8" s="11">
        <f t="shared" si="33"/>
        <v>534.8737395601604</v>
      </c>
      <c r="EZ8" s="15">
        <f t="shared" si="34"/>
        <v>0.42281773234254827</v>
      </c>
      <c r="FA8" s="15">
        <f t="shared" si="35"/>
        <v>0.25300768086632791</v>
      </c>
      <c r="FB8" s="11">
        <f t="shared" si="43"/>
        <v>445.41143983705297</v>
      </c>
    </row>
    <row r="9" spans="1:158" x14ac:dyDescent="0.15">
      <c r="A9" s="7" t="str">
        <f t="shared" si="8"/>
        <v>2015_1</v>
      </c>
      <c r="B9" s="28">
        <v>2015</v>
      </c>
      <c r="C9" s="3" t="s">
        <v>21</v>
      </c>
      <c r="D9" s="9">
        <v>41.564342180326534</v>
      </c>
      <c r="E9" s="9">
        <v>52.564342180326534</v>
      </c>
      <c r="F9" s="9">
        <v>52.622830132297409</v>
      </c>
      <c r="G9" s="9">
        <v>33.343185460867673</v>
      </c>
      <c r="H9" s="9">
        <v>29.279644671429732</v>
      </c>
      <c r="I9" s="9">
        <v>40.36608622422645</v>
      </c>
      <c r="J9" s="9">
        <v>46.607562956724891</v>
      </c>
      <c r="K9" s="9">
        <v>50.733455509745205</v>
      </c>
      <c r="L9" s="9">
        <v>69.121144808303541</v>
      </c>
      <c r="M9" s="9">
        <v>58.781729123610624</v>
      </c>
      <c r="N9" s="9">
        <v>71.694004509521605</v>
      </c>
      <c r="O9" s="9">
        <v>105.04363453231998</v>
      </c>
      <c r="P9" s="9">
        <v>152.50249820810251</v>
      </c>
      <c r="Q9" s="9">
        <v>127.11867272115568</v>
      </c>
      <c r="R9" s="9">
        <v>85.455108527342361</v>
      </c>
      <c r="S9" s="9">
        <v>75.550466729217646</v>
      </c>
      <c r="T9" s="9">
        <v>79.036094979970443</v>
      </c>
      <c r="U9" s="9">
        <v>38.307598272255575</v>
      </c>
      <c r="V9" s="9">
        <v>24.272011083643477</v>
      </c>
      <c r="W9" s="9">
        <v>2.0355871886120998</v>
      </c>
      <c r="X9" s="9">
        <v>0</v>
      </c>
      <c r="Y9" s="9">
        <f t="shared" si="39"/>
        <v>1235.9999999999998</v>
      </c>
      <c r="Z9" s="9">
        <f t="shared" si="9"/>
        <v>63.112303387574372</v>
      </c>
      <c r="AA9" s="9">
        <f t="shared" si="10"/>
        <v>27.717769145092497</v>
      </c>
      <c r="AB9" s="9">
        <f t="shared" si="0"/>
        <v>431.77553950219726</v>
      </c>
      <c r="AC9" s="9">
        <f t="shared" si="11"/>
        <v>219.20175825369927</v>
      </c>
      <c r="AD9" s="13">
        <f t="shared" si="12"/>
        <v>0.34933296076229559</v>
      </c>
      <c r="AE9" s="13">
        <f t="shared" si="13"/>
        <v>0.17734770085250753</v>
      </c>
      <c r="AF9" s="9">
        <f t="shared" si="14"/>
        <v>166.98674936212629</v>
      </c>
      <c r="AL9" s="46" t="s">
        <v>92</v>
      </c>
      <c r="AM9" s="2">
        <v>4</v>
      </c>
      <c r="AN9" s="2">
        <f>AM9+1</f>
        <v>5</v>
      </c>
      <c r="AO9" s="2">
        <f t="shared" ref="AO9:BF9" si="48">AN9+1</f>
        <v>6</v>
      </c>
      <c r="AP9" s="2">
        <f t="shared" si="48"/>
        <v>7</v>
      </c>
      <c r="AQ9" s="2">
        <f t="shared" si="48"/>
        <v>8</v>
      </c>
      <c r="AR9" s="2">
        <f t="shared" si="48"/>
        <v>9</v>
      </c>
      <c r="AS9" s="2">
        <f t="shared" si="48"/>
        <v>10</v>
      </c>
      <c r="AT9" s="2">
        <f t="shared" si="48"/>
        <v>11</v>
      </c>
      <c r="AU9" s="2">
        <f t="shared" si="48"/>
        <v>12</v>
      </c>
      <c r="AV9" s="2">
        <f t="shared" si="48"/>
        <v>13</v>
      </c>
      <c r="AW9" s="2">
        <f t="shared" si="48"/>
        <v>14</v>
      </c>
      <c r="AX9" s="2">
        <f t="shared" si="48"/>
        <v>15</v>
      </c>
      <c r="AY9" s="2">
        <f t="shared" si="48"/>
        <v>16</v>
      </c>
      <c r="AZ9" s="2">
        <f t="shared" si="48"/>
        <v>17</v>
      </c>
      <c r="BA9" s="2">
        <f t="shared" si="48"/>
        <v>18</v>
      </c>
      <c r="BB9" s="2">
        <f t="shared" si="48"/>
        <v>19</v>
      </c>
      <c r="BC9" s="2">
        <f t="shared" si="48"/>
        <v>20</v>
      </c>
      <c r="BD9" s="2">
        <f t="shared" si="48"/>
        <v>21</v>
      </c>
      <c r="BE9" s="2">
        <f t="shared" si="48"/>
        <v>22</v>
      </c>
      <c r="BF9" s="2">
        <f t="shared" si="48"/>
        <v>23</v>
      </c>
      <c r="BH9" s="7" t="str">
        <f t="shared" si="16"/>
        <v>2035_1</v>
      </c>
      <c r="BI9" s="28">
        <f>管理者入力シート!B10</f>
        <v>2035</v>
      </c>
      <c r="BJ9" s="3" t="s">
        <v>21</v>
      </c>
      <c r="BK9" s="9">
        <f>CM10*$AK$13</f>
        <v>10.90740442641739</v>
      </c>
      <c r="BL9" s="9">
        <f>IF(管理者入力シート!$B$14=1,BK6*管理者用人口入力シート!AM$3,IF(管理者入力シート!$B$14=2,BK6*管理者用人口入力シート!AM$7))</f>
        <v>15.038148807814908</v>
      </c>
      <c r="BM9" s="9">
        <f>IF(管理者入力シート!$B$14=1,BL6*管理者用人口入力シート!AN$3,IF(管理者入力シート!$B$14=2,BL6*管理者用人口入力シート!AN$7))</f>
        <v>21.028197852751624</v>
      </c>
      <c r="BN9" s="9">
        <f>IF(管理者入力シート!$B$14=1,BM6*管理者用人口入力シート!AO$3,IF(管理者入力シート!$B$14=2,BM6*管理者用人口入力シート!AO$7))</f>
        <v>20.022657269223721</v>
      </c>
      <c r="BO9" s="9">
        <f>IF(管理者入力シート!$B$14=1,BN6*管理者用人口入力シート!AP$3,IF(管理者入力シート!$B$14=2,BN6*管理者用人口入力シート!AP$7))</f>
        <v>16.184737275792664</v>
      </c>
      <c r="BP9" s="9">
        <f>IF(管理者入力シート!$B$14=1,BO6*管理者用人口入力シート!AQ$3,IF(管理者入力シート!$B$14=2,BO6*管理者用人口入力シート!AQ$7))</f>
        <v>22.218330747579994</v>
      </c>
      <c r="BQ9" s="9">
        <f>IF(管理者入力シート!$B$14=1,BP6*管理者用人口入力シート!AR$3,IF(管理者入力シート!$B$14=2,BP6*管理者用人口入力シート!AR$7))</f>
        <v>23.162085033347385</v>
      </c>
      <c r="BR9" s="9">
        <f>IF(管理者入力シート!$B$14=1,BQ6*管理者用人口入力シート!AS$3,IF(管理者入力シート!$B$14=2,BQ6*管理者用人口入力シート!AS$7))</f>
        <v>23.379534498390459</v>
      </c>
      <c r="BS9" s="9">
        <f>IF(管理者入力シート!$B$14=1,BR6*管理者用人口入力シート!AT$3,IF(管理者入力シート!$B$14=2,BR6*管理者用人口入力シート!AT$7))</f>
        <v>37.284869080333308</v>
      </c>
      <c r="BT9" s="9">
        <f>IF(管理者入力シート!$B$14=1,BS6*管理者用人口入力シート!AU$3,IF(管理者入力シート!$B$14=2,BS6*管理者用人口入力シート!AU$7))</f>
        <v>37.266136517668997</v>
      </c>
      <c r="BU9" s="9">
        <f>IF(管理者入力シート!$B$14=1,BT6*管理者用人口入力シート!AV$3,IF(管理者入力シート!$B$14=2,BT6*管理者用人口入力シート!AV$7))</f>
        <v>56.86200411000668</v>
      </c>
      <c r="BV9" s="9">
        <f>IF(管理者入力シート!$B$14=1,BU6*管理者用人口入力シート!AW$3,IF(管理者入力シート!$B$14=2,BU6*管理者用人口入力シート!AW$7))</f>
        <v>59.377769913991528</v>
      </c>
      <c r="BW9" s="9">
        <f>IF(管理者入力シート!$B$14=1,BV6*管理者用人口入力シート!AX$3,IF(管理者入力シート!$B$14=2,BV6*管理者用人口入力シート!AX$7))</f>
        <v>63.007605095816913</v>
      </c>
      <c r="BX9" s="9">
        <f>IF(管理者入力シート!$B$14=1,BW6*管理者用人口入力シート!AY$3,IF(管理者入力シート!$B$14=2,BW6*管理者用人口入力シート!AY$7))</f>
        <v>48.782545658668127</v>
      </c>
      <c r="BY9" s="9">
        <f>IF(管理者入力シート!$B$14=1,BX6*管理者用人口入力シート!AZ$3,IF(管理者入力シート!$B$14=2,BX6*管理者用人口入力シート!AZ$7))</f>
        <v>61.852809806765521</v>
      </c>
      <c r="BZ9" s="9">
        <f>IF(管理者入力シート!$B$14=1,BY6*管理者用人口入力シート!BA$3,IF(管理者入力シート!$B$14=2,BY6*管理者用人口入力シート!BA$7))</f>
        <v>86.848019369259006</v>
      </c>
      <c r="CA9" s="9">
        <f>IF(管理者入力シート!$B$14=1,BZ6*管理者用人口入力シート!BB$3,IF(管理者入力シート!$B$14=2,BZ6*管理者用人口入力シート!BB$7))</f>
        <v>95.623414767490843</v>
      </c>
      <c r="CB9" s="9">
        <f>IF(管理者入力シート!$B$14=1,CA6*管理者用人口入力シート!BC$3,IF(管理者入力シート!$B$14=2,CA6*管理者用人口入力シート!BC$7))</f>
        <v>47.311615575604002</v>
      </c>
      <c r="CC9" s="9">
        <f>IF(管理者入力シート!$B$14=1,CB6*管理者用人口入力シート!BD$3,IF(管理者入力シート!$B$14=2,CB6*管理者用人口入力シート!BD$7))</f>
        <v>16.558086461427628</v>
      </c>
      <c r="CD9" s="9">
        <f>IF(管理者入力シート!$B$14=1,CC6*管理者用人口入力シート!BE$3,IF(管理者入力シート!$B$14=2,CC6*管理者用人口入力シート!BE$7))</f>
        <v>3.9802349279416207</v>
      </c>
      <c r="CE9" s="9">
        <f>IF(管理者入力シート!$B$14=1,CD6*管理者用人口入力シート!BF$3,IF(管理者入力シート!$B$14=2,CD6*管理者用人口入力シート!BF$7))</f>
        <v>5.3993773156990272E-3</v>
      </c>
      <c r="CF9" s="9">
        <f t="shared" si="2"/>
        <v>766.70160657360805</v>
      </c>
      <c r="CG9" s="9">
        <f t="shared" si="17"/>
        <v>21.639807996339918</v>
      </c>
      <c r="CH9" s="9">
        <f t="shared" si="18"/>
        <v>12.415810594945395</v>
      </c>
      <c r="CI9" s="9">
        <f t="shared" si="3"/>
        <v>360.96212594447246</v>
      </c>
      <c r="CJ9" s="9">
        <f t="shared" si="19"/>
        <v>250.3267704790388</v>
      </c>
      <c r="CK9" s="13">
        <f t="shared" si="20"/>
        <v>0.47079870819315661</v>
      </c>
      <c r="CL9" s="13">
        <f t="shared" si="21"/>
        <v>0.32649829912024048</v>
      </c>
      <c r="CM9" s="9">
        <f t="shared" si="22"/>
        <v>84.944687555110491</v>
      </c>
      <c r="CO9" s="7" t="str">
        <f t="shared" si="23"/>
        <v>2035_1</v>
      </c>
      <c r="CP9" s="28">
        <f>管理者入力シート!B10</f>
        <v>2035</v>
      </c>
      <c r="CQ9" s="3" t="s">
        <v>21</v>
      </c>
      <c r="CR9" s="9">
        <f>DT10*$AK$13+将来予測シート②!$G17</f>
        <v>13.22311675585437</v>
      </c>
      <c r="CS9" s="9">
        <f>IF(管理者入力シート!$B$14=1,CR6*管理者用人口入力シート!AM$3,IF(管理者入力シート!$B$14=2,CR6*管理者用人口入力シート!AM$7))+将来予測シート②!$G18</f>
        <v>17.136044942765022</v>
      </c>
      <c r="CT9" s="9">
        <f>IF(管理者入力シート!$B$14=1,CS6*管理者用人口入力シート!AN$3,IF(管理者入力シート!$B$14=2,CS6*管理者用人口入力シート!AN$7))+将来予測シート②!$G19</f>
        <v>23.153037164084285</v>
      </c>
      <c r="CU9" s="9">
        <f>IF(管理者入力シート!$B$14=1,CT6*管理者用人口入力シート!AO$3,IF(管理者入力シート!$B$14=2,CT6*管理者用人口入力シート!AO$7))+将来予測シート②!$G20</f>
        <v>20.704051873027485</v>
      </c>
      <c r="CV9" s="9">
        <f>IF(管理者入力シート!$B$14=1,CU6*管理者用人口入力シート!AP$3,IF(管理者入力シート!$B$14=2,CU6*管理者用人口入力シート!AP$7))+将来予測シート②!$G21</f>
        <v>16.572212423134996</v>
      </c>
      <c r="CW9" s="9">
        <f>IF(管理者入力シート!$B$14=1,CV6*管理者用人口入力シート!AQ$3,IF(管理者入力シート!$B$14=2,CV6*管理者用人口入力シート!AQ$7))+将来予測シート②!$G22</f>
        <v>24.218330747579994</v>
      </c>
      <c r="CX9" s="9">
        <f>IF(管理者入力シート!$B$14=1,CW6*管理者用人口入力シート!AR$3,IF(管理者入力シート!$B$14=2,CW6*管理者用人口入力シート!AR$7))+将来予測シート②!$G23</f>
        <v>24.748419602534433</v>
      </c>
      <c r="CY9" s="9">
        <f>IF(管理者入力シート!$B$14=1,CX6*管理者用人口入力シート!AS$3,IF(管理者入力シート!$B$14=2,CX6*管理者用人口入力シート!AS$7))+将来予測シート②!$G24</f>
        <v>25.159446066512544</v>
      </c>
      <c r="CZ9" s="9">
        <f>IF(管理者入力シート!$B$14=1,CY6*管理者用人口入力シート!AT$3,IF(管理者入力シート!$B$14=2,CY6*管理者用人口入力シート!AT$7))+将来予測シート②!$G25</f>
        <v>37.284869080333308</v>
      </c>
      <c r="DA9" s="9">
        <f>IF(管理者入力シート!$B$14=1,CZ6*管理者用人口入力シート!AU$3,IF(管理者入力シート!$B$14=2,CZ6*管理者用人口入力シート!AU$7))+将来予測シート②!$G26</f>
        <v>37.266136517668997</v>
      </c>
      <c r="DB9" s="9">
        <f>IF(管理者入力シート!$B$14=1,DA6*管理者用人口入力シート!AV$3,IF(管理者入力シート!$B$14=2,DA6*管理者用人口入力シート!AV$7))+将来予測シート②!$G27</f>
        <v>56.86200411000668</v>
      </c>
      <c r="DC9" s="9">
        <f>IF(管理者入力シート!$B$14=1,DB6*管理者用人口入力シート!AW$3,IF(管理者入力シート!$B$14=2,DB6*管理者用人口入力シート!AW$7))+将来予測シート②!$G28</f>
        <v>59.377769913991528</v>
      </c>
      <c r="DD9" s="9">
        <f>IF(管理者入力シート!$B$14=1,DC6*管理者用人口入力シート!AX$3,IF(管理者入力シート!$B$14=2,DC6*管理者用人口入力シート!AX$7))+将来予測シート②!$G29</f>
        <v>63.007605095816913</v>
      </c>
      <c r="DE9" s="9">
        <f>IF(管理者入力シート!$B$14=1,DD6*管理者用人口入力シート!AY$3,IF(管理者入力シート!$B$14=2,DD6*管理者用人口入力シート!AY$7))</f>
        <v>48.782545658668127</v>
      </c>
      <c r="DF9" s="9">
        <f>IF(管理者入力シート!$B$14=1,DE6*管理者用人口入力シート!AZ$3,IF(管理者入力シート!$B$14=2,DE6*管理者用人口入力シート!AZ$7))</f>
        <v>61.852809806765521</v>
      </c>
      <c r="DG9" s="9">
        <f>IF(管理者入力シート!$B$14=1,DF6*管理者用人口入力シート!BA$3,IF(管理者入力シート!$B$14=2,DF6*管理者用人口入力シート!BA$7))</f>
        <v>86.848019369259006</v>
      </c>
      <c r="DH9" s="9">
        <f>IF(管理者入力シート!$B$14=1,DG6*管理者用人口入力シート!BB$3,IF(管理者入力シート!$B$14=2,DG6*管理者用人口入力シート!BB$7))</f>
        <v>95.623414767490843</v>
      </c>
      <c r="DI9" s="9">
        <f>IF(管理者入力シート!$B$14=1,DH6*管理者用人口入力シート!BC$3,IF(管理者入力シート!$B$14=2,DH6*管理者用人口入力シート!BC$7))</f>
        <v>47.311615575604002</v>
      </c>
      <c r="DJ9" s="9">
        <f>IF(管理者入力シート!$B$14=1,DI6*管理者用人口入力シート!BD$3,IF(管理者入力シート!$B$14=2,DI6*管理者用人口入力シート!BD$7))</f>
        <v>16.558086461427628</v>
      </c>
      <c r="DK9" s="9">
        <f>IF(管理者入力シート!$B$14=1,DJ6*管理者用人口入力シート!BE$3,IF(管理者入力シート!$B$14=2,DJ6*管理者用人口入力シート!BE$7))</f>
        <v>3.9802349279416207</v>
      </c>
      <c r="DL9" s="9">
        <f>IF(管理者入力シート!$B$14=1,DK6*管理者用人口入力シート!BF$3,IF(管理者入力シート!$B$14=2,DK6*管理者用人口入力シート!BF$7))</f>
        <v>5.3993773156990272E-3</v>
      </c>
      <c r="DM9" s="9">
        <f t="shared" si="40"/>
        <v>779.67517023778305</v>
      </c>
      <c r="DN9" s="9">
        <f t="shared" si="25"/>
        <v>24.173449264109585</v>
      </c>
      <c r="DO9" s="9">
        <f t="shared" si="26"/>
        <v>13.402025240239212</v>
      </c>
      <c r="DP9" s="9">
        <f t="shared" si="5"/>
        <v>360.96212594447246</v>
      </c>
      <c r="DQ9" s="9">
        <f t="shared" si="27"/>
        <v>250.3267704790388</v>
      </c>
      <c r="DR9" s="13">
        <f t="shared" si="28"/>
        <v>0.46296475727755609</v>
      </c>
      <c r="DS9" s="13">
        <f t="shared" si="29"/>
        <v>0.32106546422748705</v>
      </c>
      <c r="DT9" s="9">
        <f t="shared" si="41"/>
        <v>90.698408839761967</v>
      </c>
      <c r="DV9" s="7" t="s">
        <v>403</v>
      </c>
      <c r="DW9" s="209">
        <f>DW7+DW8</f>
        <v>-172.70921414252098</v>
      </c>
      <c r="DX9" s="28">
        <f>管理者入力シート!B10</f>
        <v>2035</v>
      </c>
      <c r="DY9" s="3" t="s">
        <v>21</v>
      </c>
      <c r="DZ9" s="9">
        <f>FB10*$AK$13</f>
        <v>47.809385833439684</v>
      </c>
      <c r="EA9" s="129">
        <f>IF(管理者入力シート!$B$14=1,DZ6*管理者用人口入力シート!AM$3,IF(管理者入力シート!$B$14=2,DZ6*管理者用人口入力シート!AM$7))</f>
        <v>50.652225528794283</v>
      </c>
      <c r="EB9" s="9">
        <f>IF(管理者入力シート!$B$14=1,EA6*管理者用人口入力シート!AN$3,IF(管理者入力シート!$B$14=2,EA6*管理者用人口入力シート!AN$7))</f>
        <v>21.028197852751624</v>
      </c>
      <c r="EC9" s="9">
        <f>IF(管理者入力シート!$B$14=1,EB6*管理者用人口入力シート!AO$3,IF(管理者入力シート!$B$14=2,EB6*管理者用人口入力シート!AO$7))</f>
        <v>20.022657269223721</v>
      </c>
      <c r="ED9" s="9">
        <f>IF(管理者入力シート!$B$14=1,EC6*管理者用人口入力シート!AP$3,IF(管理者入力シート!$B$14=2,EC6*管理者用人口入力シート!AP$7))</f>
        <v>16.184737275792664</v>
      </c>
      <c r="EE9" s="9">
        <f>IF(管理者入力シート!$B$14=1,ED6*管理者用人口入力シート!AQ$3,IF(管理者入力シート!$B$14=2,ED6*管理者用人口入力シート!AQ$7))+DX1</f>
        <v>51.218330747579998</v>
      </c>
      <c r="EF9" s="9">
        <f>IF(管理者入力シート!$B$14=1,EE6*管理者用人口入力シート!AR$3,IF(管理者入力シート!$B$14=2,EE6*管理者用人口入力シート!AR$7))+DX1</f>
        <v>75.163936286559561</v>
      </c>
      <c r="EG9" s="9">
        <f>IF(管理者入力シート!$B$14=1,EF6*管理者用人口入力シート!AS$3,IF(管理者入力シート!$B$14=2,EF6*管理者用人口入力シート!AS$7))+DX1</f>
        <v>110.72705992412089</v>
      </c>
      <c r="EH9" s="9">
        <f>IF(管理者入力シート!$B$14=1,EG6*管理者用人口入力シート!AT$3,IF(管理者入力シート!$B$14=2,EG6*管理者用人口入力シート!AT$7))</f>
        <v>106.59967605722113</v>
      </c>
      <c r="EI9" s="9">
        <f>IF(管理者入力シート!$B$14=1,EH6*管理者用人口入力シート!AU$3,IF(管理者入力シート!$B$14=2,EH6*管理者用人口入力シート!AU$7))</f>
        <v>71.416973891883814</v>
      </c>
      <c r="EJ9" s="9">
        <f>IF(管理者入力シート!$B$14=1,EI6*管理者用人口入力シート!AV$3,IF(管理者入力シート!$B$14=2,EI6*管理者用人口入力シート!AV$7))</f>
        <v>56.86200411000668</v>
      </c>
      <c r="EK9" s="9">
        <f>IF(管理者入力シート!$B$14=1,EJ6*管理者用人口入力シート!AW$3,IF(管理者入力シート!$B$14=2,EJ6*管理者用人口入力シート!AW$7))</f>
        <v>59.377769913991528</v>
      </c>
      <c r="EL9" s="9">
        <f>IF(管理者入力シート!$B$14=1,EK6*管理者用人口入力シート!AX$3,IF(管理者入力シート!$B$14=2,EK6*管理者用人口入力シート!AX$7))</f>
        <v>63.007605095816913</v>
      </c>
      <c r="EM9" s="9">
        <f>IF(管理者入力シート!$B$14=1,EL6*管理者用人口入力シート!AY$3,IF(管理者入力シート!$B$14=2,EL6*管理者用人口入力シート!AY$7))</f>
        <v>48.782545658668127</v>
      </c>
      <c r="EN9" s="9">
        <f>IF(管理者入力シート!$B$14=1,EM6*管理者用人口入力シート!AZ$3,IF(管理者入力シート!$B$14=2,EM6*管理者用人口入力シート!AZ$7))</f>
        <v>61.852809806765521</v>
      </c>
      <c r="EO9" s="9">
        <f>IF(管理者入力シート!$B$14=1,EN6*管理者用人口入力シート!BA$3,IF(管理者入力シート!$B$14=2,EN6*管理者用人口入力シート!BA$7))</f>
        <v>86.848019369259006</v>
      </c>
      <c r="EP9" s="9">
        <f>IF(管理者入力シート!$B$14=1,EO6*管理者用人口入力シート!BB$3,IF(管理者入力シート!$B$14=2,EO6*管理者用人口入力シート!BB$7))</f>
        <v>95.623414767490843</v>
      </c>
      <c r="EQ9" s="9">
        <f>IF(管理者入力シート!$B$14=1,EP6*管理者用人口入力シート!BC$3,IF(管理者入力シート!$B$14=2,EP6*管理者用人口入力シート!BC$7))</f>
        <v>47.311615575604002</v>
      </c>
      <c r="ER9" s="9">
        <f>IF(管理者入力シート!$B$14=1,EQ6*管理者用人口入力シート!BD$3,IF(管理者入力シート!$B$14=2,EQ6*管理者用人口入力シート!BD$7))</f>
        <v>16.558086461427628</v>
      </c>
      <c r="ES9" s="9">
        <f>IF(管理者入力シート!$B$14=1,ER6*管理者用人口入力シート!BE$3,IF(管理者入力シート!$B$14=2,ER6*管理者用人口入力シート!BE$7))</f>
        <v>3.9802349279416207</v>
      </c>
      <c r="ET9" s="9">
        <f>IF(管理者入力シート!$B$14=1,ES6*管理者用人口入力シート!BF$3,IF(管理者入力シート!$B$14=2,ES6*管理者用人口入力シート!BF$7))</f>
        <v>5.3993773156990272E-3</v>
      </c>
      <c r="EU9" s="9">
        <f t="shared" si="42"/>
        <v>1111.0326857316547</v>
      </c>
      <c r="EV9" s="9">
        <f t="shared" si="31"/>
        <v>43.008254028927546</v>
      </c>
      <c r="EW9" s="9">
        <f t="shared" si="32"/>
        <v>12.415810594945395</v>
      </c>
      <c r="EX9" s="9">
        <f t="shared" si="7"/>
        <v>360.96212594447246</v>
      </c>
      <c r="EY9" s="9">
        <f t="shared" si="33"/>
        <v>250.3267704790388</v>
      </c>
      <c r="EZ9" s="13">
        <f t="shared" si="34"/>
        <v>0.32488884492787534</v>
      </c>
      <c r="FA9" s="13">
        <f t="shared" si="35"/>
        <v>0.22530999645090519</v>
      </c>
      <c r="FB9" s="9">
        <f t="shared" si="43"/>
        <v>253.29406423405311</v>
      </c>
    </row>
    <row r="10" spans="1:158" x14ac:dyDescent="0.15">
      <c r="A10" s="7" t="str">
        <f t="shared" si="8"/>
        <v>2015_2</v>
      </c>
      <c r="B10" s="29">
        <v>2015</v>
      </c>
      <c r="C10" s="4" t="s">
        <v>22</v>
      </c>
      <c r="D10" s="10">
        <v>36.259371824766177</v>
      </c>
      <c r="E10" s="10">
        <v>46.254525929447937</v>
      </c>
      <c r="F10" s="10">
        <v>43.287033403459866</v>
      </c>
      <c r="G10" s="10">
        <v>30.155374368209888</v>
      </c>
      <c r="H10" s="10">
        <v>27.187881842221817</v>
      </c>
      <c r="I10" s="10">
        <v>38.203506842221813</v>
      </c>
      <c r="J10" s="10">
        <v>54.304989350754241</v>
      </c>
      <c r="K10" s="10">
        <v>51.356908087564804</v>
      </c>
      <c r="L10" s="10">
        <v>58.362111807310527</v>
      </c>
      <c r="M10" s="10">
        <v>59.374506210431704</v>
      </c>
      <c r="N10" s="10">
        <v>84.519275297657828</v>
      </c>
      <c r="O10" s="10">
        <v>119.73679184144022</v>
      </c>
      <c r="P10" s="10">
        <v>107.70139775421411</v>
      </c>
      <c r="Q10" s="10">
        <v>118.84940761535054</v>
      </c>
      <c r="R10" s="10">
        <v>89.589136140999926</v>
      </c>
      <c r="S10" s="10">
        <v>120.69709368405283</v>
      </c>
      <c r="T10" s="10">
        <v>107.56254803558868</v>
      </c>
      <c r="U10" s="10">
        <v>75.394275297657828</v>
      </c>
      <c r="V10" s="10">
        <v>23.159320613943674</v>
      </c>
      <c r="W10" s="10">
        <v>9.0445440527056249</v>
      </c>
      <c r="X10" s="10">
        <v>0</v>
      </c>
      <c r="Y10" s="10">
        <f t="shared" si="39"/>
        <v>1301</v>
      </c>
      <c r="Z10" s="10">
        <f t="shared" si="9"/>
        <v>53.724935599744683</v>
      </c>
      <c r="AA10" s="10">
        <f t="shared" si="10"/>
        <v>23.345888235025924</v>
      </c>
      <c r="AB10" s="10">
        <f t="shared" si="0"/>
        <v>544.29632544029914</v>
      </c>
      <c r="AC10" s="10">
        <f t="shared" si="11"/>
        <v>335.8577816839487</v>
      </c>
      <c r="AD10" s="14">
        <f t="shared" si="12"/>
        <v>0.41836765983112922</v>
      </c>
      <c r="AE10" s="14">
        <f t="shared" si="13"/>
        <v>0.25815356009527185</v>
      </c>
      <c r="AF10" s="10">
        <f t="shared" si="14"/>
        <v>171.05328612276267</v>
      </c>
      <c r="AL10" s="55"/>
      <c r="AM10" s="2">
        <v>5</v>
      </c>
      <c r="AN10" s="2">
        <f>AM10+1</f>
        <v>6</v>
      </c>
      <c r="AO10" s="2">
        <f t="shared" ref="AO10:BF10" si="49">AN10+1</f>
        <v>7</v>
      </c>
      <c r="AP10" s="2">
        <f t="shared" si="49"/>
        <v>8</v>
      </c>
      <c r="AQ10" s="2">
        <f t="shared" si="49"/>
        <v>9</v>
      </c>
      <c r="AR10" s="2">
        <f t="shared" si="49"/>
        <v>10</v>
      </c>
      <c r="AS10" s="2">
        <f t="shared" si="49"/>
        <v>11</v>
      </c>
      <c r="AT10" s="2">
        <f t="shared" si="49"/>
        <v>12</v>
      </c>
      <c r="AU10" s="2">
        <f t="shared" si="49"/>
        <v>13</v>
      </c>
      <c r="AV10" s="2">
        <f t="shared" si="49"/>
        <v>14</v>
      </c>
      <c r="AW10" s="2">
        <f t="shared" si="49"/>
        <v>15</v>
      </c>
      <c r="AX10" s="2">
        <f t="shared" si="49"/>
        <v>16</v>
      </c>
      <c r="AY10" s="2">
        <f t="shared" si="49"/>
        <v>17</v>
      </c>
      <c r="AZ10" s="2">
        <f t="shared" si="49"/>
        <v>18</v>
      </c>
      <c r="BA10" s="2">
        <f t="shared" si="49"/>
        <v>19</v>
      </c>
      <c r="BB10" s="2">
        <f t="shared" si="49"/>
        <v>20</v>
      </c>
      <c r="BC10" s="2">
        <f t="shared" si="49"/>
        <v>21</v>
      </c>
      <c r="BD10" s="2">
        <f t="shared" si="49"/>
        <v>22</v>
      </c>
      <c r="BE10" s="2">
        <f t="shared" si="49"/>
        <v>23</v>
      </c>
      <c r="BF10" s="2">
        <f t="shared" si="49"/>
        <v>24</v>
      </c>
      <c r="BH10" s="7" t="str">
        <f t="shared" si="16"/>
        <v>2035_2</v>
      </c>
      <c r="BI10" s="29">
        <f>BI9</f>
        <v>2035</v>
      </c>
      <c r="BJ10" s="4" t="s">
        <v>22</v>
      </c>
      <c r="BK10" s="10">
        <f>CM10*$AK$14</f>
        <v>9.6156799961542472</v>
      </c>
      <c r="BL10" s="10">
        <f>IF(管理者入力シート!$B$14=1,BK7*管理者用人口入力シート!AM$4,IF(管理者入力シート!$B$14=2,BK7*管理者用人口入力シート!AM$8))</f>
        <v>11.445737539375697</v>
      </c>
      <c r="BM10" s="10">
        <f>IF(管理者入力シート!$B$14=1,BL7*管理者用人口入力シート!AN$4,IF(管理者入力シート!$B$14=2,BL7*管理者用人口入力シート!AN$8))</f>
        <v>15.460982192522849</v>
      </c>
      <c r="BN10" s="10">
        <f>IF(管理者入力シート!$B$14=1,BM7*管理者用人口入力シート!AO$4,IF(管理者入力シート!$B$14=2,BM7*管理者用人口入力シート!AO$8))</f>
        <v>14.188738627637258</v>
      </c>
      <c r="BO10" s="10">
        <f>IF(管理者入力シート!$B$14=1,BN7*管理者用人口入力シート!AP$4,IF(管理者入力シート!$B$14=2,BN7*管理者用人口入力シート!AP$8))</f>
        <v>12.90538907735673</v>
      </c>
      <c r="BP10" s="10">
        <f>IF(管理者入力シート!$B$14=1,BO7*管理者用人口入力シート!AQ$4,IF(管理者入力シート!$B$14=2,BO7*管理者用人口入力シート!AQ$8))</f>
        <v>13.735957382223152</v>
      </c>
      <c r="BQ10" s="10">
        <f>IF(管理者入力シート!$B$14=1,BP7*管理者用人口入力シート!AR$4,IF(管理者入力シート!$B$14=2,BP7*管理者用人口入力シート!AR$8))</f>
        <v>12.015968593393525</v>
      </c>
      <c r="BR10" s="10">
        <f>IF(管理者入力シート!$B$14=1,BQ7*管理者用人口入力シート!AS$4,IF(管理者入力シート!$B$14=2,BQ7*管理者用人口入力シート!AS$8))</f>
        <v>10.636287519664368</v>
      </c>
      <c r="BS10" s="10">
        <f>IF(管理者入力シート!$B$14=1,BR7*管理者用人口入力シート!AT$4,IF(管理者入力シート!$B$14=2,BR7*管理者用人口入力シート!AT$8))</f>
        <v>18.150633751132464</v>
      </c>
      <c r="BT10" s="10">
        <f>IF(管理者入力シート!$B$14=1,BS7*管理者用人口入力シート!AU$4,IF(管理者入力シート!$B$14=2,BS7*管理者用人口入力シート!AU$8))</f>
        <v>31.954539328952059</v>
      </c>
      <c r="BU10" s="10">
        <f>IF(管理者入力シート!$B$14=1,BT7*管理者用人口入力シート!AV$4,IF(管理者入力シート!$B$14=2,BT7*管理者用人口入力シート!AV$8))</f>
        <v>38.655756710292081</v>
      </c>
      <c r="BV10" s="10">
        <f>IF(管理者入力シート!$B$14=1,BU7*管理者用人口入力シート!AW$4,IF(管理者入力シート!$B$14=2,BU7*管理者用人口入力シート!AW$8))</f>
        <v>40.661245000593787</v>
      </c>
      <c r="BW10" s="10">
        <f>IF(管理者入力シート!$B$14=1,BV7*管理者用人口入力シート!AX$4,IF(管理者入力シート!$B$14=2,BV7*管理者用人口入力シート!AX$8))</f>
        <v>46.042563693715302</v>
      </c>
      <c r="BX10" s="10">
        <f>IF(管理者入力シート!$B$14=1,BW7*管理者用人口入力シート!AY$4,IF(管理者入力シート!$B$14=2,BW7*管理者用人口入力シート!AY$8))</f>
        <v>59.615584687680851</v>
      </c>
      <c r="BY10" s="10">
        <f>IF(管理者入力シート!$B$14=1,BX7*管理者用人口入力シート!AZ$4,IF(管理者入力シート!$B$14=2,BX7*管理者用人口入力シート!AZ$8))</f>
        <v>78.392108905949286</v>
      </c>
      <c r="BZ10" s="10">
        <f>IF(管理者入力シート!$B$14=1,BY7*管理者用人口入力シート!BA$4,IF(管理者入力シート!$B$14=2,BY7*管理者用人口入力シート!BA$8))</f>
        <v>104.08854033439383</v>
      </c>
      <c r="CA10" s="10">
        <f>IF(管理者入力シート!$B$14=1,BZ7*管理者用人口入力シート!BB$4,IF(管理者入力シート!$B$14=2,BZ7*管理者用人口入力シート!BB$8))</f>
        <v>76.698440764630064</v>
      </c>
      <c r="CB10" s="10">
        <f>IF(管理者入力シート!$B$14=1,CA7*管理者用人口入力シート!BC$4,IF(管理者入力シート!$B$14=2,CA7*管理者用人口入力シート!BC$8))</f>
        <v>62.103849550248604</v>
      </c>
      <c r="CC10" s="10">
        <f>IF(管理者入力シート!$B$14=1,CB7*管理者用人口入力シート!BD$4,IF(管理者入力シート!$B$14=2,CB7*管理者用人口入力シート!BD$8))</f>
        <v>22.707246399332515</v>
      </c>
      <c r="CD10" s="10">
        <f>IF(管理者入力シート!$B$14=1,CC7*管理者用人口入力シート!BE$4,IF(管理者入力シート!$B$14=2,CC7*管理者用人口入力シート!BE$8))</f>
        <v>11.85082637966941</v>
      </c>
      <c r="CE10" s="10">
        <f>IF(管理者入力シート!$B$14=1,CD7*管理者用人口入力シート!BF$4,IF(管理者入力シート!$B$14=2,CD7*管理者用人口入力シート!BF$8))</f>
        <v>0.19684285404619034</v>
      </c>
      <c r="CF10" s="10">
        <f t="shared" si="2"/>
        <v>691.12291928896423</v>
      </c>
      <c r="CG10" s="10">
        <f t="shared" si="17"/>
        <v>16.144031839139128</v>
      </c>
      <c r="CH10" s="10">
        <f t="shared" si="18"/>
        <v>9.0221406025365916</v>
      </c>
      <c r="CI10" s="10">
        <f t="shared" si="3"/>
        <v>415.65343987595071</v>
      </c>
      <c r="CJ10" s="10">
        <f t="shared" si="19"/>
        <v>277.64574628232054</v>
      </c>
      <c r="CK10" s="14">
        <f t="shared" si="20"/>
        <v>0.60141753120209074</v>
      </c>
      <c r="CL10" s="14">
        <f t="shared" si="21"/>
        <v>0.40173135419668315</v>
      </c>
      <c r="CM10" s="10">
        <f t="shared" si="22"/>
        <v>49.293602572637781</v>
      </c>
      <c r="CO10" s="7" t="str">
        <f t="shared" si="23"/>
        <v>2035_2</v>
      </c>
      <c r="CP10" s="29">
        <f>CP9</f>
        <v>2035</v>
      </c>
      <c r="CQ10" s="4" t="s">
        <v>22</v>
      </c>
      <c r="CR10" s="10">
        <f>DT10*$AK$14+将来予測シート②!$H17</f>
        <v>11.775577276227519</v>
      </c>
      <c r="CS10" s="10">
        <f>IF(管理者入力シート!$B$14=1,CR7*管理者用人口入力シート!AM$4,IF(管理者入力シート!$B$14=2,CR7*管理者用人口入力シート!AM$8))+将来予測シート②!$H18</f>
        <v>13.158901354500724</v>
      </c>
      <c r="CT10" s="10">
        <f>IF(管理者入力シート!$B$14=1,CS7*管理者用人口入力シート!AN$4,IF(管理者入力シート!$B$14=2,CS7*管理者用人口入力シート!AN$8))+将来予測シート②!$H19</f>
        <v>17.399120619928755</v>
      </c>
      <c r="CU10" s="10">
        <f>IF(管理者入力シート!$B$14=1,CT7*管理者用人口入力シート!AO$4,IF(管理者入力シート!$B$14=2,CT7*管理者用人口入力シート!AO$8))+将来予測シート②!$H20</f>
        <v>14.845466939941987</v>
      </c>
      <c r="CV10" s="10">
        <f>IF(管理者入力シート!$B$14=1,CU7*管理者用人口入力シート!AP$4,IF(管理者入力シート!$B$14=2,CU7*管理者用人口入力シート!AP$8))+将来予測シート②!$H21</f>
        <v>13.291134285385924</v>
      </c>
      <c r="CW10" s="10">
        <f>IF(管理者入力シート!$B$14=1,CV7*管理者用人口入力シート!AQ$4,IF(管理者入力シート!$B$14=2,CV7*管理者用人口入力シート!AQ$8))+将来予測シート②!$H22</f>
        <v>15.735957382223152</v>
      </c>
      <c r="CX10" s="10">
        <f>IF(管理者入力シート!$B$14=1,CW7*管理者用人口入力シート!AR$4,IF(管理者入力シート!$B$14=2,CW7*管理者用人口入力シート!AR$8))+将来予測シート②!$H23</f>
        <v>13.822746482164581</v>
      </c>
      <c r="CY10" s="10">
        <f>IF(管理者入力シート!$B$14=1,CX7*管理者用人口入力シート!AS$4,IF(管理者入力シート!$B$14=2,CX7*管理者用人口入力シート!AS$8))+将来予測シート②!$H24</f>
        <v>12.389835379040123</v>
      </c>
      <c r="CZ10" s="10">
        <f>IF(管理者入力シート!$B$14=1,CY7*管理者用人口入力シート!AT$4,IF(管理者入力シート!$B$14=2,CY7*管理者用人口入力シート!AT$8))+将来予測シート②!$H25</f>
        <v>19.150633751132464</v>
      </c>
      <c r="DA10" s="10">
        <f>IF(管理者入力シート!$B$14=1,CZ7*管理者用人口入力シート!AU$4,IF(管理者入力シート!$B$14=2,CZ7*管理者用人口入力シート!AU$8))+将来予測シート②!$H26</f>
        <v>32.834021638538395</v>
      </c>
      <c r="DB10" s="10">
        <f>IF(管理者入力シート!$B$14=1,DA7*管理者用人口入力シート!AV$4,IF(管理者入力シート!$B$14=2,DA7*管理者用人口入力シート!AV$8))+将来予測シート②!$H27</f>
        <v>39.548226507061855</v>
      </c>
      <c r="DC10" s="10">
        <f>IF(管理者入力シート!$B$14=1,DB7*管理者用人口入力シート!AW$4,IF(管理者入力シート!$B$14=2,DB7*管理者用人口入力シート!AW$8))+将来予測シート②!$H28</f>
        <v>40.661245000593787</v>
      </c>
      <c r="DD10" s="10">
        <f>IF(管理者入力シート!$B$14=1,DC7*管理者用人口入力シート!AX$4,IF(管理者入力シート!$B$14=2,DC7*管理者用人口入力シート!AX$8))+将来予測シート②!$H29</f>
        <v>46.042563693715302</v>
      </c>
      <c r="DE10" s="10">
        <f>IF(管理者入力シート!$B$14=1,DD7*管理者用人口入力シート!AY$4,IF(管理者入力シート!$B$14=2,DD7*管理者用人口入力シート!AY$8))</f>
        <v>59.615584687680851</v>
      </c>
      <c r="DF10" s="10">
        <f>IF(管理者入力シート!$B$14=1,DE7*管理者用人口入力シート!AZ$4,IF(管理者入力シート!$B$14=2,DE7*管理者用人口入力シート!AZ$8))</f>
        <v>78.392108905949286</v>
      </c>
      <c r="DG10" s="10">
        <f>IF(管理者入力シート!$B$14=1,DF7*管理者用人口入力シート!BA$4,IF(管理者入力シート!$B$14=2,DF7*管理者用人口入力シート!BA$8))</f>
        <v>104.08854033439383</v>
      </c>
      <c r="DH10" s="10">
        <f>IF(管理者入力シート!$B$14=1,DG7*管理者用人口入力シート!BB$4,IF(管理者入力シート!$B$14=2,DG7*管理者用人口入力シート!BB$8))</f>
        <v>76.698440764630064</v>
      </c>
      <c r="DI10" s="10">
        <f>IF(管理者入力シート!$B$14=1,DH7*管理者用人口入力シート!BC$4,IF(管理者入力シート!$B$14=2,DH7*管理者用人口入力シート!BC$8))</f>
        <v>62.103849550248604</v>
      </c>
      <c r="DJ10" s="10">
        <f>IF(管理者入力シート!$B$14=1,DI7*管理者用人口入力シート!BD$4,IF(管理者入力シート!$B$14=2,DI7*管理者用人口入力シート!BD$8))</f>
        <v>22.707246399332515</v>
      </c>
      <c r="DK10" s="10">
        <f>IF(管理者入力シート!$B$14=1,DJ7*管理者用人口入力シート!BE$4,IF(管理者入力シート!$B$14=2,DJ7*管理者用人口入力シート!BE$8))</f>
        <v>11.85082637966941</v>
      </c>
      <c r="DL10" s="10">
        <f>IF(管理者入力シート!$B$14=1,DK7*管理者用人口入力シート!BF$4,IF(管理者入力シート!$B$14=2,DK7*管理者用人口入力シート!BF$8))</f>
        <v>0.19684285404619034</v>
      </c>
      <c r="DM10" s="10">
        <f t="shared" si="40"/>
        <v>706.30887018640522</v>
      </c>
      <c r="DN10" s="10">
        <f t="shared" si="25"/>
        <v>18.33481318465769</v>
      </c>
      <c r="DO10" s="10">
        <f t="shared" si="26"/>
        <v>9.9287416359599003</v>
      </c>
      <c r="DP10" s="10">
        <f t="shared" si="5"/>
        <v>415.65343987595071</v>
      </c>
      <c r="DQ10" s="10">
        <f t="shared" si="27"/>
        <v>277.64574628232054</v>
      </c>
      <c r="DR10" s="14">
        <f t="shared" si="28"/>
        <v>0.58848679015775873</v>
      </c>
      <c r="DS10" s="14">
        <f t="shared" si="29"/>
        <v>0.39309395365379707</v>
      </c>
      <c r="DT10" s="10">
        <f t="shared" si="41"/>
        <v>55.239673528813782</v>
      </c>
      <c r="DV10" s="62" t="s">
        <v>405</v>
      </c>
      <c r="DW10" s="209">
        <f>((SUM(BL12:BL13)*3/5+SUM(BM12:BM13)+SUM(BN12:BN13)*1/5)-(SUM(E12:E13)*3/5+SUM(F12:F13)+SUM(G12:G13)*1/5))/4</f>
        <v>-27.288371481525502</v>
      </c>
      <c r="DX10" s="29">
        <f>DX9</f>
        <v>2035</v>
      </c>
      <c r="DY10" s="4" t="s">
        <v>22</v>
      </c>
      <c r="DZ10" s="10">
        <f>FB10*$AK$14</f>
        <v>42.147493300385882</v>
      </c>
      <c r="EA10" s="10">
        <f>IF(管理者入力シート!$B$14=1,DZ7*管理者用人口入力シート!AM$4,IF(管理者入力シート!$B$14=2,DZ7*管理者用人口入力シート!AM$8))</f>
        <v>38.55209085885383</v>
      </c>
      <c r="EB10" s="10">
        <f>IF(管理者入力シート!$B$14=1,EA7*管理者用人口入力シート!AN$4,IF(管理者入力シート!$B$14=2,EA7*管理者用人口入力シート!AN$8))</f>
        <v>15.460982192522849</v>
      </c>
      <c r="EC10" s="10">
        <f>IF(管理者入力シート!$B$14=1,EB7*管理者用人口入力シート!AO$4,IF(管理者入力シート!$B$14=2,EB7*管理者用人口入力シート!AO$8))</f>
        <v>14.188738627637258</v>
      </c>
      <c r="ED10" s="10">
        <f>IF(管理者入力シート!$B$14=1,EC7*管理者用人口入力シート!AP$4,IF(管理者入力シート!$B$14=2,EC7*管理者用人口入力シート!AP$8))</f>
        <v>12.90538907735673</v>
      </c>
      <c r="EE10" s="10">
        <f>IF(管理者入力シート!$B$14=1,ED7*管理者用人口入力シート!AQ$4,IF(管理者入力シート!$B$14=2,ED7*管理者用人口入力シート!AQ$8))+DX1</f>
        <v>42.735957382223148</v>
      </c>
      <c r="EF10" s="10">
        <f>IF(管理者入力シート!$B$14=1,EE7*管理者用人口入力シート!AR$4,IF(管理者入力シート!$B$14=2,EE7*管理者用人口入力シート!AR$8))+DX1</f>
        <v>67.214247980573816</v>
      </c>
      <c r="EG10" s="10">
        <f>IF(管理者入力シート!$B$14=1,EF7*管理者用人口入力シート!AS$4,IF(管理者入力シート!$B$14=2,EF7*管理者用人口入力シート!AS$8))+DX1</f>
        <v>93.208353716717525</v>
      </c>
      <c r="EH10" s="10">
        <f>IF(管理者入力シート!$B$14=1,EG7*管理者用人口入力シート!AT$4,IF(管理者入力シート!$B$14=2,EG7*管理者用人口入力シート!AT$8))</f>
        <v>74.404314120445619</v>
      </c>
      <c r="EI10" s="10">
        <f>IF(管理者入力シート!$B$14=1,EH7*管理者用人口入力シート!AU$4,IF(管理者入力シート!$B$14=2,EH7*管理者用人口入力シート!AU$8))</f>
        <v>57.061438670361873</v>
      </c>
      <c r="EJ10" s="10">
        <f>IF(管理者入力シート!$B$14=1,EI7*管理者用人口入力シート!AV$4,IF(管理者入力シート!$B$14=2,EI7*管理者用人口入力シート!AV$8))</f>
        <v>38.655756710292081</v>
      </c>
      <c r="EK10" s="10">
        <f>IF(管理者入力シート!$B$14=1,EJ7*管理者用人口入力シート!AW$4,IF(管理者入力シート!$B$14=2,EJ7*管理者用人口入力シート!AW$8))</f>
        <v>40.661245000593787</v>
      </c>
      <c r="EL10" s="10">
        <f>IF(管理者入力シート!$B$14=1,EK7*管理者用人口入力シート!AX$4,IF(管理者入力シート!$B$14=2,EK7*管理者用人口入力シート!AX$8))</f>
        <v>46.042563693715302</v>
      </c>
      <c r="EM10" s="10">
        <f>IF(管理者入力シート!$B$14=1,EL7*管理者用人口入力シート!AY$4,IF(管理者入力シート!$B$14=2,EL7*管理者用人口入力シート!AY$8))</f>
        <v>59.615584687680851</v>
      </c>
      <c r="EN10" s="10">
        <f>IF(管理者入力シート!$B$14=1,EM7*管理者用人口入力シート!AZ$4,IF(管理者入力シート!$B$14=2,EM7*管理者用人口入力シート!AZ$8))</f>
        <v>78.392108905949286</v>
      </c>
      <c r="EO10" s="10">
        <f>IF(管理者入力シート!$B$14=1,EN7*管理者用人口入力シート!BA$4,IF(管理者入力シート!$B$14=2,EN7*管理者用人口入力シート!BA$8))</f>
        <v>104.08854033439383</v>
      </c>
      <c r="EP10" s="10">
        <f>IF(管理者入力シート!$B$14=1,EO7*管理者用人口入力シート!BB$4,IF(管理者入力シート!$B$14=2,EO7*管理者用人口入力シート!BB$8))</f>
        <v>76.698440764630064</v>
      </c>
      <c r="EQ10" s="10">
        <f>IF(管理者入力シート!$B$14=1,EP7*管理者用人口入力シート!BC$4,IF(管理者入力シート!$B$14=2,EP7*管理者用人口入力シート!BC$8))</f>
        <v>62.103849550248604</v>
      </c>
      <c r="ER10" s="10">
        <f>IF(管理者入力シート!$B$14=1,EQ7*管理者用人口入力シート!BD$4,IF(管理者入力シート!$B$14=2,EQ7*管理者用人口入力シート!BD$8))</f>
        <v>22.707246399332515</v>
      </c>
      <c r="ES10" s="10">
        <f>IF(管理者入力シート!$B$14=1,ER7*管理者用人口入力シート!BE$4,IF(管理者入力シート!$B$14=2,ER7*管理者用人口入力シート!BE$8))</f>
        <v>11.85082637966941</v>
      </c>
      <c r="ET10" s="10">
        <f>IF(管理者入力シート!$B$14=1,ES7*管理者用人口入力シート!BF$4,IF(管理者入力シート!$B$14=2,ES7*管理者用人口入力シート!BF$8))</f>
        <v>0.19684285404619034</v>
      </c>
      <c r="EU10" s="10">
        <f t="shared" si="42"/>
        <v>998.89201120763062</v>
      </c>
      <c r="EV10" s="10">
        <f t="shared" si="31"/>
        <v>32.40784383082601</v>
      </c>
      <c r="EW10" s="10">
        <f t="shared" si="32"/>
        <v>9.0221406025365916</v>
      </c>
      <c r="EX10" s="10">
        <f t="shared" si="7"/>
        <v>415.65343987595071</v>
      </c>
      <c r="EY10" s="10">
        <f t="shared" si="33"/>
        <v>277.64574628232054</v>
      </c>
      <c r="EZ10" s="14">
        <f t="shared" si="34"/>
        <v>0.41611449006728779</v>
      </c>
      <c r="FA10" s="14">
        <f t="shared" si="35"/>
        <v>0.27795371588431778</v>
      </c>
      <c r="FB10" s="10">
        <f t="shared" si="43"/>
        <v>216.06394815687122</v>
      </c>
    </row>
    <row r="11" spans="1:158" x14ac:dyDescent="0.15">
      <c r="A11" s="7" t="str">
        <f t="shared" si="8"/>
        <v>2015_3</v>
      </c>
      <c r="B11" s="30">
        <v>2015</v>
      </c>
      <c r="C11" s="5" t="s">
        <v>23</v>
      </c>
      <c r="D11" s="11">
        <v>77.823714005092711</v>
      </c>
      <c r="E11" s="11">
        <v>98.818868109774471</v>
      </c>
      <c r="F11" s="11">
        <v>95.909863535757268</v>
      </c>
      <c r="G11" s="11">
        <v>63.498559829077564</v>
      </c>
      <c r="H11" s="11">
        <v>56.467526513651549</v>
      </c>
      <c r="I11" s="11">
        <v>78.569593066448263</v>
      </c>
      <c r="J11" s="11">
        <v>100.91255230747913</v>
      </c>
      <c r="K11" s="11">
        <v>102.09036359731002</v>
      </c>
      <c r="L11" s="11">
        <v>127.48325661561407</v>
      </c>
      <c r="M11" s="11">
        <v>118.15623533404232</v>
      </c>
      <c r="N11" s="11">
        <v>156.21327980717945</v>
      </c>
      <c r="O11" s="11">
        <v>224.78042637376021</v>
      </c>
      <c r="P11" s="11">
        <v>260.20389596231661</v>
      </c>
      <c r="Q11" s="11">
        <v>245.9680803365062</v>
      </c>
      <c r="R11" s="11">
        <v>175.04424466834229</v>
      </c>
      <c r="S11" s="11">
        <v>196.24756041327049</v>
      </c>
      <c r="T11" s="11">
        <v>186.59864301555911</v>
      </c>
      <c r="U11" s="11">
        <v>113.7018735699134</v>
      </c>
      <c r="V11" s="11">
        <v>47.431331697587154</v>
      </c>
      <c r="W11" s="11">
        <v>11.080131241317725</v>
      </c>
      <c r="X11" s="11">
        <v>0</v>
      </c>
      <c r="Y11" s="11">
        <f t="shared" si="39"/>
        <v>2537.0000000000005</v>
      </c>
      <c r="Z11" s="11">
        <f t="shared" si="9"/>
        <v>116.83723898731904</v>
      </c>
      <c r="AA11" s="11">
        <f t="shared" si="10"/>
        <v>51.063657380118414</v>
      </c>
      <c r="AB11" s="11">
        <f t="shared" si="0"/>
        <v>976.0718649424964</v>
      </c>
      <c r="AC11" s="11">
        <f t="shared" si="11"/>
        <v>555.05953993764797</v>
      </c>
      <c r="AD11" s="15">
        <f t="shared" si="12"/>
        <v>0.38473467281927326</v>
      </c>
      <c r="AE11" s="15">
        <f t="shared" si="13"/>
        <v>0.21878578633726758</v>
      </c>
      <c r="AF11" s="11">
        <f t="shared" si="14"/>
        <v>338.04003548488896</v>
      </c>
      <c r="BH11" s="7" t="str">
        <f t="shared" si="16"/>
        <v>2035_3</v>
      </c>
      <c r="BI11" s="30">
        <f>BI10</f>
        <v>2035</v>
      </c>
      <c r="BJ11" s="5" t="s">
        <v>23</v>
      </c>
      <c r="BK11" s="16">
        <f t="shared" ref="BK11:CE11" si="50">BK9+BK10</f>
        <v>20.523084422571635</v>
      </c>
      <c r="BL11" s="16">
        <f t="shared" si="50"/>
        <v>26.483886347190605</v>
      </c>
      <c r="BM11" s="16">
        <f t="shared" si="50"/>
        <v>36.489180045274473</v>
      </c>
      <c r="BN11" s="16">
        <f t="shared" si="50"/>
        <v>34.211395896860978</v>
      </c>
      <c r="BO11" s="16">
        <f t="shared" si="50"/>
        <v>29.090126353149394</v>
      </c>
      <c r="BP11" s="16">
        <f t="shared" si="50"/>
        <v>35.954288129803146</v>
      </c>
      <c r="BQ11" s="16">
        <f t="shared" si="50"/>
        <v>35.178053626740912</v>
      </c>
      <c r="BR11" s="16">
        <f t="shared" si="50"/>
        <v>34.015822018054827</v>
      </c>
      <c r="BS11" s="16">
        <f t="shared" si="50"/>
        <v>55.435502831465769</v>
      </c>
      <c r="BT11" s="16">
        <f t="shared" si="50"/>
        <v>69.220675846621049</v>
      </c>
      <c r="BU11" s="16">
        <f t="shared" si="50"/>
        <v>95.517760820298761</v>
      </c>
      <c r="BV11" s="16">
        <f t="shared" si="50"/>
        <v>100.03901491458532</v>
      </c>
      <c r="BW11" s="16">
        <f t="shared" si="50"/>
        <v>109.05016878953222</v>
      </c>
      <c r="BX11" s="16">
        <f t="shared" si="50"/>
        <v>108.39813034634898</v>
      </c>
      <c r="BY11" s="16">
        <f t="shared" si="50"/>
        <v>140.24491871271482</v>
      </c>
      <c r="BZ11" s="16">
        <f t="shared" si="50"/>
        <v>190.93655970365285</v>
      </c>
      <c r="CA11" s="16">
        <f t="shared" si="50"/>
        <v>172.32185553212091</v>
      </c>
      <c r="CB11" s="16">
        <f t="shared" si="50"/>
        <v>109.41546512585261</v>
      </c>
      <c r="CC11" s="16">
        <f t="shared" si="50"/>
        <v>39.26533286076014</v>
      </c>
      <c r="CD11" s="16">
        <f t="shared" si="50"/>
        <v>15.83106130761103</v>
      </c>
      <c r="CE11" s="16">
        <f t="shared" si="50"/>
        <v>0.20224223136188937</v>
      </c>
      <c r="CF11" s="11">
        <f t="shared" si="2"/>
        <v>1457.8245258625718</v>
      </c>
      <c r="CG11" s="11">
        <f t="shared" si="17"/>
        <v>37.783839835479043</v>
      </c>
      <c r="CH11" s="11">
        <f t="shared" si="18"/>
        <v>21.437951197481986</v>
      </c>
      <c r="CI11" s="11">
        <f t="shared" si="3"/>
        <v>776.61556582042317</v>
      </c>
      <c r="CJ11" s="11">
        <f t="shared" si="19"/>
        <v>527.97251676135943</v>
      </c>
      <c r="CK11" s="15">
        <f t="shared" si="20"/>
        <v>0.53272225294804387</v>
      </c>
      <c r="CL11" s="15">
        <f t="shared" si="21"/>
        <v>0.36216465520702251</v>
      </c>
      <c r="CM11" s="11">
        <f t="shared" si="22"/>
        <v>134.23829012774826</v>
      </c>
      <c r="CO11" s="7" t="str">
        <f t="shared" si="23"/>
        <v>2035_3</v>
      </c>
      <c r="CP11" s="30">
        <f>CP10</f>
        <v>2035</v>
      </c>
      <c r="CQ11" s="5" t="s">
        <v>23</v>
      </c>
      <c r="CR11" s="16">
        <f t="shared" ref="CR11:DL11" si="51">CR9+CR10</f>
        <v>24.99869403208189</v>
      </c>
      <c r="CS11" s="16">
        <f t="shared" si="51"/>
        <v>30.294946297265746</v>
      </c>
      <c r="CT11" s="16">
        <f t="shared" si="51"/>
        <v>40.55215778401304</v>
      </c>
      <c r="CU11" s="16">
        <f t="shared" si="51"/>
        <v>35.549518812969474</v>
      </c>
      <c r="CV11" s="16">
        <f t="shared" si="51"/>
        <v>29.863346708520922</v>
      </c>
      <c r="CW11" s="16">
        <f t="shared" si="51"/>
        <v>39.954288129803146</v>
      </c>
      <c r="CX11" s="16">
        <f t="shared" si="51"/>
        <v>38.571166084699016</v>
      </c>
      <c r="CY11" s="16">
        <f t="shared" si="51"/>
        <v>37.549281445552666</v>
      </c>
      <c r="CZ11" s="16">
        <f t="shared" si="51"/>
        <v>56.435502831465769</v>
      </c>
      <c r="DA11" s="16">
        <f t="shared" si="51"/>
        <v>70.100158156207385</v>
      </c>
      <c r="DB11" s="16">
        <f t="shared" si="51"/>
        <v>96.410230617068535</v>
      </c>
      <c r="DC11" s="16">
        <f t="shared" si="51"/>
        <v>100.03901491458532</v>
      </c>
      <c r="DD11" s="16">
        <f t="shared" si="51"/>
        <v>109.05016878953222</v>
      </c>
      <c r="DE11" s="16">
        <f t="shared" si="51"/>
        <v>108.39813034634898</v>
      </c>
      <c r="DF11" s="16">
        <f t="shared" si="51"/>
        <v>140.24491871271482</v>
      </c>
      <c r="DG11" s="16">
        <f t="shared" si="51"/>
        <v>190.93655970365285</v>
      </c>
      <c r="DH11" s="16">
        <f t="shared" si="51"/>
        <v>172.32185553212091</v>
      </c>
      <c r="DI11" s="16">
        <f t="shared" si="51"/>
        <v>109.41546512585261</v>
      </c>
      <c r="DJ11" s="16">
        <f t="shared" si="51"/>
        <v>39.26533286076014</v>
      </c>
      <c r="DK11" s="16">
        <f t="shared" si="51"/>
        <v>15.83106130761103</v>
      </c>
      <c r="DL11" s="16">
        <f t="shared" si="51"/>
        <v>0.20224223136188937</v>
      </c>
      <c r="DM11" s="11">
        <f t="shared" si="40"/>
        <v>1485.9840404241879</v>
      </c>
      <c r="DN11" s="11">
        <f t="shared" si="25"/>
        <v>42.508262448767269</v>
      </c>
      <c r="DO11" s="11">
        <f t="shared" si="26"/>
        <v>23.33076687619911</v>
      </c>
      <c r="DP11" s="11">
        <f t="shared" si="5"/>
        <v>776.61556582042317</v>
      </c>
      <c r="DQ11" s="11">
        <f t="shared" si="27"/>
        <v>527.97251676135943</v>
      </c>
      <c r="DR11" s="15">
        <f t="shared" si="28"/>
        <v>0.52262712431200209</v>
      </c>
      <c r="DS11" s="15">
        <f t="shared" si="29"/>
        <v>0.35530160647663805</v>
      </c>
      <c r="DT11" s="11">
        <f t="shared" si="41"/>
        <v>145.93808236857575</v>
      </c>
      <c r="DW11" s="210"/>
      <c r="DX11" s="30">
        <f>DX10</f>
        <v>2035</v>
      </c>
      <c r="DY11" s="5" t="s">
        <v>23</v>
      </c>
      <c r="DZ11" s="16">
        <f t="shared" ref="DZ11:ET11" si="52">DZ9+DZ10</f>
        <v>89.956879133825566</v>
      </c>
      <c r="EA11" s="16">
        <f t="shared" si="52"/>
        <v>89.204316387648106</v>
      </c>
      <c r="EB11" s="16">
        <f t="shared" si="52"/>
        <v>36.489180045274473</v>
      </c>
      <c r="EC11" s="16">
        <f t="shared" si="52"/>
        <v>34.211395896860978</v>
      </c>
      <c r="ED11" s="16">
        <f t="shared" si="52"/>
        <v>29.090126353149394</v>
      </c>
      <c r="EE11" s="16">
        <f t="shared" si="52"/>
        <v>93.954288129803146</v>
      </c>
      <c r="EF11" s="16">
        <f t="shared" si="52"/>
        <v>142.37818426713338</v>
      </c>
      <c r="EG11" s="16">
        <f t="shared" si="52"/>
        <v>203.93541364083842</v>
      </c>
      <c r="EH11" s="16">
        <f t="shared" si="52"/>
        <v>181.00399017766676</v>
      </c>
      <c r="EI11" s="16">
        <f t="shared" si="52"/>
        <v>128.47841256224569</v>
      </c>
      <c r="EJ11" s="16">
        <f t="shared" si="52"/>
        <v>95.517760820298761</v>
      </c>
      <c r="EK11" s="16">
        <f t="shared" si="52"/>
        <v>100.03901491458532</v>
      </c>
      <c r="EL11" s="16">
        <f t="shared" si="52"/>
        <v>109.05016878953222</v>
      </c>
      <c r="EM11" s="16">
        <f t="shared" si="52"/>
        <v>108.39813034634898</v>
      </c>
      <c r="EN11" s="16">
        <f t="shared" si="52"/>
        <v>140.24491871271482</v>
      </c>
      <c r="EO11" s="16">
        <f t="shared" si="52"/>
        <v>190.93655970365285</v>
      </c>
      <c r="EP11" s="16">
        <f t="shared" si="52"/>
        <v>172.32185553212091</v>
      </c>
      <c r="EQ11" s="16">
        <f t="shared" si="52"/>
        <v>109.41546512585261</v>
      </c>
      <c r="ER11" s="16">
        <f t="shared" si="52"/>
        <v>39.26533286076014</v>
      </c>
      <c r="ES11" s="16">
        <f t="shared" si="52"/>
        <v>15.83106130761103</v>
      </c>
      <c r="ET11" s="16">
        <f t="shared" si="52"/>
        <v>0.20224223136188937</v>
      </c>
      <c r="EU11" s="11">
        <f t="shared" si="42"/>
        <v>2109.9246969392857</v>
      </c>
      <c r="EV11" s="11">
        <f t="shared" si="31"/>
        <v>75.416097859753549</v>
      </c>
      <c r="EW11" s="11">
        <f t="shared" si="32"/>
        <v>21.437951197481986</v>
      </c>
      <c r="EX11" s="11">
        <f t="shared" si="7"/>
        <v>776.61556582042317</v>
      </c>
      <c r="EY11" s="11">
        <f t="shared" si="33"/>
        <v>527.97251676135943</v>
      </c>
      <c r="EZ11" s="15">
        <f t="shared" si="34"/>
        <v>0.36807738539057955</v>
      </c>
      <c r="FA11" s="15">
        <f t="shared" si="35"/>
        <v>0.2502328720675438</v>
      </c>
      <c r="FB11" s="11">
        <f t="shared" si="43"/>
        <v>469.35801239092433</v>
      </c>
    </row>
    <row r="12" spans="1:158" x14ac:dyDescent="0.15">
      <c r="A12" s="7" t="str">
        <f t="shared" si="8"/>
        <v>2020_1</v>
      </c>
      <c r="B12" s="28">
        <v>2020</v>
      </c>
      <c r="C12" s="3" t="s">
        <v>21</v>
      </c>
      <c r="D12" s="9">
        <v>26.123570675193786</v>
      </c>
      <c r="E12" s="9">
        <v>42.284877199444175</v>
      </c>
      <c r="F12" s="9">
        <v>48.268940751033803</v>
      </c>
      <c r="G12" s="9">
        <v>43.228273425859271</v>
      </c>
      <c r="H12" s="9">
        <v>22.114016172506737</v>
      </c>
      <c r="I12" s="9">
        <v>37.19523028243291</v>
      </c>
      <c r="J12" s="9">
        <v>28.203783629940901</v>
      </c>
      <c r="K12" s="9">
        <v>50.289377375232291</v>
      </c>
      <c r="L12" s="9">
        <v>59.426435184410103</v>
      </c>
      <c r="M12" s="9">
        <v>66.590914265624221</v>
      </c>
      <c r="N12" s="9">
        <v>51.355776732350037</v>
      </c>
      <c r="O12" s="9">
        <v>68.435748606251366</v>
      </c>
      <c r="P12" s="9">
        <v>104.60841941370478</v>
      </c>
      <c r="Q12" s="9">
        <v>144.96138521035977</v>
      </c>
      <c r="R12" s="9">
        <v>116.91963134720665</v>
      </c>
      <c r="S12" s="9">
        <v>75.409690110662808</v>
      </c>
      <c r="T12" s="9">
        <v>57.263318879643734</v>
      </c>
      <c r="U12" s="9">
        <v>45.129072006160953</v>
      </c>
      <c r="V12" s="9">
        <v>17.154804038104167</v>
      </c>
      <c r="W12" s="9">
        <v>7.036734693877551</v>
      </c>
      <c r="X12" s="9">
        <v>0</v>
      </c>
      <c r="Y12" s="9">
        <f t="shared" ref="Y12:Y20" si="53">SUM(D12:X12)</f>
        <v>1112</v>
      </c>
      <c r="Z12" s="9">
        <f t="shared" ref="Z12:Z20" si="54">E12*3/5+F12*3/5</f>
        <v>54.332290770286789</v>
      </c>
      <c r="AA12" s="9">
        <f t="shared" ref="AA12:AA20" si="55">F12*2/5+G12*1/5</f>
        <v>27.953230985585378</v>
      </c>
      <c r="AB12" s="9">
        <f>SUM(Q12:X12)</f>
        <v>463.87463628601563</v>
      </c>
      <c r="AC12" s="9">
        <f t="shared" ref="AC12:AC20" si="56">SUM(S12:X12)</f>
        <v>201.9936197284492</v>
      </c>
      <c r="AD12" s="13">
        <f t="shared" ref="AD12:AD20" si="57">AB12/Y12</f>
        <v>0.41715344989749609</v>
      </c>
      <c r="AE12" s="13">
        <f t="shared" ref="AE12:AE20" si="58">AC12/Y12</f>
        <v>0.18164893860472051</v>
      </c>
      <c r="AF12" s="9">
        <f>SUM(H12:K12)</f>
        <v>137.80240746011282</v>
      </c>
      <c r="AK12" s="61">
        <f>管理者入力シート!B5</f>
        <v>2020</v>
      </c>
      <c r="AL12" s="62"/>
      <c r="BH12" s="7" t="str">
        <f t="shared" si="16"/>
        <v>2040_1</v>
      </c>
      <c r="BI12" s="28">
        <f>管理者入力シート!B11</f>
        <v>2040</v>
      </c>
      <c r="BJ12" s="3" t="s">
        <v>21</v>
      </c>
      <c r="BK12" s="9">
        <f>CM13*$AK$13</f>
        <v>9.4798599387413702</v>
      </c>
      <c r="BL12" s="9">
        <f>IF(管理者入力シート!$B$14=1,BK9*管理者用人口入力シート!AM$3,IF(管理者入力シート!$B$14=2,BK9*管理者用人口入力シート!AM$7))</f>
        <v>12.420388313280998</v>
      </c>
      <c r="BM12" s="9">
        <f>IF(管理者入力シート!$B$14=1,BL9*管理者用人口入力シート!AN$3,IF(管理者入力シート!$B$14=2,BL9*管理者用人口入力シート!AN$7))</f>
        <v>14.854946984679653</v>
      </c>
      <c r="BN12" s="9">
        <f>IF(管理者入力シート!$B$14=1,BM9*管理者用人口入力シート!AO$3,IF(管理者入力シート!$B$14=2,BM9*管理者用人口入力シート!AO$7))</f>
        <v>14.328500544582836</v>
      </c>
      <c r="BO12" s="9">
        <f>IF(管理者入力シート!$B$14=1,BN9*管理者用人口入力シート!AP$3,IF(管理者入力シート!$B$14=2,BN9*管理者用人口入力シート!AP$7))</f>
        <v>11.385887167682672</v>
      </c>
      <c r="BP12" s="9">
        <f>IF(管理者入力シート!$B$14=1,BO9*管理者用人口入力シート!AQ$3,IF(管理者入力シート!$B$14=2,BO9*管理者用人口入力シート!AQ$7))</f>
        <v>19.226731476742138</v>
      </c>
      <c r="BQ12" s="9">
        <f>IF(管理者入力シート!$B$14=1,BP9*管理者用人口入力シート!AR$3,IF(管理者入力シート!$B$14=2,BP9*管理者用人口入力シート!AR$7))</f>
        <v>17.622853067258802</v>
      </c>
      <c r="BR12" s="9">
        <f>IF(管理者入力シート!$B$14=1,BQ9*管理者用人口入力シート!AS$3,IF(管理者入力シート!$B$14=2,BQ9*管理者用人口入力シート!AS$7))</f>
        <v>25.988504501802474</v>
      </c>
      <c r="BS12" s="9">
        <f>IF(管理者入力シート!$B$14=1,BR9*管理者用人口入力シート!AT$3,IF(管理者入力シート!$B$14=2,BR9*管理者用人口入力シート!AT$7))</f>
        <v>26.333755590173354</v>
      </c>
      <c r="BT12" s="9">
        <f>IF(管理者入力シート!$B$14=1,BS9*管理者用人口入力シート!AU$3,IF(管理者入力シート!$B$14=2,BS9*管理者用人口入力シート!AU$7))</f>
        <v>38.981544365530638</v>
      </c>
      <c r="BU12" s="9">
        <f>IF(管理者入力シート!$B$14=1,BT9*管理者用人口入力シート!AV$3,IF(管理者入力シート!$B$14=2,BT9*管理者用人口入力シート!AV$7))</f>
        <v>35.781365906833045</v>
      </c>
      <c r="BV12" s="9">
        <f>IF(管理者入力シート!$B$14=1,BU9*管理者用人口入力シート!AW$3,IF(管理者入力シート!$B$14=2,BU9*管理者用人口入力シート!AW$7))</f>
        <v>56.597520162667202</v>
      </c>
      <c r="BW12" s="9">
        <f>IF(管理者入力シート!$B$14=1,BV9*管理者用人口入力シート!AX$3,IF(管理者入力シート!$B$14=2,BV9*管理者用人口入力シート!AX$7))</f>
        <v>58.787378253843592</v>
      </c>
      <c r="BX12" s="9">
        <f>IF(管理者入力シート!$B$14=1,BW9*管理者用人口入力シート!AY$3,IF(管理者入力シート!$B$14=2,BW9*管理者用人口入力シート!AY$7))</f>
        <v>60.734111131752343</v>
      </c>
      <c r="BY12" s="9">
        <f>IF(管理者入力シート!$B$14=1,BX9*管理者用人口入力シート!AZ$3,IF(管理者入力シート!$B$14=2,BX9*管理者用人口入力シート!AZ$7))</f>
        <v>46.19989127731882</v>
      </c>
      <c r="BZ12" s="9">
        <f>IF(管理者入力シート!$B$14=1,BY9*管理者用人口入力シート!BA$3,IF(管理者入力シート!$B$14=2,BY9*管理者用人口入力シート!BA$7))</f>
        <v>56.251811202790606</v>
      </c>
      <c r="CA12" s="9">
        <f>IF(管理者入力シート!$B$14=1,BZ9*管理者用人口入力シート!BB$3,IF(管理者入力シート!$B$14=2,BZ9*管理者用人口入力シート!BB$7))</f>
        <v>66.514796336687255</v>
      </c>
      <c r="CB12" s="9">
        <f>IF(管理者入力シート!$B$14=1,CA9*管理者用人口入力シート!BC$3,IF(管理者入力シート!$B$14=2,CA9*管理者用人口入力シート!BC$7))</f>
        <v>55.553210847966177</v>
      </c>
      <c r="CC12" s="9">
        <f>IF(管理者入力シート!$B$14=1,CB9*管理者用人口入力シート!BD$3,IF(管理者入力シート!$B$14=2,CB9*管理者用人口入力シート!BD$7))</f>
        <v>23.347882794032639</v>
      </c>
      <c r="CD12" s="9">
        <f>IF(管理者入力シート!$B$14=1,CC9*管理者用人口入力シート!BE$3,IF(管理者入力シート!$B$14=2,CC9*管理者用人口入力シート!BE$7))</f>
        <v>4.0143727353873526</v>
      </c>
      <c r="CE12" s="9">
        <f>IF(管理者入力シート!$B$14=1,CD9*管理者用人口入力シート!BF$3,IF(管理者入力シート!$B$14=2,CD9*管理者用人口入力シート!BF$7))</f>
        <v>3.9802349279416211E-3</v>
      </c>
      <c r="CF12" s="9">
        <f t="shared" si="2"/>
        <v>654.40929283468199</v>
      </c>
      <c r="CG12" s="9">
        <f t="shared" si="17"/>
        <v>16.365201178776392</v>
      </c>
      <c r="CH12" s="9">
        <f t="shared" si="18"/>
        <v>8.8076789027884281</v>
      </c>
      <c r="CI12" s="9">
        <f t="shared" si="3"/>
        <v>312.62005656086308</v>
      </c>
      <c r="CJ12" s="9">
        <f t="shared" si="19"/>
        <v>205.68605415179198</v>
      </c>
      <c r="CK12" s="13">
        <f t="shared" si="20"/>
        <v>0.47771335154288175</v>
      </c>
      <c r="CL12" s="13">
        <f t="shared" si="21"/>
        <v>0.3143079665950782</v>
      </c>
      <c r="CM12" s="9">
        <f t="shared" si="22"/>
        <v>74.223976213486083</v>
      </c>
      <c r="CO12" s="7" t="str">
        <f t="shared" si="23"/>
        <v>2040_1</v>
      </c>
      <c r="CP12" s="28">
        <f>管理者入力シート!B11</f>
        <v>2040</v>
      </c>
      <c r="CQ12" s="3" t="s">
        <v>21</v>
      </c>
      <c r="CR12" s="9">
        <f>DT13*$AK$13+将来予測シート②!$G17</f>
        <v>11.864603016032762</v>
      </c>
      <c r="CS12" s="9">
        <f>IF(管理者入力シート!$B$14=1,CR9*管理者用人口入力シート!AM$3,IF(管理者入力シート!$B$14=2,CR9*管理者用人口入力シート!AM$7))+将来予測シート②!$G18</f>
        <v>15.057316882996357</v>
      </c>
      <c r="CT12" s="9">
        <f>IF(管理者入力シート!$B$14=1,CS9*管理者用人口入力シート!AN$3,IF(管理者入力シート!$B$14=2,CS9*管理者用人口入力シート!AN$7))+将来予測シート②!$G19</f>
        <v>17.927285559215711</v>
      </c>
      <c r="CU12" s="9">
        <f>IF(管理者入力シート!$B$14=1,CT9*管理者用人口入力シート!AO$3,IF(管理者入力シート!$B$14=2,CT9*管理者用人口入力シート!AO$7))+将来予測シート②!$G20</f>
        <v>15.776354585275016</v>
      </c>
      <c r="CV12" s="9">
        <f>IF(管理者入力シート!$B$14=1,CU9*管理者用人口入力シート!AP$3,IF(管理者入力シート!$B$14=2,CU9*管理者用人口入力シート!AP$7))+将来予測シート②!$G21</f>
        <v>11.773362315025004</v>
      </c>
      <c r="CW12" s="9">
        <f>IF(管理者入力シート!$B$14=1,CV9*管理者用人口入力シート!AQ$3,IF(管理者入力シート!$B$14=2,CV9*管理者用人口入力シート!AQ$7))+将来予測シート②!$G22</f>
        <v>21.687034321633224</v>
      </c>
      <c r="CX12" s="9">
        <f>IF(管理者入力シート!$B$14=1,CW9*管理者用人口入力シート!AR$3,IF(管理者入力シート!$B$14=2,CW9*管理者用人口入力シート!AR$7))+将来予測シート②!$G23</f>
        <v>19.209187636445847</v>
      </c>
      <c r="CY12" s="9">
        <f>IF(管理者入力シート!$B$14=1,CX9*管理者用人口入力シート!AS$3,IF(管理者入力シート!$B$14=2,CX9*管理者用人口入力シート!AS$7))+将来予測シート②!$G24</f>
        <v>27.768416069924562</v>
      </c>
      <c r="CZ12" s="9">
        <f>IF(管理者入力シート!$B$14=1,CY9*管理者用人口入力シート!AT$3,IF(管理者入力シート!$B$14=2,CY9*管理者用人口入力シート!AT$7))+将来予測シート②!$G25</f>
        <v>28.338575498383076</v>
      </c>
      <c r="DA12" s="9">
        <f>IF(管理者入力シート!$B$14=1,CZ9*管理者用人口入力シート!AU$3,IF(管理者入力シート!$B$14=2,CZ9*管理者用人口入力シート!AU$7))+将来予測シート②!$G26</f>
        <v>38.981544365530638</v>
      </c>
      <c r="DB12" s="9">
        <f>IF(管理者入力シート!$B$14=1,DA9*管理者用人口入力シート!AV$3,IF(管理者入力シート!$B$14=2,DA9*管理者用人口入力シート!AV$7))+将来予測シート②!$G27</f>
        <v>35.781365906833045</v>
      </c>
      <c r="DC12" s="9">
        <f>IF(管理者入力シート!$B$14=1,DB9*管理者用人口入力シート!AW$3,IF(管理者入力シート!$B$14=2,DB9*管理者用人口入力シート!AW$7))+将来予測シート②!$G28</f>
        <v>56.597520162667202</v>
      </c>
      <c r="DD12" s="9">
        <f>IF(管理者入力シート!$B$14=1,DC9*管理者用人口入力シート!AX$3,IF(管理者入力シート!$B$14=2,DC9*管理者用人口入力シート!AX$7))+将来予測シート②!$G29</f>
        <v>58.787378253843592</v>
      </c>
      <c r="DE12" s="9">
        <f>IF(管理者入力シート!$B$14=1,DD9*管理者用人口入力シート!AY$3,IF(管理者入力シート!$B$14=2,DD9*管理者用人口入力シート!AY$7))</f>
        <v>60.734111131752343</v>
      </c>
      <c r="DF12" s="9">
        <f>IF(管理者入力シート!$B$14=1,DE9*管理者用人口入力シート!AZ$3,IF(管理者入力シート!$B$14=2,DE9*管理者用人口入力シート!AZ$7))</f>
        <v>46.19989127731882</v>
      </c>
      <c r="DG12" s="9">
        <f>IF(管理者入力シート!$B$14=1,DF9*管理者用人口入力シート!BA$3,IF(管理者入力シート!$B$14=2,DF9*管理者用人口入力シート!BA$7))</f>
        <v>56.251811202790606</v>
      </c>
      <c r="DH12" s="9">
        <f>IF(管理者入力シート!$B$14=1,DG9*管理者用人口入力シート!BB$3,IF(管理者入力シート!$B$14=2,DG9*管理者用人口入力シート!BB$7))</f>
        <v>66.514796336687255</v>
      </c>
      <c r="DI12" s="9">
        <f>IF(管理者入力シート!$B$14=1,DH9*管理者用人口入力シート!BC$3,IF(管理者入力シート!$B$14=2,DH9*管理者用人口入力シート!BC$7))</f>
        <v>55.553210847966177</v>
      </c>
      <c r="DJ12" s="9">
        <f>IF(管理者入力シート!$B$14=1,DI9*管理者用人口入力シート!BD$3,IF(管理者入力シート!$B$14=2,DI9*管理者用人口入力シート!BD$7))</f>
        <v>23.347882794032639</v>
      </c>
      <c r="DK12" s="9">
        <f>IF(管理者入力シート!$B$14=1,DJ9*管理者用人口入力シート!BE$3,IF(管理者入力シート!$B$14=2,DJ9*管理者用人口入力シート!BE$7))</f>
        <v>4.0143727353873526</v>
      </c>
      <c r="DL12" s="9">
        <f>IF(管理者入力シート!$B$14=1,DK9*管理者用人口入力シート!BF$3,IF(管理者入力シート!$B$14=2,DK9*管理者用人口入力シート!BF$7))</f>
        <v>3.9802349279416211E-3</v>
      </c>
      <c r="DM12" s="9">
        <f t="shared" si="40"/>
        <v>672.17000113466918</v>
      </c>
      <c r="DN12" s="9">
        <f t="shared" si="25"/>
        <v>19.79076146532724</v>
      </c>
      <c r="DO12" s="9">
        <f t="shared" si="26"/>
        <v>10.326185140741288</v>
      </c>
      <c r="DP12" s="9">
        <f t="shared" si="5"/>
        <v>312.62005656086308</v>
      </c>
      <c r="DQ12" s="9">
        <f t="shared" si="27"/>
        <v>205.68605415179198</v>
      </c>
      <c r="DR12" s="13">
        <f t="shared" si="28"/>
        <v>0.46509075982733378</v>
      </c>
      <c r="DS12" s="13">
        <f t="shared" si="29"/>
        <v>0.30600302572947286</v>
      </c>
      <c r="DT12" s="9">
        <f t="shared" si="41"/>
        <v>80.438000343028648</v>
      </c>
      <c r="DV12" s="211"/>
      <c r="DX12" s="28">
        <f>管理者入力シート!B11</f>
        <v>2040</v>
      </c>
      <c r="DY12" s="3" t="s">
        <v>21</v>
      </c>
      <c r="DZ12" s="9">
        <f>FB13*$AK$13</f>
        <v>46.381841345763668</v>
      </c>
      <c r="EA12" s="129">
        <f>IF(管理者入力シート!$B$14=1,DZ9*管理者用人口入力シート!AM$3,IF(管理者入力シート!$B$14=2,DZ9*管理者用人口入力シート!AM$7))</f>
        <v>54.441103846173021</v>
      </c>
      <c r="EB12" s="9">
        <f>IF(管理者入力シート!$B$14=1,EA9*管理者用人口入力シート!AN$3,IF(管理者入力シート!$B$14=2,EA9*管理者用人口入力シート!AN$7))</f>
        <v>50.035156221838704</v>
      </c>
      <c r="EC12" s="9">
        <f>IF(管理者入力シート!$B$14=1,EB9*管理者用人口入力シート!AO$3,IF(管理者入力シート!$B$14=2,EB9*管理者用人口入力シート!AO$7))</f>
        <v>14.328500544582836</v>
      </c>
      <c r="ED12" s="9">
        <f>IF(管理者入力シート!$B$14=1,EC9*管理者用人口入力シート!AP$3,IF(管理者入力シート!$B$14=2,EC9*管理者用人口入力シート!AP$7))</f>
        <v>11.385887167682672</v>
      </c>
      <c r="EE12" s="9">
        <f>IF(管理者入力シート!$B$14=1,ED9*管理者用人口入力シート!AQ$3,IF(管理者入力シート!$B$14=2,ED9*管理者用人口入力シート!AQ$7))+DX1</f>
        <v>48.226731476742138</v>
      </c>
      <c r="EF12" s="9">
        <f>IF(管理者入力シート!$B$14=1,EE9*管理者用人口入力シート!AR$3,IF(管理者入力シート!$B$14=2,EE9*管理者用人口入力シート!AR$7))+DX1</f>
        <v>69.624704320470968</v>
      </c>
      <c r="EG12" s="9">
        <f>IF(管理者入力シート!$B$14=1,EF9*管理者用人口入力シート!AS$3,IF(管理者入力シート!$B$14=2,EF9*管理者用人口入力シート!AS$7))+DX1</f>
        <v>113.33602992753292</v>
      </c>
      <c r="EH12" s="9">
        <f>IF(管理者入力シート!$B$14=1,EG9*管理者用人口入力シート!AT$3,IF(管理者入力シート!$B$14=2,EG9*管理者用人口入力シート!AT$7))</f>
        <v>124.71845123610215</v>
      </c>
      <c r="EI12" s="9">
        <f>IF(管理者入力シート!$B$14=1,EH9*管理者用人口入力シート!AU$3,IF(管理者入力シート!$B$14=2,EH9*管理者用人口入力シート!AU$7))</f>
        <v>111.45057241913783</v>
      </c>
      <c r="EJ12" s="9">
        <f>IF(管理者入力シート!$B$14=1,EI9*管理者用人口入力シート!AV$3,IF(管理者入力シート!$B$14=2,EI9*管理者用人口入力シート!AV$7))</f>
        <v>68.571553522127161</v>
      </c>
      <c r="EK12" s="9">
        <f>IF(管理者入力シート!$B$14=1,EJ9*管理者用人口入力シート!AW$3,IF(管理者入力シート!$B$14=2,EJ9*管理者用人口入力シート!AW$7))</f>
        <v>56.597520162667202</v>
      </c>
      <c r="EL12" s="9">
        <f>IF(管理者入力シート!$B$14=1,EK9*管理者用人口入力シート!AX$3,IF(管理者入力シート!$B$14=2,EK9*管理者用人口入力シート!AX$7))</f>
        <v>58.787378253843592</v>
      </c>
      <c r="EM12" s="9">
        <f>IF(管理者入力シート!$B$14=1,EL9*管理者用人口入力シート!AY$3,IF(管理者入力シート!$B$14=2,EL9*管理者用人口入力シート!AY$7))</f>
        <v>60.734111131752343</v>
      </c>
      <c r="EN12" s="9">
        <f>IF(管理者入力シート!$B$14=1,EM9*管理者用人口入力シート!AZ$3,IF(管理者入力シート!$B$14=2,EM9*管理者用人口入力シート!AZ$7))</f>
        <v>46.19989127731882</v>
      </c>
      <c r="EO12" s="9">
        <f>IF(管理者入力シート!$B$14=1,EN9*管理者用人口入力シート!BA$3,IF(管理者入力シート!$B$14=2,EN9*管理者用人口入力シート!BA$7))</f>
        <v>56.251811202790606</v>
      </c>
      <c r="EP12" s="9">
        <f>IF(管理者入力シート!$B$14=1,EO9*管理者用人口入力シート!BB$3,IF(管理者入力シート!$B$14=2,EO9*管理者用人口入力シート!BB$7))</f>
        <v>66.514796336687255</v>
      </c>
      <c r="EQ12" s="9">
        <f>IF(管理者入力シート!$B$14=1,EP9*管理者用人口入力シート!BC$3,IF(管理者入力シート!$B$14=2,EP9*管理者用人口入力シート!BC$7))</f>
        <v>55.553210847966177</v>
      </c>
      <c r="ER12" s="9">
        <f>IF(管理者入力シート!$B$14=1,EQ9*管理者用人口入力シート!BD$3,IF(管理者入力シート!$B$14=2,EQ9*管理者用人口入力シート!BD$7))</f>
        <v>23.347882794032639</v>
      </c>
      <c r="ES12" s="9">
        <f>IF(管理者入力シート!$B$14=1,ER9*管理者用人口入力シート!BE$3,IF(管理者入力シート!$B$14=2,ER9*管理者用人口入力シート!BE$7))</f>
        <v>4.0143727353873526</v>
      </c>
      <c r="ET12" s="9">
        <f>IF(管理者入力シート!$B$14=1,ES9*管理者用人口入力シート!BF$3,IF(管理者入力シート!$B$14=2,ES9*管理者用人口入力シート!BF$7))</f>
        <v>3.9802349279416211E-3</v>
      </c>
      <c r="EU12" s="9">
        <f t="shared" si="42"/>
        <v>1140.5054870055278</v>
      </c>
      <c r="EV12" s="9">
        <f t="shared" si="31"/>
        <v>62.685756040807036</v>
      </c>
      <c r="EW12" s="9">
        <f t="shared" si="32"/>
        <v>22.87976259765205</v>
      </c>
      <c r="EX12" s="9">
        <f t="shared" si="7"/>
        <v>312.62005656086308</v>
      </c>
      <c r="EY12" s="9">
        <f t="shared" si="33"/>
        <v>205.68605415179198</v>
      </c>
      <c r="EZ12" s="13">
        <f t="shared" si="34"/>
        <v>0.27410657828720103</v>
      </c>
      <c r="FA12" s="13">
        <f t="shared" si="35"/>
        <v>0.1803463959580188</v>
      </c>
      <c r="FB12" s="9">
        <f t="shared" si="43"/>
        <v>242.57335289242872</v>
      </c>
    </row>
    <row r="13" spans="1:158" x14ac:dyDescent="0.15">
      <c r="A13" s="7" t="str">
        <f t="shared" si="8"/>
        <v>2020_2</v>
      </c>
      <c r="B13" s="29">
        <v>2020</v>
      </c>
      <c r="C13" s="4" t="s">
        <v>22</v>
      </c>
      <c r="D13" s="10">
        <v>23.029850746268657</v>
      </c>
      <c r="E13" s="10">
        <v>35.059701492537314</v>
      </c>
      <c r="F13" s="10">
        <v>44.029850746268657</v>
      </c>
      <c r="G13" s="10">
        <v>28</v>
      </c>
      <c r="H13" s="10">
        <v>15</v>
      </c>
      <c r="I13" s="10">
        <v>21.029850746268657</v>
      </c>
      <c r="J13" s="10">
        <v>38.029850746268657</v>
      </c>
      <c r="K13" s="10">
        <v>44</v>
      </c>
      <c r="L13" s="10">
        <v>47.059701492537314</v>
      </c>
      <c r="M13" s="10">
        <v>45.089552238805972</v>
      </c>
      <c r="N13" s="10">
        <v>61.089552238805972</v>
      </c>
      <c r="O13" s="10">
        <v>79.119402985074629</v>
      </c>
      <c r="P13" s="10">
        <v>124.23880597014926</v>
      </c>
      <c r="Q13" s="10">
        <v>105.20895522388059</v>
      </c>
      <c r="R13" s="10">
        <v>114.47761194029852</v>
      </c>
      <c r="S13" s="10">
        <v>77.119402985074629</v>
      </c>
      <c r="T13" s="10">
        <v>104.17910447761194</v>
      </c>
      <c r="U13" s="10">
        <v>85.119402985074629</v>
      </c>
      <c r="V13" s="10">
        <v>46.119402985074629</v>
      </c>
      <c r="W13" s="10">
        <v>6</v>
      </c>
      <c r="X13" s="10">
        <v>2</v>
      </c>
      <c r="Y13" s="10">
        <f t="shared" si="53"/>
        <v>1145.0000000000002</v>
      </c>
      <c r="Z13" s="10">
        <f t="shared" si="54"/>
        <v>47.453731343283579</v>
      </c>
      <c r="AA13" s="10">
        <f t="shared" si="55"/>
        <v>23.211940298507464</v>
      </c>
      <c r="AB13" s="10">
        <f>SUM(Q13:X13)</f>
        <v>540.22388059701495</v>
      </c>
      <c r="AC13" s="10">
        <f t="shared" si="56"/>
        <v>320.53731343283584</v>
      </c>
      <c r="AD13" s="14">
        <f t="shared" si="57"/>
        <v>0.47181124942970731</v>
      </c>
      <c r="AE13" s="14">
        <f t="shared" si="58"/>
        <v>0.27994525190640679</v>
      </c>
      <c r="AF13" s="10">
        <f>SUM(H13:K13)</f>
        <v>118.05970149253731</v>
      </c>
      <c r="AI13" s="60" t="s">
        <v>47</v>
      </c>
      <c r="AJ13" s="1" t="s">
        <v>21</v>
      </c>
      <c r="AK13" s="8">
        <f>VLOOKUP(AK12&amp;"_1",A:D,4,FALSE)/VLOOKUP(AK12&amp;"_2",A:AF,32,FALSE)</f>
        <v>0.22127423960025078</v>
      </c>
      <c r="AL13" s="63"/>
      <c r="BH13" s="7" t="str">
        <f t="shared" si="16"/>
        <v>2040_2</v>
      </c>
      <c r="BI13" s="29">
        <f>BI12</f>
        <v>2040</v>
      </c>
      <c r="BJ13" s="4" t="s">
        <v>22</v>
      </c>
      <c r="BK13" s="10">
        <f>CM13*$AK$14</f>
        <v>8.3571944356004764</v>
      </c>
      <c r="BL13" s="10">
        <f>IF(管理者入力シート!$B$14=1,BK10*管理者用人口入力シート!AM$4,IF(管理者入力シート!$B$14=2,BK10*管理者用人口入力シート!AM$8))</f>
        <v>9.4533247800465077</v>
      </c>
      <c r="BM13" s="10">
        <f>IF(管理者入力シート!$B$14=1,BL10*管理者用人口入力シート!AN$4,IF(管理者入力シート!$B$14=2,BL10*管理者用人口入力シート!AN$8))</f>
        <v>10.922099573594679</v>
      </c>
      <c r="BN13" s="10">
        <f>IF(管理者入力シート!$B$14=1,BM10*管理者用人口入力シート!AO$4,IF(管理者入力シート!$B$14=2,BM10*管理者用人口入力シート!AO$8))</f>
        <v>10.153664741869004</v>
      </c>
      <c r="BO13" s="10">
        <f>IF(管理者入力シート!$B$14=1,BN10*管理者用人口入力シート!AP$4,IF(管理者入力シート!$B$14=2,BN10*管理者用人口入力シート!AP$8))</f>
        <v>8.3340977251033337</v>
      </c>
      <c r="BP13" s="10">
        <f>IF(管理者入力シート!$B$14=1,BO10*管理者用人口入力シート!AQ$4,IF(管理者入力シート!$B$14=2,BO10*管理者用人口入力シート!AQ$8))</f>
        <v>10.4371586283188</v>
      </c>
      <c r="BQ13" s="10">
        <f>IF(管理者入力シート!$B$14=1,BP10*管理者用人口入力シート!AR$4,IF(管理者入力シート!$B$14=2,BP10*管理者用人口入力シート!AR$8))</f>
        <v>12.408912039651167</v>
      </c>
      <c r="BR13" s="10">
        <f>IF(管理者入力シート!$B$14=1,BQ10*管理者用人口入力シート!AS$4,IF(管理者入力シート!$B$14=2,BQ10*管理者用人口入力シート!AS$8))</f>
        <v>11.661962511398364</v>
      </c>
      <c r="BS13" s="10">
        <f>IF(管理者入力シート!$B$14=1,BR10*管理者用人口入力シート!AT$4,IF(管理者入力シート!$B$14=2,BR10*管理者用人口入力シート!AT$8))</f>
        <v>10.470273925362699</v>
      </c>
      <c r="BT13" s="10">
        <f>IF(管理者入力シート!$B$14=1,BS10*管理者用人口入力シート!AU$4,IF(管理者入力シート!$B$14=2,BS10*管理者用人口入力シート!AU$8))</f>
        <v>15.963161291901621</v>
      </c>
      <c r="BU13" s="10">
        <f>IF(管理者入力シート!$B$14=1,BT10*管理者用人口入力シート!AV$4,IF(管理者入力シート!$B$14=2,BT10*管理者用人口入力シート!AV$8))</f>
        <v>32.426418257571719</v>
      </c>
      <c r="BV13" s="10">
        <f>IF(管理者入力シート!$B$14=1,BU10*管理者用人口入力シート!AW$4,IF(管理者入力シート!$B$14=2,BU10*管理者用人口入力シート!AW$8))</f>
        <v>37.424168152407681</v>
      </c>
      <c r="BW13" s="10">
        <f>IF(管理者入力シート!$B$14=1,BV10*管理者用人口入力シート!AX$4,IF(管理者入力シート!$B$14=2,BV10*管理者用人口入力シート!AX$8))</f>
        <v>42.262954210240736</v>
      </c>
      <c r="BX13" s="10">
        <f>IF(管理者入力シート!$B$14=1,BW10*管理者用人口入力シート!AY$4,IF(管理者入力シート!$B$14=2,BW10*管理者用人口入力シート!AY$8))</f>
        <v>44.651413089138295</v>
      </c>
      <c r="BY13" s="10">
        <f>IF(管理者入力シート!$B$14=1,BX10*管理者用人口入力シート!AZ$4,IF(管理者入力シート!$B$14=2,BX10*管理者用人口入力シート!AZ$8))</f>
        <v>58.59954783965496</v>
      </c>
      <c r="BZ13" s="10">
        <f>IF(管理者入力シート!$B$14=1,BY10*管理者用人口入力シート!BA$4,IF(管理者入力シート!$B$14=2,BY10*管理者用人口入力シート!BA$8))</f>
        <v>68.898192748311118</v>
      </c>
      <c r="CA13" s="10">
        <f>IF(管理者入力シート!$B$14=1,BZ10*管理者用人口入力シート!BB$4,IF(管理者入力シート!$B$14=2,BZ10*管理者用人口入力シート!BB$8))</f>
        <v>87.83483829829413</v>
      </c>
      <c r="CB13" s="10">
        <f>IF(管理者入力シート!$B$14=1,CA10*管理者用人口入力シート!BC$4,IF(管理者入力シート!$B$14=2,CA10*管理者用人口入力シート!BC$8))</f>
        <v>56.102875984557208</v>
      </c>
      <c r="CC13" s="10">
        <f>IF(管理者入力シート!$B$14=1,CB10*管理者用人口入力シート!BD$4,IF(管理者入力シート!$B$14=2,CB10*管理者用人口入力シート!BD$8))</f>
        <v>29.624897551943338</v>
      </c>
      <c r="CD13" s="10">
        <f>IF(管理者入力シート!$B$14=1,CC10*管理者用人口入力シート!BE$4,IF(管理者入力シート!$B$14=2,CC10*管理者用人口入力シート!BE$8))</f>
        <v>7.402792260481367</v>
      </c>
      <c r="CE13" s="10">
        <f>IF(管理者入力シート!$B$14=1,CD10*管理者用人口入力シート!BF$4,IF(管理者入力シート!$B$14=2,CD10*管理者用人口入力シート!BF$8))</f>
        <v>0.17622612599970139</v>
      </c>
      <c r="CF13" s="10">
        <f t="shared" si="2"/>
        <v>573.56617417144696</v>
      </c>
      <c r="CG13" s="10">
        <f t="shared" si="17"/>
        <v>12.225254612184711</v>
      </c>
      <c r="CH13" s="10">
        <f t="shared" si="18"/>
        <v>6.399572777811672</v>
      </c>
      <c r="CI13" s="10">
        <f t="shared" si="3"/>
        <v>353.29078389838008</v>
      </c>
      <c r="CJ13" s="10">
        <f t="shared" si="19"/>
        <v>250.03982296958688</v>
      </c>
      <c r="CK13" s="14">
        <f t="shared" si="20"/>
        <v>0.61595470550321629</v>
      </c>
      <c r="CL13" s="14">
        <f t="shared" si="21"/>
        <v>0.4359389277632793</v>
      </c>
      <c r="CM13" s="10">
        <f t="shared" si="22"/>
        <v>42.842130904471659</v>
      </c>
      <c r="CO13" s="7" t="str">
        <f t="shared" si="23"/>
        <v>2040_2</v>
      </c>
      <c r="CP13" s="29">
        <f>CP12</f>
        <v>2040</v>
      </c>
      <c r="CQ13" s="4" t="s">
        <v>22</v>
      </c>
      <c r="CR13" s="10">
        <f>DT13*$AK$14+将来予測シート②!$H17</f>
        <v>10.577947401895079</v>
      </c>
      <c r="CS13" s="10">
        <f>IF(管理者入力シート!$B$14=1,CR10*管理者用人口入力シート!AM$4,IF(管理者入力シート!$B$14=2,CR10*管理者用人口入力シート!AM$8))+将来予測シート②!$H18</f>
        <v>11.576753439094844</v>
      </c>
      <c r="CT13" s="10">
        <f>IF(管理者入力シート!$B$14=1,CS10*管理者用人口入力シート!AN$4,IF(管理者入力シート!$B$14=2,CS10*管理者用人口入力シート!AN$8))+将来予測シート②!$H19</f>
        <v>13.556886821712503</v>
      </c>
      <c r="CU13" s="10">
        <f>IF(管理者入力シート!$B$14=1,CT10*管理者用人口入力シート!AO$4,IF(管理者入力シート!$B$14=2,CT10*管理者用人口入力シート!AO$8))+将来予測シート②!$H20</f>
        <v>11.426495120312229</v>
      </c>
      <c r="CV13" s="10">
        <f>IF(管理者入力シート!$B$14=1,CU10*管理者用人口入力シート!AP$4,IF(管理者入力シート!$B$14=2,CU10*管理者用人口入力シート!AP$8))+将来予測シート②!$H21</f>
        <v>8.7198429331325276</v>
      </c>
      <c r="CW13" s="10">
        <f>IF(管理者入力シート!$B$14=1,CV10*管理者用人口入力シート!AQ$4,IF(管理者入力シート!$B$14=2,CV10*管理者用人口入力シート!AQ$8))+将来予測シート②!$H22</f>
        <v>12.749127829881155</v>
      </c>
      <c r="CX13" s="10">
        <f>IF(管理者入力シート!$B$14=1,CW10*管理者用人口入力シート!AR$4,IF(管理者入力シート!$B$14=2,CW10*管理者用人口入力シート!AR$8))+将来予測シート②!$H23</f>
        <v>14.215689928422222</v>
      </c>
      <c r="CY13" s="10">
        <f>IF(管理者入力シート!$B$14=1,CX10*管理者用人口入力シート!AS$4,IF(管理者入力シート!$B$14=2,CX10*管理者用人口入力シート!AS$8))+将来予測シート②!$H24</f>
        <v>13.41551037077412</v>
      </c>
      <c r="CZ13" s="10">
        <f>IF(管理者入力シート!$B$14=1,CY10*管理者用人口入力シート!AT$4,IF(管理者入力シート!$B$14=2,CY10*管理者用人口入力シート!AT$8))+将来予測シート②!$H25</f>
        <v>13.196452010992045</v>
      </c>
      <c r="DA13" s="10">
        <f>IF(管理者入力シート!$B$14=1,CZ10*管理者用人口入力シート!AU$4,IF(管理者入力シート!$B$14=2,CZ10*管理者用人口入力シート!AU$8))+将来予測シート②!$H26</f>
        <v>16.842643601487953</v>
      </c>
      <c r="DB13" s="10">
        <f>IF(管理者入力シート!$B$14=1,DA10*管理者用人口入力シート!AV$4,IF(管理者入力シート!$B$14=2,DA10*管理者用人口入力シート!AV$8))+将来予測シート②!$H27</f>
        <v>33.318888054341492</v>
      </c>
      <c r="DC13" s="10">
        <f>IF(管理者入力シート!$B$14=1,DB10*管理者用人口入力シート!AW$4,IF(管理者入力シート!$B$14=2,DB10*管理者用人口入力シート!AW$8))+将来予測シート②!$H28</f>
        <v>38.288203488608055</v>
      </c>
      <c r="DD13" s="10">
        <f>IF(管理者入力シート!$B$14=1,DC10*管理者用人口入力シート!AX$4,IF(管理者入力シート!$B$14=2,DC10*管理者用人口入力シート!AX$8))+将来予測シート②!$H29</f>
        <v>42.262954210240736</v>
      </c>
      <c r="DE13" s="10">
        <f>IF(管理者入力シート!$B$14=1,DD10*管理者用人口入力シート!AY$4,IF(管理者入力シート!$B$14=2,DD10*管理者用人口入力シート!AY$8))</f>
        <v>44.651413089138295</v>
      </c>
      <c r="DF13" s="10">
        <f>IF(管理者入力シート!$B$14=1,DE10*管理者用人口入力シート!AZ$4,IF(管理者入力シート!$B$14=2,DE10*管理者用人口入力シート!AZ$8))</f>
        <v>58.59954783965496</v>
      </c>
      <c r="DG13" s="10">
        <f>IF(管理者入力シート!$B$14=1,DF10*管理者用人口入力シート!BA$4,IF(管理者入力シート!$B$14=2,DF10*管理者用人口入力シート!BA$8))</f>
        <v>68.898192748311118</v>
      </c>
      <c r="DH13" s="10">
        <f>IF(管理者入力シート!$B$14=1,DG10*管理者用人口入力シート!BB$4,IF(管理者入力シート!$B$14=2,DG10*管理者用人口入力シート!BB$8))</f>
        <v>87.83483829829413</v>
      </c>
      <c r="DI13" s="10">
        <f>IF(管理者入力シート!$B$14=1,DH10*管理者用人口入力シート!BC$4,IF(管理者入力シート!$B$14=2,DH10*管理者用人口入力シート!BC$8))</f>
        <v>56.102875984557208</v>
      </c>
      <c r="DJ13" s="10">
        <f>IF(管理者入力シート!$B$14=1,DI10*管理者用人口入力シート!BD$4,IF(管理者入力シート!$B$14=2,DI10*管理者用人口入力シート!BD$8))</f>
        <v>29.624897551943338</v>
      </c>
      <c r="DK13" s="10">
        <f>IF(管理者入力シート!$B$14=1,DJ10*管理者用人口入力シート!BE$4,IF(管理者入力シート!$B$14=2,DJ10*管理者用人口入力シート!BE$8))</f>
        <v>7.402792260481367</v>
      </c>
      <c r="DL13" s="10">
        <f>IF(管理者入力シート!$B$14=1,DK10*管理者用人口入力シート!BF$4,IF(管理者入力シート!$B$14=2,DK10*管理者用人口入力シート!BF$8))</f>
        <v>0.17622612599970139</v>
      </c>
      <c r="DM13" s="10">
        <f t="shared" si="40"/>
        <v>593.43817910927521</v>
      </c>
      <c r="DN13" s="10">
        <f t="shared" si="25"/>
        <v>15.080184156484407</v>
      </c>
      <c r="DO13" s="10">
        <f t="shared" si="26"/>
        <v>7.7080537527474471</v>
      </c>
      <c r="DP13" s="10">
        <f t="shared" si="5"/>
        <v>353.29078389838008</v>
      </c>
      <c r="DQ13" s="10">
        <f t="shared" si="27"/>
        <v>250.03982296958688</v>
      </c>
      <c r="DR13" s="14">
        <f t="shared" si="28"/>
        <v>0.59532870707552743</v>
      </c>
      <c r="DS13" s="14">
        <f t="shared" si="29"/>
        <v>0.42134097833894968</v>
      </c>
      <c r="DT13" s="10">
        <f t="shared" si="41"/>
        <v>49.10017106221003</v>
      </c>
      <c r="DV13" s="62"/>
      <c r="DX13" s="29">
        <f>DX12</f>
        <v>2040</v>
      </c>
      <c r="DY13" s="4" t="s">
        <v>22</v>
      </c>
      <c r="DZ13" s="10">
        <f>FB13*$AK$14</f>
        <v>40.88900773983211</v>
      </c>
      <c r="EA13" s="10">
        <f>IF(管理者入力シート!$B$14=1,DZ10*管理者用人口入力シート!AM$4,IF(管理者入力シート!$B$14=2,DZ10*管理者用人口入力シート!AM$8))</f>
        <v>41.435857161712342</v>
      </c>
      <c r="EB13" s="10">
        <f>IF(管理者入力シート!$B$14=1,EA10*管理者用人口入力シート!AN$4,IF(管理者入力シート!$B$14=2,EA10*管理者用人口入力シート!AN$8))</f>
        <v>36.788347948928923</v>
      </c>
      <c r="EC13" s="10">
        <f>IF(管理者入力シート!$B$14=1,EB10*管理者用人口入力シート!AO$4,IF(管理者入力シート!$B$14=2,EB10*管理者用人口入力シート!AO$8))</f>
        <v>10.153664741869004</v>
      </c>
      <c r="ED13" s="10">
        <f>IF(管理者入力シート!$B$14=1,EC10*管理者用人口入力シート!AP$4,IF(管理者入力シート!$B$14=2,EC10*管理者用人口入力シート!AP$8))</f>
        <v>8.3340977251033337</v>
      </c>
      <c r="EE13" s="10">
        <f>IF(管理者入力シート!$B$14=1,ED10*管理者用人口入力シート!AQ$4,IF(管理者入力シート!$B$14=2,ED10*管理者用人口入力シート!AQ$8))+DX1</f>
        <v>39.437158628318798</v>
      </c>
      <c r="EF13" s="10">
        <f>IF(管理者入力シート!$B$14=1,EE10*管理者用人口入力シート!AR$4,IF(管理者入力シート!$B$14=2,EE10*管理者用人口入力シート!AR$8))+DX1</f>
        <v>67.607191426831463</v>
      </c>
      <c r="EG13" s="10">
        <f>IF(管理者入力シート!$B$14=1,EF10*管理者用人口入力シート!AS$4,IF(管理者入力シート!$B$14=2,EF10*管理者用人口入力シート!AS$8))+DX1</f>
        <v>94.234028708451518</v>
      </c>
      <c r="EH13" s="10">
        <f>IF(管理者入力シート!$B$14=1,EG10*管理者用人口入力シート!AT$4,IF(管理者入力シート!$B$14=2,EG10*管理者用人口入力シート!AT$8))</f>
        <v>91.753536536301382</v>
      </c>
      <c r="EI13" s="10">
        <f>IF(管理者入力シート!$B$14=1,EH10*管理者用人口入力シート!AU$4,IF(管理者入力シート!$B$14=2,EH10*管理者用人口入力シート!AU$8))</f>
        <v>65.437278025836491</v>
      </c>
      <c r="EJ13" s="10">
        <f>IF(管理者入力シート!$B$14=1,EI10*管理者用人口入力シート!AV$4,IF(管理者入力シート!$B$14=2,EI10*管理者用人口入力シート!AV$8))</f>
        <v>57.904076089355129</v>
      </c>
      <c r="EK13" s="10">
        <f>IF(管理者入力シート!$B$14=1,EJ10*管理者用人口入力シート!AW$4,IF(管理者入力シート!$B$14=2,EJ10*管理者用人口入力シート!AW$8))</f>
        <v>37.424168152407681</v>
      </c>
      <c r="EL13" s="10">
        <f>IF(管理者入力シート!$B$14=1,EK10*管理者用人口入力シート!AX$4,IF(管理者入力シート!$B$14=2,EK10*管理者用人口入力シート!AX$8))</f>
        <v>42.262954210240736</v>
      </c>
      <c r="EM13" s="10">
        <f>IF(管理者入力シート!$B$14=1,EL10*管理者用人口入力シート!AY$4,IF(管理者入力シート!$B$14=2,EL10*管理者用人口入力シート!AY$8))</f>
        <v>44.651413089138295</v>
      </c>
      <c r="EN13" s="10">
        <f>IF(管理者入力シート!$B$14=1,EM10*管理者用人口入力シート!AZ$4,IF(管理者入力シート!$B$14=2,EM10*管理者用人口入力シート!AZ$8))</f>
        <v>58.59954783965496</v>
      </c>
      <c r="EO13" s="10">
        <f>IF(管理者入力シート!$B$14=1,EN10*管理者用人口入力シート!BA$4,IF(管理者入力シート!$B$14=2,EN10*管理者用人口入力シート!BA$8))</f>
        <v>68.898192748311118</v>
      </c>
      <c r="EP13" s="10">
        <f>IF(管理者入力シート!$B$14=1,EO10*管理者用人口入力シート!BB$4,IF(管理者入力シート!$B$14=2,EO10*管理者用人口入力シート!BB$8))</f>
        <v>87.83483829829413</v>
      </c>
      <c r="EQ13" s="10">
        <f>IF(管理者入力シート!$B$14=1,EP10*管理者用人口入力シート!BC$4,IF(管理者入力シート!$B$14=2,EP10*管理者用人口入力シート!BC$8))</f>
        <v>56.102875984557208</v>
      </c>
      <c r="ER13" s="10">
        <f>IF(管理者入力シート!$B$14=1,EQ10*管理者用人口入力シート!BD$4,IF(管理者入力シート!$B$14=2,EQ10*管理者用人口入力シート!BD$8))</f>
        <v>29.624897551943338</v>
      </c>
      <c r="ES13" s="10">
        <f>IF(管理者入力シート!$B$14=1,ER10*管理者用人口入力シート!BE$4,IF(管理者入力シート!$B$14=2,ER10*管理者用人口入力シート!BE$8))</f>
        <v>7.402792260481367</v>
      </c>
      <c r="ET13" s="10">
        <f>IF(管理者入力シート!$B$14=1,ES10*管理者用人口入力シート!BF$4,IF(管理者入力シート!$B$14=2,ES10*管理者用人口入力シート!BF$8))</f>
        <v>0.17622612599970139</v>
      </c>
      <c r="EU13" s="10">
        <f t="shared" si="42"/>
        <v>986.95215099356915</v>
      </c>
      <c r="EV13" s="10">
        <f t="shared" si="31"/>
        <v>46.934523066384756</v>
      </c>
      <c r="EW13" s="10">
        <f t="shared" si="32"/>
        <v>16.746072127945368</v>
      </c>
      <c r="EX13" s="10">
        <f t="shared" si="7"/>
        <v>353.29078389838008</v>
      </c>
      <c r="EY13" s="10">
        <f t="shared" si="33"/>
        <v>250.03982296958688</v>
      </c>
      <c r="EZ13" s="14">
        <f t="shared" si="34"/>
        <v>0.35796141033050149</v>
      </c>
      <c r="FA13" s="14">
        <f t="shared" si="35"/>
        <v>0.25334543596452036</v>
      </c>
      <c r="FB13" s="10">
        <f t="shared" si="43"/>
        <v>209.61247648870511</v>
      </c>
    </row>
    <row r="14" spans="1:158" x14ac:dyDescent="0.15">
      <c r="A14" s="7" t="str">
        <f t="shared" si="8"/>
        <v>2020_3</v>
      </c>
      <c r="B14" s="30">
        <v>2020</v>
      </c>
      <c r="C14" s="5" t="s">
        <v>23</v>
      </c>
      <c r="D14" s="11">
        <v>49.15342142146244</v>
      </c>
      <c r="E14" s="11">
        <v>77.344578691981496</v>
      </c>
      <c r="F14" s="11">
        <v>92.29879149730246</v>
      </c>
      <c r="G14" s="11">
        <v>71.228273425859271</v>
      </c>
      <c r="H14" s="11">
        <v>37.114016172506737</v>
      </c>
      <c r="I14" s="11">
        <v>58.225081028701567</v>
      </c>
      <c r="J14" s="11">
        <v>66.233634376209551</v>
      </c>
      <c r="K14" s="11">
        <v>94.289377375232291</v>
      </c>
      <c r="L14" s="11">
        <v>106.48613667694741</v>
      </c>
      <c r="M14" s="11">
        <v>111.6804665044302</v>
      </c>
      <c r="N14" s="11">
        <v>112.44532897115602</v>
      </c>
      <c r="O14" s="11">
        <v>147.55515159132599</v>
      </c>
      <c r="P14" s="11">
        <v>228.84722538385404</v>
      </c>
      <c r="Q14" s="11">
        <v>250.17034043424036</v>
      </c>
      <c r="R14" s="11">
        <v>231.39724328750515</v>
      </c>
      <c r="S14" s="11">
        <v>152.52909309573744</v>
      </c>
      <c r="T14" s="11">
        <v>161.44242335725568</v>
      </c>
      <c r="U14" s="11">
        <v>130.24847499123558</v>
      </c>
      <c r="V14" s="11">
        <v>63.274207023178796</v>
      </c>
      <c r="W14" s="11">
        <v>13.036734693877552</v>
      </c>
      <c r="X14" s="11">
        <v>2</v>
      </c>
      <c r="Y14" s="11">
        <f t="shared" si="53"/>
        <v>2257</v>
      </c>
      <c r="Z14" s="11">
        <f t="shared" si="54"/>
        <v>101.78602211357038</v>
      </c>
      <c r="AA14" s="11">
        <f t="shared" si="55"/>
        <v>51.165171284092835</v>
      </c>
      <c r="AB14" s="11">
        <f>SUM(Q14:X14)</f>
        <v>1004.0985168830305</v>
      </c>
      <c r="AC14" s="11">
        <f t="shared" si="56"/>
        <v>522.53093316128502</v>
      </c>
      <c r="AD14" s="15">
        <f t="shared" si="57"/>
        <v>0.44488193038681012</v>
      </c>
      <c r="AE14" s="15">
        <f t="shared" si="58"/>
        <v>0.23151569922963447</v>
      </c>
      <c r="AF14" s="11">
        <f>SUM(H14:K14)</f>
        <v>255.86210895265015</v>
      </c>
      <c r="AI14" s="43"/>
      <c r="AJ14" s="1" t="s">
        <v>22</v>
      </c>
      <c r="AK14" s="8">
        <f>VLOOKUP(AK12&amp;"_2",A:D,4,FALSE)/VLOOKUP(AK12&amp;"_2",A:AF,32,FALSE)</f>
        <v>0.19506953223767384</v>
      </c>
      <c r="AL14" s="63"/>
      <c r="BH14" s="7" t="str">
        <f t="shared" si="16"/>
        <v>2040_3</v>
      </c>
      <c r="BI14" s="30">
        <f>BI13</f>
        <v>2040</v>
      </c>
      <c r="BJ14" s="5" t="s">
        <v>23</v>
      </c>
      <c r="BK14" s="16">
        <f t="shared" ref="BK14:CE14" si="59">BK12+BK13</f>
        <v>17.837054374341847</v>
      </c>
      <c r="BL14" s="16">
        <f t="shared" si="59"/>
        <v>21.873713093327506</v>
      </c>
      <c r="BM14" s="16">
        <f t="shared" si="59"/>
        <v>25.777046558274332</v>
      </c>
      <c r="BN14" s="16">
        <f t="shared" si="59"/>
        <v>24.482165286451838</v>
      </c>
      <c r="BO14" s="16">
        <f t="shared" si="59"/>
        <v>19.719984892786005</v>
      </c>
      <c r="BP14" s="16">
        <f t="shared" si="59"/>
        <v>29.663890105060936</v>
      </c>
      <c r="BQ14" s="16">
        <f t="shared" si="59"/>
        <v>30.031765106909969</v>
      </c>
      <c r="BR14" s="16">
        <f t="shared" si="59"/>
        <v>37.650467013200839</v>
      </c>
      <c r="BS14" s="16">
        <f t="shared" si="59"/>
        <v>36.804029515536051</v>
      </c>
      <c r="BT14" s="16">
        <f t="shared" si="59"/>
        <v>54.944705657432259</v>
      </c>
      <c r="BU14" s="16">
        <f t="shared" si="59"/>
        <v>68.207784164404757</v>
      </c>
      <c r="BV14" s="16">
        <f t="shared" si="59"/>
        <v>94.021688315074883</v>
      </c>
      <c r="BW14" s="16">
        <f t="shared" si="59"/>
        <v>101.05033246408433</v>
      </c>
      <c r="BX14" s="16">
        <f t="shared" si="59"/>
        <v>105.38552422089063</v>
      </c>
      <c r="BY14" s="16">
        <f t="shared" si="59"/>
        <v>104.79943911697379</v>
      </c>
      <c r="BZ14" s="16">
        <f t="shared" si="59"/>
        <v>125.15000395110172</v>
      </c>
      <c r="CA14" s="16">
        <f t="shared" si="59"/>
        <v>154.34963463498138</v>
      </c>
      <c r="CB14" s="16">
        <f t="shared" si="59"/>
        <v>111.65608683252339</v>
      </c>
      <c r="CC14" s="16">
        <f t="shared" si="59"/>
        <v>52.972780345975977</v>
      </c>
      <c r="CD14" s="16">
        <f t="shared" si="59"/>
        <v>11.41716499586872</v>
      </c>
      <c r="CE14" s="16">
        <f t="shared" si="59"/>
        <v>0.180206360927643</v>
      </c>
      <c r="CF14" s="11">
        <f t="shared" si="2"/>
        <v>1227.9754670061288</v>
      </c>
      <c r="CG14" s="11">
        <f t="shared" si="17"/>
        <v>28.590455790961101</v>
      </c>
      <c r="CH14" s="11">
        <f t="shared" si="18"/>
        <v>15.2072516806001</v>
      </c>
      <c r="CI14" s="11">
        <f t="shared" si="3"/>
        <v>665.9108404592431</v>
      </c>
      <c r="CJ14" s="11">
        <f t="shared" si="19"/>
        <v>455.72587712137886</v>
      </c>
      <c r="CK14" s="15">
        <f t="shared" si="20"/>
        <v>0.54228350512797296</v>
      </c>
      <c r="CL14" s="15">
        <f t="shared" si="21"/>
        <v>0.37111969201832951</v>
      </c>
      <c r="CM14" s="11">
        <f t="shared" si="22"/>
        <v>117.06610711795776</v>
      </c>
      <c r="CO14" s="7" t="str">
        <f t="shared" si="23"/>
        <v>2040_3</v>
      </c>
      <c r="CP14" s="30">
        <f>CP13</f>
        <v>2040</v>
      </c>
      <c r="CQ14" s="5" t="s">
        <v>23</v>
      </c>
      <c r="CR14" s="16">
        <f t="shared" ref="CR14:DL14" si="60">CR12+CR13</f>
        <v>22.442550417927841</v>
      </c>
      <c r="CS14" s="16">
        <f t="shared" si="60"/>
        <v>26.634070322091201</v>
      </c>
      <c r="CT14" s="16">
        <f t="shared" si="60"/>
        <v>31.484172380928214</v>
      </c>
      <c r="CU14" s="16">
        <f t="shared" si="60"/>
        <v>27.202849705587244</v>
      </c>
      <c r="CV14" s="16">
        <f t="shared" si="60"/>
        <v>20.49320524815753</v>
      </c>
      <c r="CW14" s="16">
        <f t="shared" si="60"/>
        <v>34.436162151514381</v>
      </c>
      <c r="CX14" s="16">
        <f t="shared" si="60"/>
        <v>33.424877564868069</v>
      </c>
      <c r="CY14" s="16">
        <f t="shared" si="60"/>
        <v>41.183926440698684</v>
      </c>
      <c r="CZ14" s="16">
        <f t="shared" si="60"/>
        <v>41.535027509375119</v>
      </c>
      <c r="DA14" s="16">
        <f t="shared" si="60"/>
        <v>55.824187967018588</v>
      </c>
      <c r="DB14" s="16">
        <f t="shared" si="60"/>
        <v>69.100253961174531</v>
      </c>
      <c r="DC14" s="16">
        <f t="shared" si="60"/>
        <v>94.885723651275256</v>
      </c>
      <c r="DD14" s="16">
        <f t="shared" si="60"/>
        <v>101.05033246408433</v>
      </c>
      <c r="DE14" s="16">
        <f t="shared" si="60"/>
        <v>105.38552422089063</v>
      </c>
      <c r="DF14" s="16">
        <f t="shared" si="60"/>
        <v>104.79943911697379</v>
      </c>
      <c r="DG14" s="16">
        <f t="shared" si="60"/>
        <v>125.15000395110172</v>
      </c>
      <c r="DH14" s="16">
        <f t="shared" si="60"/>
        <v>154.34963463498138</v>
      </c>
      <c r="DI14" s="16">
        <f t="shared" si="60"/>
        <v>111.65608683252339</v>
      </c>
      <c r="DJ14" s="16">
        <f t="shared" si="60"/>
        <v>52.972780345975977</v>
      </c>
      <c r="DK14" s="16">
        <f t="shared" si="60"/>
        <v>11.41716499586872</v>
      </c>
      <c r="DL14" s="16">
        <f t="shared" si="60"/>
        <v>0.180206360927643</v>
      </c>
      <c r="DM14" s="11">
        <f t="shared" si="40"/>
        <v>1265.6081802439444</v>
      </c>
      <c r="DN14" s="11">
        <f t="shared" si="25"/>
        <v>34.87094562181165</v>
      </c>
      <c r="DO14" s="11">
        <f t="shared" si="26"/>
        <v>18.034238893488734</v>
      </c>
      <c r="DP14" s="11">
        <f t="shared" si="5"/>
        <v>665.9108404592431</v>
      </c>
      <c r="DQ14" s="11">
        <f t="shared" si="27"/>
        <v>455.72587712137886</v>
      </c>
      <c r="DR14" s="15">
        <f t="shared" si="28"/>
        <v>0.52615876766132286</v>
      </c>
      <c r="DS14" s="15">
        <f t="shared" si="29"/>
        <v>0.36008449078887772</v>
      </c>
      <c r="DT14" s="11">
        <f t="shared" si="41"/>
        <v>129.53817140523867</v>
      </c>
      <c r="DX14" s="30">
        <f>DX13</f>
        <v>2040</v>
      </c>
      <c r="DY14" s="5" t="s">
        <v>23</v>
      </c>
      <c r="DZ14" s="16">
        <f t="shared" ref="DZ14:ET14" si="61">DZ12+DZ13</f>
        <v>87.270849085595785</v>
      </c>
      <c r="EA14" s="16">
        <f t="shared" si="61"/>
        <v>95.87696100788537</v>
      </c>
      <c r="EB14" s="16">
        <f t="shared" si="61"/>
        <v>86.82350417076762</v>
      </c>
      <c r="EC14" s="16">
        <f t="shared" si="61"/>
        <v>24.482165286451838</v>
      </c>
      <c r="ED14" s="16">
        <f t="shared" si="61"/>
        <v>19.719984892786005</v>
      </c>
      <c r="EE14" s="16">
        <f t="shared" si="61"/>
        <v>87.663890105060943</v>
      </c>
      <c r="EF14" s="16">
        <f t="shared" si="61"/>
        <v>137.23189574730242</v>
      </c>
      <c r="EG14" s="16">
        <f t="shared" si="61"/>
        <v>207.57005863598442</v>
      </c>
      <c r="EH14" s="16">
        <f t="shared" si="61"/>
        <v>216.47198777240354</v>
      </c>
      <c r="EI14" s="16">
        <f t="shared" si="61"/>
        <v>176.88785044497433</v>
      </c>
      <c r="EJ14" s="16">
        <f t="shared" si="61"/>
        <v>126.47562961148229</v>
      </c>
      <c r="EK14" s="16">
        <f t="shared" si="61"/>
        <v>94.021688315074883</v>
      </c>
      <c r="EL14" s="16">
        <f t="shared" si="61"/>
        <v>101.05033246408433</v>
      </c>
      <c r="EM14" s="16">
        <f t="shared" si="61"/>
        <v>105.38552422089063</v>
      </c>
      <c r="EN14" s="16">
        <f t="shared" si="61"/>
        <v>104.79943911697379</v>
      </c>
      <c r="EO14" s="16">
        <f t="shared" si="61"/>
        <v>125.15000395110172</v>
      </c>
      <c r="EP14" s="16">
        <f t="shared" si="61"/>
        <v>154.34963463498138</v>
      </c>
      <c r="EQ14" s="16">
        <f t="shared" si="61"/>
        <v>111.65608683252339</v>
      </c>
      <c r="ER14" s="16">
        <f t="shared" si="61"/>
        <v>52.972780345975977</v>
      </c>
      <c r="ES14" s="16">
        <f t="shared" si="61"/>
        <v>11.41716499586872</v>
      </c>
      <c r="ET14" s="16">
        <f t="shared" si="61"/>
        <v>0.180206360927643</v>
      </c>
      <c r="EU14" s="11">
        <f t="shared" si="42"/>
        <v>2127.4576379990967</v>
      </c>
      <c r="EV14" s="11">
        <f t="shared" si="31"/>
        <v>109.62027910719181</v>
      </c>
      <c r="EW14" s="11">
        <f t="shared" si="32"/>
        <v>39.625834725597414</v>
      </c>
      <c r="EX14" s="11">
        <f t="shared" si="7"/>
        <v>665.9108404592431</v>
      </c>
      <c r="EY14" s="11">
        <f t="shared" si="33"/>
        <v>455.72587712137886</v>
      </c>
      <c r="EZ14" s="15">
        <f t="shared" si="34"/>
        <v>0.31300780263034589</v>
      </c>
      <c r="FA14" s="15">
        <f t="shared" si="35"/>
        <v>0.21421149308993778</v>
      </c>
      <c r="FB14" s="11">
        <f t="shared" si="43"/>
        <v>452.18582938113377</v>
      </c>
    </row>
    <row r="15" spans="1:158" x14ac:dyDescent="0.15">
      <c r="A15" s="7" t="str">
        <f t="shared" ref="A15:A20" si="62">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si="53"/>
        <v>0</v>
      </c>
      <c r="Z15" s="9">
        <f t="shared" si="54"/>
        <v>0</v>
      </c>
      <c r="AA15" s="9">
        <f t="shared" si="55"/>
        <v>0</v>
      </c>
      <c r="AB15" s="9">
        <f t="shared" si="0"/>
        <v>0</v>
      </c>
      <c r="AC15" s="9">
        <f t="shared" si="56"/>
        <v>0</v>
      </c>
      <c r="AD15" s="13" t="e">
        <f t="shared" si="57"/>
        <v>#DIV/0!</v>
      </c>
      <c r="AE15" s="13" t="e">
        <f t="shared" si="58"/>
        <v>#DIV/0!</v>
      </c>
      <c r="AF15" s="9">
        <f t="shared" si="14"/>
        <v>0</v>
      </c>
      <c r="BH15" s="7" t="str">
        <f t="shared" si="16"/>
        <v>2045_1</v>
      </c>
      <c r="BI15" s="28">
        <f>管理者入力シート!B12</f>
        <v>2045</v>
      </c>
      <c r="BJ15" s="3" t="s">
        <v>21</v>
      </c>
      <c r="BK15" s="9">
        <f>CM16*$AK$13</f>
        <v>7.5623339270375993</v>
      </c>
      <c r="BL15" s="9">
        <f>IF(管理者入力シート!$B$14=1,BK12*管理者用人口入力シート!AM$3,IF(管理者入力シート!$B$14=2,BK12*管理者用人口入力シート!AM$7))</f>
        <v>10.794826797612169</v>
      </c>
      <c r="BM15" s="9">
        <f>IF(管理者入力シート!$B$14=1,BL12*管理者用人口入力シート!AN$3,IF(管理者入力シート!$B$14=2,BL12*管理者用人口入力シート!AN$7))</f>
        <v>12.269077283438122</v>
      </c>
      <c r="BN15" s="9">
        <f>IF(管理者入力シート!$B$14=1,BM12*管理者用人口入力シート!AO$3,IF(管理者入力シート!$B$14=2,BM12*管理者用人口入力シート!AO$7))</f>
        <v>10.122080715151698</v>
      </c>
      <c r="BO15" s="9">
        <f>IF(管理者入力シート!$B$14=1,BN12*管理者用人口入力シート!AP$3,IF(管理者入力シート!$B$14=2,BN12*管理者用人口入力シート!AP$7))</f>
        <v>8.1479040613386537</v>
      </c>
      <c r="BP15" s="9">
        <f>IF(管理者入力シート!$B$14=1,BO12*管理者用人口入力シート!AQ$3,IF(管理者入力シート!$B$14=2,BO12*管理者用人口入力シート!AQ$7))</f>
        <v>13.525915896388705</v>
      </c>
      <c r="BQ15" s="9">
        <f>IF(管理者入力シート!$B$14=1,BP12*管理者用人口入力シート!AR$3,IF(管理者入力シート!$B$14=2,BP12*管理者用人口入力シート!AR$7))</f>
        <v>15.250014397016377</v>
      </c>
      <c r="BR15" s="9">
        <f>IF(管理者入力シート!$B$14=1,BQ12*管理者用人口入力シート!AS$3,IF(管理者入力シート!$B$14=2,BQ12*管理者用人口入力シート!AS$7))</f>
        <v>19.773331960990127</v>
      </c>
      <c r="BS15" s="9">
        <f>IF(管理者入力シート!$B$14=1,BR12*管理者用人口入力シート!AT$3,IF(管理者入力シート!$B$14=2,BR12*管理者用人口入力シート!AT$7))</f>
        <v>29.272393158713292</v>
      </c>
      <c r="BT15" s="9">
        <f>IF(管理者入力シート!$B$14=1,BS12*管理者用人口入力シート!AU$3,IF(管理者入力シート!$B$14=2,BS12*管理者用人口入力シート!AU$7))</f>
        <v>27.532092432392322</v>
      </c>
      <c r="BU15" s="9">
        <f>IF(管理者入力シート!$B$14=1,BT12*管理者用人口入力シート!AV$3,IF(管理者入力シート!$B$14=2,BT12*管理者用人口入力シート!AV$7))</f>
        <v>37.428427867621188</v>
      </c>
      <c r="BV15" s="9">
        <f>IF(管理者入力シート!$B$14=1,BU12*管理者用人口入力シート!AW$3,IF(管理者入力シート!$B$14=2,BU12*管理者用人口入力シート!AW$7))</f>
        <v>35.614934965040547</v>
      </c>
      <c r="BW15" s="9">
        <f>IF(管理者入力シート!$B$14=1,BV12*管理者用人口入力シート!AX$3,IF(管理者入力シート!$B$14=2,BV12*管理者用人口入力シート!AX$7))</f>
        <v>56.034772455276126</v>
      </c>
      <c r="BX15" s="9">
        <f>IF(管理者入力シート!$B$14=1,BW12*管理者用人口入力シート!AY$3,IF(管理者入力シート!$B$14=2,BW12*管理者用人口入力シート!AY$7))</f>
        <v>56.666162101919618</v>
      </c>
      <c r="BY15" s="9">
        <f>IF(管理者入力シート!$B$14=1,BX12*管理者用人口入力シート!AZ$3,IF(管理者入力シート!$B$14=2,BX12*管理者用人口入力シート!AZ$7))</f>
        <v>57.518714803129122</v>
      </c>
      <c r="BZ15" s="9">
        <f>IF(管理者入力シート!$B$14=1,BY12*管理者用人口入力シート!BA$3,IF(管理者入力シート!$B$14=2,BY12*管理者用人口入力シート!BA$7))</f>
        <v>42.016321810443095</v>
      </c>
      <c r="CA15" s="9">
        <f>IF(管理者入力シート!$B$14=1,BZ12*管理者用人口入力シート!BB$3,IF(管理者入力シート!$B$14=2,BZ12*管理者用人口入力シート!BB$7))</f>
        <v>43.08190092182781</v>
      </c>
      <c r="CB15" s="9">
        <f>IF(管理者入力シート!$B$14=1,CA12*管理者用人口入力シート!BC$3,IF(管理者入力シート!$B$14=2,CA12*管理者用人口入力シート!BC$7))</f>
        <v>38.642319084569486</v>
      </c>
      <c r="CC15" s="9">
        <f>IF(管理者入力シート!$B$14=1,CB12*管理者用人口入力シート!BD$3,IF(管理者入力シート!$B$14=2,CB12*管理者用人口入力シート!BD$7))</f>
        <v>27.415040470089423</v>
      </c>
      <c r="CD15" s="9">
        <f>IF(管理者入力シート!$B$14=1,CC12*管理者用人口入力シート!BE$3,IF(管理者入力シート!$B$14=2,CC12*管理者用人口入力シート!BE$7))</f>
        <v>5.6605033640646312</v>
      </c>
      <c r="CE15" s="9">
        <f>IF(管理者入力シート!$B$14=1,CD12*管理者用人口入力シート!BF$3,IF(管理者入力シート!$B$14=2,CD12*管理者用人口入力シート!BF$7))</f>
        <v>4.014372735387353E-3</v>
      </c>
      <c r="CF15" s="9">
        <f t="shared" ref="CF15:CF20" si="63">SUM(BK15:CE15)</f>
        <v>554.33308284679561</v>
      </c>
      <c r="CG15" s="9">
        <f t="shared" ref="CG15:CG20" si="64">BL15*3/5+BM15*3/5</f>
        <v>13.838342448630176</v>
      </c>
      <c r="CH15" s="9">
        <f t="shared" ref="CH15:CH20" si="65">BM15*2/5+BN15*1/5</f>
        <v>6.9320470564055885</v>
      </c>
      <c r="CI15" s="9">
        <f t="shared" ref="CI15:CI20" si="66">SUM(BX15:CE15)</f>
        <v>271.0049769287786</v>
      </c>
      <c r="CJ15" s="9">
        <f t="shared" ref="CJ15:CJ20" si="67">SUM(BZ15:CE15)</f>
        <v>156.82010002372982</v>
      </c>
      <c r="CK15" s="13">
        <f t="shared" ref="CK15:CK20" si="68">CI15/CF15</f>
        <v>0.48888472529372362</v>
      </c>
      <c r="CL15" s="13">
        <f t="shared" ref="CL15:CL20" si="69">CJ15/CF15</f>
        <v>0.28289868470121804</v>
      </c>
      <c r="CM15" s="9">
        <f t="shared" ref="CM15:CM20" si="70">SUM(BO15:BR15)</f>
        <v>56.697166315733867</v>
      </c>
      <c r="CO15" s="7" t="str">
        <f t="shared" si="23"/>
        <v>2045_1</v>
      </c>
      <c r="CP15" s="28">
        <f>管理者入力シート!B12</f>
        <v>2045</v>
      </c>
      <c r="CQ15" s="3" t="s">
        <v>21</v>
      </c>
      <c r="CR15" s="9">
        <f>DT16*$AK$13+将来予測シート②!$G17</f>
        <v>10.089513872276431</v>
      </c>
      <c r="CS15" s="9">
        <f>IF(管理者入力シート!$B$14=1,CR12*管理者用人口入力シート!AM$3,IF(管理者入力シート!$B$14=2,CR12*管理者用人口入力シート!AM$7))+将来予測シート②!$G18</f>
        <v>13.510361482988868</v>
      </c>
      <c r="CT15" s="9">
        <f>IF(管理者入力シート!$B$14=1,CS12*管理者用人口入力シート!AN$3,IF(管理者入力シート!$B$14=2,CS12*管理者用人口入力シート!AN$7))+将来予測シート②!$G19</f>
        <v>15.87388154532656</v>
      </c>
      <c r="CU15" s="9">
        <f>IF(管理者入力シート!$B$14=1,CT12*管理者用人口入力シート!AO$3,IF(管理者入力シート!$B$14=2,CT12*管理者用人口入力シート!AO$7))+将来予測シート②!$G20</f>
        <v>12.215555640898714</v>
      </c>
      <c r="CV15" s="9">
        <f>IF(管理者入力シート!$B$14=1,CU12*管理者用人口入力シート!AP$3,IF(管理者入力シート!$B$14=2,CU12*管理者用人口入力シート!AP$7))+将来予測シート②!$G21</f>
        <v>8.9712264865760574</v>
      </c>
      <c r="CW15" s="9">
        <f>IF(管理者入力シート!$B$14=1,CV12*管理者用人口入力シート!AQ$3,IF(管理者入力シート!$B$14=2,CV12*管理者用人口入力シート!AQ$7))+将来予測シート②!$G22</f>
        <v>15.986218741279789</v>
      </c>
      <c r="CX15" s="9">
        <f>IF(管理者入力シート!$B$14=1,CW12*管理者用人口入力シート!AR$3,IF(管理者入力シート!$B$14=2,CW12*管理者用人口入力シート!AR$7))+将来予測シート②!$G23</f>
        <v>17.201446123776357</v>
      </c>
      <c r="CY15" s="9">
        <f>IF(管理者入力シート!$B$14=1,CX12*管理者用人口入力シート!AS$3,IF(管理者入力シート!$B$14=2,CX12*管理者用人口入力シート!AS$7))+将来予測シート②!$G24</f>
        <v>21.553243529112212</v>
      </c>
      <c r="CZ15" s="9">
        <f>IF(管理者入力シート!$B$14=1,CY12*管理者用人口入力シート!AT$3,IF(管理者入力シート!$B$14=2,CY12*管理者用人口入力シート!AT$7))+将来予測シート②!$G25</f>
        <v>31.277213066923018</v>
      </c>
      <c r="DA15" s="9">
        <f>IF(管理者入力シート!$B$14=1,CZ12*管理者用人口入力シート!AU$3,IF(管理者入力シート!$B$14=2,CZ12*管理者用人口入力シート!AU$7))+将来予測シート②!$G26</f>
        <v>29.628143139406838</v>
      </c>
      <c r="DB15" s="9">
        <f>IF(管理者入力シート!$B$14=1,DA12*管理者用人口入力シート!AV$3,IF(管理者入力シート!$B$14=2,DA12*管理者用人口入力シート!AV$7))+将来予測シート②!$G27</f>
        <v>37.428427867621188</v>
      </c>
      <c r="DC15" s="9">
        <f>IF(管理者入力シート!$B$14=1,DB12*管理者用人口入力シート!AW$3,IF(管理者入力シート!$B$14=2,DB12*管理者用人口入力シート!AW$7))+将来予測シート②!$G28</f>
        <v>35.614934965040547</v>
      </c>
      <c r="DD15" s="9">
        <f>IF(管理者入力シート!$B$14=1,DC12*管理者用人口入力シート!AX$3,IF(管理者入力シート!$B$14=2,DC12*管理者用人口入力シート!AX$7))+将来予測シート②!$G29</f>
        <v>56.034772455276126</v>
      </c>
      <c r="DE15" s="9">
        <f>IF(管理者入力シート!$B$14=1,DD12*管理者用人口入力シート!AY$3,IF(管理者入力シート!$B$14=2,DD12*管理者用人口入力シート!AY$7))</f>
        <v>56.666162101919618</v>
      </c>
      <c r="DF15" s="9">
        <f>IF(管理者入力シート!$B$14=1,DE12*管理者用人口入力シート!AZ$3,IF(管理者入力シート!$B$14=2,DE12*管理者用人口入力シート!AZ$7))</f>
        <v>57.518714803129122</v>
      </c>
      <c r="DG15" s="9">
        <f>IF(管理者入力シート!$B$14=1,DF12*管理者用人口入力シート!BA$3,IF(管理者入力シート!$B$14=2,DF12*管理者用人口入力シート!BA$7))</f>
        <v>42.016321810443095</v>
      </c>
      <c r="DH15" s="9">
        <f>IF(管理者入力シート!$B$14=1,DG12*管理者用人口入力シート!BB$3,IF(管理者入力シート!$B$14=2,DG12*管理者用人口入力シート!BB$7))</f>
        <v>43.08190092182781</v>
      </c>
      <c r="DI15" s="9">
        <f>IF(管理者入力シート!$B$14=1,DH12*管理者用人口入力シート!BC$3,IF(管理者入力シート!$B$14=2,DH12*管理者用人口入力シート!BC$7))</f>
        <v>38.642319084569486</v>
      </c>
      <c r="DJ15" s="9">
        <f>IF(管理者入力シート!$B$14=1,DI12*管理者用人口入力シート!BD$3,IF(管理者入力シート!$B$14=2,DI12*管理者用人口入力シート!BD$7))</f>
        <v>27.415040470089423</v>
      </c>
      <c r="DK15" s="9">
        <f>IF(管理者入力シート!$B$14=1,DJ12*管理者用人口入力シート!BE$3,IF(管理者入力シート!$B$14=2,DJ12*管理者用人口入力シート!BE$7))</f>
        <v>5.6605033640646312</v>
      </c>
      <c r="DL15" s="9">
        <f>IF(管理者入力シート!$B$14=1,DK12*管理者用人口入力シート!BF$3,IF(管理者入力シート!$B$14=2,DK12*管理者用人口入力シート!BF$7))</f>
        <v>4.014372735387353E-3</v>
      </c>
      <c r="DM15" s="9">
        <f t="shared" ref="DM15:DM20" si="71">SUM(CR15:DL15)</f>
        <v>576.38991584528139</v>
      </c>
      <c r="DN15" s="9">
        <f t="shared" ref="DN15:DN20" si="72">CS15*3/5+CT15*3/5</f>
        <v>17.630545816989255</v>
      </c>
      <c r="DO15" s="9">
        <f t="shared" ref="DO15:DO20" si="73">CT15*2/5+CU15*1/5</f>
        <v>8.7926637463103674</v>
      </c>
      <c r="DP15" s="9">
        <f t="shared" ref="DP15:DP20" si="74">SUM(DE15:DL15)</f>
        <v>271.0049769287786</v>
      </c>
      <c r="DQ15" s="9">
        <f t="shared" ref="DQ15:DQ20" si="75">SUM(DG15:DL15)</f>
        <v>156.82010002372982</v>
      </c>
      <c r="DR15" s="13">
        <f t="shared" ref="DR15:DR20" si="76">DP15/DM15</f>
        <v>0.47017647165347642</v>
      </c>
      <c r="DS15" s="13">
        <f t="shared" ref="DS15:DS20" si="77">DQ15/DM15</f>
        <v>0.27207294179279945</v>
      </c>
      <c r="DT15" s="9">
        <f t="shared" ref="DT15:DT20" si="78">SUM(CV15:CY15)</f>
        <v>63.712134880744415</v>
      </c>
      <c r="DV15" s="62" t="s">
        <v>404</v>
      </c>
      <c r="DW15" s="210">
        <f>AK13+AK14</f>
        <v>0.41634377183792459</v>
      </c>
    </row>
    <row r="16" spans="1:158" ht="13.15" customHeight="1" x14ac:dyDescent="0.15">
      <c r="A16" s="7" t="str">
        <f t="shared" si="62"/>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53"/>
        <v>0</v>
      </c>
      <c r="Z16" s="10">
        <f t="shared" si="54"/>
        <v>0</v>
      </c>
      <c r="AA16" s="10">
        <f t="shared" si="55"/>
        <v>0</v>
      </c>
      <c r="AB16" s="10">
        <f t="shared" si="0"/>
        <v>0</v>
      </c>
      <c r="AC16" s="10">
        <f t="shared" si="56"/>
        <v>0</v>
      </c>
      <c r="AD16" s="14" t="e">
        <f t="shared" si="57"/>
        <v>#DIV/0!</v>
      </c>
      <c r="AE16" s="14" t="e">
        <f t="shared" si="58"/>
        <v>#DIV/0!</v>
      </c>
      <c r="AF16" s="10">
        <f t="shared" si="14"/>
        <v>0</v>
      </c>
      <c r="BH16" s="7" t="str">
        <f t="shared" si="16"/>
        <v>2045_2</v>
      </c>
      <c r="BI16" s="29">
        <f>BI15</f>
        <v>2045</v>
      </c>
      <c r="BJ16" s="4" t="s">
        <v>22</v>
      </c>
      <c r="BK16" s="10">
        <f>CM16*$AK$14</f>
        <v>6.6667540895738497</v>
      </c>
      <c r="BL16" s="10">
        <f>IF(管理者入力シート!$B$14=1,BK13*管理者用人口入力シート!AM$4,IF(管理者入力シート!$B$14=2,BK13*管理者用人口入力シート!AM$8))</f>
        <v>8.2160880230338176</v>
      </c>
      <c r="BM16" s="10">
        <f>IF(管理者入力シート!$B$14=1,BL13*管理者用人口入力シート!AN$4,IF(管理者入力シート!$B$14=2,BL13*管理者用人口入力シート!AN$8))</f>
        <v>9.0208389100305801</v>
      </c>
      <c r="BN16" s="10">
        <f>IF(管理者入力シート!$B$14=1,BM13*管理者用人口入力シート!AO$4,IF(管理者入力シート!$B$14=2,BM13*管理者用人口入力シート!AO$8))</f>
        <v>7.1728520197910379</v>
      </c>
      <c r="BO16" s="10">
        <f>IF(管理者入力シート!$B$14=1,BN13*管理者用人口入力シート!AP$4,IF(管理者入力シート!$B$14=2,BN13*管理者用人口入力シート!AP$8))</f>
        <v>5.9639997921903918</v>
      </c>
      <c r="BP16" s="10">
        <f>IF(管理者入力シート!$B$14=1,BO13*管理者用人口入力シート!AQ$4,IF(管理者入力シート!$B$14=2,BO13*管理者用人口入力シート!AQ$8))</f>
        <v>6.7401532382648925</v>
      </c>
      <c r="BQ16" s="10">
        <f>IF(管理者入力シート!$B$14=1,BP13*管理者用人口入力シート!AR$4,IF(管理者入力シート!$B$14=2,BP13*管理者用人口入力シート!AR$8))</f>
        <v>9.4288137156212208</v>
      </c>
      <c r="BR16" s="10">
        <f>IF(管理者入力シート!$B$14=1,BQ13*管理者用人口入力シート!AS$4,IF(管理者入力シート!$B$14=2,BQ13*管理者用人口入力シート!AS$8))</f>
        <v>12.043329332037008</v>
      </c>
      <c r="BS16" s="10">
        <f>IF(管理者入力シート!$B$14=1,BR13*管理者用人口入力シート!AT$4,IF(管理者入力シート!$B$14=2,BR13*管理者用人口入力シート!AT$8))</f>
        <v>11.479939948586933</v>
      </c>
      <c r="BT16" s="10">
        <f>IF(管理者入力シート!$B$14=1,BS13*管理者用人口入力シート!AU$4,IF(管理者入力シート!$B$14=2,BS13*管理者用人口入力シート!AU$8))</f>
        <v>9.2084206938795443</v>
      </c>
      <c r="BU16" s="10">
        <f>IF(管理者入力シート!$B$14=1,BT13*管理者用人口入力シート!AV$4,IF(管理者入力シート!$B$14=2,BT13*管理者用人口入力シート!AV$8))</f>
        <v>16.198892415115793</v>
      </c>
      <c r="BV16" s="10">
        <f>IF(管理者入力シート!$B$14=1,BU13*管理者用人口入力シート!AW$4,IF(管理者入力シート!$B$14=2,BU13*管理者用人口入力シート!AW$8))</f>
        <v>31.393299025202214</v>
      </c>
      <c r="BW16" s="10">
        <f>IF(管理者入力シート!$B$14=1,BV13*管理者用人口入力シート!AX$4,IF(管理者入力シート!$B$14=2,BV13*管理者用人口入力シート!AX$8))</f>
        <v>38.898363907904397</v>
      </c>
      <c r="BX16" s="10">
        <f>IF(管理者入力シート!$B$14=1,BW13*管理者用人口入力シート!AY$4,IF(管理者入力シート!$B$14=2,BW13*管理者用人口入力シート!AY$8))</f>
        <v>40.986002416420185</v>
      </c>
      <c r="BY16" s="10">
        <f>IF(管理者入力シート!$B$14=1,BX13*管理者用人口入力シート!AZ$4,IF(管理者入力シート!$B$14=2,BX13*管理者用人口入力シート!AZ$8))</f>
        <v>43.890412735746395</v>
      </c>
      <c r="BZ16" s="10">
        <f>IF(管理者入力シート!$B$14=1,BY13*管理者用人口入力シート!BA$4,IF(管理者入力シート!$B$14=2,BY13*管理者用人口入力シート!BA$8))</f>
        <v>51.502670337192853</v>
      </c>
      <c r="CA16" s="10">
        <f>IF(管理者入力シート!$B$14=1,BZ13*管理者用人口入力シート!BB$4,IF(管理者入力シート!$B$14=2,BZ13*管理者用人口入力シート!BB$8))</f>
        <v>58.139556954599414</v>
      </c>
      <c r="CB16" s="10">
        <f>IF(管理者入力シート!$B$14=1,CA13*管理者用人口入力シート!BC$4,IF(管理者入力シート!$B$14=2,CA13*管理者用人口入力シート!BC$8))</f>
        <v>64.248855531432255</v>
      </c>
      <c r="CC16" s="10">
        <f>IF(管理者入力シート!$B$14=1,CB13*管理者用人口入力シート!BD$4,IF(管理者入力シート!$B$14=2,CB13*管理者用人口入力シート!BD$8))</f>
        <v>26.762301619759032</v>
      </c>
      <c r="CD16" s="10">
        <f>IF(管理者入力シート!$B$14=1,CC13*管理者用人口入力シート!BE$4,IF(管理者入力シート!$B$14=2,CC13*管理者用人口入力シート!BE$8))</f>
        <v>9.6580165845879975</v>
      </c>
      <c r="CE16" s="10">
        <f>IF(管理者入力シート!$B$14=1,CD13*管理者用人口入力シート!BF$4,IF(管理者入力シート!$B$14=2,CD13*管理者用人口入力シート!BF$8))</f>
        <v>0.11008223054244051</v>
      </c>
      <c r="CF16" s="10">
        <f t="shared" si="63"/>
        <v>467.72964352151223</v>
      </c>
      <c r="CG16" s="10">
        <f t="shared" si="64"/>
        <v>10.342156159838638</v>
      </c>
      <c r="CH16" s="10">
        <f t="shared" si="65"/>
        <v>5.0429059679704391</v>
      </c>
      <c r="CI16" s="10">
        <f t="shared" si="66"/>
        <v>295.2978984102806</v>
      </c>
      <c r="CJ16" s="10">
        <f t="shared" si="67"/>
        <v>210.42148325811399</v>
      </c>
      <c r="CK16" s="14">
        <f t="shared" si="68"/>
        <v>0.63134313272726961</v>
      </c>
      <c r="CL16" s="14">
        <f t="shared" si="69"/>
        <v>0.44987844190045678</v>
      </c>
      <c r="CM16" s="10">
        <f t="shared" si="70"/>
        <v>34.176296078113509</v>
      </c>
      <c r="CO16" s="7" t="str">
        <f t="shared" si="23"/>
        <v>2045_2</v>
      </c>
      <c r="CP16" s="29">
        <f>CP15</f>
        <v>2045</v>
      </c>
      <c r="CQ16" s="4" t="s">
        <v>22</v>
      </c>
      <c r="CR16" s="10">
        <f>DT16*$AK$14+将来予測シート②!$H17</f>
        <v>9.013075641050813</v>
      </c>
      <c r="CS16" s="10">
        <f>IF(管理者入力シート!$B$14=1,CR13*管理者用人口入力シート!AM$4,IF(管理者入力シート!$B$14=2,CR13*管理者用人口入力シート!AM$8))+将来予測シート②!$H18</f>
        <v>10.399344855107142</v>
      </c>
      <c r="CT16" s="10">
        <f>IF(管理者入力シート!$B$14=1,CS13*管理者用人口入力シート!AN$4,IF(管理者入力シート!$B$14=2,CS13*管理者用人口入力シート!AN$8))+将来予測シート②!$H19</f>
        <v>12.047121547716817</v>
      </c>
      <c r="CU16" s="10">
        <f>IF(管理者入力シート!$B$14=1,CT13*管理者用人口入力シート!AO$4,IF(管理者入力シート!$B$14=2,CT13*管理者用人口入力シート!AO$8))+将来予測シート②!$H20</f>
        <v>8.9031914025294796</v>
      </c>
      <c r="CV16" s="10">
        <f>IF(管理者入力シート!$B$14=1,CU13*管理者用人口入力シート!AP$4,IF(管理者入力シート!$B$14=2,CU13*管理者用人口入力シート!AP$8))+将来予測シート②!$H21</f>
        <v>6.7116274030594587</v>
      </c>
      <c r="CW16" s="10">
        <f>IF(管理者入力シート!$B$14=1,CV13*管理者用人口入力シート!AQ$4,IF(管理者入力シート!$B$14=2,CV13*管理者用人口入力シート!AQ$8))+将来予測シート②!$H22</f>
        <v>9.0521224398272473</v>
      </c>
      <c r="CX16" s="10">
        <f>IF(管理者入力シート!$B$14=1,CW13*管理者用人口入力シート!AR$4,IF(管理者入力シート!$B$14=2,CW13*管理者用人口入力シート!AR$8))+将来予測シート②!$H23</f>
        <v>11.517421132072489</v>
      </c>
      <c r="CY16" s="10">
        <f>IF(管理者入力シート!$B$14=1,CX13*管理者用人口入力シート!AS$4,IF(管理者入力シート!$B$14=2,CX13*管理者用人口入力シート!AS$8))+将来予測シート②!$H24</f>
        <v>13.796877191412763</v>
      </c>
      <c r="CZ16" s="10">
        <f>IF(管理者入力シート!$B$14=1,CY13*管理者用人口入力シート!AT$4,IF(管理者入力シート!$B$14=2,CY13*管理者用人口入力シート!AT$8))+将来予測シート②!$H25</f>
        <v>14.20611803421628</v>
      </c>
      <c r="DA16" s="10">
        <f>IF(管理者入力シート!$B$14=1,CZ13*管理者用人口入力シート!AU$4,IF(管理者入力シート!$B$14=2,CZ13*管理者用人口入力シート!AU$8))+将来予測シート②!$H26</f>
        <v>11.606046092972488</v>
      </c>
      <c r="DB16" s="10">
        <f>IF(管理者入力シート!$B$14=1,DA13*管理者用人口入力シート!AV$4,IF(管理者入力シート!$B$14=2,DA13*管理者用人口入力シート!AV$8))+将来予測シート②!$H27</f>
        <v>17.091362211885567</v>
      </c>
      <c r="DC16" s="10">
        <f>IF(管理者入力シート!$B$14=1,DB13*管理者用人口入力シート!AW$4,IF(管理者入力シート!$B$14=2,DB13*管理者用人口入力シート!AW$8))+将来予測シート②!$H28</f>
        <v>32.257334361402592</v>
      </c>
      <c r="DD16" s="10">
        <f>IF(管理者入力シート!$B$14=1,DC13*管理者用人口入力シート!AX$4,IF(管理者入力シート!$B$14=2,DC13*管理者用人口入力シート!AX$8))+将来予測シート②!$H29</f>
        <v>39.796434929815625</v>
      </c>
      <c r="DE16" s="10">
        <f>IF(管理者入力シート!$B$14=1,DD13*管理者用人口入力シート!AY$4,IF(管理者入力シート!$B$14=2,DD13*管理者用人口入力シート!AY$8))</f>
        <v>40.986002416420185</v>
      </c>
      <c r="DF16" s="10">
        <f>IF(管理者入力シート!$B$14=1,DE13*管理者用人口入力シート!AZ$4,IF(管理者入力シート!$B$14=2,DE13*管理者用人口入力シート!AZ$8))</f>
        <v>43.890412735746395</v>
      </c>
      <c r="DG16" s="10">
        <f>IF(管理者入力シート!$B$14=1,DF13*管理者用人口入力シート!BA$4,IF(管理者入力シート!$B$14=2,DF13*管理者用人口入力シート!BA$8))</f>
        <v>51.502670337192853</v>
      </c>
      <c r="DH16" s="10">
        <f>IF(管理者入力シート!$B$14=1,DG13*管理者用人口入力シート!BB$4,IF(管理者入力シート!$B$14=2,DG13*管理者用人口入力シート!BB$8))</f>
        <v>58.139556954599414</v>
      </c>
      <c r="DI16" s="10">
        <f>IF(管理者入力シート!$B$14=1,DH13*管理者用人口入力シート!BC$4,IF(管理者入力シート!$B$14=2,DH13*管理者用人口入力シート!BC$8))</f>
        <v>64.248855531432255</v>
      </c>
      <c r="DJ16" s="10">
        <f>IF(管理者入力シート!$B$14=1,DI13*管理者用人口入力シート!BD$4,IF(管理者入力シート!$B$14=2,DI13*管理者用人口入力シート!BD$8))</f>
        <v>26.762301619759032</v>
      </c>
      <c r="DK16" s="10">
        <f>IF(管理者入力シート!$B$14=1,DJ13*管理者用人口入力シート!BE$4,IF(管理者入力シート!$B$14=2,DJ13*管理者用人口入力シート!BE$8))</f>
        <v>9.6580165845879975</v>
      </c>
      <c r="DL16" s="10">
        <f>IF(管理者入力シート!$B$14=1,DK13*管理者用人口入力シート!BF$4,IF(管理者入力シート!$B$14=2,DK13*管理者用人口入力シート!BF$8))</f>
        <v>0.11008223054244051</v>
      </c>
      <c r="DM16" s="10">
        <f t="shared" si="71"/>
        <v>491.69597565334936</v>
      </c>
      <c r="DN16" s="10">
        <f t="shared" si="72"/>
        <v>13.467879841694376</v>
      </c>
      <c r="DO16" s="10">
        <f t="shared" si="73"/>
        <v>6.5994868995926232</v>
      </c>
      <c r="DP16" s="10">
        <f t="shared" si="74"/>
        <v>295.2978984102806</v>
      </c>
      <c r="DQ16" s="10">
        <f t="shared" si="75"/>
        <v>210.42148325811399</v>
      </c>
      <c r="DR16" s="14">
        <f t="shared" si="76"/>
        <v>0.60057009418858576</v>
      </c>
      <c r="DS16" s="14">
        <f t="shared" si="77"/>
        <v>0.42795038738828983</v>
      </c>
      <c r="DT16" s="10">
        <f t="shared" si="78"/>
        <v>41.078048166371957</v>
      </c>
      <c r="DV16" s="211" t="s">
        <v>406</v>
      </c>
      <c r="DW16" s="7">
        <f>IF(DW10&lt;0,ABS(DW10)/DW15,0)</f>
        <v>65.542883855479872</v>
      </c>
    </row>
    <row r="17" spans="1:158" ht="13.15" customHeight="1" x14ac:dyDescent="0.15">
      <c r="A17" s="7" t="str">
        <f t="shared" si="62"/>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53"/>
        <v>0</v>
      </c>
      <c r="Z17" s="11">
        <f t="shared" si="54"/>
        <v>0</v>
      </c>
      <c r="AA17" s="11">
        <f t="shared" si="55"/>
        <v>0</v>
      </c>
      <c r="AB17" s="11">
        <f t="shared" si="0"/>
        <v>0</v>
      </c>
      <c r="AC17" s="11">
        <f t="shared" si="56"/>
        <v>0</v>
      </c>
      <c r="AD17" s="15" t="e">
        <f t="shared" si="57"/>
        <v>#DIV/0!</v>
      </c>
      <c r="AE17" s="15" t="e">
        <f t="shared" si="58"/>
        <v>#DIV/0!</v>
      </c>
      <c r="AF17" s="11">
        <f t="shared" si="14"/>
        <v>0</v>
      </c>
      <c r="BH17" s="7" t="str">
        <f t="shared" si="16"/>
        <v>2045_3</v>
      </c>
      <c r="BI17" s="30">
        <f>BI16</f>
        <v>2045</v>
      </c>
      <c r="BJ17" s="5" t="s">
        <v>23</v>
      </c>
      <c r="BK17" s="16">
        <f>BK15+BK16</f>
        <v>14.229088016611449</v>
      </c>
      <c r="BL17" s="16">
        <f t="shared" ref="BL17:CE17" si="79">BL15+BL16</f>
        <v>19.010914820645986</v>
      </c>
      <c r="BM17" s="16">
        <f t="shared" si="79"/>
        <v>21.289916193468702</v>
      </c>
      <c r="BN17" s="16">
        <f t="shared" si="79"/>
        <v>17.294932734942737</v>
      </c>
      <c r="BO17" s="16">
        <f t="shared" si="79"/>
        <v>14.111903853529046</v>
      </c>
      <c r="BP17" s="16">
        <f t="shared" si="79"/>
        <v>20.266069134653598</v>
      </c>
      <c r="BQ17" s="16">
        <f t="shared" si="79"/>
        <v>24.678828112637596</v>
      </c>
      <c r="BR17" s="16">
        <f t="shared" si="79"/>
        <v>31.816661293027135</v>
      </c>
      <c r="BS17" s="16">
        <f t="shared" si="79"/>
        <v>40.752333107300224</v>
      </c>
      <c r="BT17" s="16">
        <f t="shared" si="79"/>
        <v>36.740513126271864</v>
      </c>
      <c r="BU17" s="16">
        <f t="shared" si="79"/>
        <v>53.627320282736981</v>
      </c>
      <c r="BV17" s="16">
        <f t="shared" si="79"/>
        <v>67.008233990242758</v>
      </c>
      <c r="BW17" s="16">
        <f t="shared" si="79"/>
        <v>94.933136363180523</v>
      </c>
      <c r="BX17" s="16">
        <f t="shared" si="79"/>
        <v>97.652164518339802</v>
      </c>
      <c r="BY17" s="16">
        <f t="shared" si="79"/>
        <v>101.40912753887551</v>
      </c>
      <c r="BZ17" s="16">
        <f t="shared" si="79"/>
        <v>93.518992147635942</v>
      </c>
      <c r="CA17" s="16">
        <f t="shared" si="79"/>
        <v>101.22145787642722</v>
      </c>
      <c r="CB17" s="16">
        <f t="shared" si="79"/>
        <v>102.89117461600173</v>
      </c>
      <c r="CC17" s="16">
        <f t="shared" si="79"/>
        <v>54.177342089848452</v>
      </c>
      <c r="CD17" s="16">
        <f t="shared" si="79"/>
        <v>15.318519948652629</v>
      </c>
      <c r="CE17" s="16">
        <f t="shared" si="79"/>
        <v>0.11409660327782786</v>
      </c>
      <c r="CF17" s="11">
        <f t="shared" si="63"/>
        <v>1022.0627263683076</v>
      </c>
      <c r="CG17" s="11">
        <f t="shared" si="64"/>
        <v>24.180498608468817</v>
      </c>
      <c r="CH17" s="11">
        <f t="shared" si="65"/>
        <v>11.974953024376028</v>
      </c>
      <c r="CI17" s="11">
        <f t="shared" si="66"/>
        <v>566.30287533905914</v>
      </c>
      <c r="CJ17" s="11">
        <f t="shared" si="67"/>
        <v>367.24158328184376</v>
      </c>
      <c r="CK17" s="15">
        <f t="shared" si="68"/>
        <v>0.55407839531659808</v>
      </c>
      <c r="CL17" s="15">
        <f t="shared" si="69"/>
        <v>0.35931413386609073</v>
      </c>
      <c r="CM17" s="11">
        <f t="shared" si="70"/>
        <v>90.873462393847376</v>
      </c>
      <c r="CO17" s="7" t="str">
        <f t="shared" si="23"/>
        <v>2045_3</v>
      </c>
      <c r="CP17" s="30">
        <f>CP16</f>
        <v>2045</v>
      </c>
      <c r="CQ17" s="5" t="s">
        <v>23</v>
      </c>
      <c r="CR17" s="16">
        <f>CR15+CR16</f>
        <v>19.102589513327246</v>
      </c>
      <c r="CS17" s="16">
        <f>CS15+CS16</f>
        <v>23.909706338096008</v>
      </c>
      <c r="CT17" s="16">
        <f t="shared" ref="CT17:DL17" si="80">CT15+CT16</f>
        <v>27.921003093043375</v>
      </c>
      <c r="CU17" s="16">
        <f t="shared" si="80"/>
        <v>21.118747043428193</v>
      </c>
      <c r="CV17" s="16">
        <f t="shared" si="80"/>
        <v>15.682853889635517</v>
      </c>
      <c r="CW17" s="16">
        <f t="shared" si="80"/>
        <v>25.038341181107036</v>
      </c>
      <c r="CX17" s="16">
        <f t="shared" si="80"/>
        <v>28.718867255848846</v>
      </c>
      <c r="CY17" s="16">
        <f t="shared" si="80"/>
        <v>35.350120720524977</v>
      </c>
      <c r="CZ17" s="16">
        <f t="shared" si="80"/>
        <v>45.483331101139299</v>
      </c>
      <c r="DA17" s="16">
        <f t="shared" si="80"/>
        <v>41.234189232379322</v>
      </c>
      <c r="DB17" s="16">
        <f t="shared" si="80"/>
        <v>54.519790079506755</v>
      </c>
      <c r="DC17" s="16">
        <f t="shared" si="80"/>
        <v>67.872269326443131</v>
      </c>
      <c r="DD17" s="16">
        <f t="shared" si="80"/>
        <v>95.831207385091744</v>
      </c>
      <c r="DE17" s="16">
        <f t="shared" si="80"/>
        <v>97.652164518339802</v>
      </c>
      <c r="DF17" s="16">
        <f t="shared" si="80"/>
        <v>101.40912753887551</v>
      </c>
      <c r="DG17" s="16">
        <f t="shared" si="80"/>
        <v>93.518992147635942</v>
      </c>
      <c r="DH17" s="16">
        <f t="shared" si="80"/>
        <v>101.22145787642722</v>
      </c>
      <c r="DI17" s="16">
        <f t="shared" si="80"/>
        <v>102.89117461600173</v>
      </c>
      <c r="DJ17" s="16">
        <f t="shared" si="80"/>
        <v>54.177342089848452</v>
      </c>
      <c r="DK17" s="16">
        <f t="shared" si="80"/>
        <v>15.318519948652629</v>
      </c>
      <c r="DL17" s="16">
        <f t="shared" si="80"/>
        <v>0.11409660327782786</v>
      </c>
      <c r="DM17" s="11">
        <f t="shared" si="71"/>
        <v>1068.0858914986306</v>
      </c>
      <c r="DN17" s="11">
        <f t="shared" si="72"/>
        <v>31.098425658683631</v>
      </c>
      <c r="DO17" s="11">
        <f t="shared" si="73"/>
        <v>15.392150645902987</v>
      </c>
      <c r="DP17" s="11">
        <f t="shared" si="74"/>
        <v>566.30287533905914</v>
      </c>
      <c r="DQ17" s="11">
        <f t="shared" si="75"/>
        <v>367.24158328184376</v>
      </c>
      <c r="DR17" s="15">
        <f t="shared" si="76"/>
        <v>0.53020349753377971</v>
      </c>
      <c r="DS17" s="15">
        <f t="shared" si="77"/>
        <v>0.34383150850028299</v>
      </c>
      <c r="DT17" s="11">
        <f t="shared" si="78"/>
        <v>104.79018304711639</v>
      </c>
      <c r="DV17" s="62" t="s">
        <v>407</v>
      </c>
      <c r="DW17" s="7">
        <f>IF(DW9&gt;=0,0,IF(AND(DW10&lt;=0,DW9&lt;=0,DW16*2&gt;=ABS(DW9)),ROUND(DW16/3,0),ROUND(ABS(DW9)/6,0)))</f>
        <v>29</v>
      </c>
      <c r="DX17" s="2" t="s">
        <v>360</v>
      </c>
    </row>
    <row r="18" spans="1:158" x14ac:dyDescent="0.15">
      <c r="A18" s="7" t="str">
        <f t="shared" si="62"/>
        <v>2030_1</v>
      </c>
      <c r="B18" s="28">
        <v>2030</v>
      </c>
      <c r="C18" s="3" t="s">
        <v>21</v>
      </c>
      <c r="D18" s="3"/>
      <c r="E18" s="3"/>
      <c r="F18" s="3"/>
      <c r="G18" s="3"/>
      <c r="H18" s="3"/>
      <c r="I18" s="3"/>
      <c r="J18" s="3"/>
      <c r="K18" s="3"/>
      <c r="L18" s="3"/>
      <c r="M18" s="3"/>
      <c r="N18" s="3"/>
      <c r="O18" s="3"/>
      <c r="P18" s="3"/>
      <c r="Q18" s="3"/>
      <c r="R18" s="3"/>
      <c r="S18" s="3"/>
      <c r="T18" s="3"/>
      <c r="U18" s="3"/>
      <c r="V18" s="3"/>
      <c r="W18" s="3"/>
      <c r="X18" s="3"/>
      <c r="Y18" s="9">
        <f t="shared" si="53"/>
        <v>0</v>
      </c>
      <c r="Z18" s="9">
        <f t="shared" si="54"/>
        <v>0</v>
      </c>
      <c r="AA18" s="9">
        <f t="shared" si="55"/>
        <v>0</v>
      </c>
      <c r="AB18" s="9">
        <f t="shared" si="0"/>
        <v>0</v>
      </c>
      <c r="AC18" s="9">
        <f t="shared" si="56"/>
        <v>0</v>
      </c>
      <c r="AD18" s="13" t="e">
        <f t="shared" si="57"/>
        <v>#DIV/0!</v>
      </c>
      <c r="AE18" s="13" t="e">
        <f t="shared" si="58"/>
        <v>#DIV/0!</v>
      </c>
      <c r="AF18" s="9">
        <f t="shared" si="14"/>
        <v>0</v>
      </c>
      <c r="BH18" s="7" t="str">
        <f t="shared" si="16"/>
        <v>2050_1</v>
      </c>
      <c r="BI18" s="28">
        <f>管理者入力シート!B13</f>
        <v>2050</v>
      </c>
      <c r="BJ18" s="3" t="s">
        <v>21</v>
      </c>
      <c r="BK18" s="9">
        <f>CM19*$AK$13</f>
        <v>5.3717654819376301</v>
      </c>
      <c r="BL18" s="9">
        <f>IF(管理者入力シート!$B$14=1,BK15*管理者用人口入力シート!AM$3,IF(管理者入力シート!$B$14=2,BK15*管理者用人口入力シート!AM$7))</f>
        <v>8.6113176202596531</v>
      </c>
      <c r="BM18" s="9">
        <f>IF(管理者入力シート!$B$14=1,BL15*管理者用人口入力シート!AN$3,IF(管理者入力シート!$B$14=2,BL15*管理者用人口入力シート!AN$7))</f>
        <v>10.663319125023895</v>
      </c>
      <c r="BN18" s="9">
        <f>IF(管理者入力シート!$B$14=1,BM15*管理者用人口入力シート!AO$3,IF(管理者入力シート!$B$14=2,BM15*管理者用人口入力シート!AO$7))</f>
        <v>8.3600830545860703</v>
      </c>
      <c r="BO18" s="9">
        <f>IF(管理者入力シート!$B$14=1,BN15*管理者用人口入力シート!AP$3,IF(管理者入力シート!$B$14=2,BN15*管理者用人口入力シート!AP$7))</f>
        <v>5.755922771651286</v>
      </c>
      <c r="BP18" s="9">
        <f>IF(管理者入力シート!$B$14=1,BO15*管理者用人口入力シート!AQ$3,IF(管理者入力シート!$B$14=2,BO15*管理者用人口入力シート!AQ$7))</f>
        <v>9.6793392945541363</v>
      </c>
      <c r="BQ18" s="9">
        <f>IF(管理者入力シート!$B$14=1,BP15*管理者用人口入力シート!AR$3,IF(管理者入力シート!$B$14=2,BP15*管理者用人口入力シート!AR$7))</f>
        <v>10.728313983178996</v>
      </c>
      <c r="BR18" s="9">
        <f>IF(管理者入力シート!$B$14=1,BQ15*管理者用人口入力シート!AS$3,IF(管理者入力シート!$B$14=2,BQ15*管理者用人口入力シート!AS$7))</f>
        <v>17.110940886315177</v>
      </c>
      <c r="BS18" s="9">
        <f>IF(管理者入力シート!$B$14=1,BR15*管理者用人口入力シート!AT$3,IF(管理者入力シート!$B$14=2,BR15*管理者用人口入力シート!AT$7))</f>
        <v>22.271875904968283</v>
      </c>
      <c r="BT18" s="9">
        <f>IF(管理者入力シート!$B$14=1,BS15*管理者用人口入力シート!AU$3,IF(管理者入力シート!$B$14=2,BS15*管理者用人口入力シート!AU$7))</f>
        <v>30.604454856555368</v>
      </c>
      <c r="BU18" s="9">
        <f>IF(管理者入力シート!$B$14=1,BT15*管理者用人口入力シート!AV$3,IF(管理者入力シート!$B$14=2,BT15*管理者用人口入力シート!AV$7))</f>
        <v>26.435149053809113</v>
      </c>
      <c r="BV18" s="9">
        <f>IF(管理者入力シート!$B$14=1,BU15*管理者用人口入力シート!AW$3,IF(管理者入力シート!$B$14=2,BU15*管理者用人口入力シート!AW$7))</f>
        <v>37.254335897067563</v>
      </c>
      <c r="BW18" s="9">
        <f>IF(管理者入力シート!$B$14=1,BV15*管理者用人口入力シート!AX$3,IF(管理者入力シート!$B$14=2,BV15*管理者用人口入力シート!AX$7))</f>
        <v>35.260816570049826</v>
      </c>
      <c r="BX18" s="9">
        <f>IF(管理者入力シート!$B$14=1,BW15*管理者用人口入力シート!AY$3,IF(管理者入力シート!$B$14=2,BW15*管理者用人口入力シート!AY$7))</f>
        <v>54.012878165514273</v>
      </c>
      <c r="BY18" s="9">
        <f>IF(管理者入力シート!$B$14=1,BX15*管理者用人口入力シート!AZ$3,IF(管理者入力シート!$B$14=2,BX15*管理者用人口入力シート!AZ$7))</f>
        <v>53.666131868754277</v>
      </c>
      <c r="BZ18" s="9">
        <f>IF(管理者入力シート!$B$14=1,BY15*管理者用人口入力シート!BA$3,IF(管理者入力シート!$B$14=2,BY15*管理者用人口入力シート!BA$7))</f>
        <v>52.310184385170338</v>
      </c>
      <c r="CA18" s="9">
        <f>IF(管理者入力シート!$B$14=1,BZ15*管理者用人口入力シート!BB$3,IF(管理者入力シート!$B$14=2,BZ15*管理者用人口入力シート!BB$7))</f>
        <v>32.179284091164391</v>
      </c>
      <c r="CB18" s="9">
        <f>IF(管理者入力シート!$B$14=1,CA15*管理者用人口入力シート!BC$3,IF(管理者入力シート!$B$14=2,CA15*管理者用人口入力シート!BC$7))</f>
        <v>25.028785381288781</v>
      </c>
      <c r="CC18" s="9">
        <f>IF(管理者入力シート!$B$14=1,CB15*管理者用人口入力シート!BD$3,IF(管理者入力シート!$B$14=2,CB15*管理者用人口入力シート!BD$7))</f>
        <v>19.069658178009089</v>
      </c>
      <c r="CD18" s="9">
        <f>IF(管理者入力シート!$B$14=1,CC15*管理者用人口入力シート!BE$3,IF(管理者入力シート!$B$14=2,CC15*管理者用人口入力シート!BE$7))</f>
        <v>6.6465525022496497</v>
      </c>
      <c r="CE18" s="9">
        <f>IF(管理者入力シート!$B$14=1,CD15*管理者用人口入力シート!BF$3,IF(管理者入力シート!$B$14=2,CD15*管理者用人口入力シート!BF$7))</f>
        <v>5.6605033640646316E-3</v>
      </c>
      <c r="CF18" s="9">
        <f t="shared" si="63"/>
        <v>471.02676957547192</v>
      </c>
      <c r="CG18" s="9">
        <f t="shared" si="64"/>
        <v>11.564782047170128</v>
      </c>
      <c r="CH18" s="9">
        <f t="shared" si="65"/>
        <v>5.9373442609267721</v>
      </c>
      <c r="CI18" s="9">
        <f t="shared" si="66"/>
        <v>242.91913507551484</v>
      </c>
      <c r="CJ18" s="9">
        <f t="shared" si="67"/>
        <v>135.2401250412463</v>
      </c>
      <c r="CK18" s="13">
        <f t="shared" si="68"/>
        <v>0.51572256773103053</v>
      </c>
      <c r="CL18" s="13">
        <f t="shared" si="69"/>
        <v>0.28711770493030753</v>
      </c>
      <c r="CM18" s="9">
        <f t="shared" si="70"/>
        <v>43.274516935699594</v>
      </c>
      <c r="CO18" s="7" t="str">
        <f t="shared" si="23"/>
        <v>2050_1</v>
      </c>
      <c r="CP18" s="28">
        <f>管理者入力シート!B13</f>
        <v>2050</v>
      </c>
      <c r="CQ18" s="3" t="s">
        <v>21</v>
      </c>
      <c r="CR18" s="9">
        <f>DT19*$AK$13+将来予測シート②!$G17</f>
        <v>8.0836929772785098</v>
      </c>
      <c r="CS18" s="9">
        <f>IF(管理者入力シート!$B$14=1,CR15*管理者用人口入力シート!AM$3,IF(管理者入力シート!$B$14=2,CR15*管理者用人口入力シート!AM$7))+将来予測シート②!$G18</f>
        <v>11.489046824228693</v>
      </c>
      <c r="CT18" s="9">
        <f>IF(管理者入力シート!$B$14=1,CS15*管理者用人口入力シート!AN$3,IF(管理者入力シート!$B$14=2,CS15*管理者用人口入力シート!AN$7))+将来予測シート②!$G19</f>
        <v>14.345771885789668</v>
      </c>
      <c r="CU18" s="9">
        <f>IF(管理者入力シート!$B$14=1,CT15*管理者用人口入力シート!AO$3,IF(管理者入力シート!$B$14=2,CT15*管理者用人口入力シート!AO$7))+将来予測シート②!$G20</f>
        <v>10.81637722640566</v>
      </c>
      <c r="CV18" s="9">
        <f>IF(管理者入力シート!$B$14=1,CU15*管理者用人口入力シート!AP$3,IF(管理者入力シート!$B$14=2,CU15*管理者用人口入力シート!AP$7))+将来予測シート②!$G21</f>
        <v>6.9463776135051765</v>
      </c>
      <c r="CW18" s="9">
        <f>IF(管理者入力シート!$B$14=1,CV15*管理者用人口入力シート!AQ$3,IF(管理者入力シート!$B$14=2,CV15*管理者用人口入力シート!AQ$7))+将来予測シート②!$G22</f>
        <v>12.657408874496971</v>
      </c>
      <c r="CX18" s="9">
        <f>IF(管理者入力シート!$B$14=1,CW15*管理者用人口入力シート!AR$3,IF(管理者入力シート!$B$14=2,CW15*管理者用人口入力シート!AR$7))+将来予測シート②!$G23</f>
        <v>12.679745709938976</v>
      </c>
      <c r="CY18" s="9">
        <f>IF(管理者入力シート!$B$14=1,CX15*管理者用人口入力シート!AS$3,IF(管理者入力シート!$B$14=2,CX15*管理者用人口入力シート!AS$7))+将来予測シート②!$G24</f>
        <v>19.300501633667835</v>
      </c>
      <c r="CZ18" s="9">
        <f>IF(管理者入力シート!$B$14=1,CY15*管理者用人口入力シート!AT$3,IF(管理者入力シート!$B$14=2,CY15*管理者用人口入力シート!AT$7))+将来予測シート②!$G25</f>
        <v>24.276695813178005</v>
      </c>
      <c r="DA18" s="9">
        <f>IF(管理者入力シート!$B$14=1,CZ15*管理者用人口入力シート!AU$3,IF(管理者入力シート!$B$14=2,CZ15*管理者用人口入力シート!AU$7))+将来予測シート②!$G26</f>
        <v>32.700505563569891</v>
      </c>
      <c r="DB18" s="9">
        <f>IF(管理者入力シート!$B$14=1,DA15*管理者用人口入力シート!AV$3,IF(管理者入力シート!$B$14=2,DA15*管理者用人口入力シート!AV$7))+将来予測シート②!$G27</f>
        <v>28.447688166131716</v>
      </c>
      <c r="DC18" s="9">
        <f>IF(管理者入力シート!$B$14=1,DB15*管理者用人口入力シート!AW$3,IF(管理者入力シート!$B$14=2,DB15*管理者用人口入力シート!AW$7))+将来予測シート②!$G28</f>
        <v>37.254335897067563</v>
      </c>
      <c r="DD18" s="9">
        <f>IF(管理者入力シート!$B$14=1,DC15*管理者用人口入力シート!AX$3,IF(管理者入力シート!$B$14=2,DC15*管理者用人口入力シート!AX$7))+将来予測シート②!$G29</f>
        <v>35.260816570049826</v>
      </c>
      <c r="DE18" s="9">
        <f>IF(管理者入力シート!$B$14=1,DD15*管理者用人口入力シート!AY$3,IF(管理者入力シート!$B$14=2,DD15*管理者用人口入力シート!AY$7))</f>
        <v>54.012878165514273</v>
      </c>
      <c r="DF18" s="9">
        <f>IF(管理者入力シート!$B$14=1,DE15*管理者用人口入力シート!AZ$3,IF(管理者入力シート!$B$14=2,DE15*管理者用人口入力シート!AZ$7))</f>
        <v>53.666131868754277</v>
      </c>
      <c r="DG18" s="9">
        <f>IF(管理者入力シート!$B$14=1,DF15*管理者用人口入力シート!BA$3,IF(管理者入力シート!$B$14=2,DF15*管理者用人口入力シート!BA$7))</f>
        <v>52.310184385170338</v>
      </c>
      <c r="DH18" s="9">
        <f>IF(管理者入力シート!$B$14=1,DG15*管理者用人口入力シート!BB$3,IF(管理者入力シート!$B$14=2,DG15*管理者用人口入力シート!BB$7))</f>
        <v>32.179284091164391</v>
      </c>
      <c r="DI18" s="9">
        <f>IF(管理者入力シート!$B$14=1,DH15*管理者用人口入力シート!BC$3,IF(管理者入力シート!$B$14=2,DH15*管理者用人口入力シート!BC$7))</f>
        <v>25.028785381288781</v>
      </c>
      <c r="DJ18" s="9">
        <f>IF(管理者入力シート!$B$14=1,DI15*管理者用人口入力シート!BD$3,IF(管理者入力シート!$B$14=2,DI15*管理者用人口入力シート!BD$7))</f>
        <v>19.069658178009089</v>
      </c>
      <c r="DK18" s="9">
        <f>IF(管理者入力シート!$B$14=1,DJ15*管理者用人口入力シート!BE$3,IF(管理者入力シート!$B$14=2,DJ15*管理者用人口入力シート!BE$7))</f>
        <v>6.6465525022496497</v>
      </c>
      <c r="DL18" s="9">
        <f>IF(管理者入力シート!$B$14=1,DK15*管理者用人口入力シート!BF$3,IF(管理者入力シート!$B$14=2,DK15*管理者用人口入力シート!BF$7))</f>
        <v>5.6605033640646316E-3</v>
      </c>
      <c r="DM18" s="9">
        <f t="shared" si="71"/>
        <v>497.17809983082338</v>
      </c>
      <c r="DN18" s="9">
        <f t="shared" si="72"/>
        <v>15.500891226011017</v>
      </c>
      <c r="DO18" s="9">
        <f t="shared" si="73"/>
        <v>7.901584199597</v>
      </c>
      <c r="DP18" s="9">
        <f t="shared" si="74"/>
        <v>242.91913507551484</v>
      </c>
      <c r="DQ18" s="9">
        <f t="shared" si="75"/>
        <v>135.2401250412463</v>
      </c>
      <c r="DR18" s="13">
        <f t="shared" si="76"/>
        <v>0.48859580733377805</v>
      </c>
      <c r="DS18" s="13">
        <f t="shared" si="77"/>
        <v>0.2720154509767525</v>
      </c>
      <c r="DT18" s="9">
        <f t="shared" si="78"/>
        <v>51.584033831608956</v>
      </c>
      <c r="DX18" s="289">
        <f>DX1</f>
        <v>29</v>
      </c>
      <c r="DY18" s="290"/>
      <c r="DZ18" s="286" t="s">
        <v>0</v>
      </c>
      <c r="EA18" s="286" t="s">
        <v>1</v>
      </c>
      <c r="EB18" s="286" t="s">
        <v>2</v>
      </c>
      <c r="EC18" s="286" t="s">
        <v>3</v>
      </c>
      <c r="ED18" s="286" t="s">
        <v>4</v>
      </c>
      <c r="EE18" s="286" t="s">
        <v>5</v>
      </c>
      <c r="EF18" s="286" t="s">
        <v>6</v>
      </c>
      <c r="EG18" s="286" t="s">
        <v>7</v>
      </c>
      <c r="EH18" s="286" t="s">
        <v>8</v>
      </c>
      <c r="EI18" s="286" t="s">
        <v>9</v>
      </c>
      <c r="EJ18" s="286" t="s">
        <v>10</v>
      </c>
      <c r="EK18" s="286" t="s">
        <v>11</v>
      </c>
      <c r="EL18" s="286" t="s">
        <v>12</v>
      </c>
      <c r="EM18" s="286" t="s">
        <v>13</v>
      </c>
      <c r="EN18" s="286" t="s">
        <v>14</v>
      </c>
      <c r="EO18" s="286" t="s">
        <v>15</v>
      </c>
      <c r="EP18" s="286" t="s">
        <v>16</v>
      </c>
      <c r="EQ18" s="286" t="s">
        <v>17</v>
      </c>
      <c r="ER18" s="286" t="s">
        <v>18</v>
      </c>
      <c r="ES18" s="286" t="s">
        <v>19</v>
      </c>
      <c r="ET18" s="286" t="s">
        <v>20</v>
      </c>
      <c r="EU18" s="286" t="s">
        <v>23</v>
      </c>
      <c r="EV18" s="285" t="s">
        <v>50</v>
      </c>
      <c r="EW18" s="285" t="s">
        <v>51</v>
      </c>
      <c r="EX18" s="287" t="s">
        <v>79</v>
      </c>
      <c r="EY18" s="287" t="s">
        <v>80</v>
      </c>
      <c r="EZ18" s="285" t="s">
        <v>48</v>
      </c>
      <c r="FA18" s="285" t="s">
        <v>49</v>
      </c>
      <c r="FB18" s="285" t="s">
        <v>97</v>
      </c>
    </row>
    <row r="19" spans="1:158" x14ac:dyDescent="0.15">
      <c r="A19" s="7" t="str">
        <f t="shared" si="62"/>
        <v>2030_2</v>
      </c>
      <c r="B19" s="29">
        <v>2030</v>
      </c>
      <c r="C19" s="4" t="s">
        <v>22</v>
      </c>
      <c r="D19" s="4"/>
      <c r="E19" s="4"/>
      <c r="F19" s="4"/>
      <c r="G19" s="4"/>
      <c r="H19" s="4"/>
      <c r="I19" s="4"/>
      <c r="J19" s="4"/>
      <c r="K19" s="4"/>
      <c r="L19" s="4"/>
      <c r="M19" s="4"/>
      <c r="N19" s="4"/>
      <c r="O19" s="4"/>
      <c r="P19" s="4"/>
      <c r="Q19" s="4"/>
      <c r="R19" s="4"/>
      <c r="S19" s="4"/>
      <c r="T19" s="4"/>
      <c r="U19" s="4"/>
      <c r="V19" s="4"/>
      <c r="W19" s="4"/>
      <c r="X19" s="4"/>
      <c r="Y19" s="10">
        <f t="shared" si="53"/>
        <v>0</v>
      </c>
      <c r="Z19" s="10">
        <f t="shared" si="54"/>
        <v>0</v>
      </c>
      <c r="AA19" s="10">
        <f t="shared" si="55"/>
        <v>0</v>
      </c>
      <c r="AB19" s="10">
        <f t="shared" si="0"/>
        <v>0</v>
      </c>
      <c r="AC19" s="10">
        <f t="shared" si="56"/>
        <v>0</v>
      </c>
      <c r="AD19" s="14" t="e">
        <f t="shared" si="57"/>
        <v>#DIV/0!</v>
      </c>
      <c r="AE19" s="14" t="e">
        <f t="shared" si="58"/>
        <v>#DIV/0!</v>
      </c>
      <c r="AF19" s="10">
        <f t="shared" si="14"/>
        <v>0</v>
      </c>
      <c r="BH19" s="7" t="str">
        <f t="shared" si="16"/>
        <v>2050_2</v>
      </c>
      <c r="BI19" s="29">
        <f>BI18</f>
        <v>2050</v>
      </c>
      <c r="BJ19" s="4" t="s">
        <v>22</v>
      </c>
      <c r="BK19" s="10">
        <f>CM19*$AK$14</f>
        <v>4.7356067373459796</v>
      </c>
      <c r="BL19" s="10">
        <f>IF(管理者入力シート!$B$14=1,BK16*管理者用人口入力シート!AM$4,IF(管理者入力シート!$B$14=2,BK16*管理者用人口入力シート!AM$8))</f>
        <v>6.5541897882053757</v>
      </c>
      <c r="BM19" s="10">
        <f>IF(管理者入力シート!$B$14=1,BL16*管理者用人口入力シート!AN$4,IF(管理者入力シート!$B$14=2,BL16*管理者用人口入力シート!AN$8))</f>
        <v>7.8402052453396252</v>
      </c>
      <c r="BN19" s="10">
        <f>IF(管理者入力シート!$B$14=1,BM16*管理者用人口入力シート!AO$4,IF(管理者入力シート!$B$14=2,BM16*管理者用人口入力シート!AO$8))</f>
        <v>5.9242403129572176</v>
      </c>
      <c r="BO19" s="10">
        <f>IF(管理者入力シート!$B$14=1,BN16*管理者用人口入力シート!AP$4,IF(管理者入力シート!$B$14=2,BN16*管理者用人口入力シート!AP$8))</f>
        <v>4.2131475721318514</v>
      </c>
      <c r="BP19" s="10">
        <f>IF(管理者入力シート!$B$14=1,BO16*管理者用人口入力シート!AQ$4,IF(管理者入力シート!$B$14=2,BO16*管理者用人口入力シート!AQ$8))</f>
        <v>4.8233502699711623</v>
      </c>
      <c r="BQ19" s="10">
        <f>IF(管理者入力シート!$B$14=1,BP16*管理者用人口入力シート!AR$4,IF(管理者入力シート!$B$14=2,BP16*管理者用人口入力シート!AR$8))</f>
        <v>6.0889799189128162</v>
      </c>
      <c r="BR19" s="10">
        <f>IF(管理者入力シート!$B$14=1,BQ16*管理者用人口入力シート!AS$4,IF(管理者入力シート!$B$14=2,BQ16*管理者用人口入力シート!AS$8))</f>
        <v>9.1510285853268147</v>
      </c>
      <c r="BS19" s="10">
        <f>IF(管理者入力シート!$B$14=1,BR16*管理者用人口入力シート!AT$4,IF(管理者入力シート!$B$14=2,BR16*管理者用人口入力シート!AT$8))</f>
        <v>11.855354309166126</v>
      </c>
      <c r="BT19" s="10">
        <f>IF(管理者入力シート!$B$14=1,BS16*管理者用人口入力シート!AU$4,IF(管理者入力シート!$B$14=2,BS16*管理者用人口入力シート!AU$8))</f>
        <v>10.096404099895642</v>
      </c>
      <c r="BU19" s="10">
        <f>IF(管理者入力シート!$B$14=1,BT16*管理者用人口入力シート!AV$4,IF(管理者入力シート!$B$14=2,BT16*管理者用人口入力シート!AV$8))</f>
        <v>9.344403242292314</v>
      </c>
      <c r="BV19" s="10">
        <f>IF(管理者入力シート!$B$14=1,BU16*管理者用人口入力シート!AW$4,IF(管理者入力シート!$B$14=2,BU16*管理者用人口入力シート!AW$8))</f>
        <v>15.682788935409619</v>
      </c>
      <c r="BW19" s="10">
        <f>IF(管理者入力シート!$B$14=1,BV16*管理者用人口入力シート!AX$4,IF(管理者入力シート!$B$14=2,BV16*管理者用人口入力シート!AX$8))</f>
        <v>32.629929535879704</v>
      </c>
      <c r="BX19" s="10">
        <f>IF(管理者入力シート!$B$14=1,BW16*管理者用人口入力シート!AY$4,IF(管理者入力シート!$B$14=2,BW16*管理者用人口入力シート!AY$8))</f>
        <v>37.723071349750775</v>
      </c>
      <c r="BY19" s="10">
        <f>IF(管理者入力シート!$B$14=1,BX16*管理者用人口入力シート!AZ$4,IF(管理者入力シート!$B$14=2,BX16*管理者用人口入力シート!AZ$8))</f>
        <v>40.287472175938177</v>
      </c>
      <c r="BZ19" s="10">
        <f>IF(管理者入力シート!$B$14=1,BY16*管理者用人口入力シート!BA$4,IF(管理者入力シート!$B$14=2,BY16*管理者用人口入力シート!BA$8))</f>
        <v>38.574930036623762</v>
      </c>
      <c r="CA19" s="10">
        <f>IF(管理者入力シート!$B$14=1,BZ16*管理者用人口入力シート!BB$4,IF(管理者入力シート!$B$14=2,BZ16*管理者用人口入力シート!BB$8))</f>
        <v>43.460391571106648</v>
      </c>
      <c r="CB19" s="10">
        <f>IF(管理者入力シート!$B$14=1,CA16*管理者用人口入力シート!BC$4,IF(管理者入力シート!$B$14=2,CA16*管理者用人口入力シート!BC$8))</f>
        <v>42.52754451202857</v>
      </c>
      <c r="CC19" s="10">
        <f>IF(管理者入力シート!$B$14=1,CB16*管理者用人口入力シート!BD$4,IF(管理者入力シート!$B$14=2,CB16*管理者用人口入力シート!BD$8))</f>
        <v>30.648112423502244</v>
      </c>
      <c r="CD19" s="10">
        <f>IF(管理者入力シート!$B$14=1,CC16*管理者用人口入力シート!BE$4,IF(管理者入力シート!$B$14=2,CC16*管理者用人口入力シート!BE$8))</f>
        <v>8.7247813239584939</v>
      </c>
      <c r="CE19" s="10">
        <f>IF(管理者入力シート!$B$14=1,CD16*管理者用人口入力シート!BF$4,IF(管理者入力シート!$B$14=2,CD16*管理者用人口入力シート!BF$8))</f>
        <v>0.14361824171710538</v>
      </c>
      <c r="CF19" s="10">
        <f t="shared" si="63"/>
        <v>371.02955018746002</v>
      </c>
      <c r="CG19" s="10">
        <f t="shared" si="64"/>
        <v>8.6366370201270009</v>
      </c>
      <c r="CH19" s="10">
        <f t="shared" si="65"/>
        <v>4.3209301607272934</v>
      </c>
      <c r="CI19" s="10">
        <f t="shared" si="66"/>
        <v>242.08992163462574</v>
      </c>
      <c r="CJ19" s="10">
        <f t="shared" si="67"/>
        <v>164.07937810893682</v>
      </c>
      <c r="CK19" s="14">
        <f t="shared" si="68"/>
        <v>0.65248151127669363</v>
      </c>
      <c r="CL19" s="14">
        <f t="shared" si="69"/>
        <v>0.44222725124194795</v>
      </c>
      <c r="CM19" s="10">
        <f t="shared" si="70"/>
        <v>24.276506346342643</v>
      </c>
      <c r="CO19" s="7" t="str">
        <f t="shared" si="23"/>
        <v>2050_2</v>
      </c>
      <c r="CP19" s="29">
        <f>CP18</f>
        <v>2050</v>
      </c>
      <c r="CQ19" s="4" t="s">
        <v>22</v>
      </c>
      <c r="CR19" s="10">
        <f>DT19*$AK$14+将来予測シート②!$H17</f>
        <v>7.2447968552026971</v>
      </c>
      <c r="CS19" s="10">
        <f>IF(管理者入力シート!$B$14=1,CR16*管理者用人口入力シート!AM$4,IF(管理者入力シート!$B$14=2,CR16*管理者用人口入力シート!AM$8))+将来予測シート②!$H18</f>
        <v>8.8608950522538219</v>
      </c>
      <c r="CT19" s="10">
        <f>IF(管理者入力シート!$B$14=1,CS16*管理者用人口入力シート!AN$4,IF(管理者入力シート!$B$14=2,CS16*管理者用人口入力シート!AN$8))+将来予測シート②!$H19</f>
        <v>10.923578940796247</v>
      </c>
      <c r="CU19" s="10">
        <f>IF(管理者入力シート!$B$14=1,CT16*管理者用人口入力シート!AO$4,IF(管理者入力シート!$B$14=2,CT16*管理者用人口入力シート!AO$8))+将来予測シート②!$H20</f>
        <v>7.9116858021620047</v>
      </c>
      <c r="CV19" s="10">
        <f>IF(管理者入力シート!$B$14=1,CU16*管理者用人口入力シート!AP$4,IF(管理者入力シート!$B$14=2,CU16*管理者用人口入力シート!AP$8))+将来予測シート②!$H21</f>
        <v>5.2295041272697302</v>
      </c>
      <c r="CW19" s="10">
        <f>IF(管理者入力シート!$B$14=1,CV16*管理者用人口入力シート!AQ$4,IF(管理者入力シート!$B$14=2,CV16*管理者用人口入力シート!AQ$8))+将来予測シート②!$H22</f>
        <v>7.427989767686304</v>
      </c>
      <c r="CX19" s="10">
        <f>IF(管理者入力シート!$B$14=1,CW16*管理者用人口入力シート!AR$4,IF(管理者入力シート!$B$14=2,CW16*管理者用人口入力シート!AR$8))+将来予測シート②!$H23</f>
        <v>8.1775873353640822</v>
      </c>
      <c r="CY19" s="10">
        <f>IF(管理者入力シート!$B$14=1,CX16*管理者用人口入力シート!AS$4,IF(管理者入力シート!$B$14=2,CX16*管理者用人口入力シート!AS$8))+将来予測シート②!$H24</f>
        <v>11.178102907497987</v>
      </c>
      <c r="CZ19" s="10">
        <f>IF(管理者入力シート!$B$14=1,CY16*管理者用人口入力シート!AT$4,IF(管理者入力シート!$B$14=2,CY16*管理者用人口入力シート!AT$8))+将来予測シート②!$H25</f>
        <v>14.581532394795474</v>
      </c>
      <c r="DA19" s="10">
        <f>IF(管理者入力シート!$B$14=1,CZ16*管理者用人口入力シート!AU$4,IF(管理者入力シート!$B$14=2,CZ16*管理者用人口入力シート!AU$8))+将来予測シート②!$H26</f>
        <v>12.494029498988585</v>
      </c>
      <c r="DB19" s="10">
        <f>IF(管理者入力シート!$B$14=1,DA16*管理者用人口入力シート!AV$4,IF(管理者入力シート!$B$14=2,DA16*管理者用人口入力シート!AV$8))+将来予測シート②!$H27</f>
        <v>11.777434844332147</v>
      </c>
      <c r="DC19" s="10">
        <f>IF(管理者入力シート!$B$14=1,DB16*管理者用人口入力シート!AW$4,IF(管理者入力シート!$B$14=2,DB16*管理者用人口入力シート!AW$8))+将来予測シート②!$H28</f>
        <v>16.546824271609992</v>
      </c>
      <c r="DD19" s="10">
        <f>IF(管理者入力シート!$B$14=1,DC16*管理者用人口入力シート!AX$4,IF(管理者入力シート!$B$14=2,DC16*管理者用人口入力シート!AX$8))+将来予測シート②!$H29</f>
        <v>33.528000557790946</v>
      </c>
      <c r="DE19" s="10">
        <f>IF(管理者入力シート!$B$14=1,DD16*管理者用人口入力シート!AY$4,IF(管理者入力シート!$B$14=2,DD16*管理者用人口入力シート!AY$8))</f>
        <v>38.594007652288084</v>
      </c>
      <c r="DF19" s="10">
        <f>IF(管理者入力シート!$B$14=1,DE16*管理者用人口入力シート!AZ$4,IF(管理者入力シート!$B$14=2,DE16*管理者用人口入力シート!AZ$8))</f>
        <v>40.287472175938177</v>
      </c>
      <c r="DG19" s="10">
        <f>IF(管理者入力シート!$B$14=1,DF16*管理者用人口入力シート!BA$4,IF(管理者入力シート!$B$14=2,DF16*管理者用人口入力シート!BA$8))</f>
        <v>38.574930036623762</v>
      </c>
      <c r="DH19" s="10">
        <f>IF(管理者入力シート!$B$14=1,DG16*管理者用人口入力シート!BB$4,IF(管理者入力シート!$B$14=2,DG16*管理者用人口入力シート!BB$8))</f>
        <v>43.460391571106648</v>
      </c>
      <c r="DI19" s="10">
        <f>IF(管理者入力シート!$B$14=1,DH16*管理者用人口入力シート!BC$4,IF(管理者入力シート!$B$14=2,DH16*管理者用人口入力シート!BC$8))</f>
        <v>42.52754451202857</v>
      </c>
      <c r="DJ19" s="10">
        <f>IF(管理者入力シート!$B$14=1,DI16*管理者用人口入力シート!BD$4,IF(管理者入力シート!$B$14=2,DI16*管理者用人口入力シート!BD$8))</f>
        <v>30.648112423502244</v>
      </c>
      <c r="DK19" s="10">
        <f>IF(管理者入力シート!$B$14=1,DJ16*管理者用人口入力シート!BE$4,IF(管理者入力シート!$B$14=2,DJ16*管理者用人口入力シート!BE$8))</f>
        <v>8.7247813239584939</v>
      </c>
      <c r="DL19" s="10">
        <f>IF(管理者入力シート!$B$14=1,DK16*管理者用人口入力シート!BF$4,IF(管理者入力シート!$B$14=2,DK16*管理者用人口入力シート!BF$8))</f>
        <v>0.14361824171710538</v>
      </c>
      <c r="DM19" s="10">
        <f t="shared" si="71"/>
        <v>398.84282029291313</v>
      </c>
      <c r="DN19" s="10">
        <f t="shared" si="72"/>
        <v>11.87068439583004</v>
      </c>
      <c r="DO19" s="10">
        <f t="shared" si="73"/>
        <v>5.9517687367508998</v>
      </c>
      <c r="DP19" s="10">
        <f t="shared" si="74"/>
        <v>242.9608579371631</v>
      </c>
      <c r="DQ19" s="10">
        <f t="shared" si="75"/>
        <v>164.07937810893682</v>
      </c>
      <c r="DR19" s="14">
        <f t="shared" si="76"/>
        <v>0.60916442662483139</v>
      </c>
      <c r="DS19" s="14">
        <f t="shared" si="77"/>
        <v>0.41138857153912339</v>
      </c>
      <c r="DT19" s="10">
        <f t="shared" si="78"/>
        <v>32.013184137818101</v>
      </c>
      <c r="DX19" s="291"/>
      <c r="DY19" s="292"/>
      <c r="DZ19" s="286"/>
      <c r="EA19" s="286"/>
      <c r="EB19" s="286"/>
      <c r="EC19" s="286"/>
      <c r="ED19" s="286"/>
      <c r="EE19" s="286"/>
      <c r="EF19" s="286"/>
      <c r="EG19" s="286"/>
      <c r="EH19" s="286"/>
      <c r="EI19" s="286"/>
      <c r="EJ19" s="286"/>
      <c r="EK19" s="286"/>
      <c r="EL19" s="286"/>
      <c r="EM19" s="286"/>
      <c r="EN19" s="286"/>
      <c r="EO19" s="286"/>
      <c r="EP19" s="286"/>
      <c r="EQ19" s="286"/>
      <c r="ER19" s="286"/>
      <c r="ES19" s="286"/>
      <c r="ET19" s="286"/>
      <c r="EU19" s="286"/>
      <c r="EV19" s="285"/>
      <c r="EW19" s="285"/>
      <c r="EX19" s="288"/>
      <c r="EY19" s="288"/>
      <c r="EZ19" s="285"/>
      <c r="FA19" s="285"/>
      <c r="FB19" s="285"/>
    </row>
    <row r="20" spans="1:158" x14ac:dyDescent="0.15">
      <c r="A20" s="7" t="str">
        <f t="shared" si="62"/>
        <v>2030_3</v>
      </c>
      <c r="B20" s="30">
        <v>2030</v>
      </c>
      <c r="C20" s="5" t="s">
        <v>23</v>
      </c>
      <c r="D20" s="5"/>
      <c r="E20" s="5"/>
      <c r="F20" s="5"/>
      <c r="G20" s="5"/>
      <c r="H20" s="5"/>
      <c r="I20" s="5"/>
      <c r="J20" s="5"/>
      <c r="K20" s="5"/>
      <c r="L20" s="5"/>
      <c r="M20" s="5"/>
      <c r="N20" s="5"/>
      <c r="O20" s="5"/>
      <c r="P20" s="5"/>
      <c r="Q20" s="5"/>
      <c r="R20" s="5"/>
      <c r="S20" s="5"/>
      <c r="T20" s="5"/>
      <c r="U20" s="5"/>
      <c r="V20" s="5"/>
      <c r="W20" s="5"/>
      <c r="X20" s="5"/>
      <c r="Y20" s="11">
        <f t="shared" si="53"/>
        <v>0</v>
      </c>
      <c r="Z20" s="11">
        <f t="shared" si="54"/>
        <v>0</v>
      </c>
      <c r="AA20" s="11">
        <f t="shared" si="55"/>
        <v>0</v>
      </c>
      <c r="AB20" s="11">
        <f t="shared" si="0"/>
        <v>0</v>
      </c>
      <c r="AC20" s="11">
        <f t="shared" si="56"/>
        <v>0</v>
      </c>
      <c r="AD20" s="15" t="e">
        <f t="shared" si="57"/>
        <v>#DIV/0!</v>
      </c>
      <c r="AE20" s="15" t="e">
        <f t="shared" si="58"/>
        <v>#DIV/0!</v>
      </c>
      <c r="AF20" s="11">
        <f t="shared" si="14"/>
        <v>0</v>
      </c>
      <c r="BH20" s="7" t="str">
        <f t="shared" si="16"/>
        <v>2050_3</v>
      </c>
      <c r="BI20" s="30">
        <f>BI19</f>
        <v>2050</v>
      </c>
      <c r="BJ20" s="5" t="s">
        <v>23</v>
      </c>
      <c r="BK20" s="16">
        <f>BK18+BK19</f>
        <v>10.10737221928361</v>
      </c>
      <c r="BL20" s="16">
        <f t="shared" ref="BL20:CE20" si="81">BL18+BL19</f>
        <v>15.165507408465029</v>
      </c>
      <c r="BM20" s="16">
        <f t="shared" si="81"/>
        <v>18.503524370363522</v>
      </c>
      <c r="BN20" s="16">
        <f t="shared" si="81"/>
        <v>14.284323367543287</v>
      </c>
      <c r="BO20" s="16">
        <f t="shared" si="81"/>
        <v>9.9690703437831374</v>
      </c>
      <c r="BP20" s="16">
        <f t="shared" si="81"/>
        <v>14.502689564525298</v>
      </c>
      <c r="BQ20" s="16">
        <f t="shared" si="81"/>
        <v>16.817293902091812</v>
      </c>
      <c r="BR20" s="16">
        <f t="shared" si="81"/>
        <v>26.26196947164199</v>
      </c>
      <c r="BS20" s="16">
        <f t="shared" si="81"/>
        <v>34.127230214134407</v>
      </c>
      <c r="BT20" s="16">
        <f t="shared" si="81"/>
        <v>40.700858956451007</v>
      </c>
      <c r="BU20" s="16">
        <f t="shared" si="81"/>
        <v>35.779552296101429</v>
      </c>
      <c r="BV20" s="16">
        <f t="shared" si="81"/>
        <v>52.937124832477181</v>
      </c>
      <c r="BW20" s="16">
        <f t="shared" si="81"/>
        <v>67.890746105929537</v>
      </c>
      <c r="BX20" s="16">
        <f t="shared" si="81"/>
        <v>91.735949515265048</v>
      </c>
      <c r="BY20" s="16">
        <f t="shared" si="81"/>
        <v>93.953604044692455</v>
      </c>
      <c r="BZ20" s="16">
        <f t="shared" si="81"/>
        <v>90.8851144217941</v>
      </c>
      <c r="CA20" s="16">
        <f t="shared" si="81"/>
        <v>75.639675662271031</v>
      </c>
      <c r="CB20" s="16">
        <f t="shared" si="81"/>
        <v>67.556329893317354</v>
      </c>
      <c r="CC20" s="16">
        <f t="shared" si="81"/>
        <v>49.717770601511333</v>
      </c>
      <c r="CD20" s="16">
        <f t="shared" si="81"/>
        <v>15.371333826208144</v>
      </c>
      <c r="CE20" s="16">
        <f t="shared" si="81"/>
        <v>0.14927874508117001</v>
      </c>
      <c r="CF20" s="11">
        <f t="shared" si="63"/>
        <v>842.05631976293182</v>
      </c>
      <c r="CG20" s="11">
        <f t="shared" si="64"/>
        <v>20.201419067297131</v>
      </c>
      <c r="CH20" s="11">
        <f t="shared" si="65"/>
        <v>10.258274421654066</v>
      </c>
      <c r="CI20" s="11">
        <f t="shared" si="66"/>
        <v>485.00905671014067</v>
      </c>
      <c r="CJ20" s="11">
        <f t="shared" si="67"/>
        <v>299.31950315018315</v>
      </c>
      <c r="CK20" s="15">
        <f t="shared" si="68"/>
        <v>0.57598173106365091</v>
      </c>
      <c r="CL20" s="15">
        <f t="shared" si="69"/>
        <v>0.35546256957545547</v>
      </c>
      <c r="CM20" s="11">
        <f t="shared" si="70"/>
        <v>67.551023282042237</v>
      </c>
      <c r="CO20" s="7" t="str">
        <f t="shared" si="23"/>
        <v>2050_3</v>
      </c>
      <c r="CP20" s="30">
        <f>CP19</f>
        <v>2050</v>
      </c>
      <c r="CQ20" s="5" t="s">
        <v>23</v>
      </c>
      <c r="CR20" s="16">
        <f>CR18+CR19</f>
        <v>15.328489832481207</v>
      </c>
      <c r="CS20" s="16">
        <f t="shared" ref="CS20:DL20" si="82">CS18+CS19</f>
        <v>20.349941876482514</v>
      </c>
      <c r="CT20" s="16">
        <f t="shared" si="82"/>
        <v>25.269350826585914</v>
      </c>
      <c r="CU20" s="16">
        <f t="shared" si="82"/>
        <v>18.728063028567664</v>
      </c>
      <c r="CV20" s="16">
        <f t="shared" si="82"/>
        <v>12.175881740774907</v>
      </c>
      <c r="CW20" s="16">
        <f t="shared" si="82"/>
        <v>20.085398642183275</v>
      </c>
      <c r="CX20" s="16">
        <f t="shared" si="82"/>
        <v>20.857333045303058</v>
      </c>
      <c r="CY20" s="16">
        <f t="shared" si="82"/>
        <v>30.478604541165822</v>
      </c>
      <c r="CZ20" s="16">
        <f t="shared" si="82"/>
        <v>38.858228207973482</v>
      </c>
      <c r="DA20" s="16">
        <f t="shared" si="82"/>
        <v>45.194535062558472</v>
      </c>
      <c r="DB20" s="16">
        <f t="shared" si="82"/>
        <v>40.225123010463861</v>
      </c>
      <c r="DC20" s="16">
        <f t="shared" si="82"/>
        <v>53.801160168677555</v>
      </c>
      <c r="DD20" s="16">
        <f t="shared" si="82"/>
        <v>68.788817127840773</v>
      </c>
      <c r="DE20" s="16">
        <f t="shared" si="82"/>
        <v>92.60688581780235</v>
      </c>
      <c r="DF20" s="16">
        <f t="shared" si="82"/>
        <v>93.953604044692455</v>
      </c>
      <c r="DG20" s="16">
        <f t="shared" si="82"/>
        <v>90.8851144217941</v>
      </c>
      <c r="DH20" s="16">
        <f t="shared" si="82"/>
        <v>75.639675662271031</v>
      </c>
      <c r="DI20" s="16">
        <f t="shared" si="82"/>
        <v>67.556329893317354</v>
      </c>
      <c r="DJ20" s="16">
        <f t="shared" si="82"/>
        <v>49.717770601511333</v>
      </c>
      <c r="DK20" s="16">
        <f t="shared" si="82"/>
        <v>15.371333826208144</v>
      </c>
      <c r="DL20" s="16">
        <f t="shared" si="82"/>
        <v>0.14927874508117001</v>
      </c>
      <c r="DM20" s="11">
        <f t="shared" si="71"/>
        <v>896.02092012373635</v>
      </c>
      <c r="DN20" s="11">
        <f t="shared" si="72"/>
        <v>27.371575621841057</v>
      </c>
      <c r="DO20" s="11">
        <f t="shared" si="73"/>
        <v>13.8533529363479</v>
      </c>
      <c r="DP20" s="11">
        <f t="shared" si="74"/>
        <v>485.87999301267797</v>
      </c>
      <c r="DQ20" s="11">
        <f t="shared" si="75"/>
        <v>299.31950315018315</v>
      </c>
      <c r="DR20" s="15">
        <f t="shared" si="76"/>
        <v>0.54226411694224752</v>
      </c>
      <c r="DS20" s="15">
        <f t="shared" si="77"/>
        <v>0.33405414586620202</v>
      </c>
      <c r="DT20" s="11">
        <f t="shared" si="78"/>
        <v>83.597217969427064</v>
      </c>
      <c r="DX20" s="28">
        <f>DX3</f>
        <v>2025</v>
      </c>
      <c r="DY20" s="3" t="s">
        <v>21</v>
      </c>
      <c r="DZ20" s="9">
        <f t="shared" ref="DZ20:ET20" si="83">ROUND(DZ3,0)</f>
        <v>19</v>
      </c>
      <c r="EA20" s="9">
        <f t="shared" si="83"/>
        <v>30</v>
      </c>
      <c r="EB20" s="9">
        <f t="shared" si="83"/>
        <v>42</v>
      </c>
      <c r="EC20" s="9">
        <f t="shared" si="83"/>
        <v>33</v>
      </c>
      <c r="ED20" s="9">
        <f t="shared" si="83"/>
        <v>25</v>
      </c>
      <c r="EE20" s="9">
        <f t="shared" si="83"/>
        <v>55</v>
      </c>
      <c r="EF20" s="9">
        <f t="shared" si="83"/>
        <v>59</v>
      </c>
      <c r="EG20" s="9">
        <f t="shared" si="83"/>
        <v>61</v>
      </c>
      <c r="EH20" s="9">
        <f t="shared" si="83"/>
        <v>57</v>
      </c>
      <c r="EI20" s="9">
        <f t="shared" si="83"/>
        <v>62</v>
      </c>
      <c r="EJ20" s="9">
        <f t="shared" si="83"/>
        <v>64</v>
      </c>
      <c r="EK20" s="9">
        <f t="shared" si="83"/>
        <v>51</v>
      </c>
      <c r="EL20" s="9">
        <f t="shared" si="83"/>
        <v>68</v>
      </c>
      <c r="EM20" s="9">
        <f t="shared" si="83"/>
        <v>101</v>
      </c>
      <c r="EN20" s="9">
        <f t="shared" si="83"/>
        <v>137</v>
      </c>
      <c r="EO20" s="9">
        <f t="shared" si="83"/>
        <v>106</v>
      </c>
      <c r="EP20" s="9">
        <f t="shared" si="83"/>
        <v>58</v>
      </c>
      <c r="EQ20" s="9">
        <f t="shared" si="83"/>
        <v>33</v>
      </c>
      <c r="ER20" s="9">
        <f t="shared" si="83"/>
        <v>22</v>
      </c>
      <c r="ES20" s="9">
        <f t="shared" si="83"/>
        <v>4</v>
      </c>
      <c r="ET20" s="9">
        <f t="shared" si="83"/>
        <v>0</v>
      </c>
      <c r="EU20" s="9">
        <f>SUM(DZ20:ET20)</f>
        <v>1087</v>
      </c>
      <c r="EV20" s="9">
        <f>EA20*3/5+EB20*3/5</f>
        <v>43.2</v>
      </c>
      <c r="EW20" s="9">
        <f>EB20*2/5+EC20*1/5</f>
        <v>23.4</v>
      </c>
      <c r="EX20" s="9">
        <f t="shared" ref="EX20:EX31" si="84">SUM(EM20:ET20)</f>
        <v>461</v>
      </c>
      <c r="EY20" s="9">
        <f>SUM(EO20:ET20)</f>
        <v>223</v>
      </c>
      <c r="EZ20" s="13">
        <f>EX20/EU20</f>
        <v>0.42410303587856485</v>
      </c>
      <c r="FA20" s="13">
        <f>EY20/EU20</f>
        <v>0.20515179392824287</v>
      </c>
      <c r="FB20" s="9">
        <f>SUM(ED20:EG20)</f>
        <v>200</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85">ROUND(DZ4,0)</f>
        <v>16</v>
      </c>
      <c r="EA21" s="10">
        <f t="shared" si="85"/>
        <v>23</v>
      </c>
      <c r="EB21" s="10">
        <f t="shared" si="85"/>
        <v>33</v>
      </c>
      <c r="EC21" s="10">
        <f t="shared" si="85"/>
        <v>29</v>
      </c>
      <c r="ED21" s="10">
        <f t="shared" si="85"/>
        <v>16</v>
      </c>
      <c r="EE21" s="10">
        <f t="shared" si="85"/>
        <v>41</v>
      </c>
      <c r="EF21" s="10">
        <f t="shared" si="85"/>
        <v>48</v>
      </c>
      <c r="EG21" s="10">
        <f t="shared" si="85"/>
        <v>66</v>
      </c>
      <c r="EH21" s="10">
        <f t="shared" si="85"/>
        <v>43</v>
      </c>
      <c r="EI21" s="10">
        <f t="shared" si="85"/>
        <v>41</v>
      </c>
      <c r="EJ21" s="10">
        <f t="shared" si="85"/>
        <v>46</v>
      </c>
      <c r="EK21" s="10">
        <f t="shared" si="85"/>
        <v>59</v>
      </c>
      <c r="EL21" s="10">
        <f t="shared" si="85"/>
        <v>82</v>
      </c>
      <c r="EM21" s="10">
        <f t="shared" si="85"/>
        <v>120</v>
      </c>
      <c r="EN21" s="10">
        <f t="shared" si="85"/>
        <v>103</v>
      </c>
      <c r="EO21" s="10">
        <f t="shared" si="85"/>
        <v>101</v>
      </c>
      <c r="EP21" s="10">
        <f t="shared" si="85"/>
        <v>65</v>
      </c>
      <c r="EQ21" s="10">
        <f t="shared" si="85"/>
        <v>76</v>
      </c>
      <c r="ER21" s="10">
        <f t="shared" si="85"/>
        <v>41</v>
      </c>
      <c r="ES21" s="10">
        <f t="shared" si="85"/>
        <v>15</v>
      </c>
      <c r="ET21" s="10">
        <f t="shared" si="85"/>
        <v>0</v>
      </c>
      <c r="EU21" s="10">
        <f>SUM(DZ21:ET21)</f>
        <v>1064</v>
      </c>
      <c r="EV21" s="10">
        <f t="shared" ref="EV21:EV31" si="86">EA21*3/5+EB21*3/5</f>
        <v>33.6</v>
      </c>
      <c r="EW21" s="10">
        <f t="shared" ref="EW21:EW31" si="87">EB21*2/5+EC21*1/5</f>
        <v>19</v>
      </c>
      <c r="EX21" s="10">
        <f t="shared" si="84"/>
        <v>521</v>
      </c>
      <c r="EY21" s="10">
        <f t="shared" ref="EY21:EY31" si="88">SUM(EO21:ET21)</f>
        <v>298</v>
      </c>
      <c r="EZ21" s="14">
        <f t="shared" ref="EZ21:EZ31" si="89">EX21/EU21</f>
        <v>0.48966165413533835</v>
      </c>
      <c r="FA21" s="14">
        <f t="shared" ref="FA21:FA31" si="90">EY21/EU21</f>
        <v>0.28007518796992481</v>
      </c>
      <c r="FB21" s="10">
        <f>SUM(ED21:EG21)</f>
        <v>171</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35</v>
      </c>
      <c r="EA22" s="16">
        <f t="shared" ref="EA22:ET22" si="91">EA20+EA21</f>
        <v>53</v>
      </c>
      <c r="EB22" s="16">
        <f t="shared" si="91"/>
        <v>75</v>
      </c>
      <c r="EC22" s="16">
        <f t="shared" si="91"/>
        <v>62</v>
      </c>
      <c r="ED22" s="16">
        <f t="shared" si="91"/>
        <v>41</v>
      </c>
      <c r="EE22" s="16">
        <f t="shared" si="91"/>
        <v>96</v>
      </c>
      <c r="EF22" s="16">
        <f t="shared" si="91"/>
        <v>107</v>
      </c>
      <c r="EG22" s="16">
        <f t="shared" si="91"/>
        <v>127</v>
      </c>
      <c r="EH22" s="16">
        <f t="shared" si="91"/>
        <v>100</v>
      </c>
      <c r="EI22" s="16">
        <f t="shared" si="91"/>
        <v>103</v>
      </c>
      <c r="EJ22" s="16">
        <f t="shared" si="91"/>
        <v>110</v>
      </c>
      <c r="EK22" s="16">
        <f t="shared" si="91"/>
        <v>110</v>
      </c>
      <c r="EL22" s="16">
        <f t="shared" si="91"/>
        <v>150</v>
      </c>
      <c r="EM22" s="16">
        <f t="shared" si="91"/>
        <v>221</v>
      </c>
      <c r="EN22" s="16">
        <f t="shared" si="91"/>
        <v>240</v>
      </c>
      <c r="EO22" s="16">
        <f t="shared" si="91"/>
        <v>207</v>
      </c>
      <c r="EP22" s="16">
        <f t="shared" si="91"/>
        <v>123</v>
      </c>
      <c r="EQ22" s="16">
        <f t="shared" si="91"/>
        <v>109</v>
      </c>
      <c r="ER22" s="16">
        <f t="shared" si="91"/>
        <v>63</v>
      </c>
      <c r="ES22" s="16">
        <f t="shared" si="91"/>
        <v>19</v>
      </c>
      <c r="ET22" s="16">
        <f t="shared" si="91"/>
        <v>0</v>
      </c>
      <c r="EU22" s="11">
        <f>SUM(DZ22:ET22)</f>
        <v>2151</v>
      </c>
      <c r="EV22" s="11">
        <f t="shared" si="86"/>
        <v>76.8</v>
      </c>
      <c r="EW22" s="11">
        <f t="shared" si="87"/>
        <v>42.4</v>
      </c>
      <c r="EX22" s="11">
        <f t="shared" si="84"/>
        <v>982</v>
      </c>
      <c r="EY22" s="11">
        <f t="shared" si="88"/>
        <v>521</v>
      </c>
      <c r="EZ22" s="15">
        <f t="shared" si="89"/>
        <v>0.45653184565318455</v>
      </c>
      <c r="FA22" s="15">
        <f t="shared" si="90"/>
        <v>0.24221292422129242</v>
      </c>
      <c r="FB22" s="11">
        <f>SUM(ED22:EG22)</f>
        <v>371</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92">ROUND(DZ6,0)</f>
        <v>44</v>
      </c>
      <c r="EA23" s="9">
        <f t="shared" si="92"/>
        <v>21</v>
      </c>
      <c r="EB23" s="9">
        <f t="shared" si="92"/>
        <v>29</v>
      </c>
      <c r="EC23" s="9">
        <f t="shared" si="92"/>
        <v>28</v>
      </c>
      <c r="ED23" s="9">
        <f t="shared" si="92"/>
        <v>19</v>
      </c>
      <c r="EE23" s="9">
        <f t="shared" si="92"/>
        <v>58</v>
      </c>
      <c r="EF23" s="9">
        <f t="shared" si="92"/>
        <v>73</v>
      </c>
      <c r="EG23" s="9">
        <f t="shared" si="92"/>
        <v>95</v>
      </c>
      <c r="EH23" s="9">
        <f t="shared" si="92"/>
        <v>68</v>
      </c>
      <c r="EI23" s="9">
        <f t="shared" si="92"/>
        <v>59</v>
      </c>
      <c r="EJ23" s="9">
        <f t="shared" si="92"/>
        <v>60</v>
      </c>
      <c r="EK23" s="9">
        <f t="shared" si="92"/>
        <v>64</v>
      </c>
      <c r="EL23" s="9">
        <f t="shared" si="92"/>
        <v>51</v>
      </c>
      <c r="EM23" s="9">
        <f t="shared" si="92"/>
        <v>65</v>
      </c>
      <c r="EN23" s="9">
        <f t="shared" si="92"/>
        <v>95</v>
      </c>
      <c r="EO23" s="9">
        <f t="shared" si="92"/>
        <v>125</v>
      </c>
      <c r="EP23" s="9">
        <f t="shared" si="92"/>
        <v>81</v>
      </c>
      <c r="EQ23" s="9">
        <f t="shared" si="92"/>
        <v>34</v>
      </c>
      <c r="ER23" s="9">
        <f t="shared" si="92"/>
        <v>16</v>
      </c>
      <c r="ES23" s="9">
        <f t="shared" si="92"/>
        <v>5</v>
      </c>
      <c r="ET23" s="9">
        <f t="shared" si="92"/>
        <v>0</v>
      </c>
      <c r="EU23" s="9">
        <f t="shared" ref="EU23:EU31" si="93">SUM(DZ23:ET23)</f>
        <v>1090</v>
      </c>
      <c r="EV23" s="9">
        <f t="shared" si="86"/>
        <v>30</v>
      </c>
      <c r="EW23" s="9">
        <f t="shared" si="87"/>
        <v>17.2</v>
      </c>
      <c r="EX23" s="9">
        <f t="shared" si="84"/>
        <v>421</v>
      </c>
      <c r="EY23" s="9">
        <f t="shared" si="88"/>
        <v>261</v>
      </c>
      <c r="EZ23" s="13">
        <f t="shared" si="89"/>
        <v>0.38623853211009174</v>
      </c>
      <c r="FA23" s="13">
        <f t="shared" si="90"/>
        <v>0.23944954128440368</v>
      </c>
      <c r="FB23" s="9">
        <f t="shared" ref="FB23:FB31" si="94">SUM(ED23:EG23)</f>
        <v>245</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95">ROUND(DZ7,0)</f>
        <v>39</v>
      </c>
      <c r="EA24" s="10">
        <f t="shared" si="95"/>
        <v>16</v>
      </c>
      <c r="EB24" s="10">
        <f t="shared" si="95"/>
        <v>22</v>
      </c>
      <c r="EC24" s="10">
        <f t="shared" si="95"/>
        <v>22</v>
      </c>
      <c r="ED24" s="10">
        <f t="shared" si="95"/>
        <v>17</v>
      </c>
      <c r="EE24" s="10">
        <f t="shared" si="95"/>
        <v>42</v>
      </c>
      <c r="EF24" s="10">
        <f t="shared" si="95"/>
        <v>66</v>
      </c>
      <c r="EG24" s="10">
        <f t="shared" si="95"/>
        <v>76</v>
      </c>
      <c r="EH24" s="10">
        <f t="shared" si="95"/>
        <v>65</v>
      </c>
      <c r="EI24" s="10">
        <f t="shared" si="95"/>
        <v>38</v>
      </c>
      <c r="EJ24" s="10">
        <f t="shared" si="95"/>
        <v>42</v>
      </c>
      <c r="EK24" s="10">
        <f t="shared" si="95"/>
        <v>44</v>
      </c>
      <c r="EL24" s="10">
        <f t="shared" si="95"/>
        <v>61</v>
      </c>
      <c r="EM24" s="10">
        <f t="shared" si="95"/>
        <v>80</v>
      </c>
      <c r="EN24" s="10">
        <f t="shared" si="95"/>
        <v>118</v>
      </c>
      <c r="EO24" s="10">
        <f t="shared" si="95"/>
        <v>91</v>
      </c>
      <c r="EP24" s="10">
        <f t="shared" si="95"/>
        <v>85</v>
      </c>
      <c r="EQ24" s="10">
        <f t="shared" si="95"/>
        <v>48</v>
      </c>
      <c r="ER24" s="10">
        <f t="shared" si="95"/>
        <v>36</v>
      </c>
      <c r="ES24" s="10">
        <f t="shared" si="95"/>
        <v>13</v>
      </c>
      <c r="ET24" s="10">
        <f t="shared" si="95"/>
        <v>0</v>
      </c>
      <c r="EU24" s="10">
        <f t="shared" si="93"/>
        <v>1021</v>
      </c>
      <c r="EV24" s="10">
        <f t="shared" si="86"/>
        <v>22.799999999999997</v>
      </c>
      <c r="EW24" s="10">
        <f t="shared" si="87"/>
        <v>13.200000000000001</v>
      </c>
      <c r="EX24" s="10">
        <f t="shared" si="84"/>
        <v>471</v>
      </c>
      <c r="EY24" s="10">
        <f t="shared" si="88"/>
        <v>273</v>
      </c>
      <c r="EZ24" s="14">
        <f t="shared" si="89"/>
        <v>0.46131243878550443</v>
      </c>
      <c r="FA24" s="14">
        <f t="shared" si="90"/>
        <v>0.26738491674828602</v>
      </c>
      <c r="FB24" s="10">
        <f t="shared" si="94"/>
        <v>201</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83</v>
      </c>
      <c r="EA25" s="16">
        <f t="shared" ref="EA25:ET25" si="96">EA23+EA24</f>
        <v>37</v>
      </c>
      <c r="EB25" s="16">
        <f t="shared" si="96"/>
        <v>51</v>
      </c>
      <c r="EC25" s="16">
        <f t="shared" si="96"/>
        <v>50</v>
      </c>
      <c r="ED25" s="16">
        <f t="shared" si="96"/>
        <v>36</v>
      </c>
      <c r="EE25" s="16">
        <f t="shared" si="96"/>
        <v>100</v>
      </c>
      <c r="EF25" s="16">
        <f t="shared" si="96"/>
        <v>139</v>
      </c>
      <c r="EG25" s="16">
        <f t="shared" si="96"/>
        <v>171</v>
      </c>
      <c r="EH25" s="16">
        <f t="shared" si="96"/>
        <v>133</v>
      </c>
      <c r="EI25" s="16">
        <f t="shared" si="96"/>
        <v>97</v>
      </c>
      <c r="EJ25" s="16">
        <f t="shared" si="96"/>
        <v>102</v>
      </c>
      <c r="EK25" s="16">
        <f t="shared" si="96"/>
        <v>108</v>
      </c>
      <c r="EL25" s="16">
        <f t="shared" si="96"/>
        <v>112</v>
      </c>
      <c r="EM25" s="16">
        <f t="shared" si="96"/>
        <v>145</v>
      </c>
      <c r="EN25" s="16">
        <f t="shared" si="96"/>
        <v>213</v>
      </c>
      <c r="EO25" s="16">
        <f t="shared" si="96"/>
        <v>216</v>
      </c>
      <c r="EP25" s="16">
        <f t="shared" si="96"/>
        <v>166</v>
      </c>
      <c r="EQ25" s="16">
        <f t="shared" si="96"/>
        <v>82</v>
      </c>
      <c r="ER25" s="16">
        <f t="shared" si="96"/>
        <v>52</v>
      </c>
      <c r="ES25" s="16">
        <f t="shared" si="96"/>
        <v>18</v>
      </c>
      <c r="ET25" s="16">
        <f t="shared" si="96"/>
        <v>0</v>
      </c>
      <c r="EU25" s="11">
        <f t="shared" si="93"/>
        <v>2111</v>
      </c>
      <c r="EV25" s="11">
        <f t="shared" si="86"/>
        <v>52.8</v>
      </c>
      <c r="EW25" s="11">
        <f t="shared" si="87"/>
        <v>30.4</v>
      </c>
      <c r="EX25" s="11">
        <f t="shared" si="84"/>
        <v>892</v>
      </c>
      <c r="EY25" s="11">
        <f t="shared" si="88"/>
        <v>534</v>
      </c>
      <c r="EZ25" s="15">
        <f t="shared" si="89"/>
        <v>0.42254855518711509</v>
      </c>
      <c r="FA25" s="15">
        <f t="shared" si="90"/>
        <v>0.25296068214116535</v>
      </c>
      <c r="FB25" s="11">
        <f t="shared" si="94"/>
        <v>446</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97">ROUND(DZ9,0)</f>
        <v>48</v>
      </c>
      <c r="EA26" s="9">
        <f t="shared" si="97"/>
        <v>51</v>
      </c>
      <c r="EB26" s="9">
        <f t="shared" si="97"/>
        <v>21</v>
      </c>
      <c r="EC26" s="9">
        <f t="shared" si="97"/>
        <v>20</v>
      </c>
      <c r="ED26" s="9">
        <f t="shared" si="97"/>
        <v>16</v>
      </c>
      <c r="EE26" s="9">
        <f t="shared" si="97"/>
        <v>51</v>
      </c>
      <c r="EF26" s="9">
        <f t="shared" si="97"/>
        <v>75</v>
      </c>
      <c r="EG26" s="9">
        <f t="shared" si="97"/>
        <v>111</v>
      </c>
      <c r="EH26" s="9">
        <f t="shared" si="97"/>
        <v>107</v>
      </c>
      <c r="EI26" s="9">
        <f t="shared" si="97"/>
        <v>71</v>
      </c>
      <c r="EJ26" s="9">
        <f t="shared" si="97"/>
        <v>57</v>
      </c>
      <c r="EK26" s="9">
        <f t="shared" si="97"/>
        <v>59</v>
      </c>
      <c r="EL26" s="9">
        <f t="shared" si="97"/>
        <v>63</v>
      </c>
      <c r="EM26" s="9">
        <f t="shared" si="97"/>
        <v>49</v>
      </c>
      <c r="EN26" s="9">
        <f t="shared" si="97"/>
        <v>62</v>
      </c>
      <c r="EO26" s="9">
        <f t="shared" si="97"/>
        <v>87</v>
      </c>
      <c r="EP26" s="9">
        <f t="shared" si="97"/>
        <v>96</v>
      </c>
      <c r="EQ26" s="9">
        <f t="shared" si="97"/>
        <v>47</v>
      </c>
      <c r="ER26" s="9">
        <f t="shared" si="97"/>
        <v>17</v>
      </c>
      <c r="ES26" s="9">
        <f t="shared" si="97"/>
        <v>4</v>
      </c>
      <c r="ET26" s="9">
        <f t="shared" si="97"/>
        <v>0</v>
      </c>
      <c r="EU26" s="9">
        <f t="shared" si="93"/>
        <v>1112</v>
      </c>
      <c r="EV26" s="9">
        <f t="shared" si="86"/>
        <v>43.2</v>
      </c>
      <c r="EW26" s="9">
        <f t="shared" si="87"/>
        <v>12.4</v>
      </c>
      <c r="EX26" s="9">
        <f t="shared" si="84"/>
        <v>362</v>
      </c>
      <c r="EY26" s="9">
        <f t="shared" si="88"/>
        <v>251</v>
      </c>
      <c r="EZ26" s="13">
        <f t="shared" si="89"/>
        <v>0.32553956834532372</v>
      </c>
      <c r="FA26" s="13">
        <f t="shared" si="90"/>
        <v>0.22571942446043167</v>
      </c>
      <c r="FB26" s="9">
        <f t="shared" si="94"/>
        <v>253</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98">ROUND(DZ10,0)</f>
        <v>42</v>
      </c>
      <c r="EA27" s="10">
        <f t="shared" si="98"/>
        <v>39</v>
      </c>
      <c r="EB27" s="10">
        <f t="shared" si="98"/>
        <v>15</v>
      </c>
      <c r="EC27" s="10">
        <f t="shared" si="98"/>
        <v>14</v>
      </c>
      <c r="ED27" s="10">
        <f t="shared" si="98"/>
        <v>13</v>
      </c>
      <c r="EE27" s="10">
        <f t="shared" si="98"/>
        <v>43</v>
      </c>
      <c r="EF27" s="10">
        <f t="shared" si="98"/>
        <v>67</v>
      </c>
      <c r="EG27" s="10">
        <f t="shared" si="98"/>
        <v>93</v>
      </c>
      <c r="EH27" s="10">
        <f t="shared" si="98"/>
        <v>74</v>
      </c>
      <c r="EI27" s="10">
        <f t="shared" si="98"/>
        <v>57</v>
      </c>
      <c r="EJ27" s="10">
        <f t="shared" si="98"/>
        <v>39</v>
      </c>
      <c r="EK27" s="10">
        <f t="shared" si="98"/>
        <v>41</v>
      </c>
      <c r="EL27" s="10">
        <f t="shared" si="98"/>
        <v>46</v>
      </c>
      <c r="EM27" s="10">
        <f t="shared" si="98"/>
        <v>60</v>
      </c>
      <c r="EN27" s="10">
        <f t="shared" si="98"/>
        <v>78</v>
      </c>
      <c r="EO27" s="10">
        <f t="shared" si="98"/>
        <v>104</v>
      </c>
      <c r="EP27" s="10">
        <f t="shared" si="98"/>
        <v>77</v>
      </c>
      <c r="EQ27" s="10">
        <f t="shared" si="98"/>
        <v>62</v>
      </c>
      <c r="ER27" s="10">
        <f t="shared" si="98"/>
        <v>23</v>
      </c>
      <c r="ES27" s="10">
        <f t="shared" si="98"/>
        <v>12</v>
      </c>
      <c r="ET27" s="10">
        <f t="shared" si="98"/>
        <v>0</v>
      </c>
      <c r="EU27" s="10">
        <f t="shared" si="93"/>
        <v>999</v>
      </c>
      <c r="EV27" s="10">
        <f t="shared" si="86"/>
        <v>32.4</v>
      </c>
      <c r="EW27" s="10">
        <f t="shared" si="87"/>
        <v>8.8000000000000007</v>
      </c>
      <c r="EX27" s="10">
        <f t="shared" si="84"/>
        <v>416</v>
      </c>
      <c r="EY27" s="10">
        <f t="shared" si="88"/>
        <v>278</v>
      </c>
      <c r="EZ27" s="14">
        <f t="shared" si="89"/>
        <v>0.41641641641641641</v>
      </c>
      <c r="FA27" s="14">
        <f t="shared" si="90"/>
        <v>0.27827827827827828</v>
      </c>
      <c r="FB27" s="10">
        <f t="shared" si="94"/>
        <v>216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90</v>
      </c>
      <c r="EA28" s="16">
        <f t="shared" ref="EA28:ET28" si="99">EA26+EA27</f>
        <v>90</v>
      </c>
      <c r="EB28" s="16">
        <f t="shared" si="99"/>
        <v>36</v>
      </c>
      <c r="EC28" s="16">
        <f t="shared" si="99"/>
        <v>34</v>
      </c>
      <c r="ED28" s="16">
        <f t="shared" si="99"/>
        <v>29</v>
      </c>
      <c r="EE28" s="16">
        <f t="shared" si="99"/>
        <v>94</v>
      </c>
      <c r="EF28" s="16">
        <f t="shared" si="99"/>
        <v>142</v>
      </c>
      <c r="EG28" s="16">
        <f t="shared" si="99"/>
        <v>204</v>
      </c>
      <c r="EH28" s="16">
        <f t="shared" si="99"/>
        <v>181</v>
      </c>
      <c r="EI28" s="16">
        <f t="shared" si="99"/>
        <v>128</v>
      </c>
      <c r="EJ28" s="16">
        <f t="shared" si="99"/>
        <v>96</v>
      </c>
      <c r="EK28" s="16">
        <f t="shared" si="99"/>
        <v>100</v>
      </c>
      <c r="EL28" s="16">
        <f t="shared" si="99"/>
        <v>109</v>
      </c>
      <c r="EM28" s="16">
        <f t="shared" si="99"/>
        <v>109</v>
      </c>
      <c r="EN28" s="16">
        <f t="shared" si="99"/>
        <v>140</v>
      </c>
      <c r="EO28" s="16">
        <f t="shared" si="99"/>
        <v>191</v>
      </c>
      <c r="EP28" s="16">
        <f t="shared" si="99"/>
        <v>173</v>
      </c>
      <c r="EQ28" s="16">
        <f t="shared" si="99"/>
        <v>109</v>
      </c>
      <c r="ER28" s="16">
        <f t="shared" si="99"/>
        <v>40</v>
      </c>
      <c r="ES28" s="16">
        <f t="shared" si="99"/>
        <v>16</v>
      </c>
      <c r="ET28" s="16">
        <f t="shared" si="99"/>
        <v>0</v>
      </c>
      <c r="EU28" s="11">
        <f t="shared" si="93"/>
        <v>2111</v>
      </c>
      <c r="EV28" s="11">
        <f t="shared" si="86"/>
        <v>75.599999999999994</v>
      </c>
      <c r="EW28" s="11">
        <f t="shared" si="87"/>
        <v>21.2</v>
      </c>
      <c r="EX28" s="11">
        <f t="shared" si="84"/>
        <v>778</v>
      </c>
      <c r="EY28" s="11">
        <f t="shared" si="88"/>
        <v>529</v>
      </c>
      <c r="EZ28" s="15">
        <f t="shared" si="89"/>
        <v>0.36854571293225957</v>
      </c>
      <c r="FA28" s="15">
        <f t="shared" si="90"/>
        <v>0.25059213642823308</v>
      </c>
      <c r="FB28" s="11">
        <f t="shared" si="94"/>
        <v>469</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100">ROUND(DZ12,0)</f>
        <v>46</v>
      </c>
      <c r="EA29" s="9">
        <f t="shared" si="100"/>
        <v>54</v>
      </c>
      <c r="EB29" s="9">
        <f t="shared" si="100"/>
        <v>50</v>
      </c>
      <c r="EC29" s="9">
        <f t="shared" si="100"/>
        <v>14</v>
      </c>
      <c r="ED29" s="9">
        <f t="shared" si="100"/>
        <v>11</v>
      </c>
      <c r="EE29" s="9">
        <f t="shared" si="100"/>
        <v>48</v>
      </c>
      <c r="EF29" s="9">
        <f t="shared" si="100"/>
        <v>70</v>
      </c>
      <c r="EG29" s="9">
        <f t="shared" si="100"/>
        <v>113</v>
      </c>
      <c r="EH29" s="9">
        <f t="shared" si="100"/>
        <v>125</v>
      </c>
      <c r="EI29" s="9">
        <f t="shared" si="100"/>
        <v>111</v>
      </c>
      <c r="EJ29" s="9">
        <f t="shared" si="100"/>
        <v>69</v>
      </c>
      <c r="EK29" s="9">
        <f t="shared" si="100"/>
        <v>57</v>
      </c>
      <c r="EL29" s="9">
        <f t="shared" si="100"/>
        <v>59</v>
      </c>
      <c r="EM29" s="9">
        <f t="shared" si="100"/>
        <v>61</v>
      </c>
      <c r="EN29" s="9">
        <f t="shared" si="100"/>
        <v>46</v>
      </c>
      <c r="EO29" s="9">
        <f t="shared" si="100"/>
        <v>56</v>
      </c>
      <c r="EP29" s="9">
        <f t="shared" si="100"/>
        <v>67</v>
      </c>
      <c r="EQ29" s="9">
        <f t="shared" si="100"/>
        <v>56</v>
      </c>
      <c r="ER29" s="9">
        <f t="shared" si="100"/>
        <v>23</v>
      </c>
      <c r="ES29" s="9">
        <f t="shared" si="100"/>
        <v>4</v>
      </c>
      <c r="ET29" s="9">
        <f t="shared" si="100"/>
        <v>0</v>
      </c>
      <c r="EU29" s="9">
        <f t="shared" si="93"/>
        <v>1140</v>
      </c>
      <c r="EV29" s="9">
        <f t="shared" si="86"/>
        <v>62.4</v>
      </c>
      <c r="EW29" s="9">
        <f t="shared" si="87"/>
        <v>22.8</v>
      </c>
      <c r="EX29" s="9">
        <f t="shared" si="84"/>
        <v>313</v>
      </c>
      <c r="EY29" s="9">
        <f t="shared" si="88"/>
        <v>206</v>
      </c>
      <c r="EZ29" s="13">
        <f t="shared" si="89"/>
        <v>0.27456140350877195</v>
      </c>
      <c r="FA29" s="13">
        <f t="shared" si="90"/>
        <v>0.18070175438596492</v>
      </c>
      <c r="FB29" s="9">
        <f t="shared" si="94"/>
        <v>242</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101">ROUND(DZ13,0)</f>
        <v>41</v>
      </c>
      <c r="EA30" s="10">
        <f t="shared" si="101"/>
        <v>41</v>
      </c>
      <c r="EB30" s="10">
        <f t="shared" si="101"/>
        <v>37</v>
      </c>
      <c r="EC30" s="10">
        <f t="shared" si="101"/>
        <v>10</v>
      </c>
      <c r="ED30" s="10">
        <f t="shared" si="101"/>
        <v>8</v>
      </c>
      <c r="EE30" s="10">
        <f t="shared" si="101"/>
        <v>39</v>
      </c>
      <c r="EF30" s="10">
        <f t="shared" si="101"/>
        <v>68</v>
      </c>
      <c r="EG30" s="10">
        <f t="shared" si="101"/>
        <v>94</v>
      </c>
      <c r="EH30" s="10">
        <f t="shared" si="101"/>
        <v>92</v>
      </c>
      <c r="EI30" s="10">
        <f t="shared" si="101"/>
        <v>65</v>
      </c>
      <c r="EJ30" s="10">
        <f t="shared" si="101"/>
        <v>58</v>
      </c>
      <c r="EK30" s="10">
        <f t="shared" si="101"/>
        <v>37</v>
      </c>
      <c r="EL30" s="10">
        <f t="shared" si="101"/>
        <v>42</v>
      </c>
      <c r="EM30" s="10">
        <f t="shared" si="101"/>
        <v>45</v>
      </c>
      <c r="EN30" s="10">
        <f t="shared" si="101"/>
        <v>59</v>
      </c>
      <c r="EO30" s="10">
        <f t="shared" si="101"/>
        <v>69</v>
      </c>
      <c r="EP30" s="10">
        <f t="shared" si="101"/>
        <v>88</v>
      </c>
      <c r="EQ30" s="10">
        <f t="shared" si="101"/>
        <v>56</v>
      </c>
      <c r="ER30" s="10">
        <f t="shared" si="101"/>
        <v>30</v>
      </c>
      <c r="ES30" s="10">
        <f t="shared" si="101"/>
        <v>7</v>
      </c>
      <c r="ET30" s="10">
        <f t="shared" si="101"/>
        <v>0</v>
      </c>
      <c r="EU30" s="10">
        <f t="shared" si="93"/>
        <v>986</v>
      </c>
      <c r="EV30" s="10">
        <f t="shared" si="86"/>
        <v>46.8</v>
      </c>
      <c r="EW30" s="10">
        <f t="shared" si="87"/>
        <v>16.8</v>
      </c>
      <c r="EX30" s="10">
        <f t="shared" si="84"/>
        <v>354</v>
      </c>
      <c r="EY30" s="10">
        <f t="shared" si="88"/>
        <v>250</v>
      </c>
      <c r="EZ30" s="14">
        <f t="shared" si="89"/>
        <v>0.35902636916835701</v>
      </c>
      <c r="FA30" s="14">
        <f t="shared" si="90"/>
        <v>0.25354969574036512</v>
      </c>
      <c r="FB30" s="10">
        <f t="shared" si="94"/>
        <v>209</v>
      </c>
    </row>
    <row r="31" spans="1:158" ht="13.1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87</v>
      </c>
      <c r="EA31" s="16">
        <f t="shared" ref="EA31:ET31" si="102">EA29+EA30</f>
        <v>95</v>
      </c>
      <c r="EB31" s="16">
        <f t="shared" si="102"/>
        <v>87</v>
      </c>
      <c r="EC31" s="16">
        <f t="shared" si="102"/>
        <v>24</v>
      </c>
      <c r="ED31" s="16">
        <f t="shared" si="102"/>
        <v>19</v>
      </c>
      <c r="EE31" s="16">
        <f t="shared" si="102"/>
        <v>87</v>
      </c>
      <c r="EF31" s="16">
        <f t="shared" si="102"/>
        <v>138</v>
      </c>
      <c r="EG31" s="16">
        <f t="shared" si="102"/>
        <v>207</v>
      </c>
      <c r="EH31" s="16">
        <f t="shared" si="102"/>
        <v>217</v>
      </c>
      <c r="EI31" s="16">
        <f t="shared" si="102"/>
        <v>176</v>
      </c>
      <c r="EJ31" s="16">
        <f t="shared" si="102"/>
        <v>127</v>
      </c>
      <c r="EK31" s="16">
        <f t="shared" si="102"/>
        <v>94</v>
      </c>
      <c r="EL31" s="16">
        <f t="shared" si="102"/>
        <v>101</v>
      </c>
      <c r="EM31" s="16">
        <f t="shared" si="102"/>
        <v>106</v>
      </c>
      <c r="EN31" s="16">
        <f t="shared" si="102"/>
        <v>105</v>
      </c>
      <c r="EO31" s="16">
        <f t="shared" si="102"/>
        <v>125</v>
      </c>
      <c r="EP31" s="16">
        <f t="shared" si="102"/>
        <v>155</v>
      </c>
      <c r="EQ31" s="16">
        <f t="shared" si="102"/>
        <v>112</v>
      </c>
      <c r="ER31" s="16">
        <f t="shared" si="102"/>
        <v>53</v>
      </c>
      <c r="ES31" s="16">
        <f t="shared" si="102"/>
        <v>11</v>
      </c>
      <c r="ET31" s="16">
        <f t="shared" si="102"/>
        <v>0</v>
      </c>
      <c r="EU31" s="11">
        <f t="shared" si="93"/>
        <v>2126</v>
      </c>
      <c r="EV31" s="11">
        <f t="shared" si="86"/>
        <v>109.2</v>
      </c>
      <c r="EW31" s="11">
        <f t="shared" si="87"/>
        <v>39.599999999999994</v>
      </c>
      <c r="EX31" s="11">
        <f t="shared" si="84"/>
        <v>667</v>
      </c>
      <c r="EY31" s="11">
        <f t="shared" si="88"/>
        <v>456</v>
      </c>
      <c r="EZ31" s="15">
        <f t="shared" si="89"/>
        <v>0.31373471307619943</v>
      </c>
      <c r="FA31" s="15">
        <f t="shared" si="90"/>
        <v>0.21448730009407338</v>
      </c>
      <c r="FB31" s="11">
        <f t="shared" si="94"/>
        <v>451</v>
      </c>
    </row>
    <row r="32" spans="1:158" ht="13.1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3.15" customHeight="1" x14ac:dyDescent="0.15"/>
    <row r="47" spans="96:121" ht="13.15" customHeight="1" x14ac:dyDescent="0.15"/>
    <row r="50" ht="14.1" customHeight="1" x14ac:dyDescent="0.15"/>
    <row r="61" ht="13.15" customHeight="1" x14ac:dyDescent="0.15"/>
    <row r="62" ht="13.15" customHeight="1" x14ac:dyDescent="0.15"/>
    <row r="65" ht="14.1" customHeight="1" x14ac:dyDescent="0.15"/>
    <row r="80" ht="13.1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1304</v>
      </c>
      <c r="D4" s="17">
        <f>SUM(C41:C61)</f>
        <v>1436</v>
      </c>
      <c r="E4" s="17">
        <f>C4+D4</f>
        <v>2740</v>
      </c>
      <c r="F4" s="85"/>
      <c r="G4" s="1" t="s">
        <v>58</v>
      </c>
      <c r="H4" s="1">
        <f t="shared" ref="H4:J6" si="0">B4</f>
        <v>2010</v>
      </c>
      <c r="I4" s="17">
        <f t="shared" si="0"/>
        <v>1304</v>
      </c>
      <c r="J4" s="17">
        <f t="shared" si="0"/>
        <v>1436</v>
      </c>
      <c r="K4" s="17">
        <f>I4+J4</f>
        <v>2740</v>
      </c>
      <c r="N4" s="1" t="s">
        <v>58</v>
      </c>
      <c r="O4" s="1">
        <f>H4</f>
        <v>2010</v>
      </c>
      <c r="P4" s="17">
        <f>I4</f>
        <v>1304</v>
      </c>
      <c r="Q4" s="17">
        <f>J4</f>
        <v>1436</v>
      </c>
      <c r="R4" s="17">
        <f>K4</f>
        <v>2740</v>
      </c>
      <c r="S4" s="1"/>
      <c r="T4" s="1"/>
      <c r="U4" s="1"/>
    </row>
    <row r="5" spans="1:21" x14ac:dyDescent="0.15">
      <c r="A5" s="1" t="s">
        <v>61</v>
      </c>
      <c r="B5" s="1">
        <f>管理者入力シート!B6</f>
        <v>2015</v>
      </c>
      <c r="C5" s="17">
        <f>SUM(B65:B85)</f>
        <v>1237</v>
      </c>
      <c r="D5" s="17">
        <f>SUM(C65:C85)</f>
        <v>1300</v>
      </c>
      <c r="E5" s="17">
        <f>C5+D5</f>
        <v>2537</v>
      </c>
      <c r="F5" s="85"/>
      <c r="G5" s="1" t="s">
        <v>57</v>
      </c>
      <c r="H5" s="1">
        <f t="shared" si="0"/>
        <v>2015</v>
      </c>
      <c r="I5" s="17">
        <f t="shared" si="0"/>
        <v>1237</v>
      </c>
      <c r="J5" s="17">
        <f t="shared" si="0"/>
        <v>1300</v>
      </c>
      <c r="K5" s="17">
        <f t="shared" ref="K5:K10" si="1">I5+J5</f>
        <v>2537</v>
      </c>
      <c r="N5" s="1" t="s">
        <v>57</v>
      </c>
      <c r="O5" s="1">
        <f t="shared" ref="O5:O10" si="2">H5</f>
        <v>2015</v>
      </c>
      <c r="P5" s="17">
        <f t="shared" ref="P5:P10" si="3">I5</f>
        <v>1237</v>
      </c>
      <c r="Q5" s="17">
        <f t="shared" ref="Q5:Q10" si="4">J5</f>
        <v>1300</v>
      </c>
      <c r="R5" s="17">
        <f t="shared" ref="R5:R10" si="5">K5</f>
        <v>2537</v>
      </c>
      <c r="S5" s="1"/>
      <c r="T5" s="1"/>
      <c r="U5" s="1"/>
    </row>
    <row r="6" spans="1:21" x14ac:dyDescent="0.15">
      <c r="A6" s="1" t="s">
        <v>62</v>
      </c>
      <c r="B6" s="1">
        <f>管理者入力シート!B5</f>
        <v>2020</v>
      </c>
      <c r="C6" s="17">
        <f>SUM(B89:B109)</f>
        <v>1109</v>
      </c>
      <c r="D6" s="17">
        <f>SUM(C89:C109)</f>
        <v>1143</v>
      </c>
      <c r="E6" s="17">
        <f>C6+D6</f>
        <v>2252</v>
      </c>
      <c r="F6" s="85"/>
      <c r="G6" s="1" t="s">
        <v>62</v>
      </c>
      <c r="H6" s="1">
        <f t="shared" si="0"/>
        <v>2020</v>
      </c>
      <c r="I6" s="17">
        <f t="shared" si="0"/>
        <v>1109</v>
      </c>
      <c r="J6" s="17">
        <f t="shared" si="0"/>
        <v>1143</v>
      </c>
      <c r="K6" s="17">
        <f t="shared" si="1"/>
        <v>2252</v>
      </c>
      <c r="N6" s="1" t="s">
        <v>62</v>
      </c>
      <c r="O6" s="1">
        <f t="shared" si="2"/>
        <v>2020</v>
      </c>
      <c r="P6" s="17">
        <f t="shared" si="3"/>
        <v>1109</v>
      </c>
      <c r="Q6" s="17">
        <f t="shared" si="4"/>
        <v>1143</v>
      </c>
      <c r="R6" s="17">
        <f t="shared" si="5"/>
        <v>2252</v>
      </c>
      <c r="S6" s="1"/>
      <c r="T6" s="1"/>
      <c r="U6" s="1"/>
    </row>
    <row r="7" spans="1:21" x14ac:dyDescent="0.15">
      <c r="G7" s="1" t="s">
        <v>106</v>
      </c>
      <c r="H7" s="1">
        <f>管理者入力シート!B8</f>
        <v>2025</v>
      </c>
      <c r="I7" s="17">
        <f>SUM(H69:H89)</f>
        <v>1000</v>
      </c>
      <c r="J7" s="17">
        <f>SUM(I69:I89)</f>
        <v>977</v>
      </c>
      <c r="K7" s="17">
        <f t="shared" si="1"/>
        <v>1977</v>
      </c>
      <c r="N7" s="1" t="s">
        <v>106</v>
      </c>
      <c r="O7" s="1">
        <f t="shared" si="2"/>
        <v>2025</v>
      </c>
      <c r="P7" s="17">
        <f t="shared" si="3"/>
        <v>1000</v>
      </c>
      <c r="Q7" s="17">
        <f t="shared" si="4"/>
        <v>977</v>
      </c>
      <c r="R7" s="17">
        <f t="shared" si="5"/>
        <v>1977</v>
      </c>
      <c r="S7" s="235">
        <f>SUM(O69:O89)</f>
        <v>1004</v>
      </c>
      <c r="T7" s="235">
        <f>SUM(P69:P89)</f>
        <v>982</v>
      </c>
      <c r="U7" s="235">
        <f>S7+T7</f>
        <v>1986</v>
      </c>
    </row>
    <row r="8" spans="1:21" x14ac:dyDescent="0.15">
      <c r="A8" s="69" t="s">
        <v>71</v>
      </c>
      <c r="G8" s="1" t="s">
        <v>107</v>
      </c>
      <c r="H8" s="1">
        <f>管理者入力シート!B9</f>
        <v>2030</v>
      </c>
      <c r="I8" s="17">
        <f>SUM(H93:H113)</f>
        <v>884</v>
      </c>
      <c r="J8" s="17">
        <f>SUM(I93:I113)</f>
        <v>823</v>
      </c>
      <c r="K8" s="17">
        <f t="shared" si="1"/>
        <v>1707</v>
      </c>
      <c r="N8" s="1" t="s">
        <v>107</v>
      </c>
      <c r="O8" s="1">
        <f t="shared" si="2"/>
        <v>2030</v>
      </c>
      <c r="P8" s="17">
        <f t="shared" si="3"/>
        <v>884</v>
      </c>
      <c r="Q8" s="17">
        <f t="shared" si="4"/>
        <v>823</v>
      </c>
      <c r="R8" s="17">
        <f t="shared" si="5"/>
        <v>1707</v>
      </c>
      <c r="S8" s="235">
        <f>SUM(O93:O113)</f>
        <v>892</v>
      </c>
      <c r="T8" s="235">
        <f>SUM(P93:P113)</f>
        <v>833</v>
      </c>
      <c r="U8" s="235">
        <f>S8+T8</f>
        <v>1725</v>
      </c>
    </row>
    <row r="9" spans="1:21" x14ac:dyDescent="0.15">
      <c r="A9" s="2" t="s">
        <v>72</v>
      </c>
      <c r="G9" s="1" t="s">
        <v>108</v>
      </c>
      <c r="H9" s="1">
        <f>管理者入力シート!B10</f>
        <v>2035</v>
      </c>
      <c r="I9" s="17">
        <f>SUM(H117:H137)</f>
        <v>766</v>
      </c>
      <c r="J9" s="17">
        <f>SUM(I117:I137)</f>
        <v>692</v>
      </c>
      <c r="K9" s="17">
        <f t="shared" si="1"/>
        <v>1458</v>
      </c>
      <c r="N9" s="1" t="s">
        <v>108</v>
      </c>
      <c r="O9" s="1">
        <f t="shared" si="2"/>
        <v>2035</v>
      </c>
      <c r="P9" s="17">
        <f t="shared" si="3"/>
        <v>766</v>
      </c>
      <c r="Q9" s="17">
        <f t="shared" si="4"/>
        <v>692</v>
      </c>
      <c r="R9" s="17">
        <f t="shared" si="5"/>
        <v>1458</v>
      </c>
      <c r="S9" s="235">
        <f>SUM(O117:O137)</f>
        <v>780</v>
      </c>
      <c r="T9" s="235">
        <f>SUM(P117:P137)</f>
        <v>707</v>
      </c>
      <c r="U9" s="235">
        <f>S9+T9</f>
        <v>1487</v>
      </c>
    </row>
    <row r="10" spans="1:21" x14ac:dyDescent="0.15">
      <c r="A10" s="1" t="s">
        <v>58</v>
      </c>
      <c r="B10" s="1">
        <f>B4</f>
        <v>2010</v>
      </c>
      <c r="C10" s="17">
        <f>ROUND(VLOOKUP(B10&amp;"_3",管理者用人口入力シート!A:AA,26,FALSE),0)</f>
        <v>119</v>
      </c>
      <c r="D10" s="12"/>
      <c r="E10" s="12"/>
      <c r="G10" s="1" t="s">
        <v>109</v>
      </c>
      <c r="H10" s="1">
        <f>管理者入力シート!B11</f>
        <v>2040</v>
      </c>
      <c r="I10" s="17">
        <f>SUM(H141:H161)</f>
        <v>654</v>
      </c>
      <c r="J10" s="17">
        <f>SUM(I141:I161)</f>
        <v>571</v>
      </c>
      <c r="K10" s="17">
        <f t="shared" si="1"/>
        <v>1225</v>
      </c>
      <c r="N10" s="1" t="s">
        <v>109</v>
      </c>
      <c r="O10" s="1">
        <f t="shared" si="2"/>
        <v>2040</v>
      </c>
      <c r="P10" s="17">
        <f t="shared" si="3"/>
        <v>654</v>
      </c>
      <c r="Q10" s="17">
        <f t="shared" si="4"/>
        <v>571</v>
      </c>
      <c r="R10" s="17">
        <f t="shared" si="5"/>
        <v>1225</v>
      </c>
      <c r="S10" s="235">
        <f>SUM(O141:O161)</f>
        <v>674</v>
      </c>
      <c r="T10" s="235">
        <f>SUM(P141:P161)</f>
        <v>594</v>
      </c>
      <c r="U10" s="235">
        <f>S10+T10</f>
        <v>1268</v>
      </c>
    </row>
    <row r="11" spans="1:21" x14ac:dyDescent="0.15">
      <c r="A11" s="1" t="s">
        <v>61</v>
      </c>
      <c r="B11" s="1">
        <f>B5</f>
        <v>2015</v>
      </c>
      <c r="C11" s="17">
        <f>ROUND(VLOOKUP(B11&amp;"_3",管理者用人口入力シート!A:AA,26,FALSE),0)</f>
        <v>117</v>
      </c>
      <c r="D11" s="12"/>
      <c r="E11" s="12"/>
      <c r="I11" s="12"/>
      <c r="J11" s="12"/>
      <c r="K11" s="12"/>
      <c r="P11" s="12"/>
    </row>
    <row r="12" spans="1:21" x14ac:dyDescent="0.15">
      <c r="A12" s="1" t="s">
        <v>62</v>
      </c>
      <c r="B12" s="1">
        <f>B6</f>
        <v>2020</v>
      </c>
      <c r="C12" s="17">
        <f>ROUND(VLOOKUP(B12&amp;"_3",管理者用人口入力シート!A:AA,26,FALSE),0)</f>
        <v>102</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62</v>
      </c>
      <c r="D14" s="12"/>
      <c r="E14" s="12"/>
      <c r="G14" s="1" t="s">
        <v>58</v>
      </c>
      <c r="H14" s="1">
        <f>H4</f>
        <v>2010</v>
      </c>
      <c r="I14" s="17">
        <f>C10</f>
        <v>119</v>
      </c>
      <c r="J14" s="12"/>
      <c r="K14" s="12"/>
      <c r="N14" s="1" t="s">
        <v>58</v>
      </c>
      <c r="O14" s="1">
        <f>O4</f>
        <v>2010</v>
      </c>
      <c r="P14" s="17">
        <f>I14</f>
        <v>119</v>
      </c>
      <c r="Q14" s="17"/>
    </row>
    <row r="15" spans="1:21" x14ac:dyDescent="0.15">
      <c r="A15" s="1" t="s">
        <v>61</v>
      </c>
      <c r="B15" s="1">
        <f>B5</f>
        <v>2015</v>
      </c>
      <c r="C15" s="17">
        <f>ROUND(VLOOKUP(B15&amp;"_3",管理者用人口入力シート!A:AA,27,FALSE),0)</f>
        <v>51</v>
      </c>
      <c r="D15" s="12"/>
      <c r="E15" s="12"/>
      <c r="G15" s="1" t="s">
        <v>57</v>
      </c>
      <c r="H15" s="1">
        <f t="shared" ref="H15:H20" si="6">H5</f>
        <v>2015</v>
      </c>
      <c r="I15" s="17">
        <f>C11</f>
        <v>117</v>
      </c>
      <c r="J15" s="12"/>
      <c r="K15" s="12"/>
      <c r="N15" s="1" t="s">
        <v>57</v>
      </c>
      <c r="O15" s="1">
        <f t="shared" ref="O15:O20" si="7">O5</f>
        <v>2015</v>
      </c>
      <c r="P15" s="17">
        <f t="shared" ref="P15:P20" si="8">I15</f>
        <v>117</v>
      </c>
      <c r="Q15" s="17"/>
    </row>
    <row r="16" spans="1:21" x14ac:dyDescent="0.15">
      <c r="A16" s="1" t="s">
        <v>62</v>
      </c>
      <c r="B16" s="1">
        <f>B6</f>
        <v>2020</v>
      </c>
      <c r="C16" s="17">
        <f>ROUND(VLOOKUP(B16&amp;"_3",管理者用人口入力シート!A:AA,27,FALSE),0)</f>
        <v>51</v>
      </c>
      <c r="D16" s="12"/>
      <c r="E16" s="12"/>
      <c r="G16" s="1" t="s">
        <v>62</v>
      </c>
      <c r="H16" s="1">
        <f t="shared" si="6"/>
        <v>2020</v>
      </c>
      <c r="I16" s="17">
        <f>C12</f>
        <v>102</v>
      </c>
      <c r="J16" s="12"/>
      <c r="K16" s="12"/>
      <c r="N16" s="1" t="s">
        <v>62</v>
      </c>
      <c r="O16" s="1">
        <f t="shared" si="7"/>
        <v>2020</v>
      </c>
      <c r="P16" s="17">
        <f t="shared" si="8"/>
        <v>102</v>
      </c>
      <c r="Q16" s="17"/>
    </row>
    <row r="17" spans="1:17" x14ac:dyDescent="0.15">
      <c r="G17" s="1" t="s">
        <v>106</v>
      </c>
      <c r="H17" s="1">
        <f t="shared" si="6"/>
        <v>2025</v>
      </c>
      <c r="I17" s="17">
        <f>ROUND(VLOOKUP(H17&amp;"_3",管理者用人口入力シート!BH:CM,26,FALSE),0)</f>
        <v>77</v>
      </c>
      <c r="J17" s="12"/>
      <c r="K17" s="12"/>
      <c r="N17" s="1" t="s">
        <v>106</v>
      </c>
      <c r="O17" s="1">
        <f t="shared" si="7"/>
        <v>2025</v>
      </c>
      <c r="P17" s="17">
        <f t="shared" si="8"/>
        <v>77</v>
      </c>
      <c r="Q17" s="17">
        <f>ROUND(VLOOKUP(H17&amp;"_3",管理者用人口入力シート!CO:DT,26,FALSE),0)</f>
        <v>78</v>
      </c>
    </row>
    <row r="18" spans="1:17" x14ac:dyDescent="0.15">
      <c r="A18" s="69" t="s">
        <v>110</v>
      </c>
      <c r="G18" s="1" t="s">
        <v>107</v>
      </c>
      <c r="H18" s="1">
        <f t="shared" si="6"/>
        <v>2030</v>
      </c>
      <c r="I18" s="17">
        <f>ROUND(VLOOKUP(H18&amp;"_3",管理者用人口入力シート!BH:CM,26,FALSE),0)</f>
        <v>53</v>
      </c>
      <c r="J18" s="12"/>
      <c r="K18" s="12"/>
      <c r="N18" s="1" t="s">
        <v>107</v>
      </c>
      <c r="O18" s="1">
        <f t="shared" si="7"/>
        <v>2030</v>
      </c>
      <c r="P18" s="17">
        <f t="shared" si="8"/>
        <v>53</v>
      </c>
      <c r="Q18" s="17">
        <f>ROUND(VLOOKUP(H18&amp;"_3",管理者用人口入力シート!CO:DT,26,FALSE),0)</f>
        <v>56</v>
      </c>
    </row>
    <row r="19" spans="1:17" x14ac:dyDescent="0.15">
      <c r="A19" s="2" t="s">
        <v>84</v>
      </c>
      <c r="G19" s="1" t="s">
        <v>108</v>
      </c>
      <c r="H19" s="1">
        <f t="shared" si="6"/>
        <v>2035</v>
      </c>
      <c r="I19" s="17">
        <f>ROUND(VLOOKUP(H19&amp;"_3",管理者用人口入力シート!BH:CM,26,FALSE),0)</f>
        <v>38</v>
      </c>
      <c r="J19" s="12"/>
      <c r="K19" s="12"/>
      <c r="N19" s="1" t="s">
        <v>108</v>
      </c>
      <c r="O19" s="1">
        <f t="shared" si="7"/>
        <v>2035</v>
      </c>
      <c r="P19" s="17">
        <f t="shared" si="8"/>
        <v>38</v>
      </c>
      <c r="Q19" s="17">
        <f>ROUND(VLOOKUP(H19&amp;"_3",管理者用人口入力シート!CO:DT,26,FALSE),0)</f>
        <v>43</v>
      </c>
    </row>
    <row r="20" spans="1:17" x14ac:dyDescent="0.15">
      <c r="A20" s="1" t="s">
        <v>58</v>
      </c>
      <c r="B20" s="1">
        <f>B4</f>
        <v>2010</v>
      </c>
      <c r="C20" s="17">
        <f>SUM(B54:C61)</f>
        <v>955</v>
      </c>
      <c r="D20" s="12"/>
      <c r="E20" s="12"/>
      <c r="G20" s="1" t="s">
        <v>109</v>
      </c>
      <c r="H20" s="1">
        <f t="shared" si="6"/>
        <v>2040</v>
      </c>
      <c r="I20" s="17">
        <f>ROUND(VLOOKUP(H20&amp;"_3",管理者用人口入力シート!BH:CM,26,FALSE),0)</f>
        <v>29</v>
      </c>
      <c r="J20" s="12"/>
      <c r="K20" s="12"/>
      <c r="N20" s="1" t="s">
        <v>109</v>
      </c>
      <c r="O20" s="1">
        <f t="shared" si="7"/>
        <v>2040</v>
      </c>
      <c r="P20" s="17">
        <f t="shared" si="8"/>
        <v>29</v>
      </c>
      <c r="Q20" s="17">
        <f>ROUND(VLOOKUP(H20&amp;"_3",管理者用人口入力シート!CO:DT,26,FALSE),0)</f>
        <v>35</v>
      </c>
    </row>
    <row r="21" spans="1:17" x14ac:dyDescent="0.15">
      <c r="A21" s="1" t="s">
        <v>61</v>
      </c>
      <c r="B21" s="1">
        <f>B5</f>
        <v>2015</v>
      </c>
      <c r="C21" s="17">
        <f>SUM(B78:C85)</f>
        <v>976</v>
      </c>
      <c r="D21" s="12"/>
      <c r="E21" s="12"/>
      <c r="G21" s="65" t="s">
        <v>73</v>
      </c>
      <c r="H21" s="65"/>
      <c r="I21" s="66"/>
      <c r="J21" s="12"/>
      <c r="K21" s="12"/>
      <c r="N21" s="65" t="s">
        <v>73</v>
      </c>
      <c r="O21" s="65"/>
      <c r="P21" s="2" t="s">
        <v>120</v>
      </c>
      <c r="Q21" s="2" t="s">
        <v>119</v>
      </c>
    </row>
    <row r="22" spans="1:17" x14ac:dyDescent="0.15">
      <c r="A22" s="1" t="s">
        <v>62</v>
      </c>
      <c r="B22" s="1">
        <f>B6</f>
        <v>2020</v>
      </c>
      <c r="C22" s="17">
        <f>SUM(B102:C109)</f>
        <v>1002</v>
      </c>
      <c r="D22" s="12"/>
      <c r="E22" s="12"/>
      <c r="G22" s="1" t="s">
        <v>58</v>
      </c>
      <c r="H22" s="1">
        <f>H4</f>
        <v>2010</v>
      </c>
      <c r="I22" s="17">
        <f>C14</f>
        <v>62</v>
      </c>
      <c r="J22" s="12"/>
      <c r="K22" s="12"/>
      <c r="N22" s="1" t="s">
        <v>58</v>
      </c>
      <c r="O22" s="1">
        <f>O4</f>
        <v>2010</v>
      </c>
      <c r="P22" s="17">
        <f>I22</f>
        <v>62</v>
      </c>
      <c r="Q22" s="17"/>
    </row>
    <row r="23" spans="1:17" x14ac:dyDescent="0.15">
      <c r="A23" s="2" t="s">
        <v>86</v>
      </c>
      <c r="G23" s="1" t="s">
        <v>57</v>
      </c>
      <c r="H23" s="1">
        <f t="shared" ref="H23:H28" si="9">H5</f>
        <v>2015</v>
      </c>
      <c r="I23" s="17">
        <f>C15</f>
        <v>51</v>
      </c>
      <c r="J23" s="12"/>
      <c r="K23" s="12"/>
      <c r="N23" s="1" t="s">
        <v>57</v>
      </c>
      <c r="O23" s="1">
        <f t="shared" ref="O23:O28" si="10">O5</f>
        <v>2015</v>
      </c>
      <c r="P23" s="17">
        <f t="shared" ref="P23:P28" si="11">I23</f>
        <v>51</v>
      </c>
      <c r="Q23" s="17"/>
    </row>
    <row r="24" spans="1:17" x14ac:dyDescent="0.15">
      <c r="A24" s="1" t="s">
        <v>58</v>
      </c>
      <c r="B24" s="1">
        <f>B4</f>
        <v>2010</v>
      </c>
      <c r="C24" s="17">
        <f>SUM(B56:C61)</f>
        <v>562</v>
      </c>
      <c r="D24" s="12"/>
      <c r="E24" s="12"/>
      <c r="G24" s="1" t="s">
        <v>62</v>
      </c>
      <c r="H24" s="1">
        <f t="shared" si="9"/>
        <v>2020</v>
      </c>
      <c r="I24" s="17">
        <f>C16</f>
        <v>51</v>
      </c>
      <c r="J24" s="12"/>
      <c r="K24" s="12"/>
      <c r="N24" s="1" t="s">
        <v>62</v>
      </c>
      <c r="O24" s="1">
        <f t="shared" si="10"/>
        <v>2020</v>
      </c>
      <c r="P24" s="17">
        <f t="shared" si="11"/>
        <v>51</v>
      </c>
      <c r="Q24" s="17"/>
    </row>
    <row r="25" spans="1:17" x14ac:dyDescent="0.15">
      <c r="A25" s="1" t="s">
        <v>61</v>
      </c>
      <c r="B25" s="1">
        <f>B5</f>
        <v>2015</v>
      </c>
      <c r="C25" s="17">
        <f>SUM(B80:C85)</f>
        <v>555</v>
      </c>
      <c r="D25" s="12"/>
      <c r="E25" s="12"/>
      <c r="G25" s="1" t="s">
        <v>106</v>
      </c>
      <c r="H25" s="1">
        <f t="shared" si="9"/>
        <v>2025</v>
      </c>
      <c r="I25" s="17">
        <f>ROUND(VLOOKUP(H25&amp;"_3",管理者用人口入力シート!BH:CM,27,FALSE),0)</f>
        <v>42</v>
      </c>
      <c r="J25" s="12"/>
      <c r="K25" s="12"/>
      <c r="N25" s="1" t="s">
        <v>106</v>
      </c>
      <c r="O25" s="1">
        <f t="shared" si="10"/>
        <v>2025</v>
      </c>
      <c r="P25" s="17">
        <f t="shared" si="11"/>
        <v>42</v>
      </c>
      <c r="Q25" s="17">
        <f>ROUND(VLOOKUP(H17&amp;"_3",管理者用人口入力シート!CO:DT,27,FALSE),0)</f>
        <v>43</v>
      </c>
    </row>
    <row r="26" spans="1:17" x14ac:dyDescent="0.15">
      <c r="A26" s="1" t="s">
        <v>62</v>
      </c>
      <c r="B26" s="1">
        <f>B6</f>
        <v>2020</v>
      </c>
      <c r="C26" s="17">
        <f>SUM(B104:C109)</f>
        <v>521</v>
      </c>
      <c r="D26" s="12"/>
      <c r="E26" s="12"/>
      <c r="G26" s="1" t="s">
        <v>107</v>
      </c>
      <c r="H26" s="1">
        <f t="shared" si="9"/>
        <v>2030</v>
      </c>
      <c r="I26" s="17">
        <f>ROUND(VLOOKUP(H26&amp;"_3",管理者用人口入力シート!BH:CM,27,FALSE),0)</f>
        <v>30</v>
      </c>
      <c r="J26" s="12"/>
      <c r="K26" s="12"/>
      <c r="N26" s="1" t="s">
        <v>107</v>
      </c>
      <c r="O26" s="1">
        <f t="shared" si="10"/>
        <v>2030</v>
      </c>
      <c r="P26" s="17">
        <f t="shared" si="11"/>
        <v>30</v>
      </c>
      <c r="Q26" s="17">
        <f>ROUND(VLOOKUP(H18&amp;"_3",管理者用人口入力シート!CO:DT,27,FALSE),0)</f>
        <v>32</v>
      </c>
    </row>
    <row r="27" spans="1:17" x14ac:dyDescent="0.15">
      <c r="G27" s="1" t="s">
        <v>108</v>
      </c>
      <c r="H27" s="1">
        <f t="shared" si="9"/>
        <v>2035</v>
      </c>
      <c r="I27" s="17">
        <f>ROUND(VLOOKUP(H27&amp;"_3",管理者用人口入力シート!BH:CM,27,FALSE),0)</f>
        <v>21</v>
      </c>
      <c r="J27" s="12"/>
      <c r="K27" s="12"/>
      <c r="N27" s="1" t="s">
        <v>108</v>
      </c>
      <c r="O27" s="1">
        <f t="shared" si="10"/>
        <v>2035</v>
      </c>
      <c r="P27" s="17">
        <f t="shared" si="11"/>
        <v>21</v>
      </c>
      <c r="Q27" s="17">
        <f>ROUND(VLOOKUP(H19&amp;"_3",管理者用人口入力シート!CO:DT,27,FALSE),0)</f>
        <v>23</v>
      </c>
    </row>
    <row r="28" spans="1:17" x14ac:dyDescent="0.15">
      <c r="A28" s="69" t="s">
        <v>85</v>
      </c>
      <c r="G28" s="1" t="s">
        <v>109</v>
      </c>
      <c r="H28" s="1">
        <f t="shared" si="9"/>
        <v>2040</v>
      </c>
      <c r="I28" s="17">
        <f>ROUND(VLOOKUP(H28&amp;"_3",管理者用人口入力シート!BH:CM,27,FALSE),0)</f>
        <v>15</v>
      </c>
      <c r="J28" s="12"/>
      <c r="K28" s="12"/>
      <c r="N28" s="1" t="s">
        <v>109</v>
      </c>
      <c r="O28" s="1">
        <f t="shared" si="10"/>
        <v>2040</v>
      </c>
      <c r="P28" s="17">
        <f t="shared" si="11"/>
        <v>15</v>
      </c>
      <c r="Q28" s="17">
        <f>ROUND(VLOOKUP(H20&amp;"_3",管理者用人口入力シート!CO:DT,27,FALSE),0)</f>
        <v>18</v>
      </c>
    </row>
    <row r="29" spans="1:17" x14ac:dyDescent="0.15">
      <c r="A29" s="2" t="s">
        <v>84</v>
      </c>
    </row>
    <row r="30" spans="1:17" x14ac:dyDescent="0.15">
      <c r="A30" s="1" t="s">
        <v>58</v>
      </c>
      <c r="B30" s="1">
        <f>B4</f>
        <v>2010</v>
      </c>
      <c r="C30" s="38">
        <f>ROUND((SUM(B54:C61)/SUM(B41:C61)),2)</f>
        <v>0.35</v>
      </c>
      <c r="D30" s="204"/>
      <c r="E30" s="204"/>
      <c r="G30" s="69" t="s">
        <v>110</v>
      </c>
      <c r="N30" s="69" t="s">
        <v>110</v>
      </c>
    </row>
    <row r="31" spans="1:17" x14ac:dyDescent="0.15">
      <c r="A31" s="1" t="s">
        <v>61</v>
      </c>
      <c r="B31" s="1">
        <f>B5</f>
        <v>2015</v>
      </c>
      <c r="C31" s="38">
        <f>ROUND((SUM(B78:C85)/SUM(B65:C85)),2)</f>
        <v>0.38</v>
      </c>
      <c r="D31" s="204"/>
      <c r="E31" s="204"/>
      <c r="G31" s="2" t="s">
        <v>84</v>
      </c>
      <c r="H31" s="65"/>
      <c r="I31" s="66"/>
      <c r="J31" s="12"/>
      <c r="K31" s="12"/>
      <c r="N31" s="2" t="s">
        <v>84</v>
      </c>
      <c r="O31" s="65"/>
      <c r="P31" s="2" t="s">
        <v>120</v>
      </c>
      <c r="Q31" s="2" t="s">
        <v>119</v>
      </c>
    </row>
    <row r="32" spans="1:17" x14ac:dyDescent="0.15">
      <c r="A32" s="1" t="s">
        <v>62</v>
      </c>
      <c r="B32" s="1">
        <f>B6</f>
        <v>2020</v>
      </c>
      <c r="C32" s="38">
        <f>ROUND((SUM(B102:C109)/SUM(B89:C109)),2)</f>
        <v>0.44</v>
      </c>
      <c r="D32" s="204"/>
      <c r="E32" s="204"/>
      <c r="G32" s="1" t="s">
        <v>58</v>
      </c>
      <c r="H32" s="1">
        <f>H4</f>
        <v>2010</v>
      </c>
      <c r="I32" s="17">
        <f>C20</f>
        <v>955</v>
      </c>
      <c r="J32" s="12"/>
      <c r="K32" s="12"/>
      <c r="N32" s="1" t="s">
        <v>58</v>
      </c>
      <c r="O32" s="1">
        <f>O4</f>
        <v>2010</v>
      </c>
      <c r="P32" s="17">
        <f>I32</f>
        <v>955</v>
      </c>
      <c r="Q32" s="17"/>
    </row>
    <row r="33" spans="1:17" x14ac:dyDescent="0.15">
      <c r="A33" s="2" t="s">
        <v>86</v>
      </c>
      <c r="G33" s="1" t="s">
        <v>57</v>
      </c>
      <c r="H33" s="1">
        <f t="shared" ref="H33:H38" si="12">H5</f>
        <v>2015</v>
      </c>
      <c r="I33" s="17">
        <f>C21</f>
        <v>976</v>
      </c>
      <c r="J33" s="12"/>
      <c r="K33" s="12"/>
      <c r="N33" s="1" t="s">
        <v>57</v>
      </c>
      <c r="O33" s="1">
        <f t="shared" ref="O33:O38" si="13">O5</f>
        <v>2015</v>
      </c>
      <c r="P33" s="17">
        <f t="shared" ref="P33:P38" si="14">I33</f>
        <v>976</v>
      </c>
      <c r="Q33" s="17"/>
    </row>
    <row r="34" spans="1:17" x14ac:dyDescent="0.15">
      <c r="A34" s="1" t="s">
        <v>58</v>
      </c>
      <c r="B34" s="1">
        <f>B4</f>
        <v>2010</v>
      </c>
      <c r="C34" s="38">
        <f>ROUND((SUM(B56:C61)/SUM(B41:C61)),2)</f>
        <v>0.21</v>
      </c>
      <c r="D34" s="204"/>
      <c r="E34" s="204"/>
      <c r="G34" s="1" t="s">
        <v>62</v>
      </c>
      <c r="H34" s="1">
        <f t="shared" si="12"/>
        <v>2020</v>
      </c>
      <c r="I34" s="17">
        <f>C22</f>
        <v>1002</v>
      </c>
      <c r="J34" s="12"/>
      <c r="K34" s="12"/>
      <c r="N34" s="1" t="s">
        <v>62</v>
      </c>
      <c r="O34" s="1">
        <f t="shared" si="13"/>
        <v>2020</v>
      </c>
      <c r="P34" s="17">
        <f t="shared" si="14"/>
        <v>1002</v>
      </c>
      <c r="Q34" s="17"/>
    </row>
    <row r="35" spans="1:17" x14ac:dyDescent="0.15">
      <c r="A35" s="1" t="s">
        <v>61</v>
      </c>
      <c r="B35" s="1">
        <f>B5</f>
        <v>2015</v>
      </c>
      <c r="C35" s="38">
        <f>ROUND((SUM(B80:C85)/SUM(B65:C85)),2)</f>
        <v>0.22</v>
      </c>
      <c r="D35" s="204"/>
      <c r="E35" s="204"/>
      <c r="G35" s="1" t="s">
        <v>106</v>
      </c>
      <c r="H35" s="1">
        <f t="shared" si="12"/>
        <v>2025</v>
      </c>
      <c r="I35" s="17">
        <f>SUM(H82:I89)</f>
        <v>982</v>
      </c>
      <c r="J35" s="12"/>
      <c r="K35" s="12"/>
      <c r="N35" s="1" t="s">
        <v>106</v>
      </c>
      <c r="O35" s="1">
        <f t="shared" si="13"/>
        <v>2025</v>
      </c>
      <c r="P35" s="17">
        <f t="shared" si="14"/>
        <v>982</v>
      </c>
      <c r="Q35" s="17">
        <f>SUM(O82:P89)</f>
        <v>982</v>
      </c>
    </row>
    <row r="36" spans="1:17" x14ac:dyDescent="0.15">
      <c r="A36" s="1" t="s">
        <v>62</v>
      </c>
      <c r="B36" s="1">
        <f>B6</f>
        <v>2020</v>
      </c>
      <c r="C36" s="38">
        <f>ROUND((SUM(B104:C109)/SUM(B89:C109)),2)</f>
        <v>0.23</v>
      </c>
      <c r="D36" s="204"/>
      <c r="E36" s="204"/>
      <c r="G36" s="1" t="s">
        <v>107</v>
      </c>
      <c r="H36" s="1">
        <f t="shared" si="12"/>
        <v>2030</v>
      </c>
      <c r="I36" s="17">
        <f>SUM(H106:I113)</f>
        <v>892</v>
      </c>
      <c r="J36" s="12"/>
      <c r="K36" s="12"/>
      <c r="N36" s="1" t="s">
        <v>107</v>
      </c>
      <c r="O36" s="1">
        <f t="shared" si="13"/>
        <v>2030</v>
      </c>
      <c r="P36" s="17">
        <f t="shared" si="14"/>
        <v>892</v>
      </c>
      <c r="Q36" s="17">
        <f>SUM(O106:P113)</f>
        <v>892</v>
      </c>
    </row>
    <row r="37" spans="1:17" x14ac:dyDescent="0.15">
      <c r="G37" s="1" t="s">
        <v>108</v>
      </c>
      <c r="H37" s="1">
        <f t="shared" si="12"/>
        <v>2035</v>
      </c>
      <c r="I37" s="17">
        <f>SUM(H130:I137)</f>
        <v>778</v>
      </c>
      <c r="J37" s="12"/>
      <c r="K37" s="12"/>
      <c r="N37" s="1" t="s">
        <v>108</v>
      </c>
      <c r="O37" s="1">
        <f t="shared" si="13"/>
        <v>2035</v>
      </c>
      <c r="P37" s="17">
        <f t="shared" si="14"/>
        <v>778</v>
      </c>
      <c r="Q37" s="17">
        <f>SUM(O130:P137)</f>
        <v>778</v>
      </c>
    </row>
    <row r="38" spans="1:17" x14ac:dyDescent="0.15">
      <c r="A38" s="69" t="s">
        <v>113</v>
      </c>
      <c r="G38" s="1" t="s">
        <v>109</v>
      </c>
      <c r="H38" s="1">
        <f t="shared" si="12"/>
        <v>2040</v>
      </c>
      <c r="I38" s="17">
        <f>SUM(H154:I161)</f>
        <v>667</v>
      </c>
      <c r="J38" s="12"/>
      <c r="K38" s="12"/>
      <c r="N38" s="1" t="s">
        <v>109</v>
      </c>
      <c r="O38" s="1">
        <f t="shared" si="13"/>
        <v>2040</v>
      </c>
      <c r="P38" s="17">
        <f t="shared" si="14"/>
        <v>667</v>
      </c>
      <c r="Q38" s="17">
        <f>SUM(O154:P161)</f>
        <v>667</v>
      </c>
    </row>
    <row r="39" spans="1:17" x14ac:dyDescent="0.15">
      <c r="A39" s="2" t="s">
        <v>383</v>
      </c>
      <c r="B39" s="317">
        <f>管理者入力シート!B7</f>
        <v>2010</v>
      </c>
      <c r="C39" s="318"/>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562</v>
      </c>
      <c r="J40" s="12"/>
      <c r="K40" s="12"/>
      <c r="N40" s="1" t="s">
        <v>58</v>
      </c>
      <c r="O40" s="1">
        <f>O4</f>
        <v>2010</v>
      </c>
      <c r="P40" s="17">
        <f>I40</f>
        <v>562</v>
      </c>
      <c r="Q40" s="17"/>
    </row>
    <row r="41" spans="1:17" x14ac:dyDescent="0.15">
      <c r="A41" s="2" t="s">
        <v>0</v>
      </c>
      <c r="B41" s="17">
        <f>ROUND(VLOOKUP(B$39&amp;"_1",管理者用人口入力シート!A:X,D41,FALSE),0)</f>
        <v>41</v>
      </c>
      <c r="C41" s="17">
        <f>ROUND(VLOOKUP(B$39&amp;"_2",管理者用人口入力シート!A:X,D41,FALSE),0)</f>
        <v>46</v>
      </c>
      <c r="D41" s="2">
        <v>4</v>
      </c>
      <c r="G41" s="1" t="s">
        <v>57</v>
      </c>
      <c r="H41" s="1">
        <f t="shared" ref="H41:H46" si="15">H5</f>
        <v>2015</v>
      </c>
      <c r="I41" s="17">
        <f>C25</f>
        <v>555</v>
      </c>
      <c r="J41" s="12"/>
      <c r="K41" s="12"/>
      <c r="N41" s="1" t="s">
        <v>57</v>
      </c>
      <c r="O41" s="1">
        <f t="shared" ref="O41:O46" si="16">O5</f>
        <v>2015</v>
      </c>
      <c r="P41" s="17">
        <f t="shared" ref="P41:P46" si="17">I41</f>
        <v>555</v>
      </c>
      <c r="Q41" s="17"/>
    </row>
    <row r="42" spans="1:17" x14ac:dyDescent="0.15">
      <c r="A42" s="2" t="s">
        <v>1</v>
      </c>
      <c r="B42" s="17">
        <f>ROUND(VLOOKUP(B$39&amp;"_1",管理者用人口入力シート!A:X,D42,FALSE),0)</f>
        <v>50</v>
      </c>
      <c r="C42" s="17">
        <f>ROUND(VLOOKUP(B$39&amp;"_2",管理者用人口入力シート!A:X,D42,FALSE),0)</f>
        <v>45</v>
      </c>
      <c r="D42" s="2">
        <v>5</v>
      </c>
      <c r="G42" s="1" t="s">
        <v>62</v>
      </c>
      <c r="H42" s="1">
        <f t="shared" si="15"/>
        <v>2020</v>
      </c>
      <c r="I42" s="17">
        <f>C26</f>
        <v>521</v>
      </c>
      <c r="J42" s="12"/>
      <c r="K42" s="12"/>
      <c r="N42" s="1" t="s">
        <v>62</v>
      </c>
      <c r="O42" s="1">
        <f t="shared" si="16"/>
        <v>2020</v>
      </c>
      <c r="P42" s="17">
        <f t="shared" si="17"/>
        <v>521</v>
      </c>
      <c r="Q42" s="17"/>
    </row>
    <row r="43" spans="1:17" x14ac:dyDescent="0.15">
      <c r="A43" s="2" t="s">
        <v>2</v>
      </c>
      <c r="B43" s="17">
        <f>ROUND(VLOOKUP(B$39&amp;"_1",管理者用人口入力シート!A:X,D43,FALSE),0)</f>
        <v>59</v>
      </c>
      <c r="C43" s="17">
        <f>ROUND(VLOOKUP(B$39&amp;"_2",管理者用人口入力シート!A:X,D43,FALSE),0)</f>
        <v>45</v>
      </c>
      <c r="D43" s="2">
        <v>6</v>
      </c>
      <c r="G43" s="1" t="s">
        <v>106</v>
      </c>
      <c r="H43" s="1">
        <f t="shared" si="15"/>
        <v>2025</v>
      </c>
      <c r="I43" s="17">
        <f>SUM(H84:I89)</f>
        <v>521</v>
      </c>
      <c r="J43" s="12"/>
      <c r="K43" s="12"/>
      <c r="N43" s="1" t="s">
        <v>106</v>
      </c>
      <c r="O43" s="1">
        <f t="shared" si="16"/>
        <v>2025</v>
      </c>
      <c r="P43" s="17">
        <f t="shared" si="17"/>
        <v>521</v>
      </c>
      <c r="Q43" s="17">
        <f>SUM(O84:P89)</f>
        <v>521</v>
      </c>
    </row>
    <row r="44" spans="1:17" x14ac:dyDescent="0.15">
      <c r="A44" s="2" t="s">
        <v>3</v>
      </c>
      <c r="B44" s="17">
        <f>ROUND(VLOOKUP(B$39&amp;"_1",管理者用人口入力シート!A:X,D44,FALSE),0)</f>
        <v>60</v>
      </c>
      <c r="C44" s="17">
        <f>ROUND(VLOOKUP(B$39&amp;"_2",管理者用人口入力シート!A:X,D44,FALSE),0)</f>
        <v>39</v>
      </c>
      <c r="D44" s="2">
        <v>7</v>
      </c>
      <c r="G44" s="1" t="s">
        <v>107</v>
      </c>
      <c r="H44" s="1">
        <f t="shared" si="15"/>
        <v>2030</v>
      </c>
      <c r="I44" s="17">
        <f>SUM(H108:I113)</f>
        <v>534</v>
      </c>
      <c r="J44" s="12"/>
      <c r="K44" s="12"/>
      <c r="N44" s="1" t="s">
        <v>107</v>
      </c>
      <c r="O44" s="1">
        <f t="shared" si="16"/>
        <v>2030</v>
      </c>
      <c r="P44" s="17">
        <f t="shared" si="17"/>
        <v>534</v>
      </c>
      <c r="Q44" s="17">
        <f>SUM(O108:P113)</f>
        <v>534</v>
      </c>
    </row>
    <row r="45" spans="1:17" x14ac:dyDescent="0.15">
      <c r="A45" s="2" t="s">
        <v>4</v>
      </c>
      <c r="B45" s="17">
        <f>ROUND(VLOOKUP(B$39&amp;"_1",管理者用人口入力シート!A:X,D45,FALSE),0)</f>
        <v>36</v>
      </c>
      <c r="C45" s="17">
        <f>ROUND(VLOOKUP(B$39&amp;"_2",管理者用人口入力シート!A:X,D45,FALSE),0)</f>
        <v>45</v>
      </c>
      <c r="D45" s="2">
        <v>8</v>
      </c>
      <c r="G45" s="1" t="s">
        <v>108</v>
      </c>
      <c r="H45" s="1">
        <f t="shared" si="15"/>
        <v>2035</v>
      </c>
      <c r="I45" s="17">
        <f>SUM(H132:I137)</f>
        <v>529</v>
      </c>
      <c r="J45" s="12"/>
      <c r="K45" s="12"/>
      <c r="N45" s="1" t="s">
        <v>108</v>
      </c>
      <c r="O45" s="1">
        <f t="shared" si="16"/>
        <v>2035</v>
      </c>
      <c r="P45" s="17">
        <f t="shared" si="17"/>
        <v>529</v>
      </c>
      <c r="Q45" s="17">
        <f>SUM(O132:P137)</f>
        <v>529</v>
      </c>
    </row>
    <row r="46" spans="1:17" x14ac:dyDescent="0.15">
      <c r="A46" s="2" t="s">
        <v>5</v>
      </c>
      <c r="B46" s="17">
        <f>ROUND(VLOOKUP(B$39&amp;"_1",管理者用人口入力シート!A:X,D46,FALSE),0)</f>
        <v>52</v>
      </c>
      <c r="C46" s="17">
        <f>ROUND(VLOOKUP(B$39&amp;"_2",管理者用人口入力シート!A:X,D46,FALSE),0)</f>
        <v>66</v>
      </c>
      <c r="D46" s="2">
        <v>9</v>
      </c>
      <c r="G46" s="1" t="s">
        <v>109</v>
      </c>
      <c r="H46" s="1">
        <f t="shared" si="15"/>
        <v>2040</v>
      </c>
      <c r="I46" s="17">
        <f>SUM(H156:I161)</f>
        <v>456</v>
      </c>
      <c r="J46" s="12"/>
      <c r="K46" s="12"/>
      <c r="N46" s="1" t="s">
        <v>109</v>
      </c>
      <c r="O46" s="1">
        <f t="shared" si="16"/>
        <v>2040</v>
      </c>
      <c r="P46" s="17">
        <f t="shared" si="17"/>
        <v>456</v>
      </c>
      <c r="Q46" s="17">
        <f>SUM(O156:P161)</f>
        <v>456</v>
      </c>
    </row>
    <row r="47" spans="1:17" x14ac:dyDescent="0.15">
      <c r="A47" s="2" t="s">
        <v>6</v>
      </c>
      <c r="B47" s="17">
        <f>ROUND(VLOOKUP(B$39&amp;"_1",管理者用人口入力シート!A:X,D47,FALSE),0)</f>
        <v>43</v>
      </c>
      <c r="C47" s="17">
        <f>ROUND(VLOOKUP(B$39&amp;"_2",管理者用人口入力シート!A:X,D47,FALSE),0)</f>
        <v>44</v>
      </c>
      <c r="D47" s="2">
        <v>10</v>
      </c>
    </row>
    <row r="48" spans="1:17" x14ac:dyDescent="0.15">
      <c r="A48" s="2" t="s">
        <v>7</v>
      </c>
      <c r="B48" s="17">
        <f>ROUND(VLOOKUP(B$39&amp;"_1",管理者用人口入力シート!A:X,D48,FALSE),0)</f>
        <v>64</v>
      </c>
      <c r="C48" s="17">
        <f>ROUND(VLOOKUP(B$39&amp;"_2",管理者用人口入力シート!A:X,D48,FALSE),0)</f>
        <v>55</v>
      </c>
      <c r="D48" s="2">
        <v>11</v>
      </c>
      <c r="G48" s="69" t="s">
        <v>85</v>
      </c>
      <c r="N48" s="69" t="s">
        <v>85</v>
      </c>
    </row>
    <row r="49" spans="1:17" x14ac:dyDescent="0.15">
      <c r="A49" s="2" t="s">
        <v>8</v>
      </c>
      <c r="B49" s="17">
        <f>ROUND(VLOOKUP(B$39&amp;"_1",管理者用人口入力シート!A:X,D49,FALSE),0)</f>
        <v>52</v>
      </c>
      <c r="C49" s="17">
        <f>ROUND(VLOOKUP(B$39&amp;"_2",管理者用人口入力シート!A:X,D49,FALSE),0)</f>
        <v>59</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68</v>
      </c>
      <c r="C50" s="17">
        <f>ROUND(VLOOKUP(B$39&amp;"_2",管理者用人口入力シート!A:X,D50,FALSE),0)</f>
        <v>84</v>
      </c>
      <c r="D50" s="2">
        <v>13</v>
      </c>
      <c r="G50" s="1" t="s">
        <v>58</v>
      </c>
      <c r="H50" s="1">
        <f>H4</f>
        <v>2010</v>
      </c>
      <c r="I50" s="38">
        <f>C30</f>
        <v>0.35</v>
      </c>
      <c r="J50" s="204"/>
      <c r="K50" s="204"/>
      <c r="N50" s="1" t="s">
        <v>58</v>
      </c>
      <c r="O50" s="1">
        <f>O4</f>
        <v>2010</v>
      </c>
      <c r="P50" s="38">
        <f t="shared" ref="P50:P56" si="18">I50</f>
        <v>0.35</v>
      </c>
      <c r="Q50" s="1"/>
    </row>
    <row r="51" spans="1:17" x14ac:dyDescent="0.15">
      <c r="A51" s="2" t="s">
        <v>10</v>
      </c>
      <c r="B51" s="17">
        <f>ROUND(VLOOKUP(B$39&amp;"_1",管理者用人口入力シート!A:X,D51,FALSE),0)</f>
        <v>101</v>
      </c>
      <c r="C51" s="17">
        <f>ROUND(VLOOKUP(B$39&amp;"_2",管理者用人口入力シート!A:X,D51,FALSE),0)</f>
        <v>120</v>
      </c>
      <c r="D51" s="2">
        <v>14</v>
      </c>
      <c r="G51" s="1" t="s">
        <v>57</v>
      </c>
      <c r="H51" s="1">
        <f t="shared" ref="H51:H56" si="19">H5</f>
        <v>2015</v>
      </c>
      <c r="I51" s="38">
        <f>C31</f>
        <v>0.38</v>
      </c>
      <c r="J51" s="204"/>
      <c r="K51" s="204"/>
      <c r="N51" s="1" t="s">
        <v>57</v>
      </c>
      <c r="O51" s="1">
        <f t="shared" ref="O51:O56" si="20">O5</f>
        <v>2015</v>
      </c>
      <c r="P51" s="38">
        <f t="shared" si="18"/>
        <v>0.38</v>
      </c>
      <c r="Q51" s="1"/>
    </row>
    <row r="52" spans="1:17" x14ac:dyDescent="0.15">
      <c r="A52" s="2" t="s">
        <v>11</v>
      </c>
      <c r="B52" s="17">
        <f>ROUND(VLOOKUP(B$39&amp;"_1",管理者用人口入力シート!A:X,D52,FALSE),0)</f>
        <v>155</v>
      </c>
      <c r="C52" s="17">
        <f>ROUND(VLOOKUP(B$39&amp;"_2",管理者用人口入力シート!A:X,D52,FALSE),0)</f>
        <v>103</v>
      </c>
      <c r="D52" s="2">
        <v>15</v>
      </c>
      <c r="G52" s="1" t="s">
        <v>62</v>
      </c>
      <c r="H52" s="1">
        <f t="shared" si="19"/>
        <v>2020</v>
      </c>
      <c r="I52" s="38">
        <f>C32</f>
        <v>0.44</v>
      </c>
      <c r="J52" s="204"/>
      <c r="K52" s="204"/>
      <c r="N52" s="1" t="s">
        <v>62</v>
      </c>
      <c r="O52" s="1">
        <f t="shared" si="20"/>
        <v>2020</v>
      </c>
      <c r="P52" s="38">
        <f t="shared" si="18"/>
        <v>0.44</v>
      </c>
      <c r="Q52" s="1"/>
    </row>
    <row r="53" spans="1:17" x14ac:dyDescent="0.15">
      <c r="A53" s="2" t="s">
        <v>12</v>
      </c>
      <c r="B53" s="17">
        <f>ROUND(VLOOKUP(B$39&amp;"_1",管理者用人口入力シート!A:X,D53,FALSE),0)</f>
        <v>130</v>
      </c>
      <c r="C53" s="17">
        <f>ROUND(VLOOKUP(B$39&amp;"_2",管理者用人口入力シート!A:X,D53,FALSE),0)</f>
        <v>123</v>
      </c>
      <c r="D53" s="2">
        <v>16</v>
      </c>
      <c r="G53" s="1" t="s">
        <v>106</v>
      </c>
      <c r="H53" s="1">
        <f t="shared" si="19"/>
        <v>2025</v>
      </c>
      <c r="I53" s="38">
        <f>ROUND((SUM(H82:I89)/SUM(H69:I89)),2)</f>
        <v>0.5</v>
      </c>
      <c r="J53" s="204"/>
      <c r="K53" s="204"/>
      <c r="L53" s="70"/>
      <c r="M53" s="70"/>
      <c r="N53" s="1" t="s">
        <v>106</v>
      </c>
      <c r="O53" s="1">
        <f t="shared" si="20"/>
        <v>2025</v>
      </c>
      <c r="P53" s="38">
        <f t="shared" si="18"/>
        <v>0.5</v>
      </c>
      <c r="Q53" s="38">
        <f>ROUND((SUM(O82:P89)/SUM(O69:P89)),2)</f>
        <v>0.49</v>
      </c>
    </row>
    <row r="54" spans="1:17" x14ac:dyDescent="0.15">
      <c r="A54" s="2" t="s">
        <v>13</v>
      </c>
      <c r="B54" s="17">
        <f>ROUND(VLOOKUP(B$39&amp;"_1",管理者用人口入力シート!A:X,D54,FALSE),0)</f>
        <v>88</v>
      </c>
      <c r="C54" s="17">
        <f>ROUND(VLOOKUP(B$39&amp;"_2",管理者用人口入力シート!A:X,D54,FALSE),0)</f>
        <v>89</v>
      </c>
      <c r="D54" s="2">
        <v>17</v>
      </c>
      <c r="G54" s="1" t="s">
        <v>107</v>
      </c>
      <c r="H54" s="1">
        <f t="shared" si="19"/>
        <v>2030</v>
      </c>
      <c r="I54" s="38">
        <f>ROUND((SUM(H106:I113)/SUM(H93:I113)),2)</f>
        <v>0.52</v>
      </c>
      <c r="J54" s="204"/>
      <c r="K54" s="204"/>
      <c r="N54" s="1" t="s">
        <v>107</v>
      </c>
      <c r="O54" s="1">
        <f t="shared" si="20"/>
        <v>2030</v>
      </c>
      <c r="P54" s="38">
        <f t="shared" si="18"/>
        <v>0.52</v>
      </c>
      <c r="Q54" s="38">
        <f>ROUND((SUM(O106:P113)/SUM(O93:P113)),2)</f>
        <v>0.52</v>
      </c>
    </row>
    <row r="55" spans="1:17" x14ac:dyDescent="0.15">
      <c r="A55" s="2" t="s">
        <v>14</v>
      </c>
      <c r="B55" s="17">
        <f>ROUND(VLOOKUP(B$39&amp;"_1",管理者用人口入力シート!A:X,D55,FALSE),0)</f>
        <v>81</v>
      </c>
      <c r="C55" s="17">
        <f>ROUND(VLOOKUP(B$39&amp;"_2",管理者用人口入力シート!A:X,D55,FALSE),0)</f>
        <v>135</v>
      </c>
      <c r="D55" s="2">
        <v>18</v>
      </c>
      <c r="G55" s="1" t="s">
        <v>108</v>
      </c>
      <c r="H55" s="1">
        <f t="shared" si="19"/>
        <v>2035</v>
      </c>
      <c r="I55" s="38">
        <f>ROUND((SUM(H130:I137)/SUM(H117:I137)),2)</f>
        <v>0.53</v>
      </c>
      <c r="J55" s="204"/>
      <c r="K55" s="204"/>
      <c r="N55" s="1" t="s">
        <v>108</v>
      </c>
      <c r="O55" s="1">
        <f t="shared" si="20"/>
        <v>2035</v>
      </c>
      <c r="P55" s="38">
        <f t="shared" si="18"/>
        <v>0.53</v>
      </c>
      <c r="Q55" s="38">
        <f>ROUND((SUM(O130:P137)/SUM(O117:P137)),2)</f>
        <v>0.52</v>
      </c>
    </row>
    <row r="56" spans="1:17" x14ac:dyDescent="0.15">
      <c r="A56" s="2" t="s">
        <v>15</v>
      </c>
      <c r="B56" s="17">
        <f>ROUND(VLOOKUP(B$39&amp;"_1",管理者用人口入力シート!A:X,D56,FALSE),0)</f>
        <v>102</v>
      </c>
      <c r="C56" s="17">
        <f>ROUND(VLOOKUP(B$39&amp;"_2",管理者用人口入力シート!A:X,D56,FALSE),0)</f>
        <v>130</v>
      </c>
      <c r="D56" s="2">
        <v>19</v>
      </c>
      <c r="G56" s="1" t="s">
        <v>109</v>
      </c>
      <c r="H56" s="1">
        <f t="shared" si="19"/>
        <v>2040</v>
      </c>
      <c r="I56" s="38">
        <f>ROUND((SUM(H154:I161)/SUM(H141:I161)),2)</f>
        <v>0.54</v>
      </c>
      <c r="J56" s="204"/>
      <c r="K56" s="204"/>
      <c r="N56" s="1" t="s">
        <v>109</v>
      </c>
      <c r="O56" s="1">
        <f t="shared" si="20"/>
        <v>2040</v>
      </c>
      <c r="P56" s="38">
        <f t="shared" si="18"/>
        <v>0.54</v>
      </c>
      <c r="Q56" s="38">
        <f>ROUND((SUM(O154:P161)/SUM(O141:P161)),2)</f>
        <v>0.53</v>
      </c>
    </row>
    <row r="57" spans="1:17" x14ac:dyDescent="0.15">
      <c r="A57" s="2" t="s">
        <v>16</v>
      </c>
      <c r="B57" s="17">
        <f>ROUND(VLOOKUP(B$39&amp;"_1",管理者用人口入力シート!A:X,D57,FALSE),0)</f>
        <v>65</v>
      </c>
      <c r="C57" s="17">
        <f>ROUND(VLOOKUP(B$39&amp;"_2",管理者用人口入力シート!A:X,D57,FALSE),0)</f>
        <v>112</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45</v>
      </c>
      <c r="C58" s="17">
        <f>ROUND(VLOOKUP(B$39&amp;"_2",管理者用人口入力シート!A:X,D58,FALSE),0)</f>
        <v>62</v>
      </c>
      <c r="D58" s="2">
        <v>21</v>
      </c>
      <c r="G58" s="1" t="s">
        <v>58</v>
      </c>
      <c r="H58" s="1">
        <f>H4</f>
        <v>2010</v>
      </c>
      <c r="I58" s="38">
        <f>C34</f>
        <v>0.21</v>
      </c>
      <c r="J58" s="204"/>
      <c r="K58" s="204"/>
      <c r="N58" s="1" t="s">
        <v>58</v>
      </c>
      <c r="O58" s="1">
        <f>O4</f>
        <v>2010</v>
      </c>
      <c r="P58" s="38">
        <f t="shared" ref="P58:P64" si="21">I58</f>
        <v>0.21</v>
      </c>
      <c r="Q58" s="1"/>
    </row>
    <row r="59" spans="1:17" x14ac:dyDescent="0.15">
      <c r="A59" s="2" t="s">
        <v>18</v>
      </c>
      <c r="B59" s="17">
        <f>ROUND(VLOOKUP(B$39&amp;"_1",管理者用人口入力シート!A:X,D59,FALSE),0)</f>
        <v>10</v>
      </c>
      <c r="C59" s="17">
        <f>ROUND(VLOOKUP(B$39&amp;"_2",管理者用人口入力シート!A:X,D59,FALSE),0)</f>
        <v>22</v>
      </c>
      <c r="D59" s="2">
        <v>22</v>
      </c>
      <c r="G59" s="1" t="s">
        <v>57</v>
      </c>
      <c r="H59" s="1">
        <f t="shared" ref="H59:H64" si="22">H5</f>
        <v>2015</v>
      </c>
      <c r="I59" s="38">
        <f>C35</f>
        <v>0.22</v>
      </c>
      <c r="J59" s="204"/>
      <c r="K59" s="204"/>
      <c r="N59" s="1" t="s">
        <v>57</v>
      </c>
      <c r="O59" s="1">
        <f t="shared" ref="O59:O64" si="23">O5</f>
        <v>2015</v>
      </c>
      <c r="P59" s="38">
        <f t="shared" si="21"/>
        <v>0.22</v>
      </c>
      <c r="Q59" s="1"/>
    </row>
    <row r="60" spans="1:17" x14ac:dyDescent="0.15">
      <c r="A60" s="2" t="s">
        <v>19</v>
      </c>
      <c r="B60" s="17">
        <f>ROUND(VLOOKUP(B$39&amp;"_1",管理者用人口入力シート!A:X,D60,FALSE),0)</f>
        <v>2</v>
      </c>
      <c r="C60" s="17">
        <f>ROUND(VLOOKUP(B$39&amp;"_2",管理者用人口入力シート!A:X,D60,FALSE),0)</f>
        <v>10</v>
      </c>
      <c r="D60" s="2">
        <v>23</v>
      </c>
      <c r="G60" s="1" t="s">
        <v>62</v>
      </c>
      <c r="H60" s="1">
        <f t="shared" si="22"/>
        <v>2020</v>
      </c>
      <c r="I60" s="38">
        <f>C36</f>
        <v>0.23</v>
      </c>
      <c r="J60" s="204"/>
      <c r="K60" s="204"/>
      <c r="N60" s="1" t="s">
        <v>62</v>
      </c>
      <c r="O60" s="1">
        <f t="shared" si="23"/>
        <v>2020</v>
      </c>
      <c r="P60" s="38">
        <f t="shared" si="21"/>
        <v>0.23</v>
      </c>
      <c r="Q60" s="1"/>
    </row>
    <row r="61" spans="1:17" x14ac:dyDescent="0.15">
      <c r="A61" s="2" t="s">
        <v>20</v>
      </c>
      <c r="B61" s="17">
        <f>ROUND(VLOOKUP(B$39&amp;"_1",管理者用人口入力シート!A:X,D61,FALSE),0)</f>
        <v>0</v>
      </c>
      <c r="C61" s="17">
        <f>ROUND(VLOOKUP(B$39&amp;"_2",管理者用人口入力シート!A:X,D61,FALSE),0)</f>
        <v>2</v>
      </c>
      <c r="D61" s="2">
        <v>24</v>
      </c>
      <c r="G61" s="1" t="s">
        <v>106</v>
      </c>
      <c r="H61" s="1">
        <f t="shared" si="22"/>
        <v>2025</v>
      </c>
      <c r="I61" s="38">
        <f>ROUND((SUM(H84:I89)/SUM(H69:I89)),2)</f>
        <v>0.26</v>
      </c>
      <c r="J61" s="204"/>
      <c r="K61" s="204"/>
      <c r="N61" s="1" t="s">
        <v>106</v>
      </c>
      <c r="O61" s="1">
        <f t="shared" si="23"/>
        <v>2025</v>
      </c>
      <c r="P61" s="38">
        <f t="shared" si="21"/>
        <v>0.26</v>
      </c>
      <c r="Q61" s="38">
        <f>ROUND((SUM(O84:P89)/SUM(O69:P89)),2)</f>
        <v>0.26</v>
      </c>
    </row>
    <row r="62" spans="1:17" x14ac:dyDescent="0.15">
      <c r="G62" s="1" t="s">
        <v>107</v>
      </c>
      <c r="H62" s="1">
        <f t="shared" si="22"/>
        <v>2030</v>
      </c>
      <c r="I62" s="38">
        <f>ROUND((SUM(H108:I113)/SUM(H93:I113)),2)</f>
        <v>0.31</v>
      </c>
      <c r="J62" s="204"/>
      <c r="K62" s="204"/>
      <c r="N62" s="1" t="s">
        <v>107</v>
      </c>
      <c r="O62" s="1">
        <f t="shared" si="23"/>
        <v>2030</v>
      </c>
      <c r="P62" s="38">
        <f t="shared" si="21"/>
        <v>0.31</v>
      </c>
      <c r="Q62" s="38">
        <f>ROUND((SUM(O108:P113)/SUM(O93:P113)),2)</f>
        <v>0.31</v>
      </c>
    </row>
    <row r="63" spans="1:17" x14ac:dyDescent="0.15">
      <c r="A63" s="2" t="s">
        <v>384</v>
      </c>
      <c r="B63" s="317">
        <f>管理者入力シート!B6</f>
        <v>2015</v>
      </c>
      <c r="C63" s="318"/>
      <c r="D63" s="2" t="s">
        <v>114</v>
      </c>
      <c r="G63" s="1" t="s">
        <v>108</v>
      </c>
      <c r="H63" s="1">
        <f t="shared" si="22"/>
        <v>2035</v>
      </c>
      <c r="I63" s="38">
        <f>ROUND((SUM(H132:I137)/SUM(H117:I137)),2)</f>
        <v>0.36</v>
      </c>
      <c r="J63" s="204"/>
      <c r="K63" s="204"/>
      <c r="N63" s="1" t="s">
        <v>108</v>
      </c>
      <c r="O63" s="1">
        <f t="shared" si="23"/>
        <v>2035</v>
      </c>
      <c r="P63" s="38">
        <f t="shared" si="21"/>
        <v>0.36</v>
      </c>
      <c r="Q63" s="38">
        <f>ROUND((SUM(O132:P137)/SUM(O117:P137)),2)</f>
        <v>0.36</v>
      </c>
    </row>
    <row r="64" spans="1:17" x14ac:dyDescent="0.15">
      <c r="A64" s="2" t="s">
        <v>115</v>
      </c>
      <c r="B64" s="18" t="s">
        <v>21</v>
      </c>
      <c r="C64" s="18" t="s">
        <v>22</v>
      </c>
      <c r="G64" s="1" t="s">
        <v>109</v>
      </c>
      <c r="H64" s="1">
        <f t="shared" si="22"/>
        <v>2040</v>
      </c>
      <c r="I64" s="38">
        <f>ROUND((SUM(H156:I161)/SUM(H141:I161)),2)</f>
        <v>0.37</v>
      </c>
      <c r="J64" s="204"/>
      <c r="K64" s="204"/>
      <c r="N64" s="1" t="s">
        <v>109</v>
      </c>
      <c r="O64" s="1">
        <f t="shared" si="23"/>
        <v>2040</v>
      </c>
      <c r="P64" s="38">
        <f t="shared" si="21"/>
        <v>0.37</v>
      </c>
      <c r="Q64" s="38">
        <f>ROUND((SUM(O156:P161)/SUM(O141:P161)),2)</f>
        <v>0.36</v>
      </c>
    </row>
    <row r="65" spans="1:21" x14ac:dyDescent="0.15">
      <c r="A65" s="2" t="s">
        <v>0</v>
      </c>
      <c r="B65" s="17">
        <f>ROUND(VLOOKUP(B$63&amp;"_1",管理者用人口入力シート!A:X,D65,FALSE),0)</f>
        <v>42</v>
      </c>
      <c r="C65" s="17">
        <f>ROUND(VLOOKUP(B$63&amp;"_2",管理者用人口入力シート!A:X,D65,FALSE),0)</f>
        <v>36</v>
      </c>
      <c r="D65" s="2">
        <v>4</v>
      </c>
    </row>
    <row r="66" spans="1:21" x14ac:dyDescent="0.15">
      <c r="A66" s="2" t="s">
        <v>1</v>
      </c>
      <c r="B66" s="17">
        <f>ROUND(VLOOKUP(B$63&amp;"_1",管理者用人口入力シート!A:X,D66,FALSE),0)</f>
        <v>53</v>
      </c>
      <c r="C66" s="17">
        <f>ROUND(VLOOKUP(B$63&amp;"_2",管理者用人口入力シート!A:X,D66,FALSE),0)</f>
        <v>46</v>
      </c>
      <c r="D66" s="2">
        <v>5</v>
      </c>
      <c r="G66" s="69" t="s">
        <v>113</v>
      </c>
      <c r="N66" s="69" t="s">
        <v>113</v>
      </c>
    </row>
    <row r="67" spans="1:21" x14ac:dyDescent="0.15">
      <c r="A67" s="2" t="s">
        <v>2</v>
      </c>
      <c r="B67" s="17">
        <f>ROUND(VLOOKUP(B$63&amp;"_1",管理者用人口入力シート!A:X,D67,FALSE),0)</f>
        <v>53</v>
      </c>
      <c r="C67" s="17">
        <f>ROUND(VLOOKUP(B$63&amp;"_2",管理者用人口入力シート!A:X,D67,FALSE),0)</f>
        <v>43</v>
      </c>
      <c r="D67" s="2">
        <v>6</v>
      </c>
      <c r="G67" s="2" t="s">
        <v>106</v>
      </c>
      <c r="H67" s="317">
        <f>管理者入力シート!B8</f>
        <v>2025</v>
      </c>
      <c r="I67" s="318"/>
      <c r="J67" s="2" t="s">
        <v>114</v>
      </c>
      <c r="K67" s="208"/>
      <c r="O67" s="317">
        <f>管理者入力シート!B8</f>
        <v>2025</v>
      </c>
      <c r="P67" s="318"/>
      <c r="Q67" s="2" t="s">
        <v>114</v>
      </c>
    </row>
    <row r="68" spans="1:21" x14ac:dyDescent="0.15">
      <c r="A68" s="2" t="s">
        <v>3</v>
      </c>
      <c r="B68" s="17">
        <f>ROUND(VLOOKUP(B$63&amp;"_1",管理者用人口入力シート!A:X,D68,FALSE),0)</f>
        <v>33</v>
      </c>
      <c r="C68" s="17">
        <f>ROUND(VLOOKUP(B$63&amp;"_2",管理者用人口入力シート!A:X,D68,FALSE),0)</f>
        <v>30</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29</v>
      </c>
      <c r="C69" s="17">
        <f>ROUND(VLOOKUP(B$63&amp;"_2",管理者用人口入力シート!A:X,D69,FALSE),0)</f>
        <v>27</v>
      </c>
      <c r="D69" s="2">
        <v>8</v>
      </c>
      <c r="G69" s="2" t="s">
        <v>0</v>
      </c>
      <c r="H69" s="17">
        <f>ROUND(VLOOKUP(H$67&amp;"_1",管理者用人口入力シート!BH:CE,J69,FALSE),0)</f>
        <v>19</v>
      </c>
      <c r="I69" s="17">
        <f>ROUND(VLOOKUP(H$67&amp;"_2",管理者用人口入力シート!BH:CE,J69,FALSE),0)</f>
        <v>16</v>
      </c>
      <c r="J69" s="2">
        <v>4</v>
      </c>
      <c r="K69" s="12"/>
      <c r="N69" s="2" t="s">
        <v>0</v>
      </c>
      <c r="O69" s="17">
        <f>ROUND(VLOOKUP(O$67&amp;"_1",管理者用人口入力シート!CO:DL,Q69,FALSE),0)</f>
        <v>20</v>
      </c>
      <c r="P69" s="17">
        <f>ROUND(VLOOKUP(O$67&amp;"_2",管理者用人口入力シート!CO:DL,Q69,FALSE),0)</f>
        <v>17</v>
      </c>
      <c r="Q69" s="2">
        <v>4</v>
      </c>
      <c r="U69" s="85"/>
    </row>
    <row r="70" spans="1:21" x14ac:dyDescent="0.15">
      <c r="A70" s="2" t="s">
        <v>5</v>
      </c>
      <c r="B70" s="17">
        <f>ROUND(VLOOKUP(B$63&amp;"_1",管理者用人口入力シート!A:X,D70,FALSE),0)</f>
        <v>40</v>
      </c>
      <c r="C70" s="17">
        <f>ROUND(VLOOKUP(B$63&amp;"_2",管理者用人口入力シート!A:X,D70,FALSE),0)</f>
        <v>38</v>
      </c>
      <c r="D70" s="2">
        <v>9</v>
      </c>
      <c r="G70" s="2" t="s">
        <v>1</v>
      </c>
      <c r="H70" s="17">
        <f>ROUND(VLOOKUP(H$67&amp;"_1",管理者用人口入力シート!BH:CE,J70,FALSE),0)</f>
        <v>30</v>
      </c>
      <c r="I70" s="17">
        <f>ROUND(VLOOKUP(H$67&amp;"_2",管理者用人口入力シート!BH:CE,J70,FALSE),0)</f>
        <v>23</v>
      </c>
      <c r="J70" s="2">
        <v>5</v>
      </c>
      <c r="K70" s="12"/>
      <c r="N70" s="2" t="s">
        <v>1</v>
      </c>
      <c r="O70" s="17">
        <f>ROUND(VLOOKUP(O$67&amp;"_1",管理者用人口入力シート!CO:DL,Q70,FALSE),0)</f>
        <v>30</v>
      </c>
      <c r="P70" s="17">
        <f>ROUND(VLOOKUP(O$67&amp;"_2",管理者用人口入力シート!CO:DL,Q70,FALSE),0)</f>
        <v>23</v>
      </c>
      <c r="Q70" s="2">
        <v>5</v>
      </c>
      <c r="U70" s="85"/>
    </row>
    <row r="71" spans="1:21" x14ac:dyDescent="0.15">
      <c r="A71" s="2" t="s">
        <v>6</v>
      </c>
      <c r="B71" s="17">
        <f>ROUND(VLOOKUP(B$63&amp;"_1",管理者用人口入力シート!A:X,D71,FALSE),0)</f>
        <v>47</v>
      </c>
      <c r="C71" s="17">
        <f>ROUND(VLOOKUP(B$63&amp;"_2",管理者用人口入力シート!A:X,D71,FALSE),0)</f>
        <v>54</v>
      </c>
      <c r="D71" s="2">
        <v>10</v>
      </c>
      <c r="G71" s="2" t="s">
        <v>2</v>
      </c>
      <c r="H71" s="17">
        <f>ROUND(VLOOKUP(H$67&amp;"_1",管理者用人口入力シート!BH:CE,J71,FALSE),0)</f>
        <v>42</v>
      </c>
      <c r="I71" s="17">
        <f>ROUND(VLOOKUP(H$67&amp;"_2",管理者用人口入力シート!BH:CE,J71,FALSE),0)</f>
        <v>33</v>
      </c>
      <c r="J71" s="2">
        <v>6</v>
      </c>
      <c r="K71" s="12"/>
      <c r="N71" s="2" t="s">
        <v>2</v>
      </c>
      <c r="O71" s="17">
        <f>ROUND(VLOOKUP(O$67&amp;"_1",管理者用人口入力シート!CO:DL,Q71,FALSE),0)</f>
        <v>43</v>
      </c>
      <c r="P71" s="17">
        <f>ROUND(VLOOKUP(O$67&amp;"_2",管理者用人口入力シート!CO:DL,Q71,FALSE),0)</f>
        <v>34</v>
      </c>
      <c r="Q71" s="2">
        <v>6</v>
      </c>
      <c r="U71" s="85"/>
    </row>
    <row r="72" spans="1:21" x14ac:dyDescent="0.15">
      <c r="A72" s="2" t="s">
        <v>7</v>
      </c>
      <c r="B72" s="17">
        <f>ROUND(VLOOKUP(B$63&amp;"_1",管理者用人口入力シート!A:X,D72,FALSE),0)</f>
        <v>51</v>
      </c>
      <c r="C72" s="17">
        <f>ROUND(VLOOKUP(B$63&amp;"_2",管理者用人口入力シート!A:X,D72,FALSE),0)</f>
        <v>51</v>
      </c>
      <c r="D72" s="2">
        <v>11</v>
      </c>
      <c r="G72" s="2" t="s">
        <v>3</v>
      </c>
      <c r="H72" s="17">
        <f>ROUND(VLOOKUP(H$67&amp;"_1",管理者用人口入力シート!BH:CE,J72,FALSE),0)</f>
        <v>33</v>
      </c>
      <c r="I72" s="17">
        <f>ROUND(VLOOKUP(H$67&amp;"_2",管理者用人口入力シート!BH:CE,J72,FALSE),0)</f>
        <v>29</v>
      </c>
      <c r="J72" s="2">
        <v>7</v>
      </c>
      <c r="K72" s="12"/>
      <c r="N72" s="2" t="s">
        <v>3</v>
      </c>
      <c r="O72" s="17">
        <f>ROUND(VLOOKUP(O$67&amp;"_1",管理者用人口入力シート!CO:DL,Q72,FALSE),0)</f>
        <v>33</v>
      </c>
      <c r="P72" s="17">
        <f>ROUND(VLOOKUP(O$67&amp;"_2",管理者用人口入力シート!CO:DL,Q72,FALSE),0)</f>
        <v>29</v>
      </c>
      <c r="Q72" s="2">
        <v>7</v>
      </c>
      <c r="U72" s="85"/>
    </row>
    <row r="73" spans="1:21" x14ac:dyDescent="0.15">
      <c r="A73" s="2" t="s">
        <v>8</v>
      </c>
      <c r="B73" s="17">
        <f>ROUND(VLOOKUP(B$63&amp;"_1",管理者用人口入力シート!A:X,D73,FALSE),0)</f>
        <v>69</v>
      </c>
      <c r="C73" s="17">
        <f>ROUND(VLOOKUP(B$63&amp;"_2",管理者用人口入力シート!A:X,D73,FALSE),0)</f>
        <v>58</v>
      </c>
      <c r="D73" s="2">
        <v>12</v>
      </c>
      <c r="G73" s="2" t="s">
        <v>4</v>
      </c>
      <c r="H73" s="17">
        <f>ROUND(VLOOKUP(H$67&amp;"_1",管理者用人口入力シート!BH:CE,J73,FALSE),0)</f>
        <v>25</v>
      </c>
      <c r="I73" s="17">
        <f>ROUND(VLOOKUP(H$67&amp;"_2",管理者用人口入力シート!BH:CE,J73,FALSE),0)</f>
        <v>16</v>
      </c>
      <c r="J73" s="2">
        <v>8</v>
      </c>
      <c r="K73" s="12"/>
      <c r="N73" s="2" t="s">
        <v>4</v>
      </c>
      <c r="O73" s="17">
        <f>ROUND(VLOOKUP(O$67&amp;"_1",管理者用人口入力シート!CO:DL,Q73,FALSE),0)</f>
        <v>25</v>
      </c>
      <c r="P73" s="17">
        <f>ROUND(VLOOKUP(O$67&amp;"_2",管理者用人口入力シート!CO:DL,Q73,FALSE),0)</f>
        <v>16</v>
      </c>
      <c r="Q73" s="2">
        <v>8</v>
      </c>
      <c r="U73" s="85"/>
    </row>
    <row r="74" spans="1:21" x14ac:dyDescent="0.15">
      <c r="A74" s="2" t="s">
        <v>9</v>
      </c>
      <c r="B74" s="17">
        <f>ROUND(VLOOKUP(B$63&amp;"_1",管理者用人口入力シート!A:X,D74,FALSE),0)</f>
        <v>59</v>
      </c>
      <c r="C74" s="17">
        <f>ROUND(VLOOKUP(B$63&amp;"_2",管理者用人口入力シート!A:X,D74,FALSE),0)</f>
        <v>59</v>
      </c>
      <c r="D74" s="2">
        <v>13</v>
      </c>
      <c r="G74" s="2" t="s">
        <v>5</v>
      </c>
      <c r="H74" s="17">
        <f>ROUND(VLOOKUP(H$67&amp;"_1",管理者用人口入力シート!BH:CE,J74,FALSE),0)</f>
        <v>26</v>
      </c>
      <c r="I74" s="17">
        <f>ROUND(VLOOKUP(H$67&amp;"_2",管理者用人口入力シート!BH:CE,J74,FALSE),0)</f>
        <v>12</v>
      </c>
      <c r="J74" s="2">
        <v>9</v>
      </c>
      <c r="K74" s="12"/>
      <c r="N74" s="2" t="s">
        <v>5</v>
      </c>
      <c r="O74" s="17">
        <f>ROUND(VLOOKUP(O$67&amp;"_1",管理者用人口入力シート!CO:DL,Q74,FALSE),0)</f>
        <v>28</v>
      </c>
      <c r="P74" s="17">
        <f>ROUND(VLOOKUP(O$67&amp;"_2",管理者用人口入力シート!CO:DL,Q74,FALSE),0)</f>
        <v>14</v>
      </c>
      <c r="Q74" s="2">
        <v>9</v>
      </c>
      <c r="U74" s="85"/>
    </row>
    <row r="75" spans="1:21" x14ac:dyDescent="0.15">
      <c r="A75" s="2" t="s">
        <v>10</v>
      </c>
      <c r="B75" s="17">
        <f>ROUND(VLOOKUP(B$63&amp;"_1",管理者用人口入力シート!A:X,D75,FALSE),0)</f>
        <v>72</v>
      </c>
      <c r="C75" s="17">
        <f>ROUND(VLOOKUP(B$63&amp;"_2",管理者用人口入力シート!A:X,D75,FALSE),0)</f>
        <v>85</v>
      </c>
      <c r="D75" s="2">
        <v>14</v>
      </c>
      <c r="G75" s="2" t="s">
        <v>6</v>
      </c>
      <c r="H75" s="17">
        <f>ROUND(VLOOKUP(H$67&amp;"_1",管理者用人口入力シート!BH:CE,J75,FALSE),0)</f>
        <v>30</v>
      </c>
      <c r="I75" s="17">
        <f>ROUND(VLOOKUP(H$67&amp;"_2",管理者用人口入力シート!BH:CE,J75,FALSE),0)</f>
        <v>19</v>
      </c>
      <c r="J75" s="2">
        <v>10</v>
      </c>
      <c r="K75" s="12"/>
      <c r="N75" s="2" t="s">
        <v>6</v>
      </c>
      <c r="O75" s="17">
        <f>ROUND(VLOOKUP(O$67&amp;"_1",管理者用人口入力シート!CO:DL,Q75,FALSE),0)</f>
        <v>30</v>
      </c>
      <c r="P75" s="17">
        <f>ROUND(VLOOKUP(O$67&amp;"_2",管理者用人口入力シート!CO:DL,Q75,FALSE),0)</f>
        <v>19</v>
      </c>
      <c r="Q75" s="2">
        <v>10</v>
      </c>
      <c r="U75" s="85"/>
    </row>
    <row r="76" spans="1:21" x14ac:dyDescent="0.15">
      <c r="A76" s="2" t="s">
        <v>11</v>
      </c>
      <c r="B76" s="17">
        <f>ROUND(VLOOKUP(B$63&amp;"_1",管理者用人口入力シート!A:X,D76,FALSE),0)</f>
        <v>105</v>
      </c>
      <c r="C76" s="17">
        <f>ROUND(VLOOKUP(B$63&amp;"_2",管理者用人口入力シート!A:X,D76,FALSE),0)</f>
        <v>120</v>
      </c>
      <c r="D76" s="2">
        <v>15</v>
      </c>
      <c r="G76" s="2" t="s">
        <v>7</v>
      </c>
      <c r="H76" s="17">
        <f>ROUND(VLOOKUP(H$67&amp;"_1",管理者用人口入力シート!BH:CE,J76,FALSE),0)</f>
        <v>32</v>
      </c>
      <c r="I76" s="17">
        <f>ROUND(VLOOKUP(H$67&amp;"_2",管理者用人口入力シート!BH:CE,J76,FALSE),0)</f>
        <v>37</v>
      </c>
      <c r="J76" s="2">
        <v>11</v>
      </c>
      <c r="K76" s="12"/>
      <c r="N76" s="2" t="s">
        <v>7</v>
      </c>
      <c r="O76" s="17">
        <f>ROUND(VLOOKUP(O$67&amp;"_1",管理者用人口入力シート!CO:DL,Q76,FALSE),0)</f>
        <v>32</v>
      </c>
      <c r="P76" s="17">
        <f>ROUND(VLOOKUP(O$67&amp;"_2",管理者用人口入力シート!CO:DL,Q76,FALSE),0)</f>
        <v>37</v>
      </c>
      <c r="Q76" s="2">
        <v>11</v>
      </c>
      <c r="U76" s="85"/>
    </row>
    <row r="77" spans="1:21" x14ac:dyDescent="0.15">
      <c r="A77" s="2" t="s">
        <v>12</v>
      </c>
      <c r="B77" s="17">
        <f>ROUND(VLOOKUP(B$63&amp;"_1",管理者用人口入力シート!A:X,D77,FALSE),0)</f>
        <v>153</v>
      </c>
      <c r="C77" s="17">
        <f>ROUND(VLOOKUP(B$63&amp;"_2",管理者用人口入力シート!A:X,D77,FALSE),0)</f>
        <v>108</v>
      </c>
      <c r="D77" s="2">
        <v>16</v>
      </c>
      <c r="G77" s="2" t="s">
        <v>8</v>
      </c>
      <c r="H77" s="17">
        <f>ROUND(VLOOKUP(H$67&amp;"_1",管理者用人口入力シート!BH:CE,J77,FALSE),0)</f>
        <v>57</v>
      </c>
      <c r="I77" s="17">
        <f>ROUND(VLOOKUP(H$67&amp;"_2",管理者用人口入力シート!BH:CE,J77,FALSE),0)</f>
        <v>43</v>
      </c>
      <c r="J77" s="2">
        <v>12</v>
      </c>
      <c r="K77" s="12"/>
      <c r="N77" s="2" t="s">
        <v>8</v>
      </c>
      <c r="O77" s="17">
        <f>ROUND(VLOOKUP(O$67&amp;"_1",管理者用人口入力シート!CO:DL,Q77,FALSE),0)</f>
        <v>57</v>
      </c>
      <c r="P77" s="17">
        <f>ROUND(VLOOKUP(O$67&amp;"_2",管理者用人口入力シート!CO:DL,Q77,FALSE),0)</f>
        <v>44</v>
      </c>
      <c r="Q77" s="2">
        <v>12</v>
      </c>
      <c r="U77" s="85"/>
    </row>
    <row r="78" spans="1:21" x14ac:dyDescent="0.15">
      <c r="A78" s="2" t="s">
        <v>13</v>
      </c>
      <c r="B78" s="17">
        <f>ROUND(VLOOKUP(B$63&amp;"_1",管理者用人口入力シート!A:X,D78,FALSE),0)</f>
        <v>127</v>
      </c>
      <c r="C78" s="17">
        <f>ROUND(VLOOKUP(B$63&amp;"_2",管理者用人口入力シート!A:X,D78,FALSE),0)</f>
        <v>119</v>
      </c>
      <c r="D78" s="2">
        <v>17</v>
      </c>
      <c r="G78" s="2" t="s">
        <v>9</v>
      </c>
      <c r="H78" s="17">
        <f>ROUND(VLOOKUP(H$67&amp;"_1",管理者用人口入力シート!BH:CE,J78,FALSE),0)</f>
        <v>62</v>
      </c>
      <c r="I78" s="17">
        <f>ROUND(VLOOKUP(H$67&amp;"_2",管理者用人口入力シート!BH:CE,J78,FALSE),0)</f>
        <v>41</v>
      </c>
      <c r="J78" s="2">
        <v>13</v>
      </c>
      <c r="K78" s="12"/>
      <c r="N78" s="2" t="s">
        <v>9</v>
      </c>
      <c r="O78" s="17">
        <f>ROUND(VLOOKUP(O$67&amp;"_1",管理者用人口入力シート!CO:DL,Q78,FALSE),0)</f>
        <v>62</v>
      </c>
      <c r="P78" s="17">
        <f>ROUND(VLOOKUP(O$67&amp;"_2",管理者用人口入力シート!CO:DL,Q78,FALSE),0)</f>
        <v>41</v>
      </c>
      <c r="Q78" s="2">
        <v>13</v>
      </c>
      <c r="U78" s="85"/>
    </row>
    <row r="79" spans="1:21" x14ac:dyDescent="0.15">
      <c r="A79" s="2" t="s">
        <v>14</v>
      </c>
      <c r="B79" s="17">
        <f>ROUND(VLOOKUP(B$63&amp;"_1",管理者用人口入力シート!A:X,D79,FALSE),0)</f>
        <v>85</v>
      </c>
      <c r="C79" s="17">
        <f>ROUND(VLOOKUP(B$63&amp;"_2",管理者用人口入力シート!A:X,D79,FALSE),0)</f>
        <v>90</v>
      </c>
      <c r="D79" s="2">
        <v>18</v>
      </c>
      <c r="G79" s="2" t="s">
        <v>10</v>
      </c>
      <c r="H79" s="17">
        <f>ROUND(VLOOKUP(H$67&amp;"_1",管理者用人口入力シート!BH:CE,J79,FALSE),0)</f>
        <v>64</v>
      </c>
      <c r="I79" s="17">
        <f>ROUND(VLOOKUP(H$67&amp;"_2",管理者用人口入力シート!BH:CE,J79,FALSE),0)</f>
        <v>46</v>
      </c>
      <c r="J79" s="2">
        <v>14</v>
      </c>
      <c r="K79" s="12"/>
      <c r="N79" s="2" t="s">
        <v>10</v>
      </c>
      <c r="O79" s="17">
        <f>ROUND(VLOOKUP(O$67&amp;"_1",管理者用人口入力シート!CO:DL,Q79,FALSE),0)</f>
        <v>64</v>
      </c>
      <c r="P79" s="17">
        <f>ROUND(VLOOKUP(O$67&amp;"_2",管理者用人口入力シート!CO:DL,Q79,FALSE),0)</f>
        <v>46</v>
      </c>
      <c r="Q79" s="2">
        <v>14</v>
      </c>
      <c r="U79" s="85"/>
    </row>
    <row r="80" spans="1:21" x14ac:dyDescent="0.15">
      <c r="A80" s="2" t="s">
        <v>15</v>
      </c>
      <c r="B80" s="17">
        <f>ROUND(VLOOKUP(B$63&amp;"_1",管理者用人口入力シート!A:X,D80,FALSE),0)</f>
        <v>76</v>
      </c>
      <c r="C80" s="17">
        <f>ROUND(VLOOKUP(B$63&amp;"_2",管理者用人口入力シート!A:X,D80,FALSE),0)</f>
        <v>121</v>
      </c>
      <c r="D80" s="2">
        <v>19</v>
      </c>
      <c r="G80" s="2" t="s">
        <v>11</v>
      </c>
      <c r="H80" s="17">
        <f>ROUND(VLOOKUP(H$67&amp;"_1",管理者用人口入力シート!BH:CE,J80,FALSE),0)</f>
        <v>51</v>
      </c>
      <c r="I80" s="17">
        <f>ROUND(VLOOKUP(H$67&amp;"_2",管理者用人口入力シート!BH:CE,J80,FALSE),0)</f>
        <v>59</v>
      </c>
      <c r="J80" s="2">
        <v>15</v>
      </c>
      <c r="K80" s="12"/>
      <c r="N80" s="2" t="s">
        <v>11</v>
      </c>
      <c r="O80" s="17">
        <f>ROUND(VLOOKUP(O$67&amp;"_1",管理者用人口入力シート!CO:DL,Q80,FALSE),0)</f>
        <v>51</v>
      </c>
      <c r="P80" s="17">
        <f>ROUND(VLOOKUP(O$67&amp;"_2",管理者用人口入力シート!CO:DL,Q80,FALSE),0)</f>
        <v>59</v>
      </c>
      <c r="Q80" s="2">
        <v>15</v>
      </c>
      <c r="U80" s="85"/>
    </row>
    <row r="81" spans="1:21" x14ac:dyDescent="0.15">
      <c r="A81" s="2" t="s">
        <v>16</v>
      </c>
      <c r="B81" s="17">
        <f>ROUND(VLOOKUP(B$63&amp;"_1",管理者用人口入力シート!A:X,D81,FALSE),0)</f>
        <v>79</v>
      </c>
      <c r="C81" s="17">
        <f>ROUND(VLOOKUP(B$63&amp;"_2",管理者用人口入力シート!A:X,D81,FALSE),0)</f>
        <v>108</v>
      </c>
      <c r="D81" s="2">
        <v>20</v>
      </c>
      <c r="G81" s="2" t="s">
        <v>12</v>
      </c>
      <c r="H81" s="17">
        <f>ROUND(VLOOKUP(H$67&amp;"_1",管理者用人口入力シート!BH:CE,J81,FALSE),0)</f>
        <v>68</v>
      </c>
      <c r="I81" s="17">
        <f>ROUND(VLOOKUP(H$67&amp;"_2",管理者用人口入力シート!BH:CE,J81,FALSE),0)</f>
        <v>82</v>
      </c>
      <c r="J81" s="2">
        <v>16</v>
      </c>
      <c r="K81" s="12"/>
      <c r="N81" s="2" t="s">
        <v>12</v>
      </c>
      <c r="O81" s="17">
        <f>ROUND(VLOOKUP(O$67&amp;"_1",管理者用人口入力シート!CO:DL,Q81,FALSE),0)</f>
        <v>68</v>
      </c>
      <c r="P81" s="17">
        <f>ROUND(VLOOKUP(O$67&amp;"_2",管理者用人口入力シート!CO:DL,Q81,FALSE),0)</f>
        <v>82</v>
      </c>
      <c r="Q81" s="2">
        <v>16</v>
      </c>
      <c r="U81" s="85"/>
    </row>
    <row r="82" spans="1:21" x14ac:dyDescent="0.15">
      <c r="A82" s="2" t="s">
        <v>17</v>
      </c>
      <c r="B82" s="17">
        <f>ROUND(VLOOKUP(B$63&amp;"_1",管理者用人口入力シート!A:X,D82,FALSE),0)</f>
        <v>38</v>
      </c>
      <c r="C82" s="17">
        <f>ROUND(VLOOKUP(B$63&amp;"_2",管理者用人口入力シート!A:X,D82,FALSE),0)</f>
        <v>75</v>
      </c>
      <c r="D82" s="2">
        <v>21</v>
      </c>
      <c r="G82" s="2" t="s">
        <v>13</v>
      </c>
      <c r="H82" s="17">
        <f>ROUND(VLOOKUP(H$67&amp;"_1",管理者用人口入力シート!BH:CE,J82,FALSE),0)</f>
        <v>101</v>
      </c>
      <c r="I82" s="17">
        <f>ROUND(VLOOKUP(H$67&amp;"_2",管理者用人口入力シート!BH:CE,J82,FALSE),0)</f>
        <v>120</v>
      </c>
      <c r="J82" s="2">
        <v>17</v>
      </c>
      <c r="K82" s="12"/>
      <c r="N82" s="2" t="s">
        <v>13</v>
      </c>
      <c r="O82" s="17">
        <f>ROUND(VLOOKUP(O$67&amp;"_1",管理者用人口入力シート!CO:DL,Q82,FALSE),0)</f>
        <v>101</v>
      </c>
      <c r="P82" s="17">
        <f>ROUND(VLOOKUP(O$67&amp;"_2",管理者用人口入力シート!CO:DL,Q82,FALSE),0)</f>
        <v>120</v>
      </c>
      <c r="Q82" s="2">
        <v>17</v>
      </c>
      <c r="U82" s="85"/>
    </row>
    <row r="83" spans="1:21" x14ac:dyDescent="0.15">
      <c r="A83" s="2" t="s">
        <v>18</v>
      </c>
      <c r="B83" s="17">
        <f>ROUND(VLOOKUP(B$63&amp;"_1",管理者用人口入力シート!A:X,D83,FALSE),0)</f>
        <v>24</v>
      </c>
      <c r="C83" s="17">
        <f>ROUND(VLOOKUP(B$63&amp;"_2",管理者用人口入力シート!A:X,D83,FALSE),0)</f>
        <v>23</v>
      </c>
      <c r="D83" s="2">
        <v>22</v>
      </c>
      <c r="G83" s="2" t="s">
        <v>14</v>
      </c>
      <c r="H83" s="17">
        <f>ROUND(VLOOKUP(H$67&amp;"_1",管理者用人口入力シート!BH:CE,J83,FALSE),0)</f>
        <v>137</v>
      </c>
      <c r="I83" s="17">
        <f>ROUND(VLOOKUP(H$67&amp;"_2",管理者用人口入力シート!BH:CE,J83,FALSE),0)</f>
        <v>103</v>
      </c>
      <c r="J83" s="2">
        <v>18</v>
      </c>
      <c r="K83" s="12"/>
      <c r="N83" s="2" t="s">
        <v>14</v>
      </c>
      <c r="O83" s="17">
        <f>ROUND(VLOOKUP(O$67&amp;"_1",管理者用人口入力シート!CO:DL,Q83,FALSE),0)</f>
        <v>137</v>
      </c>
      <c r="P83" s="17">
        <f>ROUND(VLOOKUP(O$67&amp;"_2",管理者用人口入力シート!CO:DL,Q83,FALSE),0)</f>
        <v>103</v>
      </c>
      <c r="Q83" s="2">
        <v>18</v>
      </c>
      <c r="U83" s="85"/>
    </row>
    <row r="84" spans="1:21" x14ac:dyDescent="0.15">
      <c r="A84" s="2" t="s">
        <v>19</v>
      </c>
      <c r="B84" s="17">
        <f>ROUND(VLOOKUP(B$63&amp;"_1",管理者用人口入力シート!A:X,D84,FALSE),0)</f>
        <v>2</v>
      </c>
      <c r="C84" s="17">
        <f>ROUND(VLOOKUP(B$63&amp;"_2",管理者用人口入力シート!A:X,D84,FALSE),0)</f>
        <v>9</v>
      </c>
      <c r="D84" s="2">
        <v>23</v>
      </c>
      <c r="G84" s="2" t="s">
        <v>15</v>
      </c>
      <c r="H84" s="17">
        <f>ROUND(VLOOKUP(H$67&amp;"_1",管理者用人口入力シート!BH:CE,J84,FALSE),0)</f>
        <v>106</v>
      </c>
      <c r="I84" s="17">
        <f>ROUND(VLOOKUP(H$67&amp;"_2",管理者用人口入力シート!BH:CE,J84,FALSE),0)</f>
        <v>101</v>
      </c>
      <c r="J84" s="2">
        <v>19</v>
      </c>
      <c r="K84" s="12"/>
      <c r="N84" s="2" t="s">
        <v>15</v>
      </c>
      <c r="O84" s="17">
        <f>ROUND(VLOOKUP(O$67&amp;"_1",管理者用人口入力シート!CO:DL,Q84,FALSE),0)</f>
        <v>106</v>
      </c>
      <c r="P84" s="17">
        <f>ROUND(VLOOKUP(O$67&amp;"_2",管理者用人口入力シート!CO:DL,Q84,FALSE),0)</f>
        <v>101</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58</v>
      </c>
      <c r="I85" s="17">
        <f>ROUND(VLOOKUP(H$67&amp;"_2",管理者用人口入力シート!BH:CE,J85,FALSE),0)</f>
        <v>65</v>
      </c>
      <c r="J85" s="2">
        <v>20</v>
      </c>
      <c r="K85" s="12"/>
      <c r="N85" s="2" t="s">
        <v>16</v>
      </c>
      <c r="O85" s="17">
        <f>ROUND(VLOOKUP(O$67&amp;"_1",管理者用人口入力シート!CO:DL,Q85,FALSE),0)</f>
        <v>58</v>
      </c>
      <c r="P85" s="17">
        <f>ROUND(VLOOKUP(O$67&amp;"_2",管理者用人口入力シート!CO:DL,Q85,FALSE),0)</f>
        <v>65</v>
      </c>
      <c r="Q85" s="2">
        <v>20</v>
      </c>
      <c r="U85" s="85"/>
    </row>
    <row r="86" spans="1:21" x14ac:dyDescent="0.15">
      <c r="G86" s="2" t="s">
        <v>17</v>
      </c>
      <c r="H86" s="17">
        <f>ROUND(VLOOKUP(H$67&amp;"_1",管理者用人口入力シート!BH:CE,J86,FALSE),0)</f>
        <v>33</v>
      </c>
      <c r="I86" s="17">
        <f>ROUND(VLOOKUP(H$67&amp;"_2",管理者用人口入力シート!BH:CE,J86,FALSE),0)</f>
        <v>76</v>
      </c>
      <c r="J86" s="2">
        <v>21</v>
      </c>
      <c r="K86" s="12"/>
      <c r="N86" s="2" t="s">
        <v>17</v>
      </c>
      <c r="O86" s="17">
        <f>ROUND(VLOOKUP(O$67&amp;"_1",管理者用人口入力シート!CO:DL,Q86,FALSE),0)</f>
        <v>33</v>
      </c>
      <c r="P86" s="17">
        <f>ROUND(VLOOKUP(O$67&amp;"_2",管理者用人口入力シート!CO:DL,Q86,FALSE),0)</f>
        <v>76</v>
      </c>
      <c r="Q86" s="2">
        <v>21</v>
      </c>
      <c r="U86" s="85"/>
    </row>
    <row r="87" spans="1:21" x14ac:dyDescent="0.15">
      <c r="A87" s="2" t="s">
        <v>62</v>
      </c>
      <c r="B87" s="317">
        <f>管理者入力シート!B5</f>
        <v>2020</v>
      </c>
      <c r="C87" s="318"/>
      <c r="D87" s="2" t="s">
        <v>114</v>
      </c>
      <c r="G87" s="2" t="s">
        <v>18</v>
      </c>
      <c r="H87" s="17">
        <f>ROUND(VLOOKUP(H$67&amp;"_1",管理者用人口入力シート!BH:CE,J87,FALSE),0)</f>
        <v>22</v>
      </c>
      <c r="I87" s="17">
        <f>ROUND(VLOOKUP(H$67&amp;"_2",管理者用人口入力シート!BH:CE,J87,FALSE),0)</f>
        <v>41</v>
      </c>
      <c r="J87" s="2">
        <v>22</v>
      </c>
      <c r="K87" s="12"/>
      <c r="N87" s="2" t="s">
        <v>18</v>
      </c>
      <c r="O87" s="17">
        <f>ROUND(VLOOKUP(O$67&amp;"_1",管理者用人口入力シート!CO:DL,Q87,FALSE),0)</f>
        <v>22</v>
      </c>
      <c r="P87" s="17">
        <f>ROUND(VLOOKUP(O$67&amp;"_2",管理者用人口入力シート!CO:DL,Q87,FALSE),0)</f>
        <v>41</v>
      </c>
      <c r="Q87" s="2">
        <v>22</v>
      </c>
      <c r="U87" s="85"/>
    </row>
    <row r="88" spans="1:21" x14ac:dyDescent="0.15">
      <c r="A88" s="2" t="s">
        <v>115</v>
      </c>
      <c r="B88" s="18" t="s">
        <v>21</v>
      </c>
      <c r="C88" s="18" t="s">
        <v>22</v>
      </c>
      <c r="G88" s="2" t="s">
        <v>19</v>
      </c>
      <c r="H88" s="17">
        <f>ROUND(VLOOKUP(H$67&amp;"_1",管理者用人口入力シート!BH:CE,J88,FALSE),0)</f>
        <v>4</v>
      </c>
      <c r="I88" s="17">
        <f>ROUND(VLOOKUP(H$67&amp;"_2",管理者用人口入力シート!BH:CE,J88,FALSE),0)</f>
        <v>15</v>
      </c>
      <c r="J88" s="2">
        <v>23</v>
      </c>
      <c r="K88" s="12"/>
      <c r="N88" s="2" t="s">
        <v>19</v>
      </c>
      <c r="O88" s="17">
        <f>ROUND(VLOOKUP(O$67&amp;"_1",管理者用人口入力シート!CO:DL,Q88,FALSE),0)</f>
        <v>4</v>
      </c>
      <c r="P88" s="17">
        <f>ROUND(VLOOKUP(O$67&amp;"_2",管理者用人口入力シート!CO:DL,Q88,FALSE),0)</f>
        <v>15</v>
      </c>
      <c r="Q88" s="2">
        <v>23</v>
      </c>
      <c r="U88" s="85"/>
    </row>
    <row r="89" spans="1:21" x14ac:dyDescent="0.15">
      <c r="A89" s="2" t="s">
        <v>0</v>
      </c>
      <c r="B89" s="17">
        <f>ROUND(VLOOKUP(B$87&amp;"_1",管理者用人口入力シート!A:X,D89,FALSE),0)</f>
        <v>26</v>
      </c>
      <c r="C89" s="17">
        <f>ROUND(VLOOKUP(B$87&amp;"_2",管理者用人口入力シート!A:X,D89,FALSE),0)</f>
        <v>23</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42</v>
      </c>
      <c r="C90" s="17">
        <f>ROUND(VLOOKUP(B$87&amp;"_2",管理者用人口入力シート!A:X,D90,FALSE),0)</f>
        <v>35</v>
      </c>
      <c r="D90" s="2">
        <v>5</v>
      </c>
    </row>
    <row r="91" spans="1:21" x14ac:dyDescent="0.15">
      <c r="A91" s="2" t="s">
        <v>2</v>
      </c>
      <c r="B91" s="17">
        <f>ROUND(VLOOKUP(B$87&amp;"_1",管理者用人口入力シート!A:X,D91,FALSE),0)</f>
        <v>48</v>
      </c>
      <c r="C91" s="17">
        <f>ROUND(VLOOKUP(B$87&amp;"_2",管理者用人口入力シート!A:X,D91,FALSE),0)</f>
        <v>44</v>
      </c>
      <c r="D91" s="2">
        <v>6</v>
      </c>
      <c r="G91" s="2" t="s">
        <v>107</v>
      </c>
      <c r="H91" s="317">
        <f>管理者入力シート!B9</f>
        <v>2030</v>
      </c>
      <c r="I91" s="318"/>
      <c r="J91" s="2" t="s">
        <v>114</v>
      </c>
      <c r="K91" s="208"/>
      <c r="O91" s="317">
        <f>管理者入力シート!B9</f>
        <v>2030</v>
      </c>
      <c r="P91" s="318"/>
      <c r="Q91" s="2" t="s">
        <v>114</v>
      </c>
    </row>
    <row r="92" spans="1:21" x14ac:dyDescent="0.15">
      <c r="A92" s="2" t="s">
        <v>3</v>
      </c>
      <c r="B92" s="17">
        <f>ROUND(VLOOKUP(B$87&amp;"_1",管理者用人口入力シート!A:X,D92,FALSE),0)</f>
        <v>43</v>
      </c>
      <c r="C92" s="17">
        <f>ROUND(VLOOKUP(B$87&amp;"_2",管理者用人口入力シート!A:X,D92,FALSE),0)</f>
        <v>28</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22</v>
      </c>
      <c r="C93" s="17">
        <f>ROUND(VLOOKUP(B$87&amp;"_2",管理者用人口入力シート!A:X,D93,FALSE),0)</f>
        <v>15</v>
      </c>
      <c r="D93" s="2">
        <v>8</v>
      </c>
      <c r="G93" s="2" t="s">
        <v>0</v>
      </c>
      <c r="H93" s="17">
        <f>ROUND(VLOOKUP(H$91&amp;"_1",管理者用人口入力シート!BH:CE,J93,FALSE),0)</f>
        <v>13</v>
      </c>
      <c r="I93" s="17">
        <f>ROUND(VLOOKUP(H$91&amp;"_2",管理者用人口入力シート!BH:CE,J93,FALSE),0)</f>
        <v>12</v>
      </c>
      <c r="J93" s="2">
        <v>4</v>
      </c>
      <c r="K93" s="12"/>
      <c r="N93" s="2" t="s">
        <v>0</v>
      </c>
      <c r="O93" s="17">
        <f>ROUND(VLOOKUP(O$91&amp;"_1",管理者用人口入力シート!CO:DL,Q93,FALSE),0)</f>
        <v>15</v>
      </c>
      <c r="P93" s="17">
        <f>ROUND(VLOOKUP(O$91&amp;"_2",管理者用人口入力シート!CO:DL,Q93,FALSE),0)</f>
        <v>13</v>
      </c>
      <c r="Q93" s="2">
        <v>4</v>
      </c>
      <c r="T93" s="85"/>
    </row>
    <row r="94" spans="1:21" x14ac:dyDescent="0.15">
      <c r="A94" s="2" t="s">
        <v>5</v>
      </c>
      <c r="B94" s="17">
        <f>ROUND(VLOOKUP(B$87&amp;"_1",管理者用人口入力シート!A:X,D94,FALSE),0)</f>
        <v>37</v>
      </c>
      <c r="C94" s="17">
        <f>ROUND(VLOOKUP(B$87&amp;"_2",管理者用人口入力シート!A:X,D94,FALSE),0)</f>
        <v>21</v>
      </c>
      <c r="D94" s="2">
        <v>9</v>
      </c>
      <c r="G94" s="2" t="s">
        <v>1</v>
      </c>
      <c r="H94" s="17">
        <f>ROUND(VLOOKUP(H$91&amp;"_1",管理者用人口入力シート!BH:CE,J94,FALSE),0)</f>
        <v>21</v>
      </c>
      <c r="I94" s="17">
        <f>ROUND(VLOOKUP(H$91&amp;"_2",管理者用人口入力シート!BH:CE,J94,FALSE),0)</f>
        <v>16</v>
      </c>
      <c r="J94" s="2">
        <v>5</v>
      </c>
      <c r="K94" s="12"/>
      <c r="N94" s="2" t="s">
        <v>1</v>
      </c>
      <c r="O94" s="17">
        <f>ROUND(VLOOKUP(O$91&amp;"_1",管理者用人口入力シート!CO:DL,Q94,FALSE),0)</f>
        <v>22</v>
      </c>
      <c r="P94" s="17">
        <f>ROUND(VLOOKUP(O$91&amp;"_2",管理者用人口入力シート!CO:DL,Q94,FALSE),0)</f>
        <v>17</v>
      </c>
      <c r="Q94" s="2">
        <v>5</v>
      </c>
      <c r="T94" s="85"/>
    </row>
    <row r="95" spans="1:21" x14ac:dyDescent="0.15">
      <c r="A95" s="2" t="s">
        <v>6</v>
      </c>
      <c r="B95" s="17">
        <f>ROUND(VLOOKUP(B$87&amp;"_1",管理者用人口入力シート!A:X,D95,FALSE),0)</f>
        <v>28</v>
      </c>
      <c r="C95" s="17">
        <f>ROUND(VLOOKUP(B$87&amp;"_2",管理者用人口入力シート!A:X,D95,FALSE),0)</f>
        <v>38</v>
      </c>
      <c r="D95" s="2">
        <v>10</v>
      </c>
      <c r="G95" s="2" t="s">
        <v>2</v>
      </c>
      <c r="H95" s="17">
        <f>ROUND(VLOOKUP(H$91&amp;"_1",管理者用人口入力シート!BH:CE,J95,FALSE),0)</f>
        <v>29</v>
      </c>
      <c r="I95" s="17">
        <f>ROUND(VLOOKUP(H$91&amp;"_2",管理者用人口入力シート!BH:CE,J95,FALSE),0)</f>
        <v>22</v>
      </c>
      <c r="J95" s="2">
        <v>6</v>
      </c>
      <c r="K95" s="12"/>
      <c r="N95" s="2" t="s">
        <v>2</v>
      </c>
      <c r="O95" s="17">
        <f>ROUND(VLOOKUP(O$91&amp;"_1",管理者用人口入力シート!CO:DL,Q95,FALSE),0)</f>
        <v>30</v>
      </c>
      <c r="P95" s="17">
        <f>ROUND(VLOOKUP(O$91&amp;"_2",管理者用人口入力シート!CO:DL,Q95,FALSE),0)</f>
        <v>23</v>
      </c>
      <c r="Q95" s="2">
        <v>6</v>
      </c>
      <c r="T95" s="85"/>
    </row>
    <row r="96" spans="1:21" x14ac:dyDescent="0.15">
      <c r="A96" s="2" t="s">
        <v>7</v>
      </c>
      <c r="B96" s="17">
        <f>ROUND(VLOOKUP(B$87&amp;"_1",管理者用人口入力シート!A:X,D96,FALSE),0)</f>
        <v>50</v>
      </c>
      <c r="C96" s="17">
        <f>ROUND(VLOOKUP(B$87&amp;"_2",管理者用人口入力シート!A:X,D96,FALSE),0)</f>
        <v>44</v>
      </c>
      <c r="D96" s="2">
        <v>11</v>
      </c>
      <c r="G96" s="2" t="s">
        <v>3</v>
      </c>
      <c r="H96" s="17">
        <f>ROUND(VLOOKUP(H$91&amp;"_1",管理者用人口入力シート!BH:CE,J96,FALSE),0)</f>
        <v>28</v>
      </c>
      <c r="I96" s="17">
        <f>ROUND(VLOOKUP(H$91&amp;"_2",管理者用人口入力シート!BH:CE,J96,FALSE),0)</f>
        <v>22</v>
      </c>
      <c r="J96" s="2">
        <v>7</v>
      </c>
      <c r="K96" s="12"/>
      <c r="N96" s="2" t="s">
        <v>3</v>
      </c>
      <c r="O96" s="17">
        <f>ROUND(VLOOKUP(O$91&amp;"_1",管理者用人口入力シート!CO:DL,Q96,FALSE),0)</f>
        <v>29</v>
      </c>
      <c r="P96" s="17">
        <f>ROUND(VLOOKUP(O$91&amp;"_2",管理者用人口入力シート!CO:DL,Q96,FALSE),0)</f>
        <v>23</v>
      </c>
      <c r="Q96" s="2">
        <v>7</v>
      </c>
      <c r="T96" s="85"/>
    </row>
    <row r="97" spans="1:20" x14ac:dyDescent="0.15">
      <c r="A97" s="2" t="s">
        <v>8</v>
      </c>
      <c r="B97" s="17">
        <f>ROUND(VLOOKUP(B$87&amp;"_1",管理者用人口入力シート!A:X,D97,FALSE),0)</f>
        <v>59</v>
      </c>
      <c r="C97" s="17">
        <f>ROUND(VLOOKUP(B$87&amp;"_2",管理者用人口入力シート!A:X,D97,FALSE),0)</f>
        <v>47</v>
      </c>
      <c r="D97" s="2">
        <v>12</v>
      </c>
      <c r="G97" s="2" t="s">
        <v>4</v>
      </c>
      <c r="H97" s="17">
        <f>ROUND(VLOOKUP(H$91&amp;"_1",管理者用人口入力シート!BH:CE,J97,FALSE),0)</f>
        <v>19</v>
      </c>
      <c r="I97" s="17">
        <f>ROUND(VLOOKUP(H$91&amp;"_2",管理者用人口入力シート!BH:CE,J97,FALSE),0)</f>
        <v>17</v>
      </c>
      <c r="J97" s="2">
        <v>8</v>
      </c>
      <c r="K97" s="12"/>
      <c r="N97" s="2" t="s">
        <v>4</v>
      </c>
      <c r="O97" s="17">
        <f>ROUND(VLOOKUP(O$91&amp;"_1",管理者用人口入力シート!CO:DL,Q97,FALSE),0)</f>
        <v>19</v>
      </c>
      <c r="P97" s="17">
        <f>ROUND(VLOOKUP(O$91&amp;"_2",管理者用人口入力シート!CO:DL,Q97,FALSE),0)</f>
        <v>17</v>
      </c>
      <c r="Q97" s="2">
        <v>8</v>
      </c>
      <c r="T97" s="85"/>
    </row>
    <row r="98" spans="1:20" x14ac:dyDescent="0.15">
      <c r="A98" s="2" t="s">
        <v>9</v>
      </c>
      <c r="B98" s="17">
        <f>ROUND(VLOOKUP(B$87&amp;"_1",管理者用人口入力シート!A:X,D98,FALSE),0)</f>
        <v>67</v>
      </c>
      <c r="C98" s="17">
        <f>ROUND(VLOOKUP(B$87&amp;"_2",管理者用人口入力シート!A:X,D98,FALSE),0)</f>
        <v>45</v>
      </c>
      <c r="D98" s="2">
        <v>13</v>
      </c>
      <c r="G98" s="2" t="s">
        <v>5</v>
      </c>
      <c r="H98" s="17">
        <f>ROUND(VLOOKUP(H$91&amp;"_1",管理者用人口入力シート!BH:CE,J98,FALSE),0)</f>
        <v>29</v>
      </c>
      <c r="I98" s="17">
        <f>ROUND(VLOOKUP(H$91&amp;"_2",管理者用人口入力シート!BH:CE,J98,FALSE),0)</f>
        <v>13</v>
      </c>
      <c r="J98" s="2">
        <v>9</v>
      </c>
      <c r="K98" s="12"/>
      <c r="N98" s="2" t="s">
        <v>5</v>
      </c>
      <c r="O98" s="17">
        <f>ROUND(VLOOKUP(O$91&amp;"_1",管理者用人口入力シート!CO:DL,Q98,FALSE),0)</f>
        <v>31</v>
      </c>
      <c r="P98" s="17">
        <f>ROUND(VLOOKUP(O$91&amp;"_2",管理者用人口入力シート!CO:DL,Q98,FALSE),0)</f>
        <v>15</v>
      </c>
      <c r="Q98" s="2">
        <v>9</v>
      </c>
      <c r="T98" s="85"/>
    </row>
    <row r="99" spans="1:20" x14ac:dyDescent="0.15">
      <c r="A99" s="2" t="s">
        <v>10</v>
      </c>
      <c r="B99" s="17">
        <f>ROUND(VLOOKUP(B$87&amp;"_1",管理者用人口入力シート!A:X,D99,FALSE),0)</f>
        <v>51</v>
      </c>
      <c r="C99" s="17">
        <f>ROUND(VLOOKUP(B$87&amp;"_2",管理者用人口入力シート!A:X,D99,FALSE),0)</f>
        <v>61</v>
      </c>
      <c r="D99" s="2">
        <v>14</v>
      </c>
      <c r="G99" s="2" t="s">
        <v>6</v>
      </c>
      <c r="H99" s="17">
        <f>ROUND(VLOOKUP(H$91&amp;"_1",管理者用人口入力シート!BH:CE,J99,FALSE),0)</f>
        <v>21</v>
      </c>
      <c r="I99" s="17">
        <f>ROUND(VLOOKUP(H$91&amp;"_2",管理者用人口入力シート!BH:CE,J99,FALSE),0)</f>
        <v>11</v>
      </c>
      <c r="J99" s="2">
        <v>10</v>
      </c>
      <c r="K99" s="12"/>
      <c r="N99" s="2" t="s">
        <v>6</v>
      </c>
      <c r="O99" s="17">
        <f>ROUND(VLOOKUP(O$91&amp;"_1",管理者用人口入力シート!CO:DL,Q99,FALSE),0)</f>
        <v>22</v>
      </c>
      <c r="P99" s="17">
        <f>ROUND(VLOOKUP(O$91&amp;"_2",管理者用人口入力シート!CO:DL,Q99,FALSE),0)</f>
        <v>13</v>
      </c>
      <c r="Q99" s="2">
        <v>10</v>
      </c>
      <c r="T99" s="85"/>
    </row>
    <row r="100" spans="1:20" x14ac:dyDescent="0.15">
      <c r="A100" s="2" t="s">
        <v>11</v>
      </c>
      <c r="B100" s="17">
        <f>ROUND(VLOOKUP(B$87&amp;"_1",管理者用人口入力シート!A:X,D100,FALSE),0)</f>
        <v>68</v>
      </c>
      <c r="C100" s="17">
        <f>ROUND(VLOOKUP(B$87&amp;"_2",管理者用人口入力シート!A:X,D100,FALSE),0)</f>
        <v>79</v>
      </c>
      <c r="D100" s="2">
        <v>15</v>
      </c>
      <c r="G100" s="2" t="s">
        <v>7</v>
      </c>
      <c r="H100" s="17">
        <f>ROUND(VLOOKUP(H$91&amp;"_1",管理者用人口入力シート!BH:CE,J100,FALSE),0)</f>
        <v>33</v>
      </c>
      <c r="I100" s="17">
        <f>ROUND(VLOOKUP(H$91&amp;"_2",管理者用人口入力シート!BH:CE,J100,FALSE),0)</f>
        <v>18</v>
      </c>
      <c r="J100" s="2">
        <v>11</v>
      </c>
      <c r="K100" s="12"/>
      <c r="N100" s="2" t="s">
        <v>7</v>
      </c>
      <c r="O100" s="17">
        <f>ROUND(VLOOKUP(O$91&amp;"_1",管理者用人口入力シート!CO:DL,Q100,FALSE),0)</f>
        <v>33</v>
      </c>
      <c r="P100" s="17">
        <f>ROUND(VLOOKUP(O$91&amp;"_2",管理者用人口入力シート!CO:DL,Q100,FALSE),0)</f>
        <v>18</v>
      </c>
      <c r="Q100" s="2">
        <v>11</v>
      </c>
      <c r="T100" s="85"/>
    </row>
    <row r="101" spans="1:20" x14ac:dyDescent="0.15">
      <c r="A101" s="2" t="s">
        <v>12</v>
      </c>
      <c r="B101" s="17">
        <f>ROUND(VLOOKUP(B$87&amp;"_1",管理者用人口入力シート!A:X,D101,FALSE),0)</f>
        <v>105</v>
      </c>
      <c r="C101" s="17">
        <f>ROUND(VLOOKUP(B$87&amp;"_2",管理者用人口入力シート!A:X,D101,FALSE),0)</f>
        <v>124</v>
      </c>
      <c r="D101" s="2">
        <v>16</v>
      </c>
      <c r="G101" s="2" t="s">
        <v>8</v>
      </c>
      <c r="H101" s="17">
        <f>ROUND(VLOOKUP(H$91&amp;"_1",管理者用人口入力シート!BH:CE,J101,FALSE),0)</f>
        <v>36</v>
      </c>
      <c r="I101" s="17">
        <f>ROUND(VLOOKUP(H$91&amp;"_2",管理者用人口入力シート!BH:CE,J101,FALSE),0)</f>
        <v>36</v>
      </c>
      <c r="J101" s="2">
        <v>12</v>
      </c>
      <c r="K101" s="12"/>
      <c r="N101" s="2" t="s">
        <v>8</v>
      </c>
      <c r="O101" s="17">
        <f>ROUND(VLOOKUP(O$91&amp;"_1",管理者用人口入力シート!CO:DL,Q101,FALSE),0)</f>
        <v>36</v>
      </c>
      <c r="P101" s="17">
        <f>ROUND(VLOOKUP(O$91&amp;"_2",管理者用人口入力シート!CO:DL,Q101,FALSE),0)</f>
        <v>37</v>
      </c>
      <c r="Q101" s="2">
        <v>12</v>
      </c>
      <c r="T101" s="85"/>
    </row>
    <row r="102" spans="1:20" x14ac:dyDescent="0.15">
      <c r="A102" s="2" t="s">
        <v>13</v>
      </c>
      <c r="B102" s="17">
        <f>ROUND(VLOOKUP(B$87&amp;"_1",管理者用人口入力シート!A:X,D102,FALSE),0)</f>
        <v>145</v>
      </c>
      <c r="C102" s="17">
        <f>ROUND(VLOOKUP(B$87&amp;"_2",管理者用人口入力シート!A:X,D102,FALSE),0)</f>
        <v>105</v>
      </c>
      <c r="D102" s="2">
        <v>17</v>
      </c>
      <c r="G102" s="2" t="s">
        <v>9</v>
      </c>
      <c r="H102" s="17">
        <f>ROUND(VLOOKUP(H$91&amp;"_1",管理者用人口入力シート!BH:CE,J102,FALSE),0)</f>
        <v>59</v>
      </c>
      <c r="I102" s="17">
        <f>ROUND(VLOOKUP(H$91&amp;"_2",管理者用人口入力シート!BH:CE,J102,FALSE),0)</f>
        <v>38</v>
      </c>
      <c r="J102" s="2">
        <v>13</v>
      </c>
      <c r="K102" s="12"/>
      <c r="N102" s="2" t="s">
        <v>9</v>
      </c>
      <c r="O102" s="17">
        <f>ROUND(VLOOKUP(O$91&amp;"_1",管理者用人口入力シート!CO:DL,Q102,FALSE),0)</f>
        <v>59</v>
      </c>
      <c r="P102" s="17">
        <f>ROUND(VLOOKUP(O$91&amp;"_2",管理者用人口入力シート!CO:DL,Q102,FALSE),0)</f>
        <v>39</v>
      </c>
      <c r="Q102" s="2">
        <v>13</v>
      </c>
      <c r="T102" s="85"/>
    </row>
    <row r="103" spans="1:20" x14ac:dyDescent="0.15">
      <c r="A103" s="2" t="s">
        <v>14</v>
      </c>
      <c r="B103" s="17">
        <f>ROUND(VLOOKUP(B$87&amp;"_1",管理者用人口入力シート!A:X,D103,FALSE),0)</f>
        <v>117</v>
      </c>
      <c r="C103" s="17">
        <f>ROUND(VLOOKUP(B$87&amp;"_2",管理者用人口入力シート!A:X,D103,FALSE),0)</f>
        <v>114</v>
      </c>
      <c r="D103" s="2">
        <v>18</v>
      </c>
      <c r="G103" s="2" t="s">
        <v>10</v>
      </c>
      <c r="H103" s="17">
        <f>ROUND(VLOOKUP(H$91&amp;"_1",管理者用人口入力シート!BH:CE,J103,FALSE),0)</f>
        <v>60</v>
      </c>
      <c r="I103" s="17">
        <f>ROUND(VLOOKUP(H$91&amp;"_2",管理者用人口入力シート!BH:CE,J103,FALSE),0)</f>
        <v>42</v>
      </c>
      <c r="J103" s="2">
        <v>14</v>
      </c>
      <c r="K103" s="12"/>
      <c r="N103" s="2" t="s">
        <v>10</v>
      </c>
      <c r="O103" s="17">
        <f>ROUND(VLOOKUP(O$91&amp;"_1",管理者用人口入力シート!CO:DL,Q103,FALSE),0)</f>
        <v>60</v>
      </c>
      <c r="P103" s="17">
        <f>ROUND(VLOOKUP(O$91&amp;"_2",管理者用人口入力シート!CO:DL,Q103,FALSE),0)</f>
        <v>42</v>
      </c>
      <c r="Q103" s="2">
        <v>14</v>
      </c>
      <c r="T103" s="85"/>
    </row>
    <row r="104" spans="1:20" x14ac:dyDescent="0.15">
      <c r="A104" s="2" t="s">
        <v>15</v>
      </c>
      <c r="B104" s="17">
        <f>ROUND(VLOOKUP(B$87&amp;"_1",管理者用人口入力シート!A:X,D104,FALSE),0)</f>
        <v>75</v>
      </c>
      <c r="C104" s="17">
        <f>ROUND(VLOOKUP(B$87&amp;"_2",管理者用人口入力シート!A:X,D104,FALSE),0)</f>
        <v>77</v>
      </c>
      <c r="D104" s="2">
        <v>19</v>
      </c>
      <c r="G104" s="2" t="s">
        <v>11</v>
      </c>
      <c r="H104" s="17">
        <f>ROUND(VLOOKUP(H$91&amp;"_1",管理者用人口入力シート!BH:CE,J104,FALSE),0)</f>
        <v>64</v>
      </c>
      <c r="I104" s="17">
        <f>ROUND(VLOOKUP(H$91&amp;"_2",管理者用人口入力シート!BH:CE,J104,FALSE),0)</f>
        <v>44</v>
      </c>
      <c r="J104" s="2">
        <v>15</v>
      </c>
      <c r="K104" s="12"/>
      <c r="N104" s="2" t="s">
        <v>11</v>
      </c>
      <c r="O104" s="17">
        <f>ROUND(VLOOKUP(O$91&amp;"_1",管理者用人口入力シート!CO:DL,Q104,FALSE),0)</f>
        <v>64</v>
      </c>
      <c r="P104" s="17">
        <f>ROUND(VLOOKUP(O$91&amp;"_2",管理者用人口入力シート!CO:DL,Q104,FALSE),0)</f>
        <v>44</v>
      </c>
      <c r="Q104" s="2">
        <v>15</v>
      </c>
      <c r="T104" s="85"/>
    </row>
    <row r="105" spans="1:20" x14ac:dyDescent="0.15">
      <c r="A105" s="2" t="s">
        <v>16</v>
      </c>
      <c r="B105" s="17">
        <f>ROUND(VLOOKUP(B$87&amp;"_1",管理者用人口入力シート!A:X,D105,FALSE),0)</f>
        <v>57</v>
      </c>
      <c r="C105" s="17">
        <f>ROUND(VLOOKUP(B$87&amp;"_2",管理者用人口入力シート!A:X,D105,FALSE),0)</f>
        <v>104</v>
      </c>
      <c r="D105" s="2">
        <v>20</v>
      </c>
      <c r="G105" s="2" t="s">
        <v>12</v>
      </c>
      <c r="H105" s="17">
        <f>ROUND(VLOOKUP(H$91&amp;"_1",管理者用人口入力シート!BH:CE,J105,FALSE),0)</f>
        <v>51</v>
      </c>
      <c r="I105" s="17">
        <f>ROUND(VLOOKUP(H$91&amp;"_2",管理者用人口入力シート!BH:CE,J105,FALSE),0)</f>
        <v>61</v>
      </c>
      <c r="J105" s="2">
        <v>16</v>
      </c>
      <c r="K105" s="12"/>
      <c r="N105" s="2" t="s">
        <v>12</v>
      </c>
      <c r="O105" s="17">
        <f>ROUND(VLOOKUP(O$91&amp;"_1",管理者用人口入力シート!CO:DL,Q105,FALSE),0)</f>
        <v>51</v>
      </c>
      <c r="P105" s="17">
        <f>ROUND(VLOOKUP(O$91&amp;"_2",管理者用人口入力シート!CO:DL,Q105,FALSE),0)</f>
        <v>61</v>
      </c>
      <c r="Q105" s="2">
        <v>16</v>
      </c>
      <c r="T105" s="85"/>
    </row>
    <row r="106" spans="1:20" x14ac:dyDescent="0.15">
      <c r="A106" s="2" t="s">
        <v>17</v>
      </c>
      <c r="B106" s="17">
        <f>ROUND(VLOOKUP(B$87&amp;"_1",管理者用人口入力シート!A:X,D106,FALSE),0)</f>
        <v>45</v>
      </c>
      <c r="C106" s="17">
        <f>ROUND(VLOOKUP(B$87&amp;"_2",管理者用人口入力シート!A:X,D106,FALSE),0)</f>
        <v>85</v>
      </c>
      <c r="D106" s="2">
        <v>21</v>
      </c>
      <c r="G106" s="2" t="s">
        <v>13</v>
      </c>
      <c r="H106" s="17">
        <f>ROUND(VLOOKUP(H$91&amp;"_1",管理者用人口入力シート!BH:CE,J106,FALSE),0)</f>
        <v>65</v>
      </c>
      <c r="I106" s="17">
        <f>ROUND(VLOOKUP(H$91&amp;"_2",管理者用人口入力シート!BH:CE,J106,FALSE),0)</f>
        <v>80</v>
      </c>
      <c r="J106" s="2">
        <v>17</v>
      </c>
      <c r="K106" s="12"/>
      <c r="N106" s="2" t="s">
        <v>13</v>
      </c>
      <c r="O106" s="17">
        <f>ROUND(VLOOKUP(O$91&amp;"_1",管理者用人口入力シート!CO:DL,Q106,FALSE),0)</f>
        <v>65</v>
      </c>
      <c r="P106" s="17">
        <f>ROUND(VLOOKUP(O$91&amp;"_2",管理者用人口入力シート!CO:DL,Q106,FALSE),0)</f>
        <v>80</v>
      </c>
      <c r="Q106" s="2">
        <v>17</v>
      </c>
      <c r="T106" s="85"/>
    </row>
    <row r="107" spans="1:20" x14ac:dyDescent="0.15">
      <c r="A107" s="2" t="s">
        <v>18</v>
      </c>
      <c r="B107" s="17">
        <f>ROUND(VLOOKUP(B$87&amp;"_1",管理者用人口入力シート!A:X,D107,FALSE),0)</f>
        <v>17</v>
      </c>
      <c r="C107" s="17">
        <f>ROUND(VLOOKUP(B$87&amp;"_2",管理者用人口入力シート!A:X,D107,FALSE),0)</f>
        <v>46</v>
      </c>
      <c r="D107" s="2">
        <v>22</v>
      </c>
      <c r="G107" s="2" t="s">
        <v>14</v>
      </c>
      <c r="H107" s="17">
        <f>ROUND(VLOOKUP(H$91&amp;"_1",管理者用人口入力シート!BH:CE,J107,FALSE),0)</f>
        <v>95</v>
      </c>
      <c r="I107" s="17">
        <f>ROUND(VLOOKUP(H$91&amp;"_2",管理者用人口入力シート!BH:CE,J107,FALSE),0)</f>
        <v>118</v>
      </c>
      <c r="J107" s="2">
        <v>18</v>
      </c>
      <c r="K107" s="12"/>
      <c r="N107" s="2" t="s">
        <v>14</v>
      </c>
      <c r="O107" s="17">
        <f>ROUND(VLOOKUP(O$91&amp;"_1",管理者用人口入力シート!CO:DL,Q107,FALSE),0)</f>
        <v>95</v>
      </c>
      <c r="P107" s="17">
        <f>ROUND(VLOOKUP(O$91&amp;"_2",管理者用人口入力シート!CO:DL,Q107,FALSE),0)</f>
        <v>118</v>
      </c>
      <c r="Q107" s="2">
        <v>18</v>
      </c>
      <c r="T107" s="85"/>
    </row>
    <row r="108" spans="1:20" x14ac:dyDescent="0.15">
      <c r="A108" s="2" t="s">
        <v>19</v>
      </c>
      <c r="B108" s="17">
        <f>ROUND(VLOOKUP(B$87&amp;"_1",管理者用人口入力シート!A:X,D108,FALSE),0)</f>
        <v>7</v>
      </c>
      <c r="C108" s="17">
        <f>ROUND(VLOOKUP(B$87&amp;"_2",管理者用人口入力シート!A:X,D108,FALSE),0)</f>
        <v>6</v>
      </c>
      <c r="D108" s="2">
        <v>23</v>
      </c>
      <c r="G108" s="2" t="s">
        <v>15</v>
      </c>
      <c r="H108" s="17">
        <f>ROUND(VLOOKUP(H$91&amp;"_1",管理者用人口入力シート!BH:CE,J108,FALSE),0)</f>
        <v>125</v>
      </c>
      <c r="I108" s="17">
        <f>ROUND(VLOOKUP(H$91&amp;"_2",管理者用人口入力シート!BH:CE,J108,FALSE),0)</f>
        <v>91</v>
      </c>
      <c r="J108" s="2">
        <v>19</v>
      </c>
      <c r="K108" s="12"/>
      <c r="N108" s="2" t="s">
        <v>15</v>
      </c>
      <c r="O108" s="17">
        <f>ROUND(VLOOKUP(O$91&amp;"_1",管理者用人口入力シート!CO:DL,Q108,FALSE),0)</f>
        <v>125</v>
      </c>
      <c r="P108" s="17">
        <f>ROUND(VLOOKUP(O$91&amp;"_2",管理者用人口入力シート!CO:DL,Q108,FALSE),0)</f>
        <v>91</v>
      </c>
      <c r="Q108" s="2">
        <v>19</v>
      </c>
      <c r="T108" s="85"/>
    </row>
    <row r="109" spans="1:20" x14ac:dyDescent="0.15">
      <c r="A109" s="2" t="s">
        <v>20</v>
      </c>
      <c r="B109" s="17">
        <f>ROUND(VLOOKUP(B$87&amp;"_1",管理者用人口入力シート!A:X,D109,FALSE),0)</f>
        <v>0</v>
      </c>
      <c r="C109" s="17">
        <f>ROUND(VLOOKUP(B$87&amp;"_2",管理者用人口入力シート!A:X,D109,FALSE),0)</f>
        <v>2</v>
      </c>
      <c r="D109" s="2">
        <v>24</v>
      </c>
      <c r="G109" s="2" t="s">
        <v>16</v>
      </c>
      <c r="H109" s="17">
        <f>ROUND(VLOOKUP(H$91&amp;"_1",管理者用人口入力シート!BH:CE,J109,FALSE),0)</f>
        <v>81</v>
      </c>
      <c r="I109" s="17">
        <f>ROUND(VLOOKUP(H$91&amp;"_2",管理者用人口入力シート!BH:CE,J109,FALSE),0)</f>
        <v>85</v>
      </c>
      <c r="J109" s="2">
        <v>20</v>
      </c>
      <c r="K109" s="12"/>
      <c r="N109" s="2" t="s">
        <v>16</v>
      </c>
      <c r="O109" s="17">
        <f>ROUND(VLOOKUP(O$91&amp;"_1",管理者用人口入力シート!CO:DL,Q109,FALSE),0)</f>
        <v>81</v>
      </c>
      <c r="P109" s="17">
        <f>ROUND(VLOOKUP(O$91&amp;"_2",管理者用人口入力シート!CO:DL,Q109,FALSE),0)</f>
        <v>85</v>
      </c>
      <c r="Q109" s="2">
        <v>20</v>
      </c>
      <c r="T109" s="85"/>
    </row>
    <row r="110" spans="1:20" x14ac:dyDescent="0.15">
      <c r="G110" s="2" t="s">
        <v>17</v>
      </c>
      <c r="H110" s="17">
        <f>ROUND(VLOOKUP(H$91&amp;"_1",管理者用人口入力シート!BH:CE,J110,FALSE),0)</f>
        <v>34</v>
      </c>
      <c r="I110" s="17">
        <f>ROUND(VLOOKUP(H$91&amp;"_2",管理者用人口入力シート!BH:CE,J110,FALSE),0)</f>
        <v>48</v>
      </c>
      <c r="J110" s="2">
        <v>21</v>
      </c>
      <c r="K110" s="12"/>
      <c r="N110" s="2" t="s">
        <v>17</v>
      </c>
      <c r="O110" s="17">
        <f>ROUND(VLOOKUP(O$91&amp;"_1",管理者用人口入力シート!CO:DL,Q110,FALSE),0)</f>
        <v>34</v>
      </c>
      <c r="P110" s="17">
        <f>ROUND(VLOOKUP(O$91&amp;"_2",管理者用人口入力シート!CO:DL,Q110,FALSE),0)</f>
        <v>48</v>
      </c>
      <c r="Q110" s="2">
        <v>21</v>
      </c>
      <c r="T110" s="85"/>
    </row>
    <row r="111" spans="1:20" x14ac:dyDescent="0.15">
      <c r="G111" s="2" t="s">
        <v>18</v>
      </c>
      <c r="H111" s="17">
        <f>ROUND(VLOOKUP(H$91&amp;"_1",管理者用人口入力シート!BH:CE,J111,FALSE),0)</f>
        <v>16</v>
      </c>
      <c r="I111" s="17">
        <f>ROUND(VLOOKUP(H$91&amp;"_2",管理者用人口入力シート!BH:CE,J111,FALSE),0)</f>
        <v>36</v>
      </c>
      <c r="J111" s="2">
        <v>22</v>
      </c>
      <c r="K111" s="12"/>
      <c r="N111" s="2" t="s">
        <v>18</v>
      </c>
      <c r="O111" s="17">
        <f>ROUND(VLOOKUP(O$91&amp;"_1",管理者用人口入力シート!CO:DL,Q111,FALSE),0)</f>
        <v>16</v>
      </c>
      <c r="P111" s="17">
        <f>ROUND(VLOOKUP(O$91&amp;"_2",管理者用人口入力シート!CO:DL,Q111,FALSE),0)</f>
        <v>36</v>
      </c>
      <c r="Q111" s="2">
        <v>22</v>
      </c>
      <c r="T111" s="85"/>
    </row>
    <row r="112" spans="1:20" x14ac:dyDescent="0.15">
      <c r="G112" s="2" t="s">
        <v>19</v>
      </c>
      <c r="H112" s="17">
        <f>ROUND(VLOOKUP(H$91&amp;"_1",管理者用人口入力シート!BH:CE,J112,FALSE),0)</f>
        <v>5</v>
      </c>
      <c r="I112" s="17">
        <f>ROUND(VLOOKUP(H$91&amp;"_2",管理者用人口入力シート!BH:CE,J112,FALSE),0)</f>
        <v>13</v>
      </c>
      <c r="J112" s="2">
        <v>23</v>
      </c>
      <c r="K112" s="12"/>
      <c r="N112" s="2" t="s">
        <v>19</v>
      </c>
      <c r="O112" s="17">
        <f>ROUND(VLOOKUP(O$91&amp;"_1",管理者用人口入力シート!CO:DL,Q112,FALSE),0)</f>
        <v>5</v>
      </c>
      <c r="P112" s="17">
        <f>ROUND(VLOOKUP(O$91&amp;"_2",管理者用人口入力シート!CO:DL,Q112,FALSE),0)</f>
        <v>13</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7">
        <f>管理者入力シート!B10</f>
        <v>2035</v>
      </c>
      <c r="I115" s="318"/>
      <c r="J115" s="2" t="s">
        <v>114</v>
      </c>
      <c r="O115" s="317">
        <f>管理者入力シート!B10</f>
        <v>2035</v>
      </c>
      <c r="P115" s="318"/>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11</v>
      </c>
      <c r="I117" s="17">
        <f>ROUND(VLOOKUP(H$115&amp;"_2",管理者用人口入力シート!BH:CE,J117,FALSE),0)</f>
        <v>10</v>
      </c>
      <c r="J117" s="2">
        <v>4</v>
      </c>
      <c r="N117" s="2" t="s">
        <v>0</v>
      </c>
      <c r="O117" s="17">
        <f>ROUND(VLOOKUP(O$115&amp;"_1",管理者用人口入力シート!CO:DL,Q117,FALSE),0)</f>
        <v>13</v>
      </c>
      <c r="P117" s="17">
        <f>ROUND(VLOOKUP(O$115&amp;"_2",管理者用人口入力シート!CO:DL,Q117,FALSE),0)</f>
        <v>12</v>
      </c>
      <c r="Q117" s="2">
        <v>4</v>
      </c>
      <c r="T117" s="85"/>
    </row>
    <row r="118" spans="7:20" x14ac:dyDescent="0.15">
      <c r="G118" s="2" t="s">
        <v>1</v>
      </c>
      <c r="H118" s="17">
        <f>ROUND(VLOOKUP(H$115&amp;"_1",管理者用人口入力シート!BH:CE,J118,FALSE),0)</f>
        <v>15</v>
      </c>
      <c r="I118" s="17">
        <f>ROUND(VLOOKUP(H$115&amp;"_2",管理者用人口入力シート!BH:CE,J118,FALSE),0)</f>
        <v>11</v>
      </c>
      <c r="J118" s="2">
        <v>5</v>
      </c>
      <c r="N118" s="2" t="s">
        <v>1</v>
      </c>
      <c r="O118" s="17">
        <f>ROUND(VLOOKUP(O$115&amp;"_1",管理者用人口入力シート!CO:DL,Q118,FALSE),0)</f>
        <v>17</v>
      </c>
      <c r="P118" s="17">
        <f>ROUND(VLOOKUP(O$115&amp;"_2",管理者用人口入力シート!CO:DL,Q118,FALSE),0)</f>
        <v>13</v>
      </c>
      <c r="Q118" s="2">
        <v>5</v>
      </c>
      <c r="T118" s="85"/>
    </row>
    <row r="119" spans="7:20" x14ac:dyDescent="0.15">
      <c r="G119" s="2" t="s">
        <v>2</v>
      </c>
      <c r="H119" s="17">
        <f>ROUND(VLOOKUP(H$115&amp;"_1",管理者用人口入力シート!BH:CE,J119,FALSE),0)</f>
        <v>21</v>
      </c>
      <c r="I119" s="17">
        <f>ROUND(VLOOKUP(H$115&amp;"_2",管理者用人口入力シート!BH:CE,J119,FALSE),0)</f>
        <v>15</v>
      </c>
      <c r="J119" s="2">
        <v>6</v>
      </c>
      <c r="N119" s="2" t="s">
        <v>2</v>
      </c>
      <c r="O119" s="17">
        <f>ROUND(VLOOKUP(O$115&amp;"_1",管理者用人口入力シート!CO:DL,Q119,FALSE),0)</f>
        <v>23</v>
      </c>
      <c r="P119" s="17">
        <f>ROUND(VLOOKUP(O$115&amp;"_2",管理者用人口入力シート!CO:DL,Q119,FALSE),0)</f>
        <v>17</v>
      </c>
      <c r="Q119" s="2">
        <v>6</v>
      </c>
      <c r="T119" s="85"/>
    </row>
    <row r="120" spans="7:20" x14ac:dyDescent="0.15">
      <c r="G120" s="2" t="s">
        <v>3</v>
      </c>
      <c r="H120" s="17">
        <f>ROUND(VLOOKUP(H$115&amp;"_1",管理者用人口入力シート!BH:CE,J120,FALSE),0)</f>
        <v>20</v>
      </c>
      <c r="I120" s="17">
        <f>ROUND(VLOOKUP(H$115&amp;"_2",管理者用人口入力シート!BH:CE,J120,FALSE),0)</f>
        <v>14</v>
      </c>
      <c r="J120" s="2">
        <v>7</v>
      </c>
      <c r="N120" s="2" t="s">
        <v>3</v>
      </c>
      <c r="O120" s="17">
        <f>ROUND(VLOOKUP(O$115&amp;"_1",管理者用人口入力シート!CO:DL,Q120,FALSE),0)</f>
        <v>21</v>
      </c>
      <c r="P120" s="17">
        <f>ROUND(VLOOKUP(O$115&amp;"_2",管理者用人口入力シート!CO:DL,Q120,FALSE),0)</f>
        <v>15</v>
      </c>
      <c r="Q120" s="2">
        <v>7</v>
      </c>
      <c r="T120" s="85"/>
    </row>
    <row r="121" spans="7:20" x14ac:dyDescent="0.15">
      <c r="G121" s="2" t="s">
        <v>4</v>
      </c>
      <c r="H121" s="17">
        <f>ROUND(VLOOKUP(H$115&amp;"_1",管理者用人口入力シート!BH:CE,J121,FALSE),0)</f>
        <v>16</v>
      </c>
      <c r="I121" s="17">
        <f>ROUND(VLOOKUP(H$115&amp;"_2",管理者用人口入力シート!BH:CE,J121,FALSE),0)</f>
        <v>13</v>
      </c>
      <c r="J121" s="2">
        <v>8</v>
      </c>
      <c r="N121" s="2" t="s">
        <v>4</v>
      </c>
      <c r="O121" s="17">
        <f>ROUND(VLOOKUP(O$115&amp;"_1",管理者用人口入力シート!CO:DL,Q121,FALSE),0)</f>
        <v>17</v>
      </c>
      <c r="P121" s="17">
        <f>ROUND(VLOOKUP(O$115&amp;"_2",管理者用人口入力シート!CO:DL,Q121,FALSE),0)</f>
        <v>13</v>
      </c>
      <c r="Q121" s="2">
        <v>8</v>
      </c>
      <c r="T121" s="85"/>
    </row>
    <row r="122" spans="7:20" x14ac:dyDescent="0.15">
      <c r="G122" s="2" t="s">
        <v>5</v>
      </c>
      <c r="H122" s="17">
        <f>ROUND(VLOOKUP(H$115&amp;"_1",管理者用人口入力シート!BH:CE,J122,FALSE),0)</f>
        <v>22</v>
      </c>
      <c r="I122" s="17">
        <f>ROUND(VLOOKUP(H$115&amp;"_2",管理者用人口入力シート!BH:CE,J122,FALSE),0)</f>
        <v>14</v>
      </c>
      <c r="J122" s="2">
        <v>9</v>
      </c>
      <c r="N122" s="2" t="s">
        <v>5</v>
      </c>
      <c r="O122" s="17">
        <f>ROUND(VLOOKUP(O$115&amp;"_1",管理者用人口入力シート!CO:DL,Q122,FALSE),0)</f>
        <v>24</v>
      </c>
      <c r="P122" s="17">
        <f>ROUND(VLOOKUP(O$115&amp;"_2",管理者用人口入力シート!CO:DL,Q122,FALSE),0)</f>
        <v>16</v>
      </c>
      <c r="Q122" s="2">
        <v>9</v>
      </c>
      <c r="T122" s="85"/>
    </row>
    <row r="123" spans="7:20" x14ac:dyDescent="0.15">
      <c r="G123" s="2" t="s">
        <v>6</v>
      </c>
      <c r="H123" s="17">
        <f>ROUND(VLOOKUP(H$115&amp;"_1",管理者用人口入力シート!BH:CE,J123,FALSE),0)</f>
        <v>23</v>
      </c>
      <c r="I123" s="17">
        <f>ROUND(VLOOKUP(H$115&amp;"_2",管理者用人口入力シート!BH:CE,J123,FALSE),0)</f>
        <v>12</v>
      </c>
      <c r="J123" s="2">
        <v>10</v>
      </c>
      <c r="N123" s="2" t="s">
        <v>6</v>
      </c>
      <c r="O123" s="17">
        <f>ROUND(VLOOKUP(O$115&amp;"_1",管理者用人口入力シート!CO:DL,Q123,FALSE),0)</f>
        <v>25</v>
      </c>
      <c r="P123" s="17">
        <f>ROUND(VLOOKUP(O$115&amp;"_2",管理者用人口入力シート!CO:DL,Q123,FALSE),0)</f>
        <v>14</v>
      </c>
      <c r="Q123" s="2">
        <v>10</v>
      </c>
      <c r="T123" s="85"/>
    </row>
    <row r="124" spans="7:20" x14ac:dyDescent="0.15">
      <c r="G124" s="2" t="s">
        <v>7</v>
      </c>
      <c r="H124" s="17">
        <f>ROUND(VLOOKUP(H$115&amp;"_1",管理者用人口入力シート!BH:CE,J124,FALSE),0)</f>
        <v>23</v>
      </c>
      <c r="I124" s="17">
        <f>ROUND(VLOOKUP(H$115&amp;"_2",管理者用人口入力シート!BH:CE,J124,FALSE),0)</f>
        <v>11</v>
      </c>
      <c r="J124" s="2">
        <v>11</v>
      </c>
      <c r="N124" s="2" t="s">
        <v>7</v>
      </c>
      <c r="O124" s="17">
        <f>ROUND(VLOOKUP(O$115&amp;"_1",管理者用人口入力シート!CO:DL,Q124,FALSE),0)</f>
        <v>25</v>
      </c>
      <c r="P124" s="17">
        <f>ROUND(VLOOKUP(O$115&amp;"_2",管理者用人口入力シート!CO:DL,Q124,FALSE),0)</f>
        <v>12</v>
      </c>
      <c r="Q124" s="2">
        <v>11</v>
      </c>
      <c r="T124" s="85"/>
    </row>
    <row r="125" spans="7:20" x14ac:dyDescent="0.15">
      <c r="G125" s="2" t="s">
        <v>8</v>
      </c>
      <c r="H125" s="17">
        <f>ROUND(VLOOKUP(H$115&amp;"_1",管理者用人口入力シート!BH:CE,J125,FALSE),0)</f>
        <v>37</v>
      </c>
      <c r="I125" s="17">
        <f>ROUND(VLOOKUP(H$115&amp;"_2",管理者用人口入力シート!BH:CE,J125,FALSE),0)</f>
        <v>18</v>
      </c>
      <c r="J125" s="2">
        <v>12</v>
      </c>
      <c r="N125" s="2" t="s">
        <v>8</v>
      </c>
      <c r="O125" s="17">
        <f>ROUND(VLOOKUP(O$115&amp;"_1",管理者用人口入力シート!CO:DL,Q125,FALSE),0)</f>
        <v>37</v>
      </c>
      <c r="P125" s="17">
        <f>ROUND(VLOOKUP(O$115&amp;"_2",管理者用人口入力シート!CO:DL,Q125,FALSE),0)</f>
        <v>19</v>
      </c>
      <c r="Q125" s="2">
        <v>12</v>
      </c>
      <c r="T125" s="85"/>
    </row>
    <row r="126" spans="7:20" x14ac:dyDescent="0.15">
      <c r="G126" s="2" t="s">
        <v>9</v>
      </c>
      <c r="H126" s="17">
        <f>ROUND(VLOOKUP(H$115&amp;"_1",管理者用人口入力シート!BH:CE,J126,FALSE),0)</f>
        <v>37</v>
      </c>
      <c r="I126" s="17">
        <f>ROUND(VLOOKUP(H$115&amp;"_2",管理者用人口入力シート!BH:CE,J126,FALSE),0)</f>
        <v>32</v>
      </c>
      <c r="J126" s="2">
        <v>13</v>
      </c>
      <c r="N126" s="2" t="s">
        <v>9</v>
      </c>
      <c r="O126" s="17">
        <f>ROUND(VLOOKUP(O$115&amp;"_1",管理者用人口入力シート!CO:DL,Q126,FALSE),0)</f>
        <v>37</v>
      </c>
      <c r="P126" s="17">
        <f>ROUND(VLOOKUP(O$115&amp;"_2",管理者用人口入力シート!CO:DL,Q126,FALSE),0)</f>
        <v>33</v>
      </c>
      <c r="Q126" s="2">
        <v>13</v>
      </c>
      <c r="T126" s="85"/>
    </row>
    <row r="127" spans="7:20" x14ac:dyDescent="0.15">
      <c r="G127" s="2" t="s">
        <v>10</v>
      </c>
      <c r="H127" s="17">
        <f>ROUND(VLOOKUP(H$115&amp;"_1",管理者用人口入力シート!BH:CE,J127,FALSE),0)</f>
        <v>57</v>
      </c>
      <c r="I127" s="17">
        <f>ROUND(VLOOKUP(H$115&amp;"_2",管理者用人口入力シート!BH:CE,J127,FALSE),0)</f>
        <v>39</v>
      </c>
      <c r="J127" s="2">
        <v>14</v>
      </c>
      <c r="N127" s="2" t="s">
        <v>10</v>
      </c>
      <c r="O127" s="17">
        <f>ROUND(VLOOKUP(O$115&amp;"_1",管理者用人口入力シート!CO:DL,Q127,FALSE),0)</f>
        <v>57</v>
      </c>
      <c r="P127" s="17">
        <f>ROUND(VLOOKUP(O$115&amp;"_2",管理者用人口入力シート!CO:DL,Q127,FALSE),0)</f>
        <v>40</v>
      </c>
      <c r="Q127" s="2">
        <v>14</v>
      </c>
      <c r="T127" s="85"/>
    </row>
    <row r="128" spans="7:20" x14ac:dyDescent="0.15">
      <c r="G128" s="2" t="s">
        <v>11</v>
      </c>
      <c r="H128" s="17">
        <f>ROUND(VLOOKUP(H$115&amp;"_1",管理者用人口入力シート!BH:CE,J128,FALSE),0)</f>
        <v>59</v>
      </c>
      <c r="I128" s="17">
        <f>ROUND(VLOOKUP(H$115&amp;"_2",管理者用人口入力シート!BH:CE,J128,FALSE),0)</f>
        <v>41</v>
      </c>
      <c r="J128" s="2">
        <v>15</v>
      </c>
      <c r="N128" s="2" t="s">
        <v>11</v>
      </c>
      <c r="O128" s="17">
        <f>ROUND(VLOOKUP(O$115&amp;"_1",管理者用人口入力シート!CO:DL,Q128,FALSE),0)</f>
        <v>59</v>
      </c>
      <c r="P128" s="17">
        <f>ROUND(VLOOKUP(O$115&amp;"_2",管理者用人口入力シート!CO:DL,Q128,FALSE),0)</f>
        <v>41</v>
      </c>
      <c r="Q128" s="2">
        <v>15</v>
      </c>
      <c r="T128" s="85"/>
    </row>
    <row r="129" spans="7:20" x14ac:dyDescent="0.15">
      <c r="G129" s="2" t="s">
        <v>12</v>
      </c>
      <c r="H129" s="17">
        <f>ROUND(VLOOKUP(H$115&amp;"_1",管理者用人口入力シート!BH:CE,J129,FALSE),0)</f>
        <v>63</v>
      </c>
      <c r="I129" s="17">
        <f>ROUND(VLOOKUP(H$115&amp;"_2",管理者用人口入力シート!BH:CE,J129,FALSE),0)</f>
        <v>46</v>
      </c>
      <c r="J129" s="2">
        <v>16</v>
      </c>
      <c r="N129" s="2" t="s">
        <v>12</v>
      </c>
      <c r="O129" s="17">
        <f>ROUND(VLOOKUP(O$115&amp;"_1",管理者用人口入力シート!CO:DL,Q129,FALSE),0)</f>
        <v>63</v>
      </c>
      <c r="P129" s="17">
        <f>ROUND(VLOOKUP(O$115&amp;"_2",管理者用人口入力シート!CO:DL,Q129,FALSE),0)</f>
        <v>46</v>
      </c>
      <c r="Q129" s="2">
        <v>16</v>
      </c>
      <c r="T129" s="85"/>
    </row>
    <row r="130" spans="7:20" x14ac:dyDescent="0.15">
      <c r="G130" s="2" t="s">
        <v>13</v>
      </c>
      <c r="H130" s="17">
        <f>ROUND(VLOOKUP(H$115&amp;"_1",管理者用人口入力シート!BH:CE,J130,FALSE),0)</f>
        <v>49</v>
      </c>
      <c r="I130" s="17">
        <f>ROUND(VLOOKUP(H$115&amp;"_2",管理者用人口入力シート!BH:CE,J130,FALSE),0)</f>
        <v>60</v>
      </c>
      <c r="J130" s="2">
        <v>17</v>
      </c>
      <c r="N130" s="2" t="s">
        <v>13</v>
      </c>
      <c r="O130" s="17">
        <f>ROUND(VLOOKUP(O$115&amp;"_1",管理者用人口入力シート!CO:DL,Q130,FALSE),0)</f>
        <v>49</v>
      </c>
      <c r="P130" s="17">
        <f>ROUND(VLOOKUP(O$115&amp;"_2",管理者用人口入力シート!CO:DL,Q130,FALSE),0)</f>
        <v>60</v>
      </c>
      <c r="Q130" s="2">
        <v>17</v>
      </c>
      <c r="T130" s="85"/>
    </row>
    <row r="131" spans="7:20" x14ac:dyDescent="0.15">
      <c r="G131" s="2" t="s">
        <v>14</v>
      </c>
      <c r="H131" s="17">
        <f>ROUND(VLOOKUP(H$115&amp;"_1",管理者用人口入力シート!BH:CE,J131,FALSE),0)</f>
        <v>62</v>
      </c>
      <c r="I131" s="17">
        <f>ROUND(VLOOKUP(H$115&amp;"_2",管理者用人口入力シート!BH:CE,J131,FALSE),0)</f>
        <v>78</v>
      </c>
      <c r="J131" s="2">
        <v>18</v>
      </c>
      <c r="N131" s="2" t="s">
        <v>14</v>
      </c>
      <c r="O131" s="17">
        <f>ROUND(VLOOKUP(O$115&amp;"_1",管理者用人口入力シート!CO:DL,Q131,FALSE),0)</f>
        <v>62</v>
      </c>
      <c r="P131" s="17">
        <f>ROUND(VLOOKUP(O$115&amp;"_2",管理者用人口入力シート!CO:DL,Q131,FALSE),0)</f>
        <v>78</v>
      </c>
      <c r="Q131" s="2">
        <v>18</v>
      </c>
      <c r="T131" s="85"/>
    </row>
    <row r="132" spans="7:20" x14ac:dyDescent="0.15">
      <c r="G132" s="2" t="s">
        <v>15</v>
      </c>
      <c r="H132" s="17">
        <f>ROUND(VLOOKUP(H$115&amp;"_1",管理者用人口入力シート!BH:CE,J132,FALSE),0)</f>
        <v>87</v>
      </c>
      <c r="I132" s="17">
        <f>ROUND(VLOOKUP(H$115&amp;"_2",管理者用人口入力シート!BH:CE,J132,FALSE),0)</f>
        <v>104</v>
      </c>
      <c r="J132" s="2">
        <v>19</v>
      </c>
      <c r="N132" s="2" t="s">
        <v>15</v>
      </c>
      <c r="O132" s="17">
        <f>ROUND(VLOOKUP(O$115&amp;"_1",管理者用人口入力シート!CO:DL,Q132,FALSE),0)</f>
        <v>87</v>
      </c>
      <c r="P132" s="17">
        <f>ROUND(VLOOKUP(O$115&amp;"_2",管理者用人口入力シート!CO:DL,Q132,FALSE),0)</f>
        <v>104</v>
      </c>
      <c r="Q132" s="2">
        <v>19</v>
      </c>
      <c r="T132" s="85"/>
    </row>
    <row r="133" spans="7:20" x14ac:dyDescent="0.15">
      <c r="G133" s="2" t="s">
        <v>16</v>
      </c>
      <c r="H133" s="17">
        <f>ROUND(VLOOKUP(H$115&amp;"_1",管理者用人口入力シート!BH:CE,J133,FALSE),0)</f>
        <v>96</v>
      </c>
      <c r="I133" s="17">
        <f>ROUND(VLOOKUP(H$115&amp;"_2",管理者用人口入力シート!BH:CE,J133,FALSE),0)</f>
        <v>77</v>
      </c>
      <c r="J133" s="2">
        <v>20</v>
      </c>
      <c r="N133" s="2" t="s">
        <v>16</v>
      </c>
      <c r="O133" s="17">
        <f>ROUND(VLOOKUP(O$115&amp;"_1",管理者用人口入力シート!CO:DL,Q133,FALSE),0)</f>
        <v>96</v>
      </c>
      <c r="P133" s="17">
        <f>ROUND(VLOOKUP(O$115&amp;"_2",管理者用人口入力シート!CO:DL,Q133,FALSE),0)</f>
        <v>77</v>
      </c>
      <c r="Q133" s="2">
        <v>20</v>
      </c>
      <c r="T133" s="85"/>
    </row>
    <row r="134" spans="7:20" x14ac:dyDescent="0.15">
      <c r="G134" s="2" t="s">
        <v>17</v>
      </c>
      <c r="H134" s="17">
        <f>ROUND(VLOOKUP(H$115&amp;"_1",管理者用人口入力シート!BH:CE,J134,FALSE),0)</f>
        <v>47</v>
      </c>
      <c r="I134" s="17">
        <f>ROUND(VLOOKUP(H$115&amp;"_2",管理者用人口入力シート!BH:CE,J134,FALSE),0)</f>
        <v>62</v>
      </c>
      <c r="J134" s="2">
        <v>21</v>
      </c>
      <c r="N134" s="2" t="s">
        <v>17</v>
      </c>
      <c r="O134" s="17">
        <f>ROUND(VLOOKUP(O$115&amp;"_1",管理者用人口入力シート!CO:DL,Q134,FALSE),0)</f>
        <v>47</v>
      </c>
      <c r="P134" s="17">
        <f>ROUND(VLOOKUP(O$115&amp;"_2",管理者用人口入力シート!CO:DL,Q134,FALSE),0)</f>
        <v>62</v>
      </c>
      <c r="Q134" s="2">
        <v>21</v>
      </c>
      <c r="T134" s="85"/>
    </row>
    <row r="135" spans="7:20" x14ac:dyDescent="0.15">
      <c r="G135" s="2" t="s">
        <v>18</v>
      </c>
      <c r="H135" s="17">
        <f>ROUND(VLOOKUP(H$115&amp;"_1",管理者用人口入力シート!BH:CE,J135,FALSE),0)</f>
        <v>17</v>
      </c>
      <c r="I135" s="17">
        <f>ROUND(VLOOKUP(H$115&amp;"_2",管理者用人口入力シート!BH:CE,J135,FALSE),0)</f>
        <v>23</v>
      </c>
      <c r="J135" s="2">
        <v>22</v>
      </c>
      <c r="N135" s="2" t="s">
        <v>18</v>
      </c>
      <c r="O135" s="17">
        <f>ROUND(VLOOKUP(O$115&amp;"_1",管理者用人口入力シート!CO:DL,Q135,FALSE),0)</f>
        <v>17</v>
      </c>
      <c r="P135" s="17">
        <f>ROUND(VLOOKUP(O$115&amp;"_2",管理者用人口入力シート!CO:DL,Q135,FALSE),0)</f>
        <v>23</v>
      </c>
      <c r="Q135" s="2">
        <v>22</v>
      </c>
      <c r="T135" s="85"/>
    </row>
    <row r="136" spans="7:20" x14ac:dyDescent="0.15">
      <c r="G136" s="2" t="s">
        <v>19</v>
      </c>
      <c r="H136" s="17">
        <f>ROUND(VLOOKUP(H$115&amp;"_1",管理者用人口入力シート!BH:CE,J136,FALSE),0)</f>
        <v>4</v>
      </c>
      <c r="I136" s="17">
        <f>ROUND(VLOOKUP(H$115&amp;"_2",管理者用人口入力シート!BH:CE,J136,FALSE),0)</f>
        <v>12</v>
      </c>
      <c r="J136" s="2">
        <v>23</v>
      </c>
      <c r="N136" s="2" t="s">
        <v>19</v>
      </c>
      <c r="O136" s="17">
        <f>ROUND(VLOOKUP(O$115&amp;"_1",管理者用人口入力シート!CO:DL,Q136,FALSE),0)</f>
        <v>4</v>
      </c>
      <c r="P136" s="17">
        <f>ROUND(VLOOKUP(O$115&amp;"_2",管理者用人口入力シート!CO:DL,Q136,FALSE),0)</f>
        <v>12</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7">
        <f>管理者入力シート!B11</f>
        <v>2040</v>
      </c>
      <c r="I139" s="318"/>
      <c r="J139" s="2" t="s">
        <v>114</v>
      </c>
      <c r="O139" s="317">
        <f>管理者入力シート!B11</f>
        <v>2040</v>
      </c>
      <c r="P139" s="318"/>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9</v>
      </c>
      <c r="I141" s="17">
        <f>ROUND(VLOOKUP(H$139&amp;"_2",管理者用人口入力シート!BH:CE,J141,FALSE),0)</f>
        <v>8</v>
      </c>
      <c r="J141" s="2">
        <v>4</v>
      </c>
      <c r="N141" s="2" t="s">
        <v>0</v>
      </c>
      <c r="O141" s="17">
        <f>ROUND(VLOOKUP(O$139&amp;"_1",管理者用人口入力シート!CO:DL,Q141,FALSE),0)</f>
        <v>12</v>
      </c>
      <c r="P141" s="17">
        <f>ROUND(VLOOKUP(O$139&amp;"_2",管理者用人口入力シート!CO:DL,Q141,FALSE),0)</f>
        <v>11</v>
      </c>
      <c r="Q141" s="2">
        <v>4</v>
      </c>
    </row>
    <row r="142" spans="7:20" x14ac:dyDescent="0.15">
      <c r="G142" s="2" t="s">
        <v>1</v>
      </c>
      <c r="H142" s="17">
        <f>ROUND(VLOOKUP(H$139&amp;"_1",管理者用人口入力シート!BH:CE,J142,FALSE),0)</f>
        <v>12</v>
      </c>
      <c r="I142" s="17">
        <f>ROUND(VLOOKUP(H$139&amp;"_2",管理者用人口入力シート!BH:CE,J142,FALSE),0)</f>
        <v>9</v>
      </c>
      <c r="J142" s="2">
        <v>5</v>
      </c>
      <c r="N142" s="2" t="s">
        <v>1</v>
      </c>
      <c r="O142" s="17">
        <f>ROUND(VLOOKUP(O$139&amp;"_1",管理者用人口入力シート!CO:DL,Q142,FALSE),0)</f>
        <v>15</v>
      </c>
      <c r="P142" s="17">
        <f>ROUND(VLOOKUP(O$139&amp;"_2",管理者用人口入力シート!CO:DL,Q142,FALSE),0)</f>
        <v>12</v>
      </c>
      <c r="Q142" s="2">
        <v>5</v>
      </c>
    </row>
    <row r="143" spans="7:20" x14ac:dyDescent="0.15">
      <c r="G143" s="2" t="s">
        <v>2</v>
      </c>
      <c r="H143" s="17">
        <f>ROUND(VLOOKUP(H$139&amp;"_1",管理者用人口入力シート!BH:CE,J143,FALSE),0)</f>
        <v>15</v>
      </c>
      <c r="I143" s="17">
        <f>ROUND(VLOOKUP(H$139&amp;"_2",管理者用人口入力シート!BH:CE,J143,FALSE),0)</f>
        <v>11</v>
      </c>
      <c r="J143" s="2">
        <v>6</v>
      </c>
      <c r="N143" s="2" t="s">
        <v>2</v>
      </c>
      <c r="O143" s="17">
        <f>ROUND(VLOOKUP(O$139&amp;"_1",管理者用人口入力シート!CO:DL,Q143,FALSE),0)</f>
        <v>18</v>
      </c>
      <c r="P143" s="17">
        <f>ROUND(VLOOKUP(O$139&amp;"_2",管理者用人口入力シート!CO:DL,Q143,FALSE),0)</f>
        <v>14</v>
      </c>
      <c r="Q143" s="2">
        <v>6</v>
      </c>
    </row>
    <row r="144" spans="7:20" x14ac:dyDescent="0.15">
      <c r="G144" s="2" t="s">
        <v>3</v>
      </c>
      <c r="H144" s="17">
        <f>ROUND(VLOOKUP(H$139&amp;"_1",管理者用人口入力シート!BH:CE,J144,FALSE),0)</f>
        <v>14</v>
      </c>
      <c r="I144" s="17">
        <f>ROUND(VLOOKUP(H$139&amp;"_2",管理者用人口入力シート!BH:CE,J144,FALSE),0)</f>
        <v>10</v>
      </c>
      <c r="J144" s="2">
        <v>7</v>
      </c>
      <c r="N144" s="2" t="s">
        <v>3</v>
      </c>
      <c r="O144" s="17">
        <f>ROUND(VLOOKUP(O$139&amp;"_1",管理者用人口入力シート!CO:DL,Q144,FALSE),0)</f>
        <v>16</v>
      </c>
      <c r="P144" s="17">
        <f>ROUND(VLOOKUP(O$139&amp;"_2",管理者用人口入力シート!CO:DL,Q144,FALSE),0)</f>
        <v>11</v>
      </c>
      <c r="Q144" s="2">
        <v>7</v>
      </c>
    </row>
    <row r="145" spans="7:17" x14ac:dyDescent="0.15">
      <c r="G145" s="2" t="s">
        <v>4</v>
      </c>
      <c r="H145" s="17">
        <f>ROUND(VLOOKUP(H$139&amp;"_1",管理者用人口入力シート!BH:CE,J145,FALSE),0)</f>
        <v>11</v>
      </c>
      <c r="I145" s="17">
        <f>ROUND(VLOOKUP(H$139&amp;"_2",管理者用人口入力シート!BH:CE,J145,FALSE),0)</f>
        <v>8</v>
      </c>
      <c r="J145" s="2">
        <v>8</v>
      </c>
      <c r="N145" s="2" t="s">
        <v>4</v>
      </c>
      <c r="O145" s="17">
        <f>ROUND(VLOOKUP(O$139&amp;"_1",管理者用人口入力シート!CO:DL,Q145,FALSE),0)</f>
        <v>12</v>
      </c>
      <c r="P145" s="17">
        <f>ROUND(VLOOKUP(O$139&amp;"_2",管理者用人口入力シート!CO:DL,Q145,FALSE),0)</f>
        <v>9</v>
      </c>
      <c r="Q145" s="2">
        <v>8</v>
      </c>
    </row>
    <row r="146" spans="7:17" x14ac:dyDescent="0.15">
      <c r="G146" s="2" t="s">
        <v>5</v>
      </c>
      <c r="H146" s="17">
        <f>ROUND(VLOOKUP(H$139&amp;"_1",管理者用人口入力シート!BH:CE,J146,FALSE),0)</f>
        <v>19</v>
      </c>
      <c r="I146" s="17">
        <f>ROUND(VLOOKUP(H$139&amp;"_2",管理者用人口入力シート!BH:CE,J146,FALSE),0)</f>
        <v>10</v>
      </c>
      <c r="J146" s="2">
        <v>9</v>
      </c>
      <c r="N146" s="2" t="s">
        <v>5</v>
      </c>
      <c r="O146" s="17">
        <f>ROUND(VLOOKUP(O$139&amp;"_1",管理者用人口入力シート!CO:DL,Q146,FALSE),0)</f>
        <v>22</v>
      </c>
      <c r="P146" s="17">
        <f>ROUND(VLOOKUP(O$139&amp;"_2",管理者用人口入力シート!CO:DL,Q146,FALSE),0)</f>
        <v>13</v>
      </c>
      <c r="Q146" s="2">
        <v>9</v>
      </c>
    </row>
    <row r="147" spans="7:17" x14ac:dyDescent="0.15">
      <c r="G147" s="2" t="s">
        <v>6</v>
      </c>
      <c r="H147" s="17">
        <f>ROUND(VLOOKUP(H$139&amp;"_1",管理者用人口入力シート!BH:CE,J147,FALSE),0)</f>
        <v>18</v>
      </c>
      <c r="I147" s="17">
        <f>ROUND(VLOOKUP(H$139&amp;"_2",管理者用人口入力シート!BH:CE,J147,FALSE),0)</f>
        <v>12</v>
      </c>
      <c r="J147" s="2">
        <v>10</v>
      </c>
      <c r="N147" s="2" t="s">
        <v>6</v>
      </c>
      <c r="O147" s="17">
        <f>ROUND(VLOOKUP(O$139&amp;"_1",管理者用人口入力シート!CO:DL,Q147,FALSE),0)</f>
        <v>19</v>
      </c>
      <c r="P147" s="17">
        <f>ROUND(VLOOKUP(O$139&amp;"_2",管理者用人口入力シート!CO:DL,Q147,FALSE),0)</f>
        <v>14</v>
      </c>
      <c r="Q147" s="2">
        <v>10</v>
      </c>
    </row>
    <row r="148" spans="7:17" x14ac:dyDescent="0.15">
      <c r="G148" s="2" t="s">
        <v>7</v>
      </c>
      <c r="H148" s="17">
        <f>ROUND(VLOOKUP(H$139&amp;"_1",管理者用人口入力シート!BH:CE,J148,FALSE),0)</f>
        <v>26</v>
      </c>
      <c r="I148" s="17">
        <f>ROUND(VLOOKUP(H$139&amp;"_2",管理者用人口入力シート!BH:CE,J148,FALSE),0)</f>
        <v>12</v>
      </c>
      <c r="J148" s="2">
        <v>11</v>
      </c>
      <c r="N148" s="2" t="s">
        <v>7</v>
      </c>
      <c r="O148" s="17">
        <f>ROUND(VLOOKUP(O$139&amp;"_1",管理者用人口入力シート!CO:DL,Q148,FALSE),0)</f>
        <v>28</v>
      </c>
      <c r="P148" s="17">
        <f>ROUND(VLOOKUP(O$139&amp;"_2",管理者用人口入力シート!CO:DL,Q148,FALSE),0)</f>
        <v>13</v>
      </c>
      <c r="Q148" s="2">
        <v>11</v>
      </c>
    </row>
    <row r="149" spans="7:17" x14ac:dyDescent="0.15">
      <c r="G149" s="2" t="s">
        <v>8</v>
      </c>
      <c r="H149" s="17">
        <f>ROUND(VLOOKUP(H$139&amp;"_1",管理者用人口入力シート!BH:CE,J149,FALSE),0)</f>
        <v>26</v>
      </c>
      <c r="I149" s="17">
        <f>ROUND(VLOOKUP(H$139&amp;"_2",管理者用人口入力シート!BH:CE,J149,FALSE),0)</f>
        <v>10</v>
      </c>
      <c r="J149" s="2">
        <v>12</v>
      </c>
      <c r="N149" s="2" t="s">
        <v>8</v>
      </c>
      <c r="O149" s="17">
        <f>ROUND(VLOOKUP(O$139&amp;"_1",管理者用人口入力シート!CO:DL,Q149,FALSE),0)</f>
        <v>28</v>
      </c>
      <c r="P149" s="17">
        <f>ROUND(VLOOKUP(O$139&amp;"_2",管理者用人口入力シート!CO:DL,Q149,FALSE),0)</f>
        <v>13</v>
      </c>
      <c r="Q149" s="2">
        <v>12</v>
      </c>
    </row>
    <row r="150" spans="7:17" x14ac:dyDescent="0.15">
      <c r="G150" s="2" t="s">
        <v>9</v>
      </c>
      <c r="H150" s="17">
        <f>ROUND(VLOOKUP(H$139&amp;"_1",管理者用人口入力シート!BH:CE,J150,FALSE),0)</f>
        <v>39</v>
      </c>
      <c r="I150" s="17">
        <f>ROUND(VLOOKUP(H$139&amp;"_2",管理者用人口入力シート!BH:CE,J150,FALSE),0)</f>
        <v>16</v>
      </c>
      <c r="J150" s="2">
        <v>13</v>
      </c>
      <c r="N150" s="2" t="s">
        <v>9</v>
      </c>
      <c r="O150" s="17">
        <f>ROUND(VLOOKUP(O$139&amp;"_1",管理者用人口入力シート!CO:DL,Q150,FALSE),0)</f>
        <v>39</v>
      </c>
      <c r="P150" s="17">
        <f>ROUND(VLOOKUP(O$139&amp;"_2",管理者用人口入力シート!CO:DL,Q150,FALSE),0)</f>
        <v>17</v>
      </c>
      <c r="Q150" s="2">
        <v>13</v>
      </c>
    </row>
    <row r="151" spans="7:17" x14ac:dyDescent="0.15">
      <c r="G151" s="2" t="s">
        <v>10</v>
      </c>
      <c r="H151" s="17">
        <f>ROUND(VLOOKUP(H$139&amp;"_1",管理者用人口入力シート!BH:CE,J151,FALSE),0)</f>
        <v>36</v>
      </c>
      <c r="I151" s="17">
        <f>ROUND(VLOOKUP(H$139&amp;"_2",管理者用人口入力シート!BH:CE,J151,FALSE),0)</f>
        <v>32</v>
      </c>
      <c r="J151" s="2">
        <v>14</v>
      </c>
      <c r="N151" s="2" t="s">
        <v>10</v>
      </c>
      <c r="O151" s="17">
        <f>ROUND(VLOOKUP(O$139&amp;"_1",管理者用人口入力シート!CO:DL,Q151,FALSE),0)</f>
        <v>36</v>
      </c>
      <c r="P151" s="17">
        <f>ROUND(VLOOKUP(O$139&amp;"_2",管理者用人口入力シート!CO:DL,Q151,FALSE),0)</f>
        <v>33</v>
      </c>
      <c r="Q151" s="2">
        <v>14</v>
      </c>
    </row>
    <row r="152" spans="7:17" x14ac:dyDescent="0.15">
      <c r="G152" s="2" t="s">
        <v>11</v>
      </c>
      <c r="H152" s="17">
        <f>ROUND(VLOOKUP(H$139&amp;"_1",管理者用人口入力シート!BH:CE,J152,FALSE),0)</f>
        <v>57</v>
      </c>
      <c r="I152" s="17">
        <f>ROUND(VLOOKUP(H$139&amp;"_2",管理者用人口入力シート!BH:CE,J152,FALSE),0)</f>
        <v>37</v>
      </c>
      <c r="J152" s="2">
        <v>15</v>
      </c>
      <c r="N152" s="2" t="s">
        <v>11</v>
      </c>
      <c r="O152" s="17">
        <f>ROUND(VLOOKUP(O$139&amp;"_1",管理者用人口入力シート!CO:DL,Q152,FALSE),0)</f>
        <v>57</v>
      </c>
      <c r="P152" s="17">
        <f>ROUND(VLOOKUP(O$139&amp;"_2",管理者用人口入力シート!CO:DL,Q152,FALSE),0)</f>
        <v>38</v>
      </c>
      <c r="Q152" s="2">
        <v>15</v>
      </c>
    </row>
    <row r="153" spans="7:17" x14ac:dyDescent="0.15">
      <c r="G153" s="2" t="s">
        <v>12</v>
      </c>
      <c r="H153" s="17">
        <f>ROUND(VLOOKUP(H$139&amp;"_1",管理者用人口入力シート!BH:CE,J153,FALSE),0)</f>
        <v>59</v>
      </c>
      <c r="I153" s="17">
        <f>ROUND(VLOOKUP(H$139&amp;"_2",管理者用人口入力シート!BH:CE,J153,FALSE),0)</f>
        <v>42</v>
      </c>
      <c r="J153" s="2">
        <v>16</v>
      </c>
      <c r="N153" s="2" t="s">
        <v>12</v>
      </c>
      <c r="O153" s="17">
        <f>ROUND(VLOOKUP(O$139&amp;"_1",管理者用人口入力シート!CO:DL,Q153,FALSE),0)</f>
        <v>59</v>
      </c>
      <c r="P153" s="17">
        <f>ROUND(VLOOKUP(O$139&amp;"_2",管理者用人口入力シート!CO:DL,Q153,FALSE),0)</f>
        <v>42</v>
      </c>
      <c r="Q153" s="2">
        <v>16</v>
      </c>
    </row>
    <row r="154" spans="7:17" x14ac:dyDescent="0.15">
      <c r="G154" s="2" t="s">
        <v>13</v>
      </c>
      <c r="H154" s="17">
        <f>ROUND(VLOOKUP(H$139&amp;"_1",管理者用人口入力シート!BH:CE,J154,FALSE),0)</f>
        <v>61</v>
      </c>
      <c r="I154" s="17">
        <f>ROUND(VLOOKUP(H$139&amp;"_2",管理者用人口入力シート!BH:CE,J154,FALSE),0)</f>
        <v>45</v>
      </c>
      <c r="J154" s="2">
        <v>17</v>
      </c>
      <c r="N154" s="2" t="s">
        <v>13</v>
      </c>
      <c r="O154" s="17">
        <f>ROUND(VLOOKUP(O$139&amp;"_1",管理者用人口入力シート!CO:DL,Q154,FALSE),0)</f>
        <v>61</v>
      </c>
      <c r="P154" s="17">
        <f>ROUND(VLOOKUP(O$139&amp;"_2",管理者用人口入力シート!CO:DL,Q154,FALSE),0)</f>
        <v>45</v>
      </c>
      <c r="Q154" s="2">
        <v>17</v>
      </c>
    </row>
    <row r="155" spans="7:17" x14ac:dyDescent="0.15">
      <c r="G155" s="2" t="s">
        <v>14</v>
      </c>
      <c r="H155" s="17">
        <f>ROUND(VLOOKUP(H$139&amp;"_1",管理者用人口入力シート!BH:CE,J155,FALSE),0)</f>
        <v>46</v>
      </c>
      <c r="I155" s="17">
        <f>ROUND(VLOOKUP(H$139&amp;"_2",管理者用人口入力シート!BH:CE,J155,FALSE),0)</f>
        <v>59</v>
      </c>
      <c r="J155" s="2">
        <v>18</v>
      </c>
      <c r="N155" s="2" t="s">
        <v>14</v>
      </c>
      <c r="O155" s="17">
        <f>ROUND(VLOOKUP(O$139&amp;"_1",管理者用人口入力シート!CO:DL,Q155,FALSE),0)</f>
        <v>46</v>
      </c>
      <c r="P155" s="17">
        <f>ROUND(VLOOKUP(O$139&amp;"_2",管理者用人口入力シート!CO:DL,Q155,FALSE),0)</f>
        <v>59</v>
      </c>
      <c r="Q155" s="2">
        <v>18</v>
      </c>
    </row>
    <row r="156" spans="7:17" x14ac:dyDescent="0.15">
      <c r="G156" s="2" t="s">
        <v>15</v>
      </c>
      <c r="H156" s="17">
        <f>ROUND(VLOOKUP(H$139&amp;"_1",管理者用人口入力シート!BH:CE,J156,FALSE),0)</f>
        <v>56</v>
      </c>
      <c r="I156" s="17">
        <f>ROUND(VLOOKUP(H$139&amp;"_2",管理者用人口入力シート!BH:CE,J156,FALSE),0)</f>
        <v>69</v>
      </c>
      <c r="J156" s="2">
        <v>19</v>
      </c>
      <c r="N156" s="2" t="s">
        <v>15</v>
      </c>
      <c r="O156" s="17">
        <f>ROUND(VLOOKUP(O$139&amp;"_1",管理者用人口入力シート!CO:DL,Q156,FALSE),0)</f>
        <v>56</v>
      </c>
      <c r="P156" s="17">
        <f>ROUND(VLOOKUP(O$139&amp;"_2",管理者用人口入力シート!CO:DL,Q156,FALSE),0)</f>
        <v>69</v>
      </c>
      <c r="Q156" s="2">
        <v>19</v>
      </c>
    </row>
    <row r="157" spans="7:17" x14ac:dyDescent="0.15">
      <c r="G157" s="2" t="s">
        <v>16</v>
      </c>
      <c r="H157" s="17">
        <f>ROUND(VLOOKUP(H$139&amp;"_1",管理者用人口入力シート!BH:CE,J157,FALSE),0)</f>
        <v>67</v>
      </c>
      <c r="I157" s="17">
        <f>ROUND(VLOOKUP(H$139&amp;"_2",管理者用人口入力シート!BH:CE,J157,FALSE),0)</f>
        <v>88</v>
      </c>
      <c r="J157" s="2">
        <v>20</v>
      </c>
      <c r="N157" s="2" t="s">
        <v>16</v>
      </c>
      <c r="O157" s="17">
        <f>ROUND(VLOOKUP(O$139&amp;"_1",管理者用人口入力シート!CO:DL,Q157,FALSE),0)</f>
        <v>67</v>
      </c>
      <c r="P157" s="17">
        <f>ROUND(VLOOKUP(O$139&amp;"_2",管理者用人口入力シート!CO:DL,Q157,FALSE),0)</f>
        <v>88</v>
      </c>
      <c r="Q157" s="2">
        <v>20</v>
      </c>
    </row>
    <row r="158" spans="7:17" x14ac:dyDescent="0.15">
      <c r="G158" s="2" t="s">
        <v>17</v>
      </c>
      <c r="H158" s="17">
        <f>ROUND(VLOOKUP(H$139&amp;"_1",管理者用人口入力シート!BH:CE,J158,FALSE),0)</f>
        <v>56</v>
      </c>
      <c r="I158" s="17">
        <f>ROUND(VLOOKUP(H$139&amp;"_2",管理者用人口入力シート!BH:CE,J158,FALSE),0)</f>
        <v>56</v>
      </c>
      <c r="J158" s="2">
        <v>21</v>
      </c>
      <c r="N158" s="2" t="s">
        <v>17</v>
      </c>
      <c r="O158" s="17">
        <f>ROUND(VLOOKUP(O$139&amp;"_1",管理者用人口入力シート!CO:DL,Q158,FALSE),0)</f>
        <v>56</v>
      </c>
      <c r="P158" s="17">
        <f>ROUND(VLOOKUP(O$139&amp;"_2",管理者用人口入力シート!CO:DL,Q158,FALSE),0)</f>
        <v>56</v>
      </c>
      <c r="Q158" s="2">
        <v>21</v>
      </c>
    </row>
    <row r="159" spans="7:17" x14ac:dyDescent="0.15">
      <c r="G159" s="2" t="s">
        <v>18</v>
      </c>
      <c r="H159" s="17">
        <f>ROUND(VLOOKUP(H$139&amp;"_1",管理者用人口入力シート!BH:CE,J159,FALSE),0)</f>
        <v>23</v>
      </c>
      <c r="I159" s="17">
        <f>ROUND(VLOOKUP(H$139&amp;"_2",管理者用人口入力シート!BH:CE,J159,FALSE),0)</f>
        <v>30</v>
      </c>
      <c r="J159" s="2">
        <v>22</v>
      </c>
      <c r="N159" s="2" t="s">
        <v>18</v>
      </c>
      <c r="O159" s="17">
        <f>ROUND(VLOOKUP(O$139&amp;"_1",管理者用人口入力シート!CO:DL,Q159,FALSE),0)</f>
        <v>23</v>
      </c>
      <c r="P159" s="17">
        <f>ROUND(VLOOKUP(O$139&amp;"_2",管理者用人口入力シート!CO:DL,Q159,FALSE),0)</f>
        <v>30</v>
      </c>
      <c r="Q159" s="2">
        <v>22</v>
      </c>
    </row>
    <row r="160" spans="7:17" x14ac:dyDescent="0.15">
      <c r="G160" s="2" t="s">
        <v>19</v>
      </c>
      <c r="H160" s="17">
        <f>ROUND(VLOOKUP(H$139&amp;"_1",管理者用人口入力シート!BH:CE,J160,FALSE),0)</f>
        <v>4</v>
      </c>
      <c r="I160" s="17">
        <f>ROUND(VLOOKUP(H$139&amp;"_2",管理者用人口入力シート!BH:CE,J160,FALSE),0)</f>
        <v>7</v>
      </c>
      <c r="J160" s="2">
        <v>23</v>
      </c>
      <c r="N160" s="2" t="s">
        <v>19</v>
      </c>
      <c r="O160" s="17">
        <f>ROUND(VLOOKUP(O$139&amp;"_1",管理者用人口入力シート!CO:DL,Q160,FALSE),0)</f>
        <v>4</v>
      </c>
      <c r="P160" s="17">
        <f>ROUND(VLOOKUP(O$139&amp;"_2",管理者用人口入力シート!CO:DL,Q160,FALSE),0)</f>
        <v>7</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7">
        <f>管理者入力シート!B12</f>
        <v>2045</v>
      </c>
      <c r="I163" s="318"/>
      <c r="J163" s="2" t="s">
        <v>114</v>
      </c>
      <c r="O163" s="317">
        <f>管理者入力シート!B12</f>
        <v>2045</v>
      </c>
      <c r="P163" s="318"/>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8</v>
      </c>
      <c r="I165" s="17">
        <f>ROUND(VLOOKUP(H$163&amp;"_2",管理者用人口入力シート!BH:CE,J165,FALSE),0)</f>
        <v>7</v>
      </c>
      <c r="J165" s="2">
        <v>4</v>
      </c>
      <c r="N165" s="2" t="s">
        <v>0</v>
      </c>
      <c r="O165" s="17">
        <f>ROUND(VLOOKUP(O$163&amp;"_1",管理者用人口入力シート!CO:DL,Q165,FALSE),0)</f>
        <v>10</v>
      </c>
      <c r="P165" s="17">
        <f>ROUND(VLOOKUP(O$163&amp;"_2",管理者用人口入力シート!CO:DL,Q165,FALSE),0)</f>
        <v>9</v>
      </c>
      <c r="Q165" s="2">
        <v>4</v>
      </c>
    </row>
    <row r="166" spans="7:17" x14ac:dyDescent="0.15">
      <c r="G166" s="2" t="s">
        <v>1</v>
      </c>
      <c r="H166" s="17">
        <f>ROUND(VLOOKUP(H$163&amp;"_1",管理者用人口入力シート!BH:CE,J166,FALSE),0)</f>
        <v>11</v>
      </c>
      <c r="I166" s="17">
        <f>ROUND(VLOOKUP(H$163&amp;"_2",管理者用人口入力シート!BH:CE,J166,FALSE),0)</f>
        <v>8</v>
      </c>
      <c r="J166" s="2">
        <v>5</v>
      </c>
      <c r="N166" s="2" t="s">
        <v>1</v>
      </c>
      <c r="O166" s="17">
        <f>ROUND(VLOOKUP(O$163&amp;"_1",管理者用人口入力シート!CO:DL,Q166,FALSE),0)</f>
        <v>14</v>
      </c>
      <c r="P166" s="17">
        <f>ROUND(VLOOKUP(O$163&amp;"_2",管理者用人口入力シート!CO:DL,Q166,FALSE),0)</f>
        <v>10</v>
      </c>
      <c r="Q166" s="2">
        <v>5</v>
      </c>
    </row>
    <row r="167" spans="7:17" x14ac:dyDescent="0.15">
      <c r="G167" s="2" t="s">
        <v>2</v>
      </c>
      <c r="H167" s="17">
        <f>ROUND(VLOOKUP(H$163&amp;"_1",管理者用人口入力シート!BH:CE,J167,FALSE),0)</f>
        <v>12</v>
      </c>
      <c r="I167" s="17">
        <f>ROUND(VLOOKUP(H$163&amp;"_2",管理者用人口入力シート!BH:CE,J167,FALSE),0)</f>
        <v>9</v>
      </c>
      <c r="J167" s="2">
        <v>6</v>
      </c>
      <c r="N167" s="2" t="s">
        <v>2</v>
      </c>
      <c r="O167" s="17">
        <f>ROUND(VLOOKUP(O$163&amp;"_1",管理者用人口入力シート!CO:DL,Q167,FALSE),0)</f>
        <v>16</v>
      </c>
      <c r="P167" s="17">
        <f>ROUND(VLOOKUP(O$163&amp;"_2",管理者用人口入力シート!CO:DL,Q167,FALSE),0)</f>
        <v>12</v>
      </c>
      <c r="Q167" s="2">
        <v>6</v>
      </c>
    </row>
    <row r="168" spans="7:17" x14ac:dyDescent="0.15">
      <c r="G168" s="2" t="s">
        <v>3</v>
      </c>
      <c r="H168" s="17">
        <f>ROUND(VLOOKUP(H$163&amp;"_1",管理者用人口入力シート!BH:CE,J168,FALSE),0)</f>
        <v>10</v>
      </c>
      <c r="I168" s="17">
        <f>ROUND(VLOOKUP(H$163&amp;"_2",管理者用人口入力シート!BH:CE,J168,FALSE),0)</f>
        <v>7</v>
      </c>
      <c r="J168" s="2">
        <v>7</v>
      </c>
      <c r="N168" s="2" t="s">
        <v>3</v>
      </c>
      <c r="O168" s="17">
        <f>ROUND(VLOOKUP(O$163&amp;"_1",管理者用人口入力シート!CO:DL,Q168,FALSE),0)</f>
        <v>12</v>
      </c>
      <c r="P168" s="17">
        <f>ROUND(VLOOKUP(O$163&amp;"_2",管理者用人口入力シート!CO:DL,Q168,FALSE),0)</f>
        <v>9</v>
      </c>
      <c r="Q168" s="2">
        <v>7</v>
      </c>
    </row>
    <row r="169" spans="7:17" x14ac:dyDescent="0.15">
      <c r="G169" s="2" t="s">
        <v>4</v>
      </c>
      <c r="H169" s="17">
        <f>ROUND(VLOOKUP(H$163&amp;"_1",管理者用人口入力シート!BH:CE,J169,FALSE),0)</f>
        <v>8</v>
      </c>
      <c r="I169" s="17">
        <f>ROUND(VLOOKUP(H$163&amp;"_2",管理者用人口入力シート!BH:CE,J169,FALSE),0)</f>
        <v>6</v>
      </c>
      <c r="J169" s="2">
        <v>8</v>
      </c>
      <c r="N169" s="2" t="s">
        <v>4</v>
      </c>
      <c r="O169" s="17">
        <f>ROUND(VLOOKUP(O$163&amp;"_1",管理者用人口入力シート!CO:DL,Q169,FALSE),0)</f>
        <v>9</v>
      </c>
      <c r="P169" s="17">
        <f>ROUND(VLOOKUP(O$163&amp;"_2",管理者用人口入力シート!CO:DL,Q169,FALSE),0)</f>
        <v>7</v>
      </c>
      <c r="Q169" s="2">
        <v>8</v>
      </c>
    </row>
    <row r="170" spans="7:17" x14ac:dyDescent="0.15">
      <c r="G170" s="2" t="s">
        <v>5</v>
      </c>
      <c r="H170" s="17">
        <f>ROUND(VLOOKUP(H$163&amp;"_1",管理者用人口入力シート!BH:CE,J170,FALSE),0)</f>
        <v>14</v>
      </c>
      <c r="I170" s="17">
        <f>ROUND(VLOOKUP(H$163&amp;"_2",管理者用人口入力シート!BH:CE,J170,FALSE),0)</f>
        <v>7</v>
      </c>
      <c r="J170" s="2">
        <v>9</v>
      </c>
      <c r="N170" s="2" t="s">
        <v>5</v>
      </c>
      <c r="O170" s="17">
        <f>ROUND(VLOOKUP(O$163&amp;"_1",管理者用人口入力シート!CO:DL,Q170,FALSE),0)</f>
        <v>16</v>
      </c>
      <c r="P170" s="17">
        <f>ROUND(VLOOKUP(O$163&amp;"_2",管理者用人口入力シート!CO:DL,Q170,FALSE),0)</f>
        <v>9</v>
      </c>
      <c r="Q170" s="2">
        <v>9</v>
      </c>
    </row>
    <row r="171" spans="7:17" x14ac:dyDescent="0.15">
      <c r="G171" s="2" t="s">
        <v>6</v>
      </c>
      <c r="H171" s="17">
        <f>ROUND(VLOOKUP(H$163&amp;"_1",管理者用人口入力シート!BH:CE,J171,FALSE),0)</f>
        <v>15</v>
      </c>
      <c r="I171" s="17">
        <f>ROUND(VLOOKUP(H$163&amp;"_2",管理者用人口入力シート!BH:CE,J171,FALSE),0)</f>
        <v>9</v>
      </c>
      <c r="J171" s="2">
        <v>10</v>
      </c>
      <c r="N171" s="2" t="s">
        <v>6</v>
      </c>
      <c r="O171" s="17">
        <f>ROUND(VLOOKUP(O$163&amp;"_1",管理者用人口入力シート!CO:DL,Q171,FALSE),0)</f>
        <v>17</v>
      </c>
      <c r="P171" s="17">
        <f>ROUND(VLOOKUP(O$163&amp;"_2",管理者用人口入力シート!CO:DL,Q171,FALSE),0)</f>
        <v>12</v>
      </c>
      <c r="Q171" s="2">
        <v>10</v>
      </c>
    </row>
    <row r="172" spans="7:17" x14ac:dyDescent="0.15">
      <c r="G172" s="2" t="s">
        <v>7</v>
      </c>
      <c r="H172" s="17">
        <f>ROUND(VLOOKUP(H$163&amp;"_1",管理者用人口入力シート!BH:CE,J172,FALSE),0)</f>
        <v>20</v>
      </c>
      <c r="I172" s="17">
        <f>ROUND(VLOOKUP(H$163&amp;"_2",管理者用人口入力シート!BH:CE,J172,FALSE),0)</f>
        <v>12</v>
      </c>
      <c r="J172" s="2">
        <v>11</v>
      </c>
      <c r="N172" s="2" t="s">
        <v>7</v>
      </c>
      <c r="O172" s="17">
        <f>ROUND(VLOOKUP(O$163&amp;"_1",管理者用人口入力シート!CO:DL,Q172,FALSE),0)</f>
        <v>22</v>
      </c>
      <c r="P172" s="17">
        <f>ROUND(VLOOKUP(O$163&amp;"_2",管理者用人口入力シート!CO:DL,Q172,FALSE),0)</f>
        <v>14</v>
      </c>
      <c r="Q172" s="2">
        <v>11</v>
      </c>
    </row>
    <row r="173" spans="7:17" x14ac:dyDescent="0.15">
      <c r="G173" s="2" t="s">
        <v>8</v>
      </c>
      <c r="H173" s="17">
        <f>ROUND(VLOOKUP(H$163&amp;"_1",管理者用人口入力シート!BH:CE,J173,FALSE),0)</f>
        <v>29</v>
      </c>
      <c r="I173" s="17">
        <f>ROUND(VLOOKUP(H$163&amp;"_2",管理者用人口入力シート!BH:CE,J173,FALSE),0)</f>
        <v>11</v>
      </c>
      <c r="J173" s="2">
        <v>12</v>
      </c>
      <c r="N173" s="2" t="s">
        <v>8</v>
      </c>
      <c r="O173" s="17">
        <f>ROUND(VLOOKUP(O$163&amp;"_1",管理者用人口入力シート!CO:DL,Q173,FALSE),0)</f>
        <v>31</v>
      </c>
      <c r="P173" s="17">
        <f>ROUND(VLOOKUP(O$163&amp;"_2",管理者用人口入力シート!CO:DL,Q173,FALSE),0)</f>
        <v>14</v>
      </c>
      <c r="Q173" s="2">
        <v>12</v>
      </c>
    </row>
    <row r="174" spans="7:17" x14ac:dyDescent="0.15">
      <c r="G174" s="2" t="s">
        <v>9</v>
      </c>
      <c r="H174" s="17">
        <f>ROUND(VLOOKUP(H$163&amp;"_1",管理者用人口入力シート!BH:CE,J174,FALSE),0)</f>
        <v>28</v>
      </c>
      <c r="I174" s="17">
        <f>ROUND(VLOOKUP(H$163&amp;"_2",管理者用人口入力シート!BH:CE,J174,FALSE),0)</f>
        <v>9</v>
      </c>
      <c r="J174" s="2">
        <v>13</v>
      </c>
      <c r="N174" s="2" t="s">
        <v>9</v>
      </c>
      <c r="O174" s="17">
        <f>ROUND(VLOOKUP(O$163&amp;"_1",管理者用人口入力シート!CO:DL,Q174,FALSE),0)</f>
        <v>30</v>
      </c>
      <c r="P174" s="17">
        <f>ROUND(VLOOKUP(O$163&amp;"_2",管理者用人口入力シート!CO:DL,Q174,FALSE),0)</f>
        <v>12</v>
      </c>
      <c r="Q174" s="2">
        <v>13</v>
      </c>
    </row>
    <row r="175" spans="7:17" x14ac:dyDescent="0.15">
      <c r="G175" s="2" t="s">
        <v>10</v>
      </c>
      <c r="H175" s="17">
        <f>ROUND(VLOOKUP(H$163&amp;"_1",管理者用人口入力シート!BH:CE,J175,FALSE),0)</f>
        <v>37</v>
      </c>
      <c r="I175" s="17">
        <f>ROUND(VLOOKUP(H$163&amp;"_2",管理者用人口入力シート!BH:CE,J175,FALSE),0)</f>
        <v>16</v>
      </c>
      <c r="J175" s="2">
        <v>14</v>
      </c>
      <c r="N175" s="2" t="s">
        <v>10</v>
      </c>
      <c r="O175" s="17">
        <f>ROUND(VLOOKUP(O$163&amp;"_1",管理者用人口入力シート!CO:DL,Q175,FALSE),0)</f>
        <v>37</v>
      </c>
      <c r="P175" s="17">
        <f>ROUND(VLOOKUP(O$163&amp;"_2",管理者用人口入力シート!CO:DL,Q175,FALSE),0)</f>
        <v>17</v>
      </c>
      <c r="Q175" s="2">
        <v>14</v>
      </c>
    </row>
    <row r="176" spans="7:17" x14ac:dyDescent="0.15">
      <c r="G176" s="2" t="s">
        <v>11</v>
      </c>
      <c r="H176" s="17">
        <f>ROUND(VLOOKUP(H$163&amp;"_1",管理者用人口入力シート!BH:CE,J176,FALSE),0)</f>
        <v>36</v>
      </c>
      <c r="I176" s="17">
        <f>ROUND(VLOOKUP(H$163&amp;"_2",管理者用人口入力シート!BH:CE,J176,FALSE),0)</f>
        <v>31</v>
      </c>
      <c r="J176" s="2">
        <v>15</v>
      </c>
      <c r="N176" s="2" t="s">
        <v>11</v>
      </c>
      <c r="O176" s="17">
        <f>ROUND(VLOOKUP(O$163&amp;"_1",管理者用人口入力シート!CO:DL,Q176,FALSE),0)</f>
        <v>36</v>
      </c>
      <c r="P176" s="17">
        <f>ROUND(VLOOKUP(O$163&amp;"_2",管理者用人口入力シート!CO:DL,Q176,FALSE),0)</f>
        <v>32</v>
      </c>
      <c r="Q176" s="2">
        <v>15</v>
      </c>
    </row>
    <row r="177" spans="7:17" x14ac:dyDescent="0.15">
      <c r="G177" s="2" t="s">
        <v>12</v>
      </c>
      <c r="H177" s="17">
        <f>ROUND(VLOOKUP(H$163&amp;"_1",管理者用人口入力シート!BH:CE,J177,FALSE),0)</f>
        <v>56</v>
      </c>
      <c r="I177" s="17">
        <f>ROUND(VLOOKUP(H$163&amp;"_2",管理者用人口入力シート!BH:CE,J177,FALSE),0)</f>
        <v>39</v>
      </c>
      <c r="J177" s="2">
        <v>16</v>
      </c>
      <c r="N177" s="2" t="s">
        <v>12</v>
      </c>
      <c r="O177" s="17">
        <f>ROUND(VLOOKUP(O$163&amp;"_1",管理者用人口入力シート!CO:DL,Q177,FALSE),0)</f>
        <v>56</v>
      </c>
      <c r="P177" s="17">
        <f>ROUND(VLOOKUP(O$163&amp;"_2",管理者用人口入力シート!CO:DL,Q177,FALSE),0)</f>
        <v>40</v>
      </c>
      <c r="Q177" s="2">
        <v>16</v>
      </c>
    </row>
    <row r="178" spans="7:17" x14ac:dyDescent="0.15">
      <c r="G178" s="2" t="s">
        <v>13</v>
      </c>
      <c r="H178" s="17">
        <f>ROUND(VLOOKUP(H$163&amp;"_1",管理者用人口入力シート!BH:CE,J178,FALSE),0)</f>
        <v>57</v>
      </c>
      <c r="I178" s="17">
        <f>ROUND(VLOOKUP(H$163&amp;"_2",管理者用人口入力シート!BH:CE,J178,FALSE),0)</f>
        <v>41</v>
      </c>
      <c r="J178" s="2">
        <v>17</v>
      </c>
      <c r="N178" s="2" t="s">
        <v>13</v>
      </c>
      <c r="O178" s="17">
        <f>ROUND(VLOOKUP(O$163&amp;"_1",管理者用人口入力シート!CO:DL,Q178,FALSE),0)</f>
        <v>57</v>
      </c>
      <c r="P178" s="17">
        <f>ROUND(VLOOKUP(O$163&amp;"_2",管理者用人口入力シート!CO:DL,Q178,FALSE),0)</f>
        <v>41</v>
      </c>
      <c r="Q178" s="2">
        <v>17</v>
      </c>
    </row>
    <row r="179" spans="7:17" x14ac:dyDescent="0.15">
      <c r="G179" s="2" t="s">
        <v>14</v>
      </c>
      <c r="H179" s="17">
        <f>ROUND(VLOOKUP(H$163&amp;"_1",管理者用人口入力シート!BH:CE,J179,FALSE),0)</f>
        <v>58</v>
      </c>
      <c r="I179" s="17">
        <f>ROUND(VLOOKUP(H$163&amp;"_2",管理者用人口入力シート!BH:CE,J179,FALSE),0)</f>
        <v>44</v>
      </c>
      <c r="J179" s="2">
        <v>18</v>
      </c>
      <c r="N179" s="2" t="s">
        <v>14</v>
      </c>
      <c r="O179" s="17">
        <f>ROUND(VLOOKUP(O$163&amp;"_1",管理者用人口入力シート!CO:DL,Q179,FALSE),0)</f>
        <v>58</v>
      </c>
      <c r="P179" s="17">
        <f>ROUND(VLOOKUP(O$163&amp;"_2",管理者用人口入力シート!CO:DL,Q179,FALSE),0)</f>
        <v>44</v>
      </c>
      <c r="Q179" s="2">
        <v>18</v>
      </c>
    </row>
    <row r="180" spans="7:17" x14ac:dyDescent="0.15">
      <c r="G180" s="2" t="s">
        <v>15</v>
      </c>
      <c r="H180" s="17">
        <f>ROUND(VLOOKUP(H$163&amp;"_1",管理者用人口入力シート!BH:CE,J180,FALSE),0)</f>
        <v>42</v>
      </c>
      <c r="I180" s="17">
        <f>ROUND(VLOOKUP(H$163&amp;"_2",管理者用人口入力シート!BH:CE,J180,FALSE),0)</f>
        <v>52</v>
      </c>
      <c r="J180" s="2">
        <v>19</v>
      </c>
      <c r="N180" s="2" t="s">
        <v>15</v>
      </c>
      <c r="O180" s="17">
        <f>ROUND(VLOOKUP(O$163&amp;"_1",管理者用人口入力シート!CO:DL,Q180,FALSE),0)</f>
        <v>42</v>
      </c>
      <c r="P180" s="17">
        <f>ROUND(VLOOKUP(O$163&amp;"_2",管理者用人口入力シート!CO:DL,Q180,FALSE),0)</f>
        <v>52</v>
      </c>
      <c r="Q180" s="2">
        <v>19</v>
      </c>
    </row>
    <row r="181" spans="7:17" x14ac:dyDescent="0.15">
      <c r="G181" s="2" t="s">
        <v>16</v>
      </c>
      <c r="H181" s="17">
        <f>ROUND(VLOOKUP(H$163&amp;"_1",管理者用人口入力シート!BH:CE,J181,FALSE),0)</f>
        <v>43</v>
      </c>
      <c r="I181" s="17">
        <f>ROUND(VLOOKUP(H$163&amp;"_2",管理者用人口入力シート!BH:CE,J181,FALSE),0)</f>
        <v>58</v>
      </c>
      <c r="J181" s="2">
        <v>20</v>
      </c>
      <c r="N181" s="2" t="s">
        <v>16</v>
      </c>
      <c r="O181" s="17">
        <f>ROUND(VLOOKUP(O$163&amp;"_1",管理者用人口入力シート!CO:DL,Q181,FALSE),0)</f>
        <v>43</v>
      </c>
      <c r="P181" s="17">
        <f>ROUND(VLOOKUP(O$163&amp;"_2",管理者用人口入力シート!CO:DL,Q181,FALSE),0)</f>
        <v>58</v>
      </c>
      <c r="Q181" s="2">
        <v>20</v>
      </c>
    </row>
    <row r="182" spans="7:17" x14ac:dyDescent="0.15">
      <c r="G182" s="2" t="s">
        <v>17</v>
      </c>
      <c r="H182" s="17">
        <f>ROUND(VLOOKUP(H$163&amp;"_1",管理者用人口入力シート!BH:CE,J182,FALSE),0)</f>
        <v>39</v>
      </c>
      <c r="I182" s="17">
        <f>ROUND(VLOOKUP(H$163&amp;"_2",管理者用人口入力シート!BH:CE,J182,FALSE),0)</f>
        <v>64</v>
      </c>
      <c r="J182" s="2">
        <v>21</v>
      </c>
      <c r="N182" s="2" t="s">
        <v>17</v>
      </c>
      <c r="O182" s="17">
        <f>ROUND(VLOOKUP(O$163&amp;"_1",管理者用人口入力シート!CO:DL,Q182,FALSE),0)</f>
        <v>39</v>
      </c>
      <c r="P182" s="17">
        <f>ROUND(VLOOKUP(O$163&amp;"_2",管理者用人口入力シート!CO:DL,Q182,FALSE),0)</f>
        <v>64</v>
      </c>
      <c r="Q182" s="2">
        <v>21</v>
      </c>
    </row>
    <row r="183" spans="7:17" x14ac:dyDescent="0.15">
      <c r="G183" s="2" t="s">
        <v>18</v>
      </c>
      <c r="H183" s="17">
        <f>ROUND(VLOOKUP(H$163&amp;"_1",管理者用人口入力シート!BH:CE,J183,FALSE),0)</f>
        <v>27</v>
      </c>
      <c r="I183" s="17">
        <f>ROUND(VLOOKUP(H$163&amp;"_2",管理者用人口入力シート!BH:CE,J183,FALSE),0)</f>
        <v>27</v>
      </c>
      <c r="J183" s="2">
        <v>22</v>
      </c>
      <c r="N183" s="2" t="s">
        <v>18</v>
      </c>
      <c r="O183" s="17">
        <f>ROUND(VLOOKUP(O$163&amp;"_1",管理者用人口入力シート!CO:DL,Q183,FALSE),0)</f>
        <v>27</v>
      </c>
      <c r="P183" s="17">
        <f>ROUND(VLOOKUP(O$163&amp;"_2",管理者用人口入力シート!CO:DL,Q183,FALSE),0)</f>
        <v>27</v>
      </c>
      <c r="Q183" s="2">
        <v>22</v>
      </c>
    </row>
    <row r="184" spans="7:17" x14ac:dyDescent="0.15">
      <c r="G184" s="2" t="s">
        <v>19</v>
      </c>
      <c r="H184" s="17">
        <f>ROUND(VLOOKUP(H$163&amp;"_1",管理者用人口入力シート!BH:CE,J184,FALSE),0)</f>
        <v>6</v>
      </c>
      <c r="I184" s="17">
        <f>ROUND(VLOOKUP(H$163&amp;"_2",管理者用人口入力シート!BH:CE,J184,FALSE),0)</f>
        <v>10</v>
      </c>
      <c r="J184" s="2">
        <v>23</v>
      </c>
      <c r="N184" s="2" t="s">
        <v>19</v>
      </c>
      <c r="O184" s="17">
        <f>ROUND(VLOOKUP(O$163&amp;"_1",管理者用人口入力シート!CO:DL,Q184,FALSE),0)</f>
        <v>6</v>
      </c>
      <c r="P184" s="17">
        <f>ROUND(VLOOKUP(O$163&amp;"_2",管理者用人口入力シート!CO:DL,Q184,FALSE),0)</f>
        <v>10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7">
        <f>管理者入力シート!B13</f>
        <v>2050</v>
      </c>
      <c r="I187" s="318"/>
      <c r="J187" s="2" t="s">
        <v>114</v>
      </c>
      <c r="O187" s="317">
        <f>管理者入力シート!B13</f>
        <v>2050</v>
      </c>
      <c r="P187" s="318"/>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5</v>
      </c>
      <c r="I189" s="17">
        <f>ROUND(VLOOKUP(H$187&amp;"_2",管理者用人口入力シート!BH:CE,J189,FALSE),0)</f>
        <v>5</v>
      </c>
      <c r="J189" s="2">
        <v>4</v>
      </c>
      <c r="N189" s="2" t="s">
        <v>0</v>
      </c>
      <c r="O189" s="17">
        <f>ROUND(VLOOKUP(O$187&amp;"_1",管理者用人口入力シート!CO:DL,Q189,FALSE),0)</f>
        <v>8</v>
      </c>
      <c r="P189" s="17">
        <f>ROUND(VLOOKUP(O$187&amp;"_2",管理者用人口入力シート!CO:DL,Q189,FALSE),0)</f>
        <v>7</v>
      </c>
      <c r="Q189" s="2">
        <v>4</v>
      </c>
    </row>
    <row r="190" spans="7:17" x14ac:dyDescent="0.15">
      <c r="G190" s="2" t="s">
        <v>1</v>
      </c>
      <c r="H190" s="17">
        <f>ROUND(VLOOKUP(H$187&amp;"_1",管理者用人口入力シート!BH:CE,J190,FALSE),0)</f>
        <v>9</v>
      </c>
      <c r="I190" s="17">
        <f>ROUND(VLOOKUP(H$187&amp;"_2",管理者用人口入力シート!BH:CE,J190,FALSE),0)</f>
        <v>7</v>
      </c>
      <c r="J190" s="2">
        <v>5</v>
      </c>
      <c r="N190" s="2" t="s">
        <v>1</v>
      </c>
      <c r="O190" s="17">
        <f>ROUND(VLOOKUP(O$187&amp;"_1",管理者用人口入力シート!CO:DL,Q190,FALSE),0)</f>
        <v>11</v>
      </c>
      <c r="P190" s="17">
        <f>ROUND(VLOOKUP(O$187&amp;"_2",管理者用人口入力シート!CO:DL,Q190,FALSE),0)</f>
        <v>9</v>
      </c>
      <c r="Q190" s="2">
        <v>5</v>
      </c>
    </row>
    <row r="191" spans="7:17" x14ac:dyDescent="0.15">
      <c r="G191" s="2" t="s">
        <v>2</v>
      </c>
      <c r="H191" s="17">
        <f>ROUND(VLOOKUP(H$187&amp;"_1",管理者用人口入力シート!BH:CE,J191,FALSE),0)</f>
        <v>11</v>
      </c>
      <c r="I191" s="17">
        <f>ROUND(VLOOKUP(H$187&amp;"_2",管理者用人口入力シート!BH:CE,J191,FALSE),0)</f>
        <v>8</v>
      </c>
      <c r="J191" s="2">
        <v>6</v>
      </c>
      <c r="N191" s="2" t="s">
        <v>2</v>
      </c>
      <c r="O191" s="17">
        <f>ROUND(VLOOKUP(O$187&amp;"_1",管理者用人口入力シート!CO:DL,Q191,FALSE),0)</f>
        <v>14</v>
      </c>
      <c r="P191" s="17">
        <f>ROUND(VLOOKUP(O$187&amp;"_2",管理者用人口入力シート!CO:DL,Q191,FALSE),0)</f>
        <v>11</v>
      </c>
      <c r="Q191" s="2">
        <v>6</v>
      </c>
    </row>
    <row r="192" spans="7:17" x14ac:dyDescent="0.15">
      <c r="G192" s="2" t="s">
        <v>3</v>
      </c>
      <c r="H192" s="17">
        <f>ROUND(VLOOKUP(H$187&amp;"_1",管理者用人口入力シート!BH:CE,J192,FALSE),0)</f>
        <v>8</v>
      </c>
      <c r="I192" s="17">
        <f>ROUND(VLOOKUP(H$187&amp;"_2",管理者用人口入力シート!BH:CE,J192,FALSE),0)</f>
        <v>6</v>
      </c>
      <c r="J192" s="2">
        <v>7</v>
      </c>
      <c r="N192" s="2" t="s">
        <v>3</v>
      </c>
      <c r="O192" s="17">
        <f>ROUND(VLOOKUP(O$187&amp;"_1",管理者用人口入力シート!CO:DL,Q192,FALSE),0)</f>
        <v>11</v>
      </c>
      <c r="P192" s="17">
        <f>ROUND(VLOOKUP(O$187&amp;"_2",管理者用人口入力シート!CO:DL,Q192,FALSE),0)</f>
        <v>8</v>
      </c>
      <c r="Q192" s="2">
        <v>7</v>
      </c>
    </row>
    <row r="193" spans="7:17" x14ac:dyDescent="0.15">
      <c r="G193" s="2" t="s">
        <v>4</v>
      </c>
      <c r="H193" s="17">
        <f>ROUND(VLOOKUP(H$187&amp;"_1",管理者用人口入力シート!BH:CE,J193,FALSE),0)</f>
        <v>6</v>
      </c>
      <c r="I193" s="17">
        <f>ROUND(VLOOKUP(H$187&amp;"_2",管理者用人口入力シート!BH:CE,J193,FALSE),0)</f>
        <v>4</v>
      </c>
      <c r="J193" s="2">
        <v>8</v>
      </c>
      <c r="N193" s="2" t="s">
        <v>4</v>
      </c>
      <c r="O193" s="17">
        <f>ROUND(VLOOKUP(O$187&amp;"_1",管理者用人口入力シート!CO:DL,Q193,FALSE),0)</f>
        <v>7</v>
      </c>
      <c r="P193" s="17">
        <f>ROUND(VLOOKUP(O$187&amp;"_2",管理者用人口入力シート!CO:DL,Q193,FALSE),0)</f>
        <v>5</v>
      </c>
      <c r="Q193" s="2">
        <v>8</v>
      </c>
    </row>
    <row r="194" spans="7:17" x14ac:dyDescent="0.15">
      <c r="G194" s="2" t="s">
        <v>5</v>
      </c>
      <c r="H194" s="17">
        <f>ROUND(VLOOKUP(H$187&amp;"_1",管理者用人口入力シート!BH:CE,J194,FALSE),0)</f>
        <v>10</v>
      </c>
      <c r="I194" s="17">
        <f>ROUND(VLOOKUP(H$187&amp;"_2",管理者用人口入力シート!BH:CE,J194,FALSE),0)</f>
        <v>5</v>
      </c>
      <c r="J194" s="2">
        <v>9</v>
      </c>
      <c r="N194" s="2" t="s">
        <v>5</v>
      </c>
      <c r="O194" s="17">
        <f>ROUND(VLOOKUP(O$187&amp;"_1",管理者用人口入力シート!CO:DL,Q194,FALSE),0)</f>
        <v>13</v>
      </c>
      <c r="P194" s="17">
        <f>ROUND(VLOOKUP(O$187&amp;"_2",管理者用人口入力シート!CO:DL,Q194,FALSE),0)</f>
        <v>7</v>
      </c>
      <c r="Q194" s="2">
        <v>9</v>
      </c>
    </row>
    <row r="195" spans="7:17" x14ac:dyDescent="0.15">
      <c r="G195" s="2" t="s">
        <v>6</v>
      </c>
      <c r="H195" s="17">
        <f>ROUND(VLOOKUP(H$187&amp;"_1",管理者用人口入力シート!BH:CE,J195,FALSE),0)</f>
        <v>11</v>
      </c>
      <c r="I195" s="17">
        <f>ROUND(VLOOKUP(H$187&amp;"_2",管理者用人口入力シート!BH:CE,J195,FALSE),0)</f>
        <v>6</v>
      </c>
      <c r="J195" s="2">
        <v>10</v>
      </c>
      <c r="N195" s="2" t="s">
        <v>6</v>
      </c>
      <c r="O195" s="17">
        <f>ROUND(VLOOKUP(O$187&amp;"_1",管理者用人口入力シート!CO:DL,Q195,FALSE),0)</f>
        <v>13</v>
      </c>
      <c r="P195" s="17">
        <f>ROUND(VLOOKUP(O$187&amp;"_2",管理者用人口入力シート!CO:DL,Q195,FALSE),0)</f>
        <v>8</v>
      </c>
      <c r="Q195" s="2">
        <v>10</v>
      </c>
    </row>
    <row r="196" spans="7:17" x14ac:dyDescent="0.15">
      <c r="G196" s="2" t="s">
        <v>7</v>
      </c>
      <c r="H196" s="17">
        <f>ROUND(VLOOKUP(H$187&amp;"_1",管理者用人口入力シート!BH:CE,J196,FALSE),0)</f>
        <v>17</v>
      </c>
      <c r="I196" s="17">
        <f>ROUND(VLOOKUP(H$187&amp;"_2",管理者用人口入力シート!BH:CE,J196,FALSE),0)</f>
        <v>9</v>
      </c>
      <c r="J196" s="2">
        <v>11</v>
      </c>
      <c r="N196" s="2" t="s">
        <v>7</v>
      </c>
      <c r="O196" s="17">
        <f>ROUND(VLOOKUP(O$187&amp;"_1",管理者用人口入力シート!CO:DL,Q196,FALSE),0)</f>
        <v>19</v>
      </c>
      <c r="P196" s="17">
        <f>ROUND(VLOOKUP(O$187&amp;"_2",管理者用人口入力シート!CO:DL,Q196,FALSE),0)</f>
        <v>11</v>
      </c>
      <c r="Q196" s="2">
        <v>11</v>
      </c>
    </row>
    <row r="197" spans="7:17" x14ac:dyDescent="0.15">
      <c r="G197" s="2" t="s">
        <v>8</v>
      </c>
      <c r="H197" s="17">
        <f>ROUND(VLOOKUP(H$187&amp;"_1",管理者用人口入力シート!BH:CE,J197,FALSE),0)</f>
        <v>22</v>
      </c>
      <c r="I197" s="17">
        <f>ROUND(VLOOKUP(H$187&amp;"_2",管理者用人口入力シート!BH:CE,J197,FALSE),0)</f>
        <v>12</v>
      </c>
      <c r="J197" s="2">
        <v>12</v>
      </c>
      <c r="N197" s="2" t="s">
        <v>8</v>
      </c>
      <c r="O197" s="17">
        <f>ROUND(VLOOKUP(O$187&amp;"_1",管理者用人口入力シート!CO:DL,Q197,FALSE),0)</f>
        <v>24</v>
      </c>
      <c r="P197" s="17">
        <f>ROUND(VLOOKUP(O$187&amp;"_2",管理者用人口入力シート!CO:DL,Q197,FALSE),0)</f>
        <v>15</v>
      </c>
      <c r="Q197" s="2">
        <v>12</v>
      </c>
    </row>
    <row r="198" spans="7:17" x14ac:dyDescent="0.15">
      <c r="G198" s="2" t="s">
        <v>9</v>
      </c>
      <c r="H198" s="17">
        <f>ROUND(VLOOKUP(H$187&amp;"_1",管理者用人口入力シート!BH:CE,J198,FALSE),0)</f>
        <v>31</v>
      </c>
      <c r="I198" s="17">
        <f>ROUND(VLOOKUP(H$187&amp;"_2",管理者用人口入力シート!BH:CE,J198,FALSE),0)</f>
        <v>10</v>
      </c>
      <c r="J198" s="2">
        <v>13</v>
      </c>
      <c r="N198" s="2" t="s">
        <v>9</v>
      </c>
      <c r="O198" s="17">
        <f>ROUND(VLOOKUP(O$187&amp;"_1",管理者用人口入力シート!CO:DL,Q198,FALSE),0)</f>
        <v>33</v>
      </c>
      <c r="P198" s="17">
        <f>ROUND(VLOOKUP(O$187&amp;"_2",管理者用人口入力シート!CO:DL,Q198,FALSE),0)</f>
        <v>12</v>
      </c>
      <c r="Q198" s="2">
        <v>13</v>
      </c>
    </row>
    <row r="199" spans="7:17" x14ac:dyDescent="0.15">
      <c r="G199" s="2" t="s">
        <v>10</v>
      </c>
      <c r="H199" s="17">
        <f>ROUND(VLOOKUP(H$187&amp;"_1",管理者用人口入力シート!BH:CE,J199,FALSE),0)</f>
        <v>26</v>
      </c>
      <c r="I199" s="17">
        <f>ROUND(VLOOKUP(H$187&amp;"_2",管理者用人口入力シート!BH:CE,J199,FALSE),0)</f>
        <v>9</v>
      </c>
      <c r="J199" s="2">
        <v>14</v>
      </c>
      <c r="N199" s="2" t="s">
        <v>10</v>
      </c>
      <c r="O199" s="17">
        <f>ROUND(VLOOKUP(O$187&amp;"_1",管理者用人口入力シート!CO:DL,Q199,FALSE),0)</f>
        <v>28</v>
      </c>
      <c r="P199" s="17">
        <f>ROUND(VLOOKUP(O$187&amp;"_2",管理者用人口入力シート!CO:DL,Q199,FALSE),0)</f>
        <v>12</v>
      </c>
      <c r="Q199" s="2">
        <v>14</v>
      </c>
    </row>
    <row r="200" spans="7:17" x14ac:dyDescent="0.15">
      <c r="G200" s="2" t="s">
        <v>11</v>
      </c>
      <c r="H200" s="17">
        <f>ROUND(VLOOKUP(H$187&amp;"_1",管理者用人口入力シート!BH:CE,J200,FALSE),0)</f>
        <v>37</v>
      </c>
      <c r="I200" s="17">
        <f>ROUND(VLOOKUP(H$187&amp;"_2",管理者用人口入力シート!BH:CE,J200,FALSE),0)</f>
        <v>16</v>
      </c>
      <c r="J200" s="2">
        <v>15</v>
      </c>
      <c r="N200" s="2" t="s">
        <v>11</v>
      </c>
      <c r="O200" s="17">
        <f>ROUND(VLOOKUP(O$187&amp;"_1",管理者用人口入力シート!CO:DL,Q200,FALSE),0)</f>
        <v>37</v>
      </c>
      <c r="P200" s="17">
        <f>ROUND(VLOOKUP(O$187&amp;"_2",管理者用人口入力シート!CO:DL,Q200,FALSE),0)</f>
        <v>17</v>
      </c>
      <c r="Q200" s="2">
        <v>15</v>
      </c>
    </row>
    <row r="201" spans="7:17" x14ac:dyDescent="0.15">
      <c r="G201" s="2" t="s">
        <v>12</v>
      </c>
      <c r="H201" s="17">
        <f>ROUND(VLOOKUP(H$187&amp;"_1",管理者用人口入力シート!BH:CE,J201,FALSE),0)</f>
        <v>35</v>
      </c>
      <c r="I201" s="17">
        <f>ROUND(VLOOKUP(H$187&amp;"_2",管理者用人口入力シート!BH:CE,J201,FALSE),0)</f>
        <v>33</v>
      </c>
      <c r="J201" s="2">
        <v>16</v>
      </c>
      <c r="N201" s="2" t="s">
        <v>12</v>
      </c>
      <c r="O201" s="17">
        <f>ROUND(VLOOKUP(O$187&amp;"_1",管理者用人口入力シート!CO:DL,Q201,FALSE),0)</f>
        <v>35</v>
      </c>
      <c r="P201" s="17">
        <f>ROUND(VLOOKUP(O$187&amp;"_2",管理者用人口入力シート!CO:DL,Q201,FALSE),0)</f>
        <v>34</v>
      </c>
      <c r="Q201" s="2">
        <v>16</v>
      </c>
    </row>
    <row r="202" spans="7:17" x14ac:dyDescent="0.15">
      <c r="G202" s="2" t="s">
        <v>13</v>
      </c>
      <c r="H202" s="17">
        <f>ROUND(VLOOKUP(H$187&amp;"_1",管理者用人口入力シート!BH:CE,J202,FALSE),0)</f>
        <v>54</v>
      </c>
      <c r="I202" s="17">
        <f>ROUND(VLOOKUP(H$187&amp;"_2",管理者用人口入力シート!BH:CE,J202,FALSE),0)</f>
        <v>38</v>
      </c>
      <c r="J202" s="2">
        <v>17</v>
      </c>
      <c r="N202" s="2" t="s">
        <v>13</v>
      </c>
      <c r="O202" s="17">
        <f>ROUND(VLOOKUP(O$187&amp;"_1",管理者用人口入力シート!CO:DL,Q202,FALSE),0)</f>
        <v>54</v>
      </c>
      <c r="P202" s="17">
        <f>ROUND(VLOOKUP(O$187&amp;"_2",管理者用人口入力シート!CO:DL,Q202,FALSE),0)</f>
        <v>39</v>
      </c>
      <c r="Q202" s="2">
        <v>17</v>
      </c>
    </row>
    <row r="203" spans="7:17" x14ac:dyDescent="0.15">
      <c r="G203" s="2" t="s">
        <v>14</v>
      </c>
      <c r="H203" s="17">
        <f>ROUND(VLOOKUP(H$187&amp;"_1",管理者用人口入力シート!BH:CE,J203,FALSE),0)</f>
        <v>54</v>
      </c>
      <c r="I203" s="17">
        <f>ROUND(VLOOKUP(H$187&amp;"_2",管理者用人口入力シート!BH:CE,J203,FALSE),0)</f>
        <v>40</v>
      </c>
      <c r="J203" s="2">
        <v>18</v>
      </c>
      <c r="N203" s="2" t="s">
        <v>14</v>
      </c>
      <c r="O203" s="17">
        <f>ROUND(VLOOKUP(O$187&amp;"_1",管理者用人口入力シート!CO:DL,Q203,FALSE),0)</f>
        <v>54</v>
      </c>
      <c r="P203" s="17">
        <f>ROUND(VLOOKUP(O$187&amp;"_2",管理者用人口入力シート!CO:DL,Q203,FALSE),0)</f>
        <v>40</v>
      </c>
      <c r="Q203" s="2">
        <v>18</v>
      </c>
    </row>
    <row r="204" spans="7:17" x14ac:dyDescent="0.15">
      <c r="G204" s="2" t="s">
        <v>15</v>
      </c>
      <c r="H204" s="17">
        <f>ROUND(VLOOKUP(H$187&amp;"_1",管理者用人口入力シート!BH:CE,J204,FALSE),0)</f>
        <v>52</v>
      </c>
      <c r="I204" s="17">
        <f>ROUND(VLOOKUP(H$187&amp;"_2",管理者用人口入力シート!BH:CE,J204,FALSE),0)</f>
        <v>39</v>
      </c>
      <c r="J204" s="2">
        <v>19</v>
      </c>
      <c r="N204" s="2" t="s">
        <v>15</v>
      </c>
      <c r="O204" s="17">
        <f>ROUND(VLOOKUP(O$187&amp;"_1",管理者用人口入力シート!CO:DL,Q204,FALSE),0)</f>
        <v>52</v>
      </c>
      <c r="P204" s="17">
        <f>ROUND(VLOOKUP(O$187&amp;"_2",管理者用人口入力シート!CO:DL,Q204,FALSE),0)</f>
        <v>39</v>
      </c>
      <c r="Q204" s="2">
        <v>19</v>
      </c>
    </row>
    <row r="205" spans="7:17" x14ac:dyDescent="0.15">
      <c r="G205" s="2" t="s">
        <v>16</v>
      </c>
      <c r="H205" s="17">
        <f>ROUND(VLOOKUP(H$187&amp;"_1",管理者用人口入力シート!BH:CE,J205,FALSE),0)</f>
        <v>32</v>
      </c>
      <c r="I205" s="17">
        <f>ROUND(VLOOKUP(H$187&amp;"_2",管理者用人口入力シート!BH:CE,J205,FALSE),0)</f>
        <v>43</v>
      </c>
      <c r="J205" s="2">
        <v>20</v>
      </c>
      <c r="N205" s="2" t="s">
        <v>16</v>
      </c>
      <c r="O205" s="17">
        <f>ROUND(VLOOKUP(O$187&amp;"_1",管理者用人口入力シート!CO:DL,Q205,FALSE),0)</f>
        <v>32</v>
      </c>
      <c r="P205" s="17">
        <f>ROUND(VLOOKUP(O$187&amp;"_2",管理者用人口入力シート!CO:DL,Q205,FALSE),0)</f>
        <v>43</v>
      </c>
      <c r="Q205" s="2">
        <v>20</v>
      </c>
    </row>
    <row r="206" spans="7:17" x14ac:dyDescent="0.15">
      <c r="G206" s="2" t="s">
        <v>17</v>
      </c>
      <c r="H206" s="17">
        <f>ROUND(VLOOKUP(H$187&amp;"_1",管理者用人口入力シート!BH:CE,J206,FALSE),0)</f>
        <v>25</v>
      </c>
      <c r="I206" s="17">
        <f>ROUND(VLOOKUP(H$187&amp;"_2",管理者用人口入力シート!BH:CE,J206,FALSE),0)</f>
        <v>43</v>
      </c>
      <c r="J206" s="2">
        <v>21</v>
      </c>
      <c r="N206" s="2" t="s">
        <v>17</v>
      </c>
      <c r="O206" s="17">
        <f>ROUND(VLOOKUP(O$187&amp;"_1",管理者用人口入力シート!CO:DL,Q206,FALSE),0)</f>
        <v>25</v>
      </c>
      <c r="P206" s="17">
        <f>ROUND(VLOOKUP(O$187&amp;"_2",管理者用人口入力シート!CO:DL,Q206,FALSE),0)</f>
        <v>43</v>
      </c>
      <c r="Q206" s="2">
        <v>21</v>
      </c>
    </row>
    <row r="207" spans="7:17" x14ac:dyDescent="0.15">
      <c r="G207" s="2" t="s">
        <v>18</v>
      </c>
      <c r="H207" s="17">
        <f>ROUND(VLOOKUP(H$187&amp;"_1",管理者用人口入力シート!BH:CE,J207,FALSE),0)</f>
        <v>19</v>
      </c>
      <c r="I207" s="17">
        <f>ROUND(VLOOKUP(H$187&amp;"_2",管理者用人口入力シート!BH:CE,J207,FALSE),0)</f>
        <v>31</v>
      </c>
      <c r="J207" s="2">
        <v>22</v>
      </c>
      <c r="N207" s="2" t="s">
        <v>18</v>
      </c>
      <c r="O207" s="17">
        <f>ROUND(VLOOKUP(O$187&amp;"_1",管理者用人口入力シート!CO:DL,Q207,FALSE),0)</f>
        <v>19</v>
      </c>
      <c r="P207" s="17">
        <f>ROUND(VLOOKUP(O$187&amp;"_2",管理者用人口入力シート!CO:DL,Q207,FALSE),0)</f>
        <v>31</v>
      </c>
      <c r="Q207" s="2">
        <v>22</v>
      </c>
    </row>
    <row r="208" spans="7:17" x14ac:dyDescent="0.15">
      <c r="G208" s="2" t="s">
        <v>19</v>
      </c>
      <c r="H208" s="17">
        <f>ROUND(VLOOKUP(H$187&amp;"_1",管理者用人口入力シート!BH:CE,J208,FALSE),0)</f>
        <v>7</v>
      </c>
      <c r="I208" s="17">
        <f>ROUND(VLOOKUP(H$187&amp;"_2",管理者用人口入力シート!BH:CE,J208,FALSE),0)</f>
        <v>9</v>
      </c>
      <c r="J208" s="2">
        <v>23</v>
      </c>
      <c r="N208" s="2" t="s">
        <v>19</v>
      </c>
      <c r="O208" s="17">
        <f>ROUND(VLOOKUP(O$187&amp;"_1",管理者用人口入力シート!CO:DL,Q208,FALSE),0)</f>
        <v>7</v>
      </c>
      <c r="P208" s="17">
        <f>ROUND(VLOOKUP(O$187&amp;"_2",管理者用人口入力シート!CO:DL,Q208,FALSE),0)</f>
        <v>9</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7">
        <f>O91</f>
        <v>2030</v>
      </c>
      <c r="P212" s="318"/>
      <c r="Q212" s="2" t="s">
        <v>114</v>
      </c>
    </row>
    <row r="213" spans="7:17" x14ac:dyDescent="0.15">
      <c r="N213" s="2" t="s">
        <v>115</v>
      </c>
      <c r="O213" s="78" t="s">
        <v>329</v>
      </c>
      <c r="P213" s="78" t="s">
        <v>330</v>
      </c>
    </row>
    <row r="214" spans="7:17" x14ac:dyDescent="0.15">
      <c r="N214" s="2" t="s">
        <v>0</v>
      </c>
      <c r="O214" s="17">
        <f>H93+I93</f>
        <v>25</v>
      </c>
      <c r="P214" s="17">
        <f>O93+P93</f>
        <v>28</v>
      </c>
      <c r="Q214" s="2">
        <v>4</v>
      </c>
    </row>
    <row r="215" spans="7:17" x14ac:dyDescent="0.15">
      <c r="N215" s="2" t="s">
        <v>1</v>
      </c>
      <c r="O215" s="17">
        <f t="shared" ref="O215:O233" si="24">H94+I94</f>
        <v>37</v>
      </c>
      <c r="P215" s="17">
        <f t="shared" ref="P215:P233" si="25">O94+P94</f>
        <v>39</v>
      </c>
      <c r="Q215" s="2">
        <v>5</v>
      </c>
    </row>
    <row r="216" spans="7:17" x14ac:dyDescent="0.15">
      <c r="N216" s="2" t="s">
        <v>2</v>
      </c>
      <c r="O216" s="17">
        <f t="shared" si="24"/>
        <v>51</v>
      </c>
      <c r="P216" s="17">
        <f t="shared" si="25"/>
        <v>53</v>
      </c>
      <c r="Q216" s="2">
        <v>6</v>
      </c>
    </row>
    <row r="217" spans="7:17" x14ac:dyDescent="0.15">
      <c r="N217" s="2" t="s">
        <v>3</v>
      </c>
      <c r="O217" s="17">
        <f t="shared" si="24"/>
        <v>50</v>
      </c>
      <c r="P217" s="17">
        <f t="shared" si="25"/>
        <v>52</v>
      </c>
      <c r="Q217" s="2">
        <v>7</v>
      </c>
    </row>
    <row r="218" spans="7:17" x14ac:dyDescent="0.15">
      <c r="N218" s="2" t="s">
        <v>4</v>
      </c>
      <c r="O218" s="17">
        <f t="shared" si="24"/>
        <v>36</v>
      </c>
      <c r="P218" s="17">
        <f t="shared" si="25"/>
        <v>36</v>
      </c>
      <c r="Q218" s="2">
        <v>8</v>
      </c>
    </row>
    <row r="219" spans="7:17" x14ac:dyDescent="0.15">
      <c r="N219" s="2" t="s">
        <v>5</v>
      </c>
      <c r="O219" s="17">
        <f t="shared" si="24"/>
        <v>42</v>
      </c>
      <c r="P219" s="17">
        <f t="shared" si="25"/>
        <v>46</v>
      </c>
      <c r="Q219" s="2">
        <v>9</v>
      </c>
    </row>
    <row r="220" spans="7:17" x14ac:dyDescent="0.15">
      <c r="N220" s="2" t="s">
        <v>6</v>
      </c>
      <c r="O220" s="17">
        <f t="shared" si="24"/>
        <v>32</v>
      </c>
      <c r="P220" s="17">
        <f t="shared" si="25"/>
        <v>35</v>
      </c>
      <c r="Q220" s="2">
        <v>10</v>
      </c>
    </row>
    <row r="221" spans="7:17" x14ac:dyDescent="0.15">
      <c r="N221" s="2" t="s">
        <v>7</v>
      </c>
      <c r="O221" s="17">
        <f t="shared" si="24"/>
        <v>51</v>
      </c>
      <c r="P221" s="17">
        <f t="shared" si="25"/>
        <v>51</v>
      </c>
      <c r="Q221" s="2">
        <v>11</v>
      </c>
    </row>
    <row r="222" spans="7:17" x14ac:dyDescent="0.15">
      <c r="N222" s="2" t="s">
        <v>8</v>
      </c>
      <c r="O222" s="17">
        <f t="shared" si="24"/>
        <v>72</v>
      </c>
      <c r="P222" s="17">
        <f t="shared" si="25"/>
        <v>73</v>
      </c>
      <c r="Q222" s="2">
        <v>12</v>
      </c>
    </row>
    <row r="223" spans="7:17" x14ac:dyDescent="0.15">
      <c r="N223" s="2" t="s">
        <v>9</v>
      </c>
      <c r="O223" s="17">
        <f t="shared" si="24"/>
        <v>97</v>
      </c>
      <c r="P223" s="17">
        <f t="shared" si="25"/>
        <v>98</v>
      </c>
      <c r="Q223" s="2">
        <v>13</v>
      </c>
    </row>
    <row r="224" spans="7:17" x14ac:dyDescent="0.15">
      <c r="N224" s="2" t="s">
        <v>10</v>
      </c>
      <c r="O224" s="17">
        <f t="shared" si="24"/>
        <v>102</v>
      </c>
      <c r="P224" s="17">
        <f t="shared" si="25"/>
        <v>102</v>
      </c>
      <c r="Q224" s="2">
        <v>14</v>
      </c>
    </row>
    <row r="225" spans="14:17" x14ac:dyDescent="0.15">
      <c r="N225" s="2" t="s">
        <v>11</v>
      </c>
      <c r="O225" s="17">
        <f t="shared" si="24"/>
        <v>108</v>
      </c>
      <c r="P225" s="17">
        <f t="shared" si="25"/>
        <v>108</v>
      </c>
      <c r="Q225" s="2">
        <v>15</v>
      </c>
    </row>
    <row r="226" spans="14:17" x14ac:dyDescent="0.15">
      <c r="N226" s="2" t="s">
        <v>12</v>
      </c>
      <c r="O226" s="17">
        <f t="shared" si="24"/>
        <v>112</v>
      </c>
      <c r="P226" s="17">
        <f t="shared" si="25"/>
        <v>112</v>
      </c>
      <c r="Q226" s="2">
        <v>16</v>
      </c>
    </row>
    <row r="227" spans="14:17" x14ac:dyDescent="0.15">
      <c r="N227" s="2" t="s">
        <v>13</v>
      </c>
      <c r="O227" s="17">
        <f t="shared" si="24"/>
        <v>145</v>
      </c>
      <c r="P227" s="17">
        <f t="shared" si="25"/>
        <v>145</v>
      </c>
      <c r="Q227" s="2">
        <v>17</v>
      </c>
    </row>
    <row r="228" spans="14:17" x14ac:dyDescent="0.15">
      <c r="N228" s="2" t="s">
        <v>14</v>
      </c>
      <c r="O228" s="17">
        <f t="shared" si="24"/>
        <v>213</v>
      </c>
      <c r="P228" s="17">
        <f t="shared" si="25"/>
        <v>213</v>
      </c>
      <c r="Q228" s="2">
        <v>18</v>
      </c>
    </row>
    <row r="229" spans="14:17" x14ac:dyDescent="0.15">
      <c r="N229" s="2" t="s">
        <v>15</v>
      </c>
      <c r="O229" s="17">
        <f t="shared" si="24"/>
        <v>216</v>
      </c>
      <c r="P229" s="17">
        <f t="shared" si="25"/>
        <v>216</v>
      </c>
      <c r="Q229" s="2">
        <v>19</v>
      </c>
    </row>
    <row r="230" spans="14:17" x14ac:dyDescent="0.15">
      <c r="N230" s="2" t="s">
        <v>16</v>
      </c>
      <c r="O230" s="17">
        <f t="shared" si="24"/>
        <v>166</v>
      </c>
      <c r="P230" s="17">
        <f t="shared" si="25"/>
        <v>166</v>
      </c>
      <c r="Q230" s="2">
        <v>20</v>
      </c>
    </row>
    <row r="231" spans="14:17" x14ac:dyDescent="0.15">
      <c r="N231" s="2" t="s">
        <v>17</v>
      </c>
      <c r="O231" s="17">
        <f t="shared" si="24"/>
        <v>82</v>
      </c>
      <c r="P231" s="17">
        <f t="shared" si="25"/>
        <v>82</v>
      </c>
      <c r="Q231" s="2">
        <v>21</v>
      </c>
    </row>
    <row r="232" spans="14:17" x14ac:dyDescent="0.15">
      <c r="N232" s="2" t="s">
        <v>18</v>
      </c>
      <c r="O232" s="17">
        <f t="shared" si="24"/>
        <v>52</v>
      </c>
      <c r="P232" s="17">
        <f t="shared" si="25"/>
        <v>52</v>
      </c>
      <c r="Q232" s="2">
        <v>22</v>
      </c>
    </row>
    <row r="233" spans="14:17" x14ac:dyDescent="0.15">
      <c r="N233" s="2" t="s">
        <v>19</v>
      </c>
      <c r="O233" s="17">
        <f t="shared" si="24"/>
        <v>18</v>
      </c>
      <c r="P233" s="17">
        <f t="shared" si="25"/>
        <v>18</v>
      </c>
      <c r="Q233" s="2">
        <v>23</v>
      </c>
    </row>
    <row r="234" spans="14:17" x14ac:dyDescent="0.15">
      <c r="N234" s="2" t="s">
        <v>20</v>
      </c>
      <c r="O234" s="17">
        <f>H113+I113</f>
        <v>0</v>
      </c>
      <c r="P234" s="17">
        <f>O113+P113</f>
        <v>0</v>
      </c>
      <c r="Q234" s="2">
        <v>24</v>
      </c>
    </row>
    <row r="236" spans="14:17" x14ac:dyDescent="0.15">
      <c r="N236" s="2" t="s">
        <v>273</v>
      </c>
      <c r="O236" s="317">
        <f>O139</f>
        <v>2040</v>
      </c>
      <c r="P236" s="318"/>
      <c r="Q236" s="2" t="s">
        <v>114</v>
      </c>
    </row>
    <row r="237" spans="14:17" x14ac:dyDescent="0.15">
      <c r="N237" s="2" t="s">
        <v>115</v>
      </c>
      <c r="O237" s="78" t="s">
        <v>329</v>
      </c>
      <c r="P237" s="78" t="s">
        <v>330</v>
      </c>
    </row>
    <row r="238" spans="14:17" x14ac:dyDescent="0.15">
      <c r="N238" s="2" t="s">
        <v>0</v>
      </c>
      <c r="O238" s="17">
        <f>H141+I141</f>
        <v>17</v>
      </c>
      <c r="P238" s="17">
        <f>O141+P141</f>
        <v>23</v>
      </c>
      <c r="Q238" s="2">
        <v>4</v>
      </c>
    </row>
    <row r="239" spans="14:17" x14ac:dyDescent="0.15">
      <c r="N239" s="2" t="s">
        <v>1</v>
      </c>
      <c r="O239" s="17">
        <f t="shared" ref="O239:O257" si="26">H142+I142</f>
        <v>21</v>
      </c>
      <c r="P239" s="17">
        <f t="shared" ref="P239:P257" si="27">O142+P142</f>
        <v>27</v>
      </c>
      <c r="Q239" s="2">
        <v>5</v>
      </c>
    </row>
    <row r="240" spans="14:17" x14ac:dyDescent="0.15">
      <c r="N240" s="2" t="s">
        <v>2</v>
      </c>
      <c r="O240" s="17">
        <f t="shared" si="26"/>
        <v>26</v>
      </c>
      <c r="P240" s="17">
        <f t="shared" si="27"/>
        <v>32</v>
      </c>
      <c r="Q240" s="2">
        <v>6</v>
      </c>
    </row>
    <row r="241" spans="14:17" x14ac:dyDescent="0.15">
      <c r="N241" s="2" t="s">
        <v>3</v>
      </c>
      <c r="O241" s="17">
        <f t="shared" si="26"/>
        <v>24</v>
      </c>
      <c r="P241" s="17">
        <f t="shared" si="27"/>
        <v>27</v>
      </c>
      <c r="Q241" s="2">
        <v>7</v>
      </c>
    </row>
    <row r="242" spans="14:17" x14ac:dyDescent="0.15">
      <c r="N242" s="2" t="s">
        <v>4</v>
      </c>
      <c r="O242" s="17">
        <f t="shared" si="26"/>
        <v>19</v>
      </c>
      <c r="P242" s="17">
        <f t="shared" si="27"/>
        <v>21</v>
      </c>
      <c r="Q242" s="2">
        <v>8</v>
      </c>
    </row>
    <row r="243" spans="14:17" x14ac:dyDescent="0.15">
      <c r="N243" s="2" t="s">
        <v>5</v>
      </c>
      <c r="O243" s="17">
        <f t="shared" si="26"/>
        <v>29</v>
      </c>
      <c r="P243" s="17">
        <f t="shared" si="27"/>
        <v>35</v>
      </c>
      <c r="Q243" s="2">
        <v>9</v>
      </c>
    </row>
    <row r="244" spans="14:17" x14ac:dyDescent="0.15">
      <c r="N244" s="2" t="s">
        <v>6</v>
      </c>
      <c r="O244" s="17">
        <f t="shared" si="26"/>
        <v>30</v>
      </c>
      <c r="P244" s="17">
        <f t="shared" si="27"/>
        <v>33</v>
      </c>
      <c r="Q244" s="2">
        <v>10</v>
      </c>
    </row>
    <row r="245" spans="14:17" x14ac:dyDescent="0.15">
      <c r="N245" s="2" t="s">
        <v>7</v>
      </c>
      <c r="O245" s="17">
        <f t="shared" si="26"/>
        <v>38</v>
      </c>
      <c r="P245" s="17">
        <f t="shared" si="27"/>
        <v>41</v>
      </c>
      <c r="Q245" s="2">
        <v>11</v>
      </c>
    </row>
    <row r="246" spans="14:17" x14ac:dyDescent="0.15">
      <c r="N246" s="2" t="s">
        <v>8</v>
      </c>
      <c r="O246" s="17">
        <f t="shared" si="26"/>
        <v>36</v>
      </c>
      <c r="P246" s="17">
        <f t="shared" si="27"/>
        <v>41</v>
      </c>
      <c r="Q246" s="2">
        <v>12</v>
      </c>
    </row>
    <row r="247" spans="14:17" x14ac:dyDescent="0.15">
      <c r="N247" s="2" t="s">
        <v>9</v>
      </c>
      <c r="O247" s="17">
        <f t="shared" si="26"/>
        <v>55</v>
      </c>
      <c r="P247" s="17">
        <f t="shared" si="27"/>
        <v>56</v>
      </c>
      <c r="Q247" s="2">
        <v>13</v>
      </c>
    </row>
    <row r="248" spans="14:17" x14ac:dyDescent="0.15">
      <c r="N248" s="2" t="s">
        <v>10</v>
      </c>
      <c r="O248" s="17">
        <f t="shared" si="26"/>
        <v>68</v>
      </c>
      <c r="P248" s="17">
        <f t="shared" si="27"/>
        <v>69</v>
      </c>
      <c r="Q248" s="2">
        <v>14</v>
      </c>
    </row>
    <row r="249" spans="14:17" x14ac:dyDescent="0.15">
      <c r="N249" s="2" t="s">
        <v>11</v>
      </c>
      <c r="O249" s="17">
        <f t="shared" si="26"/>
        <v>94</v>
      </c>
      <c r="P249" s="17">
        <f t="shared" si="27"/>
        <v>95</v>
      </c>
      <c r="Q249" s="2">
        <v>15</v>
      </c>
    </row>
    <row r="250" spans="14:17" x14ac:dyDescent="0.15">
      <c r="N250" s="2" t="s">
        <v>12</v>
      </c>
      <c r="O250" s="17">
        <f t="shared" si="26"/>
        <v>101</v>
      </c>
      <c r="P250" s="17">
        <f t="shared" si="27"/>
        <v>101</v>
      </c>
      <c r="Q250" s="2">
        <v>16</v>
      </c>
    </row>
    <row r="251" spans="14:17" x14ac:dyDescent="0.15">
      <c r="N251" s="2" t="s">
        <v>13</v>
      </c>
      <c r="O251" s="17">
        <f t="shared" si="26"/>
        <v>106</v>
      </c>
      <c r="P251" s="17">
        <f t="shared" si="27"/>
        <v>106</v>
      </c>
      <c r="Q251" s="2">
        <v>17</v>
      </c>
    </row>
    <row r="252" spans="14:17" x14ac:dyDescent="0.15">
      <c r="N252" s="2" t="s">
        <v>14</v>
      </c>
      <c r="O252" s="17">
        <f t="shared" si="26"/>
        <v>105</v>
      </c>
      <c r="P252" s="17">
        <f t="shared" si="27"/>
        <v>105</v>
      </c>
      <c r="Q252" s="2">
        <v>18</v>
      </c>
    </row>
    <row r="253" spans="14:17" x14ac:dyDescent="0.15">
      <c r="N253" s="2" t="s">
        <v>15</v>
      </c>
      <c r="O253" s="17">
        <f t="shared" si="26"/>
        <v>125</v>
      </c>
      <c r="P253" s="17">
        <f t="shared" si="27"/>
        <v>125</v>
      </c>
      <c r="Q253" s="2">
        <v>19</v>
      </c>
    </row>
    <row r="254" spans="14:17" x14ac:dyDescent="0.15">
      <c r="N254" s="2" t="s">
        <v>16</v>
      </c>
      <c r="O254" s="17">
        <f t="shared" si="26"/>
        <v>155</v>
      </c>
      <c r="P254" s="17">
        <f t="shared" si="27"/>
        <v>155</v>
      </c>
      <c r="Q254" s="2">
        <v>20</v>
      </c>
    </row>
    <row r="255" spans="14:17" x14ac:dyDescent="0.15">
      <c r="N255" s="2" t="s">
        <v>17</v>
      </c>
      <c r="O255" s="17">
        <f t="shared" si="26"/>
        <v>112</v>
      </c>
      <c r="P255" s="17">
        <f t="shared" si="27"/>
        <v>112</v>
      </c>
      <c r="Q255" s="2">
        <v>21</v>
      </c>
    </row>
    <row r="256" spans="14:17" x14ac:dyDescent="0.15">
      <c r="N256" s="2" t="s">
        <v>18</v>
      </c>
      <c r="O256" s="17">
        <f t="shared" si="26"/>
        <v>53</v>
      </c>
      <c r="P256" s="17">
        <f t="shared" si="27"/>
        <v>53</v>
      </c>
      <c r="Q256" s="2">
        <v>22</v>
      </c>
    </row>
    <row r="257" spans="14:17" x14ac:dyDescent="0.15">
      <c r="N257" s="2" t="s">
        <v>19</v>
      </c>
      <c r="O257" s="17">
        <f t="shared" si="26"/>
        <v>11</v>
      </c>
      <c r="P257" s="17">
        <f t="shared" si="27"/>
        <v>11</v>
      </c>
      <c r="Q257" s="2">
        <v>23</v>
      </c>
    </row>
    <row r="258" spans="14:17" x14ac:dyDescent="0.15">
      <c r="N258" s="2" t="s">
        <v>20</v>
      </c>
      <c r="O258" s="17">
        <f>H161+I161</f>
        <v>0</v>
      </c>
      <c r="P258" s="17">
        <f>O161+P161</f>
        <v>0</v>
      </c>
      <c r="Q258" s="2">
        <v>24</v>
      </c>
    </row>
  </sheetData>
  <mergeCells count="17">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2019-03-18T11:12:32Z</cp:lastPrinted>
  <dcterms:created xsi:type="dcterms:W3CDTF">2018-08-17T00:57:13Z</dcterms:created>
  <dcterms:modified xsi:type="dcterms:W3CDTF">2023-03-06T05:08:45Z</dcterms:modified>
</cp:coreProperties>
</file>